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3. ARTES\4. ABRIL\"/>
    </mc:Choice>
  </mc:AlternateContent>
  <bookViews>
    <workbookView xWindow="0" yWindow="0" windowWidth="28800" windowHeight="11835"/>
  </bookViews>
  <sheets>
    <sheet name="RENGLON 011" sheetId="10" r:id="rId1"/>
    <sheet name="RENGLON 021" sheetId="11" r:id="rId2"/>
    <sheet name="RENGLON 022" sheetId="3" r:id="rId3"/>
    <sheet name="RENGLON 029" sheetId="4" r:id="rId4"/>
    <sheet name="RENGLON 031" sheetId="9" r:id="rId5"/>
    <sheet name="SUBGRUPO 18" sheetId="12" r:id="rId6"/>
  </sheets>
  <definedNames>
    <definedName name="_xlnm._FilterDatabase" localSheetId="0" hidden="1">'RENGLON 011'!$A$11:$FO$339</definedName>
    <definedName name="_xlnm._FilterDatabase" localSheetId="1" hidden="1">'RENGLON 021'!$A$9:$Q$381</definedName>
    <definedName name="_xlnm._FilterDatabase" localSheetId="3" hidden="1">'RENGLON 029'!$A$9:$H$44</definedName>
    <definedName name="_xlnm._FilterDatabase" localSheetId="4" hidden="1">'RENGLON 031'!$A$9:$P$82</definedName>
  </definedNames>
  <calcPr calcId="152511" calcMode="manual" fullPrecision="0"/>
</workbook>
</file>

<file path=xl/calcChain.xml><?xml version="1.0" encoding="utf-8"?>
<calcChain xmlns="http://schemas.openxmlformats.org/spreadsheetml/2006/main">
  <c r="H381" i="11" l="1"/>
  <c r="J369" i="11"/>
  <c r="N339" i="10"/>
  <c r="J99" i="11"/>
  <c r="K99" i="11"/>
  <c r="L99" i="11"/>
  <c r="O99" i="11"/>
  <c r="I82" i="9"/>
  <c r="D56" i="4"/>
  <c r="L369" i="11"/>
  <c r="K369" i="11"/>
  <c r="O369" i="11" s="1"/>
  <c r="X249" i="10"/>
  <c r="Q129" i="11"/>
  <c r="Q366" i="11"/>
  <c r="Q333" i="11"/>
  <c r="Q244" i="11"/>
  <c r="Q290" i="11"/>
  <c r="Q122" i="11"/>
  <c r="Q171" i="11"/>
  <c r="Q250" i="11"/>
  <c r="X44" i="10"/>
  <c r="Q245" i="11"/>
  <c r="X113" i="10"/>
  <c r="X248" i="10"/>
  <c r="X42" i="10"/>
  <c r="Q194" i="11"/>
  <c r="X89" i="10"/>
  <c r="X250" i="10"/>
  <c r="X184" i="10"/>
  <c r="X243" i="10"/>
  <c r="L31" i="11"/>
  <c r="J31" i="11"/>
  <c r="K31" i="11"/>
  <c r="O31" i="11" s="1"/>
  <c r="G28" i="4"/>
  <c r="G24" i="4"/>
  <c r="G22" i="4"/>
  <c r="G52" i="4"/>
  <c r="L168" i="11"/>
  <c r="J168" i="11"/>
  <c r="K168" i="11"/>
  <c r="O168" i="11" s="1"/>
  <c r="L279" i="11"/>
  <c r="J279" i="11"/>
  <c r="K279" i="11"/>
  <c r="O279" i="11" s="1"/>
  <c r="L357" i="11"/>
  <c r="J357" i="11"/>
  <c r="K357" i="11"/>
  <c r="O357" i="11"/>
  <c r="P357" i="11" s="1"/>
  <c r="L289" i="11"/>
  <c r="J289" i="11"/>
  <c r="K289" i="11"/>
  <c r="O289" i="11" s="1"/>
  <c r="L297" i="11"/>
  <c r="J297" i="11"/>
  <c r="K297" i="11"/>
  <c r="O297" i="11"/>
  <c r="L45" i="11"/>
  <c r="J45" i="11"/>
  <c r="K45" i="11"/>
  <c r="O45" i="11" s="1"/>
  <c r="L29" i="11"/>
  <c r="J29" i="11"/>
  <c r="K29" i="11"/>
  <c r="O29" i="11" s="1"/>
  <c r="L53" i="11"/>
  <c r="K53" i="11"/>
  <c r="O53" i="11" s="1"/>
  <c r="P53" i="11" s="1"/>
  <c r="J53" i="11"/>
  <c r="P339" i="10"/>
  <c r="S166" i="10"/>
  <c r="S19" i="10"/>
  <c r="G25" i="4"/>
  <c r="L199" i="11"/>
  <c r="K199" i="11"/>
  <c r="O199" i="11" s="1"/>
  <c r="J199" i="11"/>
  <c r="L187" i="11"/>
  <c r="J187" i="11"/>
  <c r="P187" i="11"/>
  <c r="K187" i="11"/>
  <c r="O187" i="11" s="1"/>
  <c r="D105" i="10"/>
  <c r="S105" i="10"/>
  <c r="D79" i="10"/>
  <c r="R79" i="10"/>
  <c r="V79" i="10"/>
  <c r="W79" i="10" s="1"/>
  <c r="Q222" i="10"/>
  <c r="R222" i="10"/>
  <c r="S222" i="10"/>
  <c r="V222" i="10"/>
  <c r="S98" i="10"/>
  <c r="Q98" i="10"/>
  <c r="R98" i="10"/>
  <c r="V98" i="10"/>
  <c r="W98" i="10" s="1"/>
  <c r="G11" i="4"/>
  <c r="G40" i="4"/>
  <c r="G37" i="4"/>
  <c r="G45" i="4"/>
  <c r="G12" i="4"/>
  <c r="I381" i="11"/>
  <c r="I14" i="3"/>
  <c r="J13" i="3"/>
  <c r="J11" i="3"/>
  <c r="J82" i="9"/>
  <c r="L185" i="11"/>
  <c r="J185" i="11"/>
  <c r="K185" i="11"/>
  <c r="O185" i="11"/>
  <c r="L82" i="11"/>
  <c r="J82" i="11"/>
  <c r="K82" i="11"/>
  <c r="L222" i="11"/>
  <c r="K222" i="11"/>
  <c r="J222" i="11"/>
  <c r="J11" i="11"/>
  <c r="K11" i="11"/>
  <c r="O11" i="11" s="1"/>
  <c r="P11" i="11" s="1"/>
  <c r="L11" i="11"/>
  <c r="J12" i="11"/>
  <c r="K12" i="11"/>
  <c r="L12" i="11"/>
  <c r="J13" i="11"/>
  <c r="K13" i="11"/>
  <c r="L13" i="11"/>
  <c r="J14" i="11"/>
  <c r="P14" i="11" s="1"/>
  <c r="K14" i="11"/>
  <c r="L14" i="11"/>
  <c r="J15" i="11"/>
  <c r="P15" i="11" s="1"/>
  <c r="K15" i="11"/>
  <c r="L15" i="11"/>
  <c r="J16" i="11"/>
  <c r="K16" i="11"/>
  <c r="L16" i="11"/>
  <c r="O16" i="11" s="1"/>
  <c r="P16" i="11" s="1"/>
  <c r="J17" i="11"/>
  <c r="K17" i="11"/>
  <c r="L17" i="11"/>
  <c r="J18" i="11"/>
  <c r="K18" i="11"/>
  <c r="L18" i="11"/>
  <c r="J19" i="11"/>
  <c r="K19" i="11"/>
  <c r="O19" i="11" s="1"/>
  <c r="P19" i="11" s="1"/>
  <c r="L19" i="11"/>
  <c r="J20" i="11"/>
  <c r="K20" i="11"/>
  <c r="L20" i="11"/>
  <c r="J22" i="11"/>
  <c r="K22" i="11"/>
  <c r="O22" i="11"/>
  <c r="J23" i="11"/>
  <c r="P23" i="11" s="1"/>
  <c r="K23" i="11"/>
  <c r="L23" i="11"/>
  <c r="J24" i="11"/>
  <c r="K24" i="11"/>
  <c r="L24" i="11"/>
  <c r="J25" i="11"/>
  <c r="K25" i="11"/>
  <c r="L25" i="11"/>
  <c r="J26" i="11"/>
  <c r="K26" i="11"/>
  <c r="O26" i="11" s="1"/>
  <c r="L26" i="11"/>
  <c r="J27" i="11"/>
  <c r="K27" i="11"/>
  <c r="L27" i="11"/>
  <c r="J28" i="11"/>
  <c r="K28" i="11"/>
  <c r="O28" i="11" s="1"/>
  <c r="P28" i="11" s="1"/>
  <c r="L28" i="11"/>
  <c r="J30" i="11"/>
  <c r="K30" i="11"/>
  <c r="O30" i="11" s="1"/>
  <c r="L30" i="11"/>
  <c r="J32" i="11"/>
  <c r="K32" i="11"/>
  <c r="L32" i="11"/>
  <c r="J33" i="11"/>
  <c r="P33" i="11" s="1"/>
  <c r="K33" i="11"/>
  <c r="L33" i="11"/>
  <c r="J35" i="11"/>
  <c r="K35" i="11"/>
  <c r="L35" i="11"/>
  <c r="J36" i="11"/>
  <c r="K36" i="11"/>
  <c r="L36" i="11"/>
  <c r="O36" i="11" s="1"/>
  <c r="P36" i="11" s="1"/>
  <c r="J37" i="11"/>
  <c r="K37" i="11"/>
  <c r="O37" i="11" s="1"/>
  <c r="P37" i="11" s="1"/>
  <c r="L37" i="11"/>
  <c r="J38" i="11"/>
  <c r="K38" i="11"/>
  <c r="L38" i="11"/>
  <c r="J39" i="11"/>
  <c r="K39" i="11"/>
  <c r="O39" i="11" s="1"/>
  <c r="P39" i="11" s="1"/>
  <c r="L39" i="11"/>
  <c r="J40" i="11"/>
  <c r="K40" i="11"/>
  <c r="L40" i="11"/>
  <c r="J41" i="11"/>
  <c r="K41" i="11"/>
  <c r="L41" i="11"/>
  <c r="J42" i="11"/>
  <c r="K42" i="11"/>
  <c r="L42" i="11"/>
  <c r="J43" i="11"/>
  <c r="K43" i="11"/>
  <c r="L43" i="11"/>
  <c r="J44" i="11"/>
  <c r="K44" i="11"/>
  <c r="L44" i="11"/>
  <c r="O44" i="11" s="1"/>
  <c r="P44" i="11" s="1"/>
  <c r="J46" i="11"/>
  <c r="K46" i="11"/>
  <c r="L46" i="11"/>
  <c r="J47" i="11"/>
  <c r="K47" i="11"/>
  <c r="L47" i="11"/>
  <c r="J48" i="11"/>
  <c r="K48" i="11"/>
  <c r="O48" i="11" s="1"/>
  <c r="P48" i="11" s="1"/>
  <c r="L48" i="11"/>
  <c r="J49" i="11"/>
  <c r="K49" i="11"/>
  <c r="O49" i="11" s="1"/>
  <c r="L49" i="11"/>
  <c r="J50" i="11"/>
  <c r="K50" i="11"/>
  <c r="L50" i="11"/>
  <c r="O50" i="11" s="1"/>
  <c r="P50" i="11" s="1"/>
  <c r="J51" i="11"/>
  <c r="P51" i="11" s="1"/>
  <c r="K51" i="11"/>
  <c r="L51" i="11"/>
  <c r="J52" i="11"/>
  <c r="K52" i="11"/>
  <c r="L52" i="11"/>
  <c r="J54" i="11"/>
  <c r="K54" i="11"/>
  <c r="L54" i="11"/>
  <c r="O54" i="11" s="1"/>
  <c r="P54" i="11" s="1"/>
  <c r="J55" i="11"/>
  <c r="K55" i="11"/>
  <c r="O55" i="11" s="1"/>
  <c r="P55" i="11" s="1"/>
  <c r="L55" i="11"/>
  <c r="J56" i="11"/>
  <c r="K56" i="11"/>
  <c r="L56" i="11"/>
  <c r="J57" i="11"/>
  <c r="K57" i="11"/>
  <c r="O57" i="11" s="1"/>
  <c r="P57" i="11" s="1"/>
  <c r="L57" i="11"/>
  <c r="J58" i="11"/>
  <c r="K58" i="11"/>
  <c r="L58" i="11"/>
  <c r="J59" i="11"/>
  <c r="K59" i="11"/>
  <c r="L59" i="11"/>
  <c r="J60" i="11"/>
  <c r="P60" i="11" s="1"/>
  <c r="K60" i="11"/>
  <c r="O60" i="11"/>
  <c r="J61" i="11"/>
  <c r="K61" i="11"/>
  <c r="L61" i="11"/>
  <c r="J62" i="11"/>
  <c r="K62" i="11"/>
  <c r="L62" i="11"/>
  <c r="J63" i="11"/>
  <c r="K63" i="11"/>
  <c r="L63" i="11"/>
  <c r="J64" i="11"/>
  <c r="K64" i="11"/>
  <c r="O64" i="11" s="1"/>
  <c r="P64" i="11" s="1"/>
  <c r="L64" i="11"/>
  <c r="J65" i="11"/>
  <c r="K65" i="11"/>
  <c r="O65" i="11" s="1"/>
  <c r="P65" i="11" s="1"/>
  <c r="L65" i="11"/>
  <c r="J66" i="11"/>
  <c r="K66" i="11"/>
  <c r="L66" i="11"/>
  <c r="J67" i="11"/>
  <c r="P67" i="11" s="1"/>
  <c r="K67" i="11"/>
  <c r="L67" i="11"/>
  <c r="J68" i="11"/>
  <c r="P68" i="11" s="1"/>
  <c r="K68" i="11"/>
  <c r="L68" i="11"/>
  <c r="J69" i="11"/>
  <c r="K69" i="11"/>
  <c r="L69" i="11"/>
  <c r="O69" i="11" s="1"/>
  <c r="P69" i="11" s="1"/>
  <c r="J70" i="11"/>
  <c r="K70" i="11"/>
  <c r="L70" i="11"/>
  <c r="J71" i="11"/>
  <c r="K71" i="11"/>
  <c r="L71" i="11"/>
  <c r="J72" i="11"/>
  <c r="K72" i="11"/>
  <c r="L72" i="11"/>
  <c r="J73" i="11"/>
  <c r="K73" i="11"/>
  <c r="O73" i="11" s="1"/>
  <c r="P73" i="11" s="1"/>
  <c r="L73" i="11"/>
  <c r="J74" i="11"/>
  <c r="K74" i="11"/>
  <c r="L74" i="11"/>
  <c r="J75" i="11"/>
  <c r="P75" i="11" s="1"/>
  <c r="K75" i="11"/>
  <c r="L75" i="11"/>
  <c r="J76" i="11"/>
  <c r="P76" i="11" s="1"/>
  <c r="K76" i="11"/>
  <c r="L76" i="11"/>
  <c r="J77" i="11"/>
  <c r="K77" i="11"/>
  <c r="L77" i="11"/>
  <c r="J78" i="11"/>
  <c r="K78" i="11"/>
  <c r="L78" i="11"/>
  <c r="O78" i="11" s="1"/>
  <c r="P78" i="11" s="1"/>
  <c r="J79" i="11"/>
  <c r="K79" i="11"/>
  <c r="L79" i="11"/>
  <c r="J80" i="11"/>
  <c r="K80" i="11"/>
  <c r="L80" i="11"/>
  <c r="J81" i="11"/>
  <c r="K81" i="11"/>
  <c r="O81" i="11" s="1"/>
  <c r="P81" i="11" s="1"/>
  <c r="L81" i="11"/>
  <c r="J83" i="11"/>
  <c r="K83" i="11"/>
  <c r="L83" i="11"/>
  <c r="J84" i="11"/>
  <c r="P84" i="11" s="1"/>
  <c r="K84" i="11"/>
  <c r="L84" i="11"/>
  <c r="J85" i="11"/>
  <c r="P85" i="11" s="1"/>
  <c r="K85" i="11"/>
  <c r="L85" i="11"/>
  <c r="J86" i="11"/>
  <c r="K86" i="11"/>
  <c r="L86" i="11"/>
  <c r="O86" i="11" s="1"/>
  <c r="P86" i="11" s="1"/>
  <c r="J87" i="11"/>
  <c r="K87" i="11"/>
  <c r="L87" i="11"/>
  <c r="O87" i="11" s="1"/>
  <c r="P87" i="11" s="1"/>
  <c r="J88" i="11"/>
  <c r="K88" i="11"/>
  <c r="L88" i="11"/>
  <c r="J89" i="11"/>
  <c r="K89" i="11"/>
  <c r="O89" i="11" s="1"/>
  <c r="P89" i="11" s="1"/>
  <c r="L89" i="11"/>
  <c r="J90" i="11"/>
  <c r="K90" i="11"/>
  <c r="O90" i="11" s="1"/>
  <c r="P90" i="11" s="1"/>
  <c r="L90" i="11"/>
  <c r="J91" i="11"/>
  <c r="K91" i="11"/>
  <c r="L91" i="11"/>
  <c r="J92" i="11"/>
  <c r="P92" i="11" s="1"/>
  <c r="K92" i="11"/>
  <c r="L92" i="11"/>
  <c r="J93" i="11"/>
  <c r="K93" i="11"/>
  <c r="L93" i="11"/>
  <c r="J94" i="11"/>
  <c r="K94" i="11"/>
  <c r="L94" i="11"/>
  <c r="J95" i="11"/>
  <c r="K95" i="11"/>
  <c r="L95" i="11"/>
  <c r="O95" i="11" s="1"/>
  <c r="J96" i="11"/>
  <c r="K96" i="11"/>
  <c r="L96" i="11"/>
  <c r="J97" i="11"/>
  <c r="K97" i="11"/>
  <c r="O97" i="11" s="1"/>
  <c r="P97" i="11" s="1"/>
  <c r="L97" i="11"/>
  <c r="J98" i="11"/>
  <c r="K98" i="11"/>
  <c r="O98" i="11" s="1"/>
  <c r="P98" i="11" s="1"/>
  <c r="L98" i="11"/>
  <c r="J100" i="11"/>
  <c r="K100" i="11"/>
  <c r="L100" i="11"/>
  <c r="J101" i="11"/>
  <c r="K101" i="11"/>
  <c r="L101" i="11"/>
  <c r="J102" i="11"/>
  <c r="P102" i="11" s="1"/>
  <c r="K102" i="11"/>
  <c r="O102" i="11" s="1"/>
  <c r="L102" i="11"/>
  <c r="J103" i="11"/>
  <c r="K103" i="11"/>
  <c r="L103" i="11"/>
  <c r="O103" i="11" s="1"/>
  <c r="P103" i="11" s="1"/>
  <c r="J104" i="11"/>
  <c r="K104" i="11"/>
  <c r="L104" i="11"/>
  <c r="O104" i="11" s="1"/>
  <c r="P104" i="11" s="1"/>
  <c r="J105" i="11"/>
  <c r="K105" i="11"/>
  <c r="L105" i="11"/>
  <c r="J106" i="11"/>
  <c r="K106" i="11"/>
  <c r="O106" i="11" s="1"/>
  <c r="P106" i="11" s="1"/>
  <c r="L106" i="11"/>
  <c r="J107" i="11"/>
  <c r="K107" i="11"/>
  <c r="O107" i="11" s="1"/>
  <c r="P107" i="11" s="1"/>
  <c r="L107" i="11"/>
  <c r="J108" i="11"/>
  <c r="K108" i="11"/>
  <c r="L108" i="11"/>
  <c r="J109" i="11"/>
  <c r="K109" i="11"/>
  <c r="L109" i="11"/>
  <c r="J110" i="11"/>
  <c r="P110" i="11" s="1"/>
  <c r="K110" i="11"/>
  <c r="L110" i="11"/>
  <c r="J111" i="11"/>
  <c r="K111" i="11"/>
  <c r="L111" i="11"/>
  <c r="O111" i="11" s="1"/>
  <c r="P111" i="11" s="1"/>
  <c r="J112" i="11"/>
  <c r="K112" i="11"/>
  <c r="L112" i="11"/>
  <c r="J113" i="11"/>
  <c r="K113" i="11"/>
  <c r="L113" i="11"/>
  <c r="J114" i="11"/>
  <c r="K114" i="11"/>
  <c r="O114" i="11" s="1"/>
  <c r="P114" i="11" s="1"/>
  <c r="L114" i="11"/>
  <c r="J115" i="11"/>
  <c r="K115" i="11"/>
  <c r="O115" i="11" s="1"/>
  <c r="P115" i="11" s="1"/>
  <c r="L115" i="11"/>
  <c r="J116" i="11"/>
  <c r="K116" i="11"/>
  <c r="L116" i="11"/>
  <c r="J117" i="11"/>
  <c r="P117" i="11" s="1"/>
  <c r="K117" i="11"/>
  <c r="L117" i="11"/>
  <c r="J118" i="11"/>
  <c r="P118" i="11" s="1"/>
  <c r="K118" i="11"/>
  <c r="L118" i="11"/>
  <c r="J119" i="11"/>
  <c r="K119" i="11"/>
  <c r="L119" i="11"/>
  <c r="J120" i="11"/>
  <c r="K120" i="11"/>
  <c r="L120" i="11"/>
  <c r="J121" i="11"/>
  <c r="K121" i="11"/>
  <c r="L121" i="11"/>
  <c r="J122" i="11"/>
  <c r="K122" i="11"/>
  <c r="L122" i="11"/>
  <c r="J123" i="11"/>
  <c r="K123" i="11"/>
  <c r="O123" i="11" s="1"/>
  <c r="P123" i="11" s="1"/>
  <c r="L123" i="11"/>
  <c r="J124" i="11"/>
  <c r="K124" i="11"/>
  <c r="L124" i="11"/>
  <c r="J125" i="11"/>
  <c r="K125" i="11"/>
  <c r="L125" i="11"/>
  <c r="J126" i="11"/>
  <c r="P126" i="11" s="1"/>
  <c r="K126" i="11"/>
  <c r="O126" i="11" s="1"/>
  <c r="J127" i="11"/>
  <c r="K127" i="11"/>
  <c r="O127" i="11"/>
  <c r="J128" i="11"/>
  <c r="K128" i="11"/>
  <c r="L128" i="11"/>
  <c r="O128" i="11" s="1"/>
  <c r="J129" i="11"/>
  <c r="P129" i="11" s="1"/>
  <c r="K129" i="11"/>
  <c r="L129" i="11"/>
  <c r="J130" i="11"/>
  <c r="K130" i="11"/>
  <c r="L130" i="11"/>
  <c r="O130" i="11" s="1"/>
  <c r="J131" i="11"/>
  <c r="K131" i="11"/>
  <c r="L131" i="11"/>
  <c r="J132" i="11"/>
  <c r="K132" i="11"/>
  <c r="L132" i="11"/>
  <c r="J133" i="11"/>
  <c r="K133" i="11"/>
  <c r="L133" i="11"/>
  <c r="J134" i="11"/>
  <c r="P134" i="11" s="1"/>
  <c r="K134" i="11"/>
  <c r="O134" i="11" s="1"/>
  <c r="L134" i="11"/>
  <c r="J135" i="11"/>
  <c r="K135" i="11"/>
  <c r="L135" i="11"/>
  <c r="J136" i="11"/>
  <c r="K136" i="11"/>
  <c r="L136" i="11"/>
  <c r="J137" i="11"/>
  <c r="P137" i="11" s="1"/>
  <c r="K137" i="11"/>
  <c r="L137" i="11"/>
  <c r="J138" i="11"/>
  <c r="K138" i="11"/>
  <c r="L138" i="11"/>
  <c r="O138" i="11" s="1"/>
  <c r="P138" i="11" s="1"/>
  <c r="J139" i="11"/>
  <c r="K139" i="11"/>
  <c r="L139" i="11"/>
  <c r="J140" i="11"/>
  <c r="K140" i="11"/>
  <c r="L140" i="11"/>
  <c r="J141" i="11"/>
  <c r="K141" i="11"/>
  <c r="L141" i="11"/>
  <c r="J142" i="11"/>
  <c r="K142" i="11"/>
  <c r="O142" i="11" s="1"/>
  <c r="L142" i="11"/>
  <c r="J143" i="11"/>
  <c r="K143" i="11"/>
  <c r="L143" i="11"/>
  <c r="J144" i="11"/>
  <c r="K144" i="11"/>
  <c r="L144" i="11"/>
  <c r="O144" i="11" s="1"/>
  <c r="P144" i="11" s="1"/>
  <c r="J145" i="11"/>
  <c r="P145" i="11" s="1"/>
  <c r="K145" i="11"/>
  <c r="L145" i="11"/>
  <c r="J146" i="11"/>
  <c r="K146" i="11"/>
  <c r="L146" i="11"/>
  <c r="J147" i="11"/>
  <c r="K147" i="11"/>
  <c r="L147" i="11"/>
  <c r="O147" i="11" s="1"/>
  <c r="P147" i="11" s="1"/>
  <c r="J148" i="11"/>
  <c r="K148" i="11"/>
  <c r="L148" i="11"/>
  <c r="J149" i="11"/>
  <c r="K149" i="11"/>
  <c r="O149" i="11" s="1"/>
  <c r="L149" i="11"/>
  <c r="J150" i="11"/>
  <c r="P150" i="11" s="1"/>
  <c r="K150" i="11"/>
  <c r="O150" i="11" s="1"/>
  <c r="L150" i="11"/>
  <c r="J151" i="11"/>
  <c r="K151" i="11"/>
  <c r="L151" i="11"/>
  <c r="J152" i="11"/>
  <c r="K152" i="11"/>
  <c r="O152" i="11"/>
  <c r="J153" i="11"/>
  <c r="P153" i="11" s="1"/>
  <c r="K153" i="11"/>
  <c r="L153" i="11"/>
  <c r="J154" i="11"/>
  <c r="K154" i="11"/>
  <c r="L154" i="11"/>
  <c r="O154" i="11" s="1"/>
  <c r="J155" i="11"/>
  <c r="K155" i="11"/>
  <c r="L155" i="11"/>
  <c r="J156" i="11"/>
  <c r="K156" i="11"/>
  <c r="L156" i="11"/>
  <c r="J157" i="11"/>
  <c r="K157" i="11"/>
  <c r="L157" i="11"/>
  <c r="J158" i="11"/>
  <c r="K158" i="11"/>
  <c r="O158" i="11" s="1"/>
  <c r="L158" i="11"/>
  <c r="J159" i="11"/>
  <c r="K159" i="11"/>
  <c r="L159" i="11"/>
  <c r="J160" i="11"/>
  <c r="K160" i="11"/>
  <c r="L160" i="11"/>
  <c r="O160" i="11" s="1"/>
  <c r="P160" i="11" s="1"/>
  <c r="J161" i="11"/>
  <c r="P161" i="11" s="1"/>
  <c r="K161" i="11"/>
  <c r="L161" i="11"/>
  <c r="J162" i="11"/>
  <c r="K162" i="11"/>
  <c r="L162" i="11"/>
  <c r="J163" i="11"/>
  <c r="K163" i="11"/>
  <c r="L163" i="11"/>
  <c r="O163" i="11" s="1"/>
  <c r="P163" i="11" s="1"/>
  <c r="J164" i="11"/>
  <c r="K164" i="11"/>
  <c r="L164" i="11"/>
  <c r="J165" i="11"/>
  <c r="K165" i="11"/>
  <c r="O165" i="11" s="1"/>
  <c r="L165" i="11"/>
  <c r="J166" i="11"/>
  <c r="K166" i="11"/>
  <c r="O166" i="11" s="1"/>
  <c r="L166" i="11"/>
  <c r="K167" i="11"/>
  <c r="L167" i="11"/>
  <c r="J169" i="11"/>
  <c r="K169" i="11"/>
  <c r="L169" i="11"/>
  <c r="J170" i="11"/>
  <c r="P170" i="11" s="1"/>
  <c r="K170" i="11"/>
  <c r="O170" i="11" s="1"/>
  <c r="L170" i="11"/>
  <c r="J171" i="11"/>
  <c r="K171" i="11"/>
  <c r="L171" i="11"/>
  <c r="J172" i="11"/>
  <c r="K172" i="11"/>
  <c r="L172" i="11"/>
  <c r="J173" i="11"/>
  <c r="K173" i="11"/>
  <c r="L173" i="11"/>
  <c r="J174" i="11"/>
  <c r="K174" i="11"/>
  <c r="L174" i="11"/>
  <c r="O174" i="11" s="1"/>
  <c r="P174" i="11" s="1"/>
  <c r="J175" i="11"/>
  <c r="K175" i="11"/>
  <c r="L175" i="11"/>
  <c r="J176" i="11"/>
  <c r="K176" i="11"/>
  <c r="L176" i="11"/>
  <c r="J178" i="11"/>
  <c r="K178" i="11"/>
  <c r="O178" i="11" s="1"/>
  <c r="J179" i="11"/>
  <c r="K179" i="11"/>
  <c r="O179" i="11" s="1"/>
  <c r="P179" i="11" s="1"/>
  <c r="L179" i="11"/>
  <c r="J180" i="11"/>
  <c r="K180" i="11"/>
  <c r="L180" i="11"/>
  <c r="J181" i="11"/>
  <c r="K181" i="11"/>
  <c r="L181" i="11"/>
  <c r="J182" i="11"/>
  <c r="P182" i="11" s="1"/>
  <c r="K182" i="11"/>
  <c r="L182" i="11"/>
  <c r="J183" i="11"/>
  <c r="K183" i="11"/>
  <c r="L183" i="11"/>
  <c r="J184" i="11"/>
  <c r="K184" i="11"/>
  <c r="L184" i="11"/>
  <c r="O184" i="11" s="1"/>
  <c r="P184" i="11" s="1"/>
  <c r="J186" i="11"/>
  <c r="K186" i="11"/>
  <c r="L186" i="11"/>
  <c r="J188" i="11"/>
  <c r="K188" i="11"/>
  <c r="L188" i="11"/>
  <c r="J189" i="11"/>
  <c r="K189" i="11"/>
  <c r="O189" i="11" s="1"/>
  <c r="P189" i="11" s="1"/>
  <c r="L189" i="11"/>
  <c r="J190" i="11"/>
  <c r="K190" i="11"/>
  <c r="L190" i="11"/>
  <c r="J191" i="11"/>
  <c r="K191" i="11"/>
  <c r="L191" i="11"/>
  <c r="J192" i="11"/>
  <c r="P192" i="11" s="1"/>
  <c r="K192" i="11"/>
  <c r="L192" i="11"/>
  <c r="J193" i="11"/>
  <c r="K193" i="11"/>
  <c r="L193" i="11"/>
  <c r="J194" i="11"/>
  <c r="K194" i="11"/>
  <c r="L194" i="11"/>
  <c r="O194" i="11" s="1"/>
  <c r="P194" i="11" s="1"/>
  <c r="J195" i="11"/>
  <c r="K195" i="11"/>
  <c r="L195" i="11"/>
  <c r="J196" i="11"/>
  <c r="K196" i="11"/>
  <c r="L196" i="11"/>
  <c r="L197" i="11"/>
  <c r="J198" i="11"/>
  <c r="P198" i="11" s="1"/>
  <c r="K198" i="11"/>
  <c r="L198" i="11"/>
  <c r="J200" i="11"/>
  <c r="K200" i="11"/>
  <c r="L200" i="11"/>
  <c r="J201" i="11"/>
  <c r="K201" i="11"/>
  <c r="L201" i="11"/>
  <c r="O201" i="11" s="1"/>
  <c r="P201" i="11" s="1"/>
  <c r="J202" i="11"/>
  <c r="K202" i="11"/>
  <c r="L202" i="11"/>
  <c r="J203" i="11"/>
  <c r="K203" i="11"/>
  <c r="O203" i="11" s="1"/>
  <c r="L203" i="11"/>
  <c r="J204" i="11"/>
  <c r="K204" i="11"/>
  <c r="O204" i="11" s="1"/>
  <c r="P204" i="11" s="1"/>
  <c r="L204" i="11"/>
  <c r="J205" i="11"/>
  <c r="K205" i="11"/>
  <c r="L205" i="11"/>
  <c r="J206" i="11"/>
  <c r="K206" i="11"/>
  <c r="L206" i="11"/>
  <c r="J207" i="11"/>
  <c r="P207" i="11" s="1"/>
  <c r="K207" i="11"/>
  <c r="L207" i="11"/>
  <c r="J208" i="11"/>
  <c r="K208" i="11"/>
  <c r="L208" i="11"/>
  <c r="L209" i="11"/>
  <c r="J210" i="11"/>
  <c r="K210" i="11"/>
  <c r="O210" i="11" s="1"/>
  <c r="P210" i="11" s="1"/>
  <c r="L210" i="11"/>
  <c r="J211" i="11"/>
  <c r="K211" i="11"/>
  <c r="L211" i="11"/>
  <c r="J212" i="11"/>
  <c r="K212" i="11"/>
  <c r="L212" i="11"/>
  <c r="J213" i="11"/>
  <c r="K213" i="11"/>
  <c r="L213" i="11"/>
  <c r="J214" i="11"/>
  <c r="K214" i="11"/>
  <c r="L214" i="11"/>
  <c r="J215" i="11"/>
  <c r="K215" i="11"/>
  <c r="L215" i="11"/>
  <c r="O215" i="11" s="1"/>
  <c r="P215" i="11" s="1"/>
  <c r="J216" i="11"/>
  <c r="K216" i="11"/>
  <c r="L216" i="11"/>
  <c r="J217" i="11"/>
  <c r="K217" i="11"/>
  <c r="L217" i="11"/>
  <c r="J218" i="11"/>
  <c r="K218" i="11"/>
  <c r="O218" i="11" s="1"/>
  <c r="P218" i="11" s="1"/>
  <c r="L218" i="11"/>
  <c r="J219" i="11"/>
  <c r="K219" i="11"/>
  <c r="L219" i="11"/>
  <c r="J220" i="11"/>
  <c r="K220" i="11"/>
  <c r="L220" i="11"/>
  <c r="O220" i="11" s="1"/>
  <c r="J221" i="11"/>
  <c r="P221" i="11" s="1"/>
  <c r="K221" i="11"/>
  <c r="L221" i="11"/>
  <c r="J223" i="11"/>
  <c r="K223" i="11"/>
  <c r="L223" i="11"/>
  <c r="J224" i="11"/>
  <c r="K224" i="11"/>
  <c r="L224" i="11"/>
  <c r="O224" i="11" s="1"/>
  <c r="P224" i="11" s="1"/>
  <c r="J225" i="11"/>
  <c r="K225" i="11"/>
  <c r="L225" i="11"/>
  <c r="J226" i="11"/>
  <c r="K226" i="11"/>
  <c r="L226" i="11"/>
  <c r="J227" i="11"/>
  <c r="K227" i="11"/>
  <c r="O227" i="11" s="1"/>
  <c r="P227" i="11" s="1"/>
  <c r="L227" i="11"/>
  <c r="J228" i="11"/>
  <c r="K228" i="11"/>
  <c r="L228" i="11"/>
  <c r="J229" i="11"/>
  <c r="K229" i="11"/>
  <c r="L229" i="11"/>
  <c r="O229" i="11" s="1"/>
  <c r="J230" i="11"/>
  <c r="P230" i="11" s="1"/>
  <c r="K230" i="11"/>
  <c r="L230" i="11"/>
  <c r="J231" i="11"/>
  <c r="K231" i="11"/>
  <c r="L231" i="11"/>
  <c r="J232" i="11"/>
  <c r="K232" i="11"/>
  <c r="L232" i="11"/>
  <c r="O232" i="11" s="1"/>
  <c r="P232" i="11" s="1"/>
  <c r="J233" i="11"/>
  <c r="K233" i="11"/>
  <c r="L233" i="11"/>
  <c r="J234" i="11"/>
  <c r="K234" i="11"/>
  <c r="L234" i="11"/>
  <c r="J235" i="11"/>
  <c r="K235" i="11"/>
  <c r="O235" i="11" s="1"/>
  <c r="P235" i="11" s="1"/>
  <c r="L235" i="11"/>
  <c r="J236" i="11"/>
  <c r="K236" i="11"/>
  <c r="L236" i="11"/>
  <c r="J237" i="11"/>
  <c r="K237" i="11"/>
  <c r="L237" i="11"/>
  <c r="J238" i="11"/>
  <c r="P238" i="11" s="1"/>
  <c r="K238" i="11"/>
  <c r="L238" i="11"/>
  <c r="J239" i="11"/>
  <c r="K239" i="11"/>
  <c r="L239" i="11"/>
  <c r="J240" i="11"/>
  <c r="K240" i="11"/>
  <c r="L240" i="11"/>
  <c r="O240" i="11" s="1"/>
  <c r="P240" i="11" s="1"/>
  <c r="J241" i="11"/>
  <c r="K241" i="11"/>
  <c r="L241" i="11"/>
  <c r="J242" i="11"/>
  <c r="K242" i="11"/>
  <c r="L242" i="11"/>
  <c r="J243" i="11"/>
  <c r="K243" i="11"/>
  <c r="O243" i="11" s="1"/>
  <c r="P243" i="11" s="1"/>
  <c r="L243" i="11"/>
  <c r="J244" i="11"/>
  <c r="K244" i="11"/>
  <c r="L244" i="11"/>
  <c r="J245" i="11"/>
  <c r="K245" i="11"/>
  <c r="L245" i="11"/>
  <c r="J246" i="11"/>
  <c r="P246" i="11" s="1"/>
  <c r="K246" i="11"/>
  <c r="L246" i="11"/>
  <c r="J247" i="11"/>
  <c r="K247" i="11"/>
  <c r="L247" i="11"/>
  <c r="J248" i="11"/>
  <c r="K248" i="11"/>
  <c r="L248" i="11"/>
  <c r="O248" i="11" s="1"/>
  <c r="P248" i="11" s="1"/>
  <c r="J249" i="11"/>
  <c r="K249" i="11"/>
  <c r="L249" i="11"/>
  <c r="J250" i="11"/>
  <c r="K250" i="11"/>
  <c r="L250" i="11"/>
  <c r="J251" i="11"/>
  <c r="K251" i="11"/>
  <c r="O251" i="11" s="1"/>
  <c r="P251" i="11" s="1"/>
  <c r="L251" i="11"/>
  <c r="J252" i="11"/>
  <c r="K252" i="11"/>
  <c r="L252" i="11"/>
  <c r="J253" i="11"/>
  <c r="K253" i="11"/>
  <c r="L253" i="11"/>
  <c r="J254" i="11"/>
  <c r="P254" i="11" s="1"/>
  <c r="K254" i="11"/>
  <c r="L254" i="11"/>
  <c r="J255" i="11"/>
  <c r="K255" i="11"/>
  <c r="O255" i="11"/>
  <c r="J256" i="11"/>
  <c r="K256" i="11"/>
  <c r="L256" i="11"/>
  <c r="J257" i="11"/>
  <c r="K257" i="11"/>
  <c r="L257" i="11"/>
  <c r="J258" i="11"/>
  <c r="K258" i="11"/>
  <c r="L258" i="11"/>
  <c r="J259" i="11"/>
  <c r="K259" i="11"/>
  <c r="O259" i="11" s="1"/>
  <c r="P259" i="11" s="1"/>
  <c r="L259" i="11"/>
  <c r="J260" i="11"/>
  <c r="K260" i="11"/>
  <c r="L260" i="11"/>
  <c r="J261" i="11"/>
  <c r="K261" i="11"/>
  <c r="L261" i="11"/>
  <c r="J262" i="11"/>
  <c r="P262" i="11" s="1"/>
  <c r="K262" i="11"/>
  <c r="L262" i="11"/>
  <c r="J263" i="11"/>
  <c r="K263" i="11"/>
  <c r="L263" i="11"/>
  <c r="J264" i="11"/>
  <c r="K264" i="11"/>
  <c r="L264" i="11"/>
  <c r="O264" i="11" s="1"/>
  <c r="P264" i="11" s="1"/>
  <c r="J265" i="11"/>
  <c r="K265" i="11"/>
  <c r="L265" i="11"/>
  <c r="J266" i="11"/>
  <c r="K266" i="11"/>
  <c r="L266" i="11"/>
  <c r="J267" i="11"/>
  <c r="K267" i="11"/>
  <c r="O267" i="11" s="1"/>
  <c r="P267" i="11" s="1"/>
  <c r="L267" i="11"/>
  <c r="J268" i="11"/>
  <c r="K268" i="11"/>
  <c r="L268" i="11"/>
  <c r="J269" i="11"/>
  <c r="K269" i="11"/>
  <c r="L269" i="11"/>
  <c r="J270" i="11"/>
  <c r="K270" i="11"/>
  <c r="L270" i="11"/>
  <c r="J271" i="11"/>
  <c r="K271" i="11"/>
  <c r="L271" i="11"/>
  <c r="J272" i="11"/>
  <c r="K272" i="11"/>
  <c r="L272" i="11"/>
  <c r="O272" i="11" s="1"/>
  <c r="P272" i="11" s="1"/>
  <c r="J273" i="11"/>
  <c r="K273" i="11"/>
  <c r="L273" i="11"/>
  <c r="J274" i="11"/>
  <c r="K274" i="11"/>
  <c r="L274" i="11"/>
  <c r="J275" i="11"/>
  <c r="K275" i="11"/>
  <c r="O275" i="11" s="1"/>
  <c r="P275" i="11" s="1"/>
  <c r="L275" i="11"/>
  <c r="J276" i="11"/>
  <c r="K276" i="11"/>
  <c r="L276" i="11"/>
  <c r="J277" i="11"/>
  <c r="K277" i="11"/>
  <c r="L277" i="11"/>
  <c r="J278" i="11"/>
  <c r="P278" i="11" s="1"/>
  <c r="K278" i="11"/>
  <c r="L278" i="11"/>
  <c r="J280" i="11"/>
  <c r="K280" i="11"/>
  <c r="L280" i="11"/>
  <c r="J281" i="11"/>
  <c r="K281" i="11"/>
  <c r="L281" i="11"/>
  <c r="O281" i="11" s="1"/>
  <c r="P281" i="11" s="1"/>
  <c r="J282" i="11"/>
  <c r="K282" i="11"/>
  <c r="L282" i="11"/>
  <c r="J283" i="11"/>
  <c r="K283" i="11"/>
  <c r="L283" i="11"/>
  <c r="J284" i="11"/>
  <c r="K284" i="11"/>
  <c r="O284" i="11" s="1"/>
  <c r="P284" i="11" s="1"/>
  <c r="L284" i="11"/>
  <c r="J285" i="11"/>
  <c r="K285" i="11"/>
  <c r="L285" i="11"/>
  <c r="J286" i="11"/>
  <c r="K286" i="11"/>
  <c r="L286" i="11"/>
  <c r="J287" i="11"/>
  <c r="K287" i="11"/>
  <c r="L287" i="11"/>
  <c r="J288" i="11"/>
  <c r="K288" i="11"/>
  <c r="L288" i="11"/>
  <c r="J290" i="11"/>
  <c r="K290" i="11"/>
  <c r="L290" i="11"/>
  <c r="O290" i="11" s="1"/>
  <c r="P290" i="11" s="1"/>
  <c r="J291" i="11"/>
  <c r="K291" i="11"/>
  <c r="L291" i="11"/>
  <c r="J292" i="11"/>
  <c r="K292" i="11"/>
  <c r="L292" i="11"/>
  <c r="J293" i="11"/>
  <c r="K293" i="11"/>
  <c r="O293" i="11" s="1"/>
  <c r="P293" i="11" s="1"/>
  <c r="L293" i="11"/>
  <c r="J294" i="11"/>
  <c r="K294" i="11"/>
  <c r="L294" i="11"/>
  <c r="J295" i="11"/>
  <c r="K295" i="11"/>
  <c r="L295" i="11"/>
  <c r="J296" i="11"/>
  <c r="K296" i="11"/>
  <c r="L296" i="11"/>
  <c r="J298" i="11"/>
  <c r="K298" i="11"/>
  <c r="L298" i="11"/>
  <c r="J299" i="11"/>
  <c r="K299" i="11"/>
  <c r="L299" i="11"/>
  <c r="O299" i="11" s="1"/>
  <c r="P299" i="11" s="1"/>
  <c r="J300" i="11"/>
  <c r="K300" i="11"/>
  <c r="L300" i="11"/>
  <c r="J301" i="11"/>
  <c r="K301" i="11"/>
  <c r="L301" i="11"/>
  <c r="J302" i="11"/>
  <c r="K302" i="11"/>
  <c r="O302" i="11" s="1"/>
  <c r="P302" i="11" s="1"/>
  <c r="L302" i="11"/>
  <c r="J303" i="11"/>
  <c r="K303" i="11"/>
  <c r="L303" i="11"/>
  <c r="J304" i="11"/>
  <c r="K304" i="11"/>
  <c r="L304" i="11"/>
  <c r="J305" i="11"/>
  <c r="P305" i="11" s="1"/>
  <c r="K305" i="11"/>
  <c r="L305" i="11"/>
  <c r="J306" i="11"/>
  <c r="K306" i="11"/>
  <c r="L306" i="11"/>
  <c r="J307" i="11"/>
  <c r="K307" i="11"/>
  <c r="L307" i="11"/>
  <c r="O307" i="11" s="1"/>
  <c r="P307" i="11" s="1"/>
  <c r="J308" i="11"/>
  <c r="K308" i="11"/>
  <c r="L308" i="11"/>
  <c r="J309" i="11"/>
  <c r="K309" i="11"/>
  <c r="L309" i="11"/>
  <c r="J310" i="11"/>
  <c r="K310" i="11"/>
  <c r="O310" i="11" s="1"/>
  <c r="L310" i="11"/>
  <c r="J311" i="11"/>
  <c r="K311" i="11"/>
  <c r="L311" i="11"/>
  <c r="J312" i="11"/>
  <c r="K312" i="11"/>
  <c r="L312" i="11"/>
  <c r="J314" i="11"/>
  <c r="P314" i="11" s="1"/>
  <c r="K314" i="11"/>
  <c r="L314" i="11"/>
  <c r="J315" i="11"/>
  <c r="K315" i="11"/>
  <c r="L315" i="11"/>
  <c r="J316" i="11"/>
  <c r="K316" i="11"/>
  <c r="L316" i="11"/>
  <c r="O316" i="11" s="1"/>
  <c r="J317" i="11"/>
  <c r="K317" i="11"/>
  <c r="L317" i="11"/>
  <c r="J318" i="11"/>
  <c r="K318" i="11"/>
  <c r="L318" i="11"/>
  <c r="J319" i="11"/>
  <c r="K319" i="11"/>
  <c r="L319" i="11"/>
  <c r="J320" i="11"/>
  <c r="K320" i="11"/>
  <c r="L320" i="11"/>
  <c r="J321" i="11"/>
  <c r="K321" i="11"/>
  <c r="L321" i="11"/>
  <c r="J322" i="11"/>
  <c r="P322" i="11" s="1"/>
  <c r="K322" i="11"/>
  <c r="L322" i="11"/>
  <c r="J323" i="11"/>
  <c r="K323" i="11"/>
  <c r="L323" i="11"/>
  <c r="J324" i="11"/>
  <c r="K324" i="11"/>
  <c r="L324" i="11"/>
  <c r="O324" i="11" s="1"/>
  <c r="P324" i="11" s="1"/>
  <c r="J325" i="11"/>
  <c r="K325" i="11"/>
  <c r="L325" i="11"/>
  <c r="K326" i="11"/>
  <c r="L326" i="11"/>
  <c r="J327" i="11"/>
  <c r="K327" i="11"/>
  <c r="L327" i="11"/>
  <c r="J328" i="11"/>
  <c r="K328" i="11"/>
  <c r="L328" i="11"/>
  <c r="J329" i="11"/>
  <c r="K329" i="11"/>
  <c r="L329" i="11"/>
  <c r="J330" i="11"/>
  <c r="K330" i="11"/>
  <c r="O330" i="11" s="1"/>
  <c r="P330" i="11" s="1"/>
  <c r="L330" i="11"/>
  <c r="J331" i="11"/>
  <c r="K331" i="11"/>
  <c r="L331" i="11"/>
  <c r="J332" i="11"/>
  <c r="K332" i="11"/>
  <c r="L332" i="11"/>
  <c r="J333" i="11"/>
  <c r="K333" i="11"/>
  <c r="L333" i="11"/>
  <c r="J334" i="11"/>
  <c r="K334" i="11"/>
  <c r="L334" i="11"/>
  <c r="J335" i="11"/>
  <c r="K335" i="11"/>
  <c r="L335" i="11"/>
  <c r="O335" i="11" s="1"/>
  <c r="P335" i="11" s="1"/>
  <c r="J336" i="11"/>
  <c r="K336" i="11"/>
  <c r="L336" i="11"/>
  <c r="J337" i="11"/>
  <c r="K337" i="11"/>
  <c r="L337" i="11"/>
  <c r="J338" i="11"/>
  <c r="K338" i="11"/>
  <c r="O338" i="11" s="1"/>
  <c r="P338" i="11" s="1"/>
  <c r="L338" i="11"/>
  <c r="J339" i="11"/>
  <c r="K339" i="11"/>
  <c r="L339" i="11"/>
  <c r="J340" i="11"/>
  <c r="K340" i="11"/>
  <c r="L340" i="11"/>
  <c r="J341" i="11"/>
  <c r="P341" i="11" s="1"/>
  <c r="K341" i="11"/>
  <c r="L341" i="11"/>
  <c r="J342" i="11"/>
  <c r="K342" i="11"/>
  <c r="L342" i="11"/>
  <c r="J343" i="11"/>
  <c r="K343" i="11"/>
  <c r="L343" i="11"/>
  <c r="J344" i="11"/>
  <c r="K344" i="11"/>
  <c r="L344" i="11"/>
  <c r="J345" i="11"/>
  <c r="K345" i="11"/>
  <c r="L345" i="11"/>
  <c r="J346" i="11"/>
  <c r="K346" i="11"/>
  <c r="L346" i="11"/>
  <c r="J347" i="11"/>
  <c r="K347" i="11"/>
  <c r="L347" i="11"/>
  <c r="J348" i="11"/>
  <c r="K348" i="11"/>
  <c r="L348" i="11"/>
  <c r="J349" i="11"/>
  <c r="P349" i="11" s="1"/>
  <c r="K349" i="11"/>
  <c r="L349" i="11"/>
  <c r="J350" i="11"/>
  <c r="K350" i="11"/>
  <c r="L350" i="11"/>
  <c r="J351" i="11"/>
  <c r="K351" i="11"/>
  <c r="L351" i="11"/>
  <c r="O351" i="11" s="1"/>
  <c r="P351" i="11" s="1"/>
  <c r="J352" i="11"/>
  <c r="K352" i="11"/>
  <c r="L352" i="11"/>
  <c r="J353" i="11"/>
  <c r="K353" i="11"/>
  <c r="L353" i="11"/>
  <c r="J354" i="11"/>
  <c r="K354" i="11"/>
  <c r="O354" i="11" s="1"/>
  <c r="P354" i="11" s="1"/>
  <c r="L354" i="11"/>
  <c r="J355" i="11"/>
  <c r="K355" i="11"/>
  <c r="L355" i="11"/>
  <c r="J356" i="11"/>
  <c r="K356" i="11"/>
  <c r="L356" i="11"/>
  <c r="J358" i="11"/>
  <c r="P358" i="11" s="1"/>
  <c r="K358" i="11"/>
  <c r="L358" i="11"/>
  <c r="J359" i="11"/>
  <c r="K359" i="11"/>
  <c r="L359" i="11"/>
  <c r="J360" i="11"/>
  <c r="K360" i="11"/>
  <c r="L360" i="11"/>
  <c r="O360" i="11" s="1"/>
  <c r="P360" i="11" s="1"/>
  <c r="J361" i="11"/>
  <c r="K361" i="11"/>
  <c r="L361" i="11"/>
  <c r="J362" i="11"/>
  <c r="K362" i="11"/>
  <c r="L362" i="11"/>
  <c r="J363" i="11"/>
  <c r="K363" i="11"/>
  <c r="O363" i="11" s="1"/>
  <c r="P363" i="11" s="1"/>
  <c r="L363" i="11"/>
  <c r="J364" i="11"/>
  <c r="K364" i="11"/>
  <c r="L364" i="11"/>
  <c r="O364" i="11" s="1"/>
  <c r="P364" i="11" s="1"/>
  <c r="J365" i="11"/>
  <c r="K365" i="11"/>
  <c r="L365" i="11"/>
  <c r="J366" i="11"/>
  <c r="P366" i="11" s="1"/>
  <c r="K366" i="11"/>
  <c r="L366" i="11"/>
  <c r="J367" i="11"/>
  <c r="K367" i="11"/>
  <c r="L367" i="11"/>
  <c r="J368" i="11"/>
  <c r="K368" i="11"/>
  <c r="L368" i="11"/>
  <c r="J370" i="11"/>
  <c r="K370" i="11"/>
  <c r="L370" i="11"/>
  <c r="J371" i="11"/>
  <c r="K371" i="11"/>
  <c r="L371" i="11"/>
  <c r="J372" i="11"/>
  <c r="K372" i="11"/>
  <c r="O372" i="11" s="1"/>
  <c r="P372" i="11" s="1"/>
  <c r="L372" i="11"/>
  <c r="J373" i="11"/>
  <c r="K373" i="11"/>
  <c r="L373" i="11"/>
  <c r="J374" i="11"/>
  <c r="K374" i="11"/>
  <c r="L374" i="11"/>
  <c r="J375" i="11"/>
  <c r="P375" i="11" s="1"/>
  <c r="K375" i="11"/>
  <c r="L375" i="11"/>
  <c r="J376" i="11"/>
  <c r="K376" i="11"/>
  <c r="L376" i="11"/>
  <c r="J377" i="11"/>
  <c r="K377" i="11"/>
  <c r="L377" i="11"/>
  <c r="O377" i="11" s="1"/>
  <c r="P377" i="11" s="1"/>
  <c r="J378" i="11"/>
  <c r="K378" i="11"/>
  <c r="L378" i="11"/>
  <c r="J379" i="11"/>
  <c r="K379" i="11"/>
  <c r="O379" i="11" s="1"/>
  <c r="L379" i="11"/>
  <c r="J380" i="11"/>
  <c r="K380" i="11"/>
  <c r="O380" i="11" s="1"/>
  <c r="P380" i="11" s="1"/>
  <c r="L380" i="11"/>
  <c r="M381" i="11"/>
  <c r="N381" i="11"/>
  <c r="F381" i="11"/>
  <c r="D381" i="11"/>
  <c r="J326" i="11"/>
  <c r="E209" i="11"/>
  <c r="J209" i="11" s="1"/>
  <c r="K209" i="11"/>
  <c r="O209" i="11" s="1"/>
  <c r="E197" i="11"/>
  <c r="K197" i="11"/>
  <c r="E177" i="11"/>
  <c r="J167" i="11"/>
  <c r="E34" i="11"/>
  <c r="E21" i="11"/>
  <c r="J21" i="11"/>
  <c r="G79" i="9"/>
  <c r="G73" i="9"/>
  <c r="L73" i="9" s="1"/>
  <c r="N73" i="9" s="1"/>
  <c r="G53" i="9"/>
  <c r="G49" i="9"/>
  <c r="G46" i="9"/>
  <c r="G44" i="9"/>
  <c r="G43" i="9"/>
  <c r="G36" i="9"/>
  <c r="G35" i="9"/>
  <c r="L35" i="9" s="1"/>
  <c r="N35" i="9" s="1"/>
  <c r="G34" i="9"/>
  <c r="G31" i="9"/>
  <c r="G23" i="9"/>
  <c r="G21" i="9"/>
  <c r="G20" i="9"/>
  <c r="G19" i="9"/>
  <c r="G18" i="9"/>
  <c r="K18" i="9" s="1"/>
  <c r="G17" i="9"/>
  <c r="K17" i="9" s="1"/>
  <c r="G12" i="9"/>
  <c r="L81" i="9"/>
  <c r="N81" i="9"/>
  <c r="H80" i="9"/>
  <c r="K80" i="9"/>
  <c r="H79" i="9"/>
  <c r="H78" i="9"/>
  <c r="L78" i="9" s="1"/>
  <c r="N78" i="9" s="1"/>
  <c r="O78" i="9" s="1"/>
  <c r="H77" i="9"/>
  <c r="L77" i="9" s="1"/>
  <c r="N77" i="9" s="1"/>
  <c r="H76" i="9"/>
  <c r="K76" i="9" s="1"/>
  <c r="H75" i="9"/>
  <c r="L75" i="9"/>
  <c r="N75" i="9"/>
  <c r="H74" i="9"/>
  <c r="H73" i="9"/>
  <c r="H72" i="9"/>
  <c r="H71" i="9"/>
  <c r="L71" i="9"/>
  <c r="N71" i="9"/>
  <c r="H70" i="9"/>
  <c r="L70" i="9" s="1"/>
  <c r="N70" i="9" s="1"/>
  <c r="H69" i="9"/>
  <c r="H68" i="9"/>
  <c r="K68" i="9" s="1"/>
  <c r="H67" i="9"/>
  <c r="L67" i="9"/>
  <c r="H66" i="9"/>
  <c r="L66" i="9" s="1"/>
  <c r="N66" i="9" s="1"/>
  <c r="H65" i="9"/>
  <c r="H64" i="9"/>
  <c r="H63" i="9"/>
  <c r="K63" i="9" s="1"/>
  <c r="H62" i="9"/>
  <c r="H61" i="9"/>
  <c r="K61" i="9"/>
  <c r="H60" i="9"/>
  <c r="L60" i="9"/>
  <c r="N60" i="9"/>
  <c r="H59" i="9"/>
  <c r="H58" i="9"/>
  <c r="K58" i="9"/>
  <c r="M58" i="9"/>
  <c r="H57" i="9"/>
  <c r="K57" i="9" s="1"/>
  <c r="H56" i="9"/>
  <c r="K56" i="9" s="1"/>
  <c r="H55" i="9"/>
  <c r="L55" i="9" s="1"/>
  <c r="N55" i="9" s="1"/>
  <c r="H54" i="9"/>
  <c r="H53" i="9"/>
  <c r="H52" i="9"/>
  <c r="K52" i="9" s="1"/>
  <c r="H51" i="9"/>
  <c r="L51" i="9" s="1"/>
  <c r="N51" i="9" s="1"/>
  <c r="H50" i="9"/>
  <c r="K50" i="9"/>
  <c r="H49" i="9"/>
  <c r="H48" i="9"/>
  <c r="K48" i="9" s="1"/>
  <c r="H47" i="9"/>
  <c r="L47" i="9" s="1"/>
  <c r="N47" i="9" s="1"/>
  <c r="H46" i="9"/>
  <c r="H45" i="9"/>
  <c r="K45" i="9"/>
  <c r="H44" i="9"/>
  <c r="K44" i="9" s="1"/>
  <c r="H43" i="9"/>
  <c r="H42" i="9"/>
  <c r="H41" i="9"/>
  <c r="H40" i="9"/>
  <c r="K40" i="9"/>
  <c r="H39" i="9"/>
  <c r="K39" i="9"/>
  <c r="H38" i="9"/>
  <c r="K38" i="9"/>
  <c r="H37" i="9"/>
  <c r="H36" i="9"/>
  <c r="H35" i="9"/>
  <c r="H34" i="9"/>
  <c r="H33" i="9"/>
  <c r="K33" i="9" s="1"/>
  <c r="H32" i="9"/>
  <c r="K32" i="9" s="1"/>
  <c r="H31" i="9"/>
  <c r="H30" i="9"/>
  <c r="K30" i="9"/>
  <c r="K29" i="9"/>
  <c r="H28" i="9"/>
  <c r="H27" i="9"/>
  <c r="K27" i="9"/>
  <c r="H26" i="9"/>
  <c r="H25" i="9"/>
  <c r="K25" i="9"/>
  <c r="H24" i="9"/>
  <c r="H23" i="9"/>
  <c r="H22" i="9"/>
  <c r="L22" i="9" s="1"/>
  <c r="H21" i="9"/>
  <c r="H20" i="9"/>
  <c r="L20" i="9" s="1"/>
  <c r="N20" i="9" s="1"/>
  <c r="H19" i="9"/>
  <c r="H18" i="9"/>
  <c r="H17" i="9"/>
  <c r="H16" i="9"/>
  <c r="K16" i="9"/>
  <c r="H15" i="9"/>
  <c r="L15" i="9" s="1"/>
  <c r="N15" i="9" s="1"/>
  <c r="H14" i="9"/>
  <c r="K14" i="9"/>
  <c r="M14" i="9"/>
  <c r="H13" i="9"/>
  <c r="K13" i="9"/>
  <c r="H12" i="9"/>
  <c r="H11" i="9"/>
  <c r="L11" i="9"/>
  <c r="K81" i="9"/>
  <c r="K75" i="9"/>
  <c r="K67" i="9"/>
  <c r="M67" i="9" s="1"/>
  <c r="K65" i="9"/>
  <c r="M65" i="9" s="1"/>
  <c r="K60" i="9"/>
  <c r="K54" i="9"/>
  <c r="L339" i="10"/>
  <c r="U151" i="10"/>
  <c r="U339" i="10" s="1"/>
  <c r="S64" i="10"/>
  <c r="S68" i="10"/>
  <c r="V68" i="10" s="1"/>
  <c r="W68" i="10" s="1"/>
  <c r="S203" i="10"/>
  <c r="S207" i="10"/>
  <c r="S275" i="10"/>
  <c r="S278" i="10"/>
  <c r="S288" i="10"/>
  <c r="R288" i="10"/>
  <c r="V288" i="10" s="1"/>
  <c r="W288" i="10" s="1"/>
  <c r="Q288" i="10"/>
  <c r="S338" i="10"/>
  <c r="Q310" i="10"/>
  <c r="Q241" i="10"/>
  <c r="Q36" i="10"/>
  <c r="S337" i="10"/>
  <c r="S336" i="10"/>
  <c r="S334" i="10"/>
  <c r="S333" i="10"/>
  <c r="S332" i="10"/>
  <c r="V332" i="10" s="1"/>
  <c r="S331" i="10"/>
  <c r="S330" i="10"/>
  <c r="S329" i="10"/>
  <c r="V329" i="10" s="1"/>
  <c r="S327" i="10"/>
  <c r="S325" i="10"/>
  <c r="S324" i="10"/>
  <c r="S323" i="10"/>
  <c r="S322" i="10"/>
  <c r="V322" i="10" s="1"/>
  <c r="S320" i="10"/>
  <c r="S319" i="10"/>
  <c r="S318" i="10"/>
  <c r="S317" i="10"/>
  <c r="S316" i="10"/>
  <c r="S315" i="10"/>
  <c r="S314" i="10"/>
  <c r="V314" i="10" s="1"/>
  <c r="S312" i="10"/>
  <c r="S311" i="10"/>
  <c r="S310" i="10"/>
  <c r="S309" i="10"/>
  <c r="V309" i="10" s="1"/>
  <c r="S308" i="10"/>
  <c r="S307" i="10"/>
  <c r="S306" i="10"/>
  <c r="S305" i="10"/>
  <c r="V305" i="10" s="1"/>
  <c r="S304" i="10"/>
  <c r="S303" i="10"/>
  <c r="S301" i="10"/>
  <c r="S300" i="10"/>
  <c r="S299" i="10"/>
  <c r="S298" i="10"/>
  <c r="S297" i="10"/>
  <c r="S295" i="10"/>
  <c r="V295" i="10" s="1"/>
  <c r="S294" i="10"/>
  <c r="S293" i="10"/>
  <c r="S292" i="10"/>
  <c r="S289" i="10"/>
  <c r="S287" i="10"/>
  <c r="S286" i="10"/>
  <c r="S285" i="10"/>
  <c r="S284" i="10"/>
  <c r="S283" i="10"/>
  <c r="S281" i="10"/>
  <c r="S280" i="10"/>
  <c r="S279" i="10"/>
  <c r="S277" i="10"/>
  <c r="S276" i="10"/>
  <c r="S274" i="10"/>
  <c r="S273" i="10"/>
  <c r="S272" i="10"/>
  <c r="V272" i="10" s="1"/>
  <c r="S271" i="10"/>
  <c r="S270" i="10"/>
  <c r="S269" i="10"/>
  <c r="S268" i="10"/>
  <c r="S267" i="10"/>
  <c r="S266" i="10"/>
  <c r="S265" i="10"/>
  <c r="S264" i="10"/>
  <c r="V264" i="10" s="1"/>
  <c r="W264" i="10" s="1"/>
  <c r="S263" i="10"/>
  <c r="S262" i="10"/>
  <c r="S260" i="10"/>
  <c r="S259" i="10"/>
  <c r="S258" i="10"/>
  <c r="V258" i="10" s="1"/>
  <c r="S257" i="10"/>
  <c r="S256" i="10"/>
  <c r="S255" i="10"/>
  <c r="S253" i="10"/>
  <c r="S252" i="10"/>
  <c r="S251" i="10"/>
  <c r="S250" i="10"/>
  <c r="S249" i="10"/>
  <c r="S248" i="10"/>
  <c r="S247" i="10"/>
  <c r="S246" i="10"/>
  <c r="S245" i="10"/>
  <c r="S244" i="10"/>
  <c r="S243" i="10"/>
  <c r="V243" i="10" s="1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V230" i="10" s="1"/>
  <c r="S229" i="10"/>
  <c r="S228" i="10"/>
  <c r="S227" i="10"/>
  <c r="V227" i="10" s="1"/>
  <c r="W227" i="10" s="1"/>
  <c r="S225" i="10"/>
  <c r="S224" i="10"/>
  <c r="V224" i="10" s="1"/>
  <c r="S223" i="10"/>
  <c r="S221" i="10"/>
  <c r="S220" i="10"/>
  <c r="S219" i="10"/>
  <c r="S218" i="10"/>
  <c r="S217" i="10"/>
  <c r="S216" i="10"/>
  <c r="S214" i="10"/>
  <c r="S213" i="10"/>
  <c r="S212" i="10"/>
  <c r="S211" i="10"/>
  <c r="S210" i="10"/>
  <c r="S209" i="10"/>
  <c r="S208" i="10"/>
  <c r="S206" i="10"/>
  <c r="S204" i="10"/>
  <c r="S202" i="10"/>
  <c r="S200" i="10"/>
  <c r="S199" i="10"/>
  <c r="V199" i="10" s="1"/>
  <c r="S197" i="10"/>
  <c r="S196" i="10"/>
  <c r="S194" i="10"/>
  <c r="S193" i="10"/>
  <c r="S192" i="10"/>
  <c r="S191" i="10"/>
  <c r="S190" i="10"/>
  <c r="S189" i="10"/>
  <c r="S188" i="10"/>
  <c r="S187" i="10"/>
  <c r="S186" i="10"/>
  <c r="S184" i="10"/>
  <c r="S183" i="10"/>
  <c r="S181" i="10"/>
  <c r="S180" i="10"/>
  <c r="S179" i="10"/>
  <c r="S178" i="10"/>
  <c r="S177" i="10"/>
  <c r="S175" i="10"/>
  <c r="S173" i="10"/>
  <c r="S172" i="10"/>
  <c r="S171" i="10"/>
  <c r="S170" i="10"/>
  <c r="S169" i="10"/>
  <c r="S168" i="10"/>
  <c r="S167" i="10"/>
  <c r="S165" i="10"/>
  <c r="S164" i="10"/>
  <c r="S162" i="10"/>
  <c r="S161" i="10"/>
  <c r="S160" i="10"/>
  <c r="S158" i="10"/>
  <c r="V158" i="10" s="1"/>
  <c r="S156" i="10"/>
  <c r="S155" i="10"/>
  <c r="S154" i="10"/>
  <c r="S152" i="10"/>
  <c r="S150" i="10"/>
  <c r="V150" i="10" s="1"/>
  <c r="S149" i="10"/>
  <c r="S148" i="10"/>
  <c r="S147" i="10"/>
  <c r="S144" i="10"/>
  <c r="S143" i="10"/>
  <c r="S142" i="10"/>
  <c r="V142" i="10" s="1"/>
  <c r="S141" i="10"/>
  <c r="S139" i="10"/>
  <c r="S138" i="10"/>
  <c r="S136" i="10"/>
  <c r="S135" i="10"/>
  <c r="S134" i="10"/>
  <c r="S133" i="10"/>
  <c r="S132" i="10"/>
  <c r="S130" i="10"/>
  <c r="S129" i="10"/>
  <c r="V129" i="10" s="1"/>
  <c r="W129" i="10" s="1"/>
  <c r="S128" i="10"/>
  <c r="S125" i="10"/>
  <c r="S123" i="10"/>
  <c r="S122" i="10"/>
  <c r="S120" i="10"/>
  <c r="S119" i="10"/>
  <c r="S118" i="10"/>
  <c r="S117" i="10"/>
  <c r="S116" i="10"/>
  <c r="S115" i="10"/>
  <c r="S114" i="10"/>
  <c r="S113" i="10"/>
  <c r="S112" i="10"/>
  <c r="S111" i="10"/>
  <c r="V111" i="10" s="1"/>
  <c r="S110" i="10"/>
  <c r="S109" i="10"/>
  <c r="S108" i="10"/>
  <c r="S107" i="10"/>
  <c r="S106" i="10"/>
  <c r="S104" i="10"/>
  <c r="S103" i="10"/>
  <c r="S102" i="10"/>
  <c r="V102" i="10" s="1"/>
  <c r="S101" i="10"/>
  <c r="S100" i="10"/>
  <c r="S99" i="10"/>
  <c r="S97" i="10"/>
  <c r="S96" i="10"/>
  <c r="S94" i="10"/>
  <c r="S93" i="10"/>
  <c r="S92" i="10"/>
  <c r="S90" i="10"/>
  <c r="S89" i="10"/>
  <c r="S88" i="10"/>
  <c r="S87" i="10"/>
  <c r="S86" i="10"/>
  <c r="V86" i="10" s="1"/>
  <c r="S85" i="10"/>
  <c r="S84" i="10"/>
  <c r="S83" i="10"/>
  <c r="S82" i="10"/>
  <c r="S81" i="10"/>
  <c r="S80" i="10"/>
  <c r="S78" i="10"/>
  <c r="S77" i="10"/>
  <c r="V77" i="10" s="1"/>
  <c r="S76" i="10"/>
  <c r="S75" i="10"/>
  <c r="S74" i="10"/>
  <c r="S73" i="10"/>
  <c r="S72" i="10"/>
  <c r="S71" i="10"/>
  <c r="S70" i="10"/>
  <c r="S67" i="10"/>
  <c r="S66" i="10"/>
  <c r="S65" i="10"/>
  <c r="S63" i="10"/>
  <c r="S62" i="10"/>
  <c r="S61" i="10"/>
  <c r="S60" i="10"/>
  <c r="S58" i="10"/>
  <c r="S57" i="10"/>
  <c r="S56" i="10"/>
  <c r="S52" i="10"/>
  <c r="S51" i="10"/>
  <c r="V51" i="10" s="1"/>
  <c r="S50" i="10"/>
  <c r="S49" i="10"/>
  <c r="S48" i="10"/>
  <c r="S47" i="10"/>
  <c r="S46" i="10"/>
  <c r="S45" i="10"/>
  <c r="S44" i="10"/>
  <c r="S43" i="10"/>
  <c r="S42" i="10"/>
  <c r="S41" i="10"/>
  <c r="S39" i="10"/>
  <c r="S38" i="10"/>
  <c r="S36" i="10"/>
  <c r="S35" i="10"/>
  <c r="S34" i="10"/>
  <c r="S31" i="10"/>
  <c r="S30" i="10"/>
  <c r="S29" i="10"/>
  <c r="S28" i="10"/>
  <c r="S27" i="10"/>
  <c r="S26" i="10"/>
  <c r="V26" i="10" s="1"/>
  <c r="S25" i="10"/>
  <c r="S24" i="10"/>
  <c r="S23" i="10"/>
  <c r="V23" i="10" s="1"/>
  <c r="S22" i="10"/>
  <c r="V22" i="10" s="1"/>
  <c r="S21" i="10"/>
  <c r="S20" i="10"/>
  <c r="S18" i="10"/>
  <c r="S17" i="10"/>
  <c r="S16" i="10"/>
  <c r="S15" i="10"/>
  <c r="S14" i="10"/>
  <c r="S13" i="10"/>
  <c r="S12" i="10"/>
  <c r="S11" i="10"/>
  <c r="R338" i="10"/>
  <c r="R337" i="10"/>
  <c r="V337" i="10" s="1"/>
  <c r="R336" i="10"/>
  <c r="V336" i="10"/>
  <c r="R334" i="10"/>
  <c r="R333" i="10"/>
  <c r="R332" i="10"/>
  <c r="R331" i="10"/>
  <c r="V331" i="10" s="1"/>
  <c r="W331" i="10" s="1"/>
  <c r="R330" i="10"/>
  <c r="R329" i="10"/>
  <c r="R327" i="10"/>
  <c r="R325" i="10"/>
  <c r="V325" i="10"/>
  <c r="R324" i="10"/>
  <c r="R323" i="10"/>
  <c r="V323" i="10"/>
  <c r="R322" i="10"/>
  <c r="R320" i="10"/>
  <c r="R319" i="10"/>
  <c r="V319" i="10" s="1"/>
  <c r="R318" i="10"/>
  <c r="R317" i="10"/>
  <c r="V317" i="10" s="1"/>
  <c r="W317" i="10" s="1"/>
  <c r="R316" i="10"/>
  <c r="V316" i="10"/>
  <c r="R315" i="10"/>
  <c r="V315" i="10" s="1"/>
  <c r="W315" i="10" s="1"/>
  <c r="R314" i="10"/>
  <c r="R312" i="10"/>
  <c r="R311" i="10"/>
  <c r="V311" i="10" s="1"/>
  <c r="R310" i="10"/>
  <c r="V310" i="10" s="1"/>
  <c r="R309" i="10"/>
  <c r="R308" i="10"/>
  <c r="V308" i="10" s="1"/>
  <c r="R307" i="10"/>
  <c r="R306" i="10"/>
  <c r="V306" i="10" s="1"/>
  <c r="W306" i="10" s="1"/>
  <c r="R305" i="10"/>
  <c r="R304" i="10"/>
  <c r="V304" i="10" s="1"/>
  <c r="R303" i="10"/>
  <c r="V303" i="10" s="1"/>
  <c r="R301" i="10"/>
  <c r="R300" i="10"/>
  <c r="R299" i="10"/>
  <c r="R298" i="10"/>
  <c r="R297" i="10"/>
  <c r="V297" i="10" s="1"/>
  <c r="W297" i="10" s="1"/>
  <c r="R295" i="10"/>
  <c r="R294" i="10"/>
  <c r="R293" i="10"/>
  <c r="R292" i="10"/>
  <c r="R289" i="10"/>
  <c r="R287" i="10"/>
  <c r="V287" i="10" s="1"/>
  <c r="R286" i="10"/>
  <c r="R285" i="10"/>
  <c r="V285" i="10" s="1"/>
  <c r="R284" i="10"/>
  <c r="R283" i="10"/>
  <c r="V283" i="10" s="1"/>
  <c r="R281" i="10"/>
  <c r="V281" i="10" s="1"/>
  <c r="R280" i="10"/>
  <c r="R279" i="10"/>
  <c r="R278" i="10"/>
  <c r="R277" i="10"/>
  <c r="R276" i="10"/>
  <c r="V276" i="10" s="1"/>
  <c r="R275" i="10"/>
  <c r="R274" i="10"/>
  <c r="V274" i="10" s="1"/>
  <c r="R273" i="10"/>
  <c r="R272" i="10"/>
  <c r="R271" i="10"/>
  <c r="R270" i="10"/>
  <c r="R269" i="10"/>
  <c r="R268" i="10"/>
  <c r="V268" i="10" s="1"/>
  <c r="R267" i="10"/>
  <c r="R266" i="10"/>
  <c r="R265" i="10"/>
  <c r="R264" i="10"/>
  <c r="R263" i="10"/>
  <c r="V263" i="10"/>
  <c r="R262" i="10"/>
  <c r="V262" i="10"/>
  <c r="W262" i="10" s="1"/>
  <c r="R260" i="10"/>
  <c r="V260" i="10"/>
  <c r="R259" i="10"/>
  <c r="V259" i="10" s="1"/>
  <c r="R258" i="10"/>
  <c r="R257" i="10"/>
  <c r="R256" i="10"/>
  <c r="R255" i="10"/>
  <c r="R253" i="10"/>
  <c r="V253" i="10" s="1"/>
  <c r="W253" i="10" s="1"/>
  <c r="R252" i="10"/>
  <c r="V252" i="10" s="1"/>
  <c r="W252" i="10" s="1"/>
  <c r="R251" i="10"/>
  <c r="V251" i="10" s="1"/>
  <c r="R250" i="10"/>
  <c r="R249" i="10"/>
  <c r="V249" i="10"/>
  <c r="W249" i="10"/>
  <c r="R248" i="10"/>
  <c r="R247" i="10"/>
  <c r="V247" i="10" s="1"/>
  <c r="W247" i="10" s="1"/>
  <c r="R246" i="10"/>
  <c r="R245" i="10"/>
  <c r="V245" i="10"/>
  <c r="R244" i="10"/>
  <c r="R243" i="10"/>
  <c r="R242" i="10"/>
  <c r="V242" i="10" s="1"/>
  <c r="R241" i="10"/>
  <c r="V241" i="10" s="1"/>
  <c r="W241" i="10" s="1"/>
  <c r="R240" i="10"/>
  <c r="V240" i="10" s="1"/>
  <c r="R239" i="10"/>
  <c r="V239" i="10" s="1"/>
  <c r="W239" i="10" s="1"/>
  <c r="R238" i="10"/>
  <c r="R237" i="10"/>
  <c r="V237" i="10" s="1"/>
  <c r="R236" i="10"/>
  <c r="R235" i="10"/>
  <c r="V235" i="10"/>
  <c r="R234" i="10"/>
  <c r="V234" i="10" s="1"/>
  <c r="W234" i="10" s="1"/>
  <c r="R233" i="10"/>
  <c r="V233" i="10" s="1"/>
  <c r="R232" i="10"/>
  <c r="R231" i="10"/>
  <c r="V231" i="10" s="1"/>
  <c r="R230" i="10"/>
  <c r="R229" i="10"/>
  <c r="V229" i="10"/>
  <c r="R228" i="10"/>
  <c r="V228" i="10" s="1"/>
  <c r="W228" i="10" s="1"/>
  <c r="R227" i="10"/>
  <c r="R225" i="10"/>
  <c r="R224" i="10"/>
  <c r="W224" i="10"/>
  <c r="R223" i="10"/>
  <c r="R221" i="10"/>
  <c r="V221" i="10" s="1"/>
  <c r="R220" i="10"/>
  <c r="R219" i="10"/>
  <c r="V219" i="10" s="1"/>
  <c r="R218" i="10"/>
  <c r="R217" i="10"/>
  <c r="V217" i="10"/>
  <c r="R216" i="10"/>
  <c r="R214" i="10"/>
  <c r="V214" i="10"/>
  <c r="R213" i="10"/>
  <c r="R212" i="10"/>
  <c r="V212" i="10" s="1"/>
  <c r="W212" i="10" s="1"/>
  <c r="R211" i="10"/>
  <c r="R210" i="10"/>
  <c r="V210" i="10"/>
  <c r="R209" i="10"/>
  <c r="R208" i="10"/>
  <c r="V208" i="10" s="1"/>
  <c r="R207" i="10"/>
  <c r="R206" i="10"/>
  <c r="R204" i="10"/>
  <c r="R202" i="10"/>
  <c r="R200" i="10"/>
  <c r="V200" i="10" s="1"/>
  <c r="W200" i="10" s="1"/>
  <c r="R199" i="10"/>
  <c r="R197" i="10"/>
  <c r="R196" i="10"/>
  <c r="V196" i="10" s="1"/>
  <c r="R194" i="10"/>
  <c r="R193" i="10"/>
  <c r="V193" i="10" s="1"/>
  <c r="W193" i="10" s="1"/>
  <c r="R192" i="10"/>
  <c r="R191" i="10"/>
  <c r="R190" i="10"/>
  <c r="V190" i="10" s="1"/>
  <c r="W190" i="10" s="1"/>
  <c r="R189" i="10"/>
  <c r="R188" i="10"/>
  <c r="R187" i="10"/>
  <c r="R186" i="10"/>
  <c r="R184" i="10"/>
  <c r="V184" i="10" s="1"/>
  <c r="R183" i="10"/>
  <c r="V183" i="10" s="1"/>
  <c r="W183" i="10" s="1"/>
  <c r="R181" i="10"/>
  <c r="R180" i="10"/>
  <c r="V180" i="10" s="1"/>
  <c r="W180" i="10" s="1"/>
  <c r="R179" i="10"/>
  <c r="R178" i="10"/>
  <c r="R177" i="10"/>
  <c r="R175" i="10"/>
  <c r="R173" i="10"/>
  <c r="V173" i="10" s="1"/>
  <c r="R172" i="10"/>
  <c r="V172" i="10" s="1"/>
  <c r="R171" i="10"/>
  <c r="R170" i="10"/>
  <c r="V170" i="10" s="1"/>
  <c r="R169" i="10"/>
  <c r="R168" i="10"/>
  <c r="R167" i="10"/>
  <c r="V167" i="10"/>
  <c r="R166" i="10"/>
  <c r="V166" i="10" s="1"/>
  <c r="R165" i="10"/>
  <c r="V165" i="10"/>
  <c r="W165" i="10" s="1"/>
  <c r="R164" i="10"/>
  <c r="V164" i="10" s="1"/>
  <c r="R162" i="10"/>
  <c r="R161" i="10"/>
  <c r="V161" i="10" s="1"/>
  <c r="R160" i="10"/>
  <c r="R158" i="10"/>
  <c r="R156" i="10"/>
  <c r="V156" i="10" s="1"/>
  <c r="R155" i="10"/>
  <c r="V155" i="10" s="1"/>
  <c r="R154" i="10"/>
  <c r="V154" i="10" s="1"/>
  <c r="W154" i="10" s="1"/>
  <c r="R152" i="10"/>
  <c r="V152" i="10"/>
  <c r="R150" i="10"/>
  <c r="R149" i="10"/>
  <c r="V149" i="10" s="1"/>
  <c r="R148" i="10"/>
  <c r="R147" i="10"/>
  <c r="V147" i="10" s="1"/>
  <c r="R144" i="10"/>
  <c r="R143" i="10"/>
  <c r="V143" i="10" s="1"/>
  <c r="R142" i="10"/>
  <c r="R141" i="10"/>
  <c r="V141" i="10" s="1"/>
  <c r="R139" i="10"/>
  <c r="V139" i="10"/>
  <c r="R138" i="10"/>
  <c r="V138" i="10"/>
  <c r="R136" i="10"/>
  <c r="R135" i="10"/>
  <c r="V135" i="10" s="1"/>
  <c r="R134" i="10"/>
  <c r="R133" i="10"/>
  <c r="V133" i="10"/>
  <c r="R132" i="10"/>
  <c r="R130" i="10"/>
  <c r="V130" i="10" s="1"/>
  <c r="R129" i="10"/>
  <c r="R128" i="10"/>
  <c r="V128" i="10"/>
  <c r="R125" i="10"/>
  <c r="R123" i="10"/>
  <c r="V123" i="10" s="1"/>
  <c r="R122" i="10"/>
  <c r="R120" i="10"/>
  <c r="V120" i="10" s="1"/>
  <c r="R119" i="10"/>
  <c r="R118" i="10"/>
  <c r="V118" i="10" s="1"/>
  <c r="R117" i="10"/>
  <c r="R116" i="10"/>
  <c r="V116" i="10"/>
  <c r="R115" i="10"/>
  <c r="R114" i="10"/>
  <c r="R113" i="10"/>
  <c r="R112" i="10"/>
  <c r="V112" i="10" s="1"/>
  <c r="R111" i="10"/>
  <c r="R110" i="10"/>
  <c r="V110" i="10"/>
  <c r="R109" i="10"/>
  <c r="R108" i="10"/>
  <c r="V108" i="10"/>
  <c r="R107" i="10"/>
  <c r="R106" i="10"/>
  <c r="R104" i="10"/>
  <c r="V104" i="10" s="1"/>
  <c r="R103" i="10"/>
  <c r="R102" i="10"/>
  <c r="R101" i="10"/>
  <c r="V101" i="10"/>
  <c r="W101" i="10" s="1"/>
  <c r="R100" i="10"/>
  <c r="R99" i="10"/>
  <c r="V99" i="10" s="1"/>
  <c r="R97" i="10"/>
  <c r="R96" i="10"/>
  <c r="R94" i="10"/>
  <c r="R93" i="10"/>
  <c r="R92" i="10"/>
  <c r="V92" i="10"/>
  <c r="R90" i="10"/>
  <c r="V90" i="10" s="1"/>
  <c r="R89" i="10"/>
  <c r="R88" i="10"/>
  <c r="R87" i="10"/>
  <c r="R86" i="10"/>
  <c r="R85" i="10"/>
  <c r="R84" i="10"/>
  <c r="R83" i="10"/>
  <c r="R82" i="10"/>
  <c r="V82" i="10" s="1"/>
  <c r="R81" i="10"/>
  <c r="V81" i="10" s="1"/>
  <c r="R80" i="10"/>
  <c r="V80" i="10" s="1"/>
  <c r="R78" i="10"/>
  <c r="R77" i="10"/>
  <c r="R76" i="10"/>
  <c r="V76" i="10" s="1"/>
  <c r="W76" i="10" s="1"/>
  <c r="R75" i="10"/>
  <c r="V75" i="10" s="1"/>
  <c r="R74" i="10"/>
  <c r="R73" i="10"/>
  <c r="V73" i="10" s="1"/>
  <c r="R72" i="10"/>
  <c r="R71" i="10"/>
  <c r="V71" i="10"/>
  <c r="R70" i="10"/>
  <c r="V70" i="10" s="1"/>
  <c r="W70" i="10" s="1"/>
  <c r="R68" i="10"/>
  <c r="R67" i="10"/>
  <c r="V67" i="10" s="1"/>
  <c r="W67" i="10" s="1"/>
  <c r="R66" i="10"/>
  <c r="V66" i="10" s="1"/>
  <c r="R65" i="10"/>
  <c r="R63" i="10"/>
  <c r="R62" i="10"/>
  <c r="V62" i="10" s="1"/>
  <c r="R61" i="10"/>
  <c r="R60" i="10"/>
  <c r="R58" i="10"/>
  <c r="R57" i="10"/>
  <c r="V57" i="10" s="1"/>
  <c r="R56" i="10"/>
  <c r="V56" i="10" s="1"/>
  <c r="W56" i="10" s="1"/>
  <c r="R52" i="10"/>
  <c r="R51" i="10"/>
  <c r="R50" i="10"/>
  <c r="V50" i="10" s="1"/>
  <c r="R49" i="10"/>
  <c r="R48" i="10"/>
  <c r="R47" i="10"/>
  <c r="V47" i="10" s="1"/>
  <c r="R46" i="10"/>
  <c r="V46" i="10" s="1"/>
  <c r="W46" i="10" s="1"/>
  <c r="R45" i="10"/>
  <c r="R44" i="10"/>
  <c r="R43" i="10"/>
  <c r="R42" i="10"/>
  <c r="V42" i="10" s="1"/>
  <c r="R41" i="10"/>
  <c r="R39" i="10"/>
  <c r="R38" i="10"/>
  <c r="V38" i="10" s="1"/>
  <c r="W38" i="10" s="1"/>
  <c r="R36" i="10"/>
  <c r="V36" i="10" s="1"/>
  <c r="W36" i="10" s="1"/>
  <c r="R35" i="10"/>
  <c r="R34" i="10"/>
  <c r="V34" i="10" s="1"/>
  <c r="R31" i="10"/>
  <c r="R30" i="10"/>
  <c r="R29" i="10"/>
  <c r="R28" i="10"/>
  <c r="V28" i="10" s="1"/>
  <c r="R27" i="10"/>
  <c r="R26" i="10"/>
  <c r="R25" i="10"/>
  <c r="R24" i="10"/>
  <c r="R23" i="10"/>
  <c r="R22" i="10"/>
  <c r="R21" i="10"/>
  <c r="V21" i="10"/>
  <c r="R20" i="10"/>
  <c r="R19" i="10"/>
  <c r="V19" i="10"/>
  <c r="R18" i="10"/>
  <c r="R17" i="10"/>
  <c r="R16" i="10"/>
  <c r="V16" i="10"/>
  <c r="R15" i="10"/>
  <c r="V15" i="10" s="1"/>
  <c r="W15" i="10" s="1"/>
  <c r="R14" i="10"/>
  <c r="R13" i="10"/>
  <c r="R12" i="10"/>
  <c r="R11" i="10"/>
  <c r="V11" i="10" s="1"/>
  <c r="Q244" i="10"/>
  <c r="W244" i="10" s="1"/>
  <c r="G48" i="4"/>
  <c r="Q166" i="10"/>
  <c r="G27" i="4"/>
  <c r="Q19" i="10"/>
  <c r="W19" i="10"/>
  <c r="G44" i="4"/>
  <c r="G34" i="4"/>
  <c r="G29" i="4"/>
  <c r="G33" i="4"/>
  <c r="G35" i="4"/>
  <c r="G55" i="4"/>
  <c r="G51" i="4"/>
  <c r="G50" i="4"/>
  <c r="G49" i="4"/>
  <c r="G46" i="4"/>
  <c r="G43" i="4"/>
  <c r="G42" i="4"/>
  <c r="G39" i="4"/>
  <c r="G38" i="4"/>
  <c r="G26" i="4"/>
  <c r="G23" i="4"/>
  <c r="G20" i="4"/>
  <c r="G16" i="4"/>
  <c r="G13" i="4"/>
  <c r="G17" i="4"/>
  <c r="K12" i="3"/>
  <c r="Q68" i="10"/>
  <c r="Q331" i="10"/>
  <c r="Q330" i="10"/>
  <c r="W330" i="10" s="1"/>
  <c r="Q325" i="10"/>
  <c r="Q324" i="10"/>
  <c r="Q320" i="10"/>
  <c r="Q319" i="10"/>
  <c r="Q316" i="10"/>
  <c r="Q315" i="10"/>
  <c r="Q311" i="10"/>
  <c r="W311" i="10" s="1"/>
  <c r="Q309" i="10"/>
  <c r="Q304" i="10"/>
  <c r="Q300" i="10"/>
  <c r="Q299" i="10"/>
  <c r="Q295" i="10"/>
  <c r="Q294" i="10"/>
  <c r="Q289" i="10"/>
  <c r="Q286" i="10"/>
  <c r="Q281" i="10"/>
  <c r="W281" i="10" s="1"/>
  <c r="Q276" i="10"/>
  <c r="W276" i="10" s="1"/>
  <c r="Q273" i="10"/>
  <c r="Q269" i="10"/>
  <c r="Q268" i="10"/>
  <c r="Q265" i="10"/>
  <c r="Q264" i="10"/>
  <c r="Q260" i="10"/>
  <c r="Q259" i="10"/>
  <c r="Q256" i="10"/>
  <c r="W256" i="10" s="1"/>
  <c r="Q255" i="10"/>
  <c r="Q251" i="10"/>
  <c r="Q250" i="10"/>
  <c r="Q247" i="10"/>
  <c r="Q246" i="10"/>
  <c r="Q239" i="10"/>
  <c r="Q238" i="10"/>
  <c r="W238" i="10" s="1"/>
  <c r="Q236" i="10"/>
  <c r="Q235" i="10"/>
  <c r="Q234" i="10"/>
  <c r="Q232" i="10"/>
  <c r="Q231" i="10"/>
  <c r="Q229" i="10"/>
  <c r="Q219" i="10"/>
  <c r="Q217" i="10"/>
  <c r="Q216" i="10"/>
  <c r="Q213" i="10"/>
  <c r="Q212" i="10"/>
  <c r="Q210" i="10"/>
  <c r="Q209" i="10"/>
  <c r="Q208" i="10"/>
  <c r="Q206" i="10"/>
  <c r="W206" i="10" s="1"/>
  <c r="Q204" i="10"/>
  <c r="W204" i="10" s="1"/>
  <c r="Q202" i="10"/>
  <c r="Q200" i="10"/>
  <c r="Q197" i="10"/>
  <c r="Q190" i="10"/>
  <c r="Q189" i="10"/>
  <c r="Q187" i="10"/>
  <c r="W187" i="10" s="1"/>
  <c r="Q184" i="10"/>
  <c r="W184" i="10" s="1"/>
  <c r="Q181" i="10"/>
  <c r="Q179" i="10"/>
  <c r="Q178" i="10"/>
  <c r="Q158" i="10"/>
  <c r="Q133" i="10"/>
  <c r="Q129" i="10"/>
  <c r="Q123" i="10"/>
  <c r="Q122" i="10"/>
  <c r="W122" i="10" s="1"/>
  <c r="Q120" i="10"/>
  <c r="W120" i="10" s="1"/>
  <c r="Q118" i="10"/>
  <c r="Q117" i="10"/>
  <c r="Q116" i="10"/>
  <c r="Q114" i="10"/>
  <c r="Q113" i="10"/>
  <c r="Q106" i="10"/>
  <c r="Q104" i="10"/>
  <c r="Q103" i="10"/>
  <c r="Q102" i="10"/>
  <c r="Q99" i="10"/>
  <c r="Q97" i="10"/>
  <c r="Q92" i="10"/>
  <c r="W92" i="10" s="1"/>
  <c r="Q90" i="10"/>
  <c r="W90" i="10" s="1"/>
  <c r="Q75" i="10"/>
  <c r="W75" i="10" s="1"/>
  <c r="Q74" i="10"/>
  <c r="W74" i="10" s="1"/>
  <c r="Q73" i="10"/>
  <c r="Q71" i="10"/>
  <c r="Q70" i="10"/>
  <c r="Q67" i="10"/>
  <c r="Q65" i="10"/>
  <c r="Q62" i="10"/>
  <c r="Q61" i="10"/>
  <c r="Q60" i="10"/>
  <c r="Q57" i="10"/>
  <c r="Q56" i="10"/>
  <c r="Q52" i="10"/>
  <c r="Q50" i="10"/>
  <c r="Q49" i="10"/>
  <c r="W49" i="10" s="1"/>
  <c r="Q48" i="10"/>
  <c r="W48" i="10" s="1"/>
  <c r="Q44" i="10"/>
  <c r="Q42" i="10"/>
  <c r="W42" i="10" s="1"/>
  <c r="Q38" i="10"/>
  <c r="Q34" i="10"/>
  <c r="Q31" i="10"/>
  <c r="Q30" i="10"/>
  <c r="Q27" i="10"/>
  <c r="W27" i="10" s="1"/>
  <c r="Q26" i="10"/>
  <c r="W26" i="10" s="1"/>
  <c r="Q25" i="10"/>
  <c r="Q24" i="10"/>
  <c r="W24" i="10" s="1"/>
  <c r="Q23" i="10"/>
  <c r="Q22" i="10"/>
  <c r="Q20" i="10"/>
  <c r="Q14" i="10"/>
  <c r="U159" i="10"/>
  <c r="U145" i="10"/>
  <c r="Q188" i="10"/>
  <c r="Q11" i="10"/>
  <c r="W11" i="10" s="1"/>
  <c r="F53" i="10"/>
  <c r="V39" i="10"/>
  <c r="Q336" i="10"/>
  <c r="Q332" i="10"/>
  <c r="Q329" i="10"/>
  <c r="W329" i="10"/>
  <c r="Q323" i="10"/>
  <c r="W323" i="10" s="1"/>
  <c r="Q318" i="10"/>
  <c r="Q314" i="10"/>
  <c r="W314" i="10"/>
  <c r="Q308" i="10"/>
  <c r="W308" i="10" s="1"/>
  <c r="Q306" i="10"/>
  <c r="Q301" i="10"/>
  <c r="W301" i="10"/>
  <c r="Q297" i="10"/>
  <c r="Q292" i="10"/>
  <c r="Q284" i="10"/>
  <c r="Q279" i="10"/>
  <c r="Q277" i="10"/>
  <c r="W277" i="10" s="1"/>
  <c r="Q275" i="10"/>
  <c r="Q271" i="10"/>
  <c r="W271" i="10" s="1"/>
  <c r="Q267" i="10"/>
  <c r="Q263" i="10"/>
  <c r="Q258" i="10"/>
  <c r="Q253" i="10"/>
  <c r="Q249" i="10"/>
  <c r="Q245" i="10"/>
  <c r="W245" i="10" s="1"/>
  <c r="Q243" i="10"/>
  <c r="Q242" i="10"/>
  <c r="W242" i="10" s="1"/>
  <c r="Q237" i="10"/>
  <c r="W237" i="10" s="1"/>
  <c r="Q233" i="10"/>
  <c r="Q228" i="10"/>
  <c r="Q227" i="10"/>
  <c r="Q225" i="10"/>
  <c r="Q224" i="10"/>
  <c r="Q223" i="10"/>
  <c r="Q221" i="10"/>
  <c r="W221" i="10" s="1"/>
  <c r="Q220" i="10"/>
  <c r="Q218" i="10"/>
  <c r="Q214" i="10"/>
  <c r="Q211" i="10"/>
  <c r="Q207" i="10"/>
  <c r="W207" i="10" s="1"/>
  <c r="Q199" i="10"/>
  <c r="Q196" i="10"/>
  <c r="W196" i="10" s="1"/>
  <c r="Q194" i="10"/>
  <c r="Q193" i="10"/>
  <c r="Q192" i="10"/>
  <c r="Q191" i="10"/>
  <c r="Q186" i="10"/>
  <c r="Q180" i="10"/>
  <c r="Q177" i="10"/>
  <c r="Q175" i="10"/>
  <c r="Q173" i="10"/>
  <c r="Q172" i="10"/>
  <c r="Q171" i="10"/>
  <c r="Q170" i="10"/>
  <c r="Q169" i="10"/>
  <c r="Q167" i="10"/>
  <c r="Q165" i="10"/>
  <c r="Q164" i="10"/>
  <c r="Q162" i="10"/>
  <c r="Q161" i="10"/>
  <c r="W161" i="10" s="1"/>
  <c r="Q160" i="10"/>
  <c r="W160" i="10" s="1"/>
  <c r="Q156" i="10"/>
  <c r="Q155" i="10"/>
  <c r="Q154" i="10"/>
  <c r="Q152" i="10"/>
  <c r="Q150" i="10"/>
  <c r="W150" i="10" s="1"/>
  <c r="Q149" i="10"/>
  <c r="Q147" i="10"/>
  <c r="W147" i="10"/>
  <c r="Q144" i="10"/>
  <c r="Q143" i="10"/>
  <c r="Q142" i="10"/>
  <c r="Q141" i="10"/>
  <c r="Q139" i="10"/>
  <c r="Q138" i="10"/>
  <c r="Q136" i="10"/>
  <c r="W136" i="10" s="1"/>
  <c r="Q135" i="10"/>
  <c r="Q134" i="10"/>
  <c r="Q132" i="10"/>
  <c r="Q125" i="10"/>
  <c r="Q119" i="10"/>
  <c r="Q115" i="10"/>
  <c r="Q112" i="10"/>
  <c r="Q111" i="10"/>
  <c r="W111" i="10" s="1"/>
  <c r="Q110" i="10"/>
  <c r="Q109" i="10"/>
  <c r="Q108" i="10"/>
  <c r="Q101" i="10"/>
  <c r="Q100" i="10"/>
  <c r="Q96" i="10"/>
  <c r="Q94" i="10"/>
  <c r="Q93" i="10"/>
  <c r="W93" i="10" s="1"/>
  <c r="Q88" i="10"/>
  <c r="Q87" i="10"/>
  <c r="Q86" i="10"/>
  <c r="Q85" i="10"/>
  <c r="Q84" i="10"/>
  <c r="Q83" i="10"/>
  <c r="Q82" i="10"/>
  <c r="W82" i="10" s="1"/>
  <c r="Q81" i="10"/>
  <c r="W81" i="10" s="1"/>
  <c r="Q78" i="10"/>
  <c r="Q76" i="10"/>
  <c r="Q72" i="10"/>
  <c r="Q66" i="10"/>
  <c r="Q64" i="10"/>
  <c r="Q63" i="10"/>
  <c r="Q58" i="10"/>
  <c r="W58" i="10" s="1"/>
  <c r="Q46" i="10"/>
  <c r="Q29" i="10"/>
  <c r="Q17" i="10"/>
  <c r="Q12" i="10"/>
  <c r="Q337" i="10"/>
  <c r="Q334" i="10"/>
  <c r="Q333" i="10"/>
  <c r="Q327" i="10"/>
  <c r="Q322" i="10"/>
  <c r="Q317" i="10"/>
  <c r="Q312" i="10"/>
  <c r="Q307" i="10"/>
  <c r="Q305" i="10"/>
  <c r="Q303" i="10"/>
  <c r="Q298" i="10"/>
  <c r="Q293" i="10"/>
  <c r="Q287" i="10"/>
  <c r="Q285" i="10"/>
  <c r="Q283" i="10"/>
  <c r="Q280" i="10"/>
  <c r="Q278" i="10"/>
  <c r="Q274" i="10"/>
  <c r="Q272" i="10"/>
  <c r="Q270" i="10"/>
  <c r="W270" i="10" s="1"/>
  <c r="Q266" i="10"/>
  <c r="Q262" i="10"/>
  <c r="Q257" i="10"/>
  <c r="Q252" i="10"/>
  <c r="Q248" i="10"/>
  <c r="W248" i="10" s="1"/>
  <c r="Q240" i="10"/>
  <c r="Q230" i="10"/>
  <c r="Q183" i="10"/>
  <c r="Q168" i="10"/>
  <c r="Q148" i="10"/>
  <c r="Q128" i="10"/>
  <c r="Q107" i="10"/>
  <c r="Q89" i="10"/>
  <c r="Q80" i="10"/>
  <c r="Q77" i="10"/>
  <c r="Q51" i="10"/>
  <c r="Q47" i="10"/>
  <c r="Q45" i="10"/>
  <c r="Q43" i="10"/>
  <c r="Q41" i="10"/>
  <c r="Q39" i="10"/>
  <c r="W39" i="10" s="1"/>
  <c r="Q35" i="10"/>
  <c r="Q28" i="10"/>
  <c r="Q21" i="10"/>
  <c r="Q18" i="10"/>
  <c r="Q16" i="10"/>
  <c r="Q15" i="10"/>
  <c r="Q13" i="10"/>
  <c r="P82" i="9"/>
  <c r="L80" i="9"/>
  <c r="N80" i="9" s="1"/>
  <c r="L76" i="9"/>
  <c r="N76" i="9" s="1"/>
  <c r="L68" i="9"/>
  <c r="N68" i="9" s="1"/>
  <c r="O68" i="9" s="1"/>
  <c r="L58" i="9"/>
  <c r="L54" i="9"/>
  <c r="N54" i="9" s="1"/>
  <c r="L50" i="9"/>
  <c r="N50" i="9" s="1"/>
  <c r="L40" i="9"/>
  <c r="N40" i="9"/>
  <c r="L32" i="9"/>
  <c r="N32" i="9" s="1"/>
  <c r="L25" i="9"/>
  <c r="N25" i="9"/>
  <c r="O25" i="9" s="1"/>
  <c r="L18" i="9"/>
  <c r="L13" i="9"/>
  <c r="N13" i="9" s="1"/>
  <c r="E82" i="9"/>
  <c r="K11" i="3"/>
  <c r="O11" i="3" s="1"/>
  <c r="L11" i="3"/>
  <c r="P11" i="3"/>
  <c r="J12" i="3"/>
  <c r="L12" i="3"/>
  <c r="L14" i="3" s="1"/>
  <c r="N14" i="3"/>
  <c r="K13" i="3"/>
  <c r="O13" i="3"/>
  <c r="L13" i="3"/>
  <c r="D14" i="3"/>
  <c r="E14" i="3"/>
  <c r="F14" i="3"/>
  <c r="G14" i="3"/>
  <c r="H14" i="3"/>
  <c r="M14" i="3"/>
  <c r="D32" i="10"/>
  <c r="R32" i="10" s="1"/>
  <c r="F32" i="10"/>
  <c r="D33" i="10"/>
  <c r="F33" i="10"/>
  <c r="S33" i="10" s="1"/>
  <c r="E37" i="10"/>
  <c r="S37" i="10" s="1"/>
  <c r="E40" i="10"/>
  <c r="I40" i="10"/>
  <c r="D53" i="10"/>
  <c r="D54" i="10"/>
  <c r="S54" i="10" s="1"/>
  <c r="D55" i="10"/>
  <c r="F55" i="10"/>
  <c r="E59" i="10"/>
  <c r="R59" i="10" s="1"/>
  <c r="I59" i="10"/>
  <c r="I339" i="10" s="1"/>
  <c r="D69" i="10"/>
  <c r="I91" i="10"/>
  <c r="S91" i="10" s="1"/>
  <c r="D95" i="10"/>
  <c r="E121" i="10"/>
  <c r="I121" i="10"/>
  <c r="I124" i="10"/>
  <c r="R124" i="10"/>
  <c r="V124" i="10" s="1"/>
  <c r="D126" i="10"/>
  <c r="F126" i="10"/>
  <c r="S126" i="10" s="1"/>
  <c r="D127" i="10"/>
  <c r="F127" i="10"/>
  <c r="D131" i="10"/>
  <c r="F131" i="10"/>
  <c r="D137" i="10"/>
  <c r="R137" i="10"/>
  <c r="D140" i="10"/>
  <c r="D145" i="10"/>
  <c r="F145" i="10"/>
  <c r="D146" i="10"/>
  <c r="Q146" i="10" s="1"/>
  <c r="D151" i="10"/>
  <c r="F151" i="10"/>
  <c r="D153" i="10"/>
  <c r="F153" i="10"/>
  <c r="D157" i="10"/>
  <c r="R157" i="10" s="1"/>
  <c r="F157" i="10"/>
  <c r="D159" i="10"/>
  <c r="F159" i="10"/>
  <c r="I163" i="10"/>
  <c r="S163" i="10" s="1"/>
  <c r="D174" i="10"/>
  <c r="D176" i="10"/>
  <c r="F176" i="10"/>
  <c r="R176" i="10" s="1"/>
  <c r="V176" i="10" s="1"/>
  <c r="D182" i="10"/>
  <c r="R182" i="10" s="1"/>
  <c r="D185" i="10"/>
  <c r="F185" i="10"/>
  <c r="E195" i="10"/>
  <c r="I195" i="10"/>
  <c r="D198" i="10"/>
  <c r="E201" i="10"/>
  <c r="E205" i="10"/>
  <c r="I205" i="10"/>
  <c r="S205" i="10" s="1"/>
  <c r="E215" i="10"/>
  <c r="I215" i="10"/>
  <c r="E226" i="10"/>
  <c r="I226" i="10"/>
  <c r="D254" i="10"/>
  <c r="D261" i="10"/>
  <c r="S261" i="10"/>
  <c r="D282" i="10"/>
  <c r="F282" i="10"/>
  <c r="E290" i="10"/>
  <c r="I290" i="10"/>
  <c r="D291" i="10"/>
  <c r="F291" i="10"/>
  <c r="S291" i="10" s="1"/>
  <c r="D296" i="10"/>
  <c r="F296" i="10"/>
  <c r="U296" i="10"/>
  <c r="D302" i="10"/>
  <c r="R302" i="10" s="1"/>
  <c r="D313" i="10"/>
  <c r="S313" i="10"/>
  <c r="F313" i="10"/>
  <c r="R313" i="10" s="1"/>
  <c r="V313" i="10" s="1"/>
  <c r="D321" i="10"/>
  <c r="Q321" i="10"/>
  <c r="D326" i="10"/>
  <c r="Q326" i="10" s="1"/>
  <c r="I328" i="10"/>
  <c r="S328" i="10" s="1"/>
  <c r="R328" i="10"/>
  <c r="V328" i="10"/>
  <c r="I335" i="10"/>
  <c r="R335" i="10"/>
  <c r="G339" i="10"/>
  <c r="H339" i="10"/>
  <c r="J339" i="10"/>
  <c r="K339" i="10"/>
  <c r="M339" i="10"/>
  <c r="O339" i="10"/>
  <c r="T339" i="10"/>
  <c r="Q130" i="10"/>
  <c r="V115" i="10"/>
  <c r="W115" i="10" s="1"/>
  <c r="V44" i="10"/>
  <c r="W44" i="10"/>
  <c r="V207" i="10"/>
  <c r="Q203" i="10"/>
  <c r="R203" i="10"/>
  <c r="Q95" i="10"/>
  <c r="W243" i="10"/>
  <c r="R64" i="10"/>
  <c r="V294" i="10"/>
  <c r="V20" i="10"/>
  <c r="W20" i="10"/>
  <c r="V30" i="10"/>
  <c r="W30" i="10" s="1"/>
  <c r="W34" i="10"/>
  <c r="Q140" i="10"/>
  <c r="Q338" i="10"/>
  <c r="W149" i="10"/>
  <c r="V160" i="10"/>
  <c r="O359" i="11"/>
  <c r="P359" i="11" s="1"/>
  <c r="G381" i="11"/>
  <c r="V312" i="10"/>
  <c r="W322" i="10"/>
  <c r="V330" i="10"/>
  <c r="S79" i="10"/>
  <c r="V257" i="10"/>
  <c r="W257" i="10"/>
  <c r="W259" i="10"/>
  <c r="V277" i="10"/>
  <c r="V48" i="10"/>
  <c r="V175" i="10"/>
  <c r="W175" i="10" s="1"/>
  <c r="V186" i="10"/>
  <c r="W186" i="10" s="1"/>
  <c r="V188" i="10"/>
  <c r="W188" i="10" s="1"/>
  <c r="V192" i="10"/>
  <c r="W192" i="10"/>
  <c r="Q79" i="10"/>
  <c r="Q254" i="10"/>
  <c r="W254" i="10" s="1"/>
  <c r="S254" i="10"/>
  <c r="R254" i="10"/>
  <c r="Q313" i="10"/>
  <c r="Q261" i="10"/>
  <c r="R140" i="10"/>
  <c r="S140" i="10"/>
  <c r="W283" i="10"/>
  <c r="Q105" i="10"/>
  <c r="R105" i="10"/>
  <c r="V324" i="10"/>
  <c r="W324" i="10"/>
  <c r="V327" i="10"/>
  <c r="V334" i="10"/>
  <c r="R53" i="10"/>
  <c r="W319" i="10"/>
  <c r="V13" i="10"/>
  <c r="V18" i="10"/>
  <c r="W22" i="10"/>
  <c r="V24" i="10"/>
  <c r="V52" i="10"/>
  <c r="W52" i="10"/>
  <c r="V60" i="10"/>
  <c r="V65" i="10"/>
  <c r="V84" i="10"/>
  <c r="W84" i="10" s="1"/>
  <c r="V88" i="10"/>
  <c r="W88" i="10" s="1"/>
  <c r="V93" i="10"/>
  <c r="V96" i="10"/>
  <c r="W96" i="10"/>
  <c r="W99" i="10"/>
  <c r="W104" i="10"/>
  <c r="V168" i="10"/>
  <c r="W172" i="10"/>
  <c r="V178" i="10"/>
  <c r="V197" i="10"/>
  <c r="V204" i="10"/>
  <c r="V266" i="10"/>
  <c r="W266" i="10" s="1"/>
  <c r="V270" i="10"/>
  <c r="V278" i="10"/>
  <c r="V280" i="10"/>
  <c r="W280" i="10"/>
  <c r="W287" i="10"/>
  <c r="V292" i="10"/>
  <c r="W292" i="10" s="1"/>
  <c r="V299" i="10"/>
  <c r="W299" i="10" s="1"/>
  <c r="V301" i="10"/>
  <c r="W304" i="10"/>
  <c r="V338" i="10"/>
  <c r="W338" i="10" s="1"/>
  <c r="V78" i="10"/>
  <c r="V103" i="10"/>
  <c r="W103" i="10" s="1"/>
  <c r="V113" i="10"/>
  <c r="W113" i="10"/>
  <c r="V122" i="10"/>
  <c r="V125" i="10"/>
  <c r="W125" i="10"/>
  <c r="V134" i="10"/>
  <c r="W134" i="10"/>
  <c r="V136" i="10"/>
  <c r="V148" i="10"/>
  <c r="W148" i="10"/>
  <c r="V162" i="10"/>
  <c r="V216" i="10"/>
  <c r="V218" i="10"/>
  <c r="W218" i="10" s="1"/>
  <c r="V232" i="10"/>
  <c r="V246" i="10"/>
  <c r="W246" i="10" s="1"/>
  <c r="V248" i="10"/>
  <c r="V250" i="10"/>
  <c r="W250" i="10"/>
  <c r="V256" i="10"/>
  <c r="W258" i="10"/>
  <c r="V284" i="10"/>
  <c r="W295" i="10"/>
  <c r="W303" i="10"/>
  <c r="W305" i="10"/>
  <c r="V307" i="10"/>
  <c r="W307" i="10" s="1"/>
  <c r="V275" i="10"/>
  <c r="W275" i="10"/>
  <c r="K177" i="11"/>
  <c r="O343" i="11"/>
  <c r="P343" i="11" s="1"/>
  <c r="O327" i="11"/>
  <c r="P327" i="11" s="1"/>
  <c r="O308" i="11"/>
  <c r="P308" i="11"/>
  <c r="O273" i="11"/>
  <c r="P273" i="11" s="1"/>
  <c r="O237" i="11"/>
  <c r="P237" i="11"/>
  <c r="P220" i="11"/>
  <c r="P26" i="11"/>
  <c r="O182" i="11"/>
  <c r="O110" i="11"/>
  <c r="O61" i="11"/>
  <c r="P61" i="11"/>
  <c r="O122" i="11"/>
  <c r="P122" i="11" s="1"/>
  <c r="O117" i="11"/>
  <c r="O70" i="11"/>
  <c r="P70" i="11"/>
  <c r="O58" i="11"/>
  <c r="P58" i="11" s="1"/>
  <c r="P49" i="11"/>
  <c r="O41" i="11"/>
  <c r="P41" i="11"/>
  <c r="O32" i="11"/>
  <c r="P32" i="11" s="1"/>
  <c r="P30" i="11"/>
  <c r="O20" i="11"/>
  <c r="P20" i="11" s="1"/>
  <c r="O18" i="11"/>
  <c r="P18" i="11" s="1"/>
  <c r="O15" i="11"/>
  <c r="K21" i="11"/>
  <c r="O319" i="11"/>
  <c r="P319" i="11"/>
  <c r="O300" i="11"/>
  <c r="P300" i="11" s="1"/>
  <c r="O282" i="11"/>
  <c r="P282" i="11"/>
  <c r="O245" i="11"/>
  <c r="P245" i="11"/>
  <c r="O212" i="11"/>
  <c r="P212" i="11"/>
  <c r="O193" i="11"/>
  <c r="P193" i="11" s="1"/>
  <c r="O188" i="11"/>
  <c r="P188" i="11"/>
  <c r="O151" i="11"/>
  <c r="P151" i="11"/>
  <c r="O135" i="11"/>
  <c r="P135" i="11" s="1"/>
  <c r="O125" i="11"/>
  <c r="P125" i="11"/>
  <c r="O116" i="11"/>
  <c r="P116" i="11"/>
  <c r="O91" i="11"/>
  <c r="P91" i="11" s="1"/>
  <c r="O83" i="11"/>
  <c r="P83" i="11" s="1"/>
  <c r="O74" i="11"/>
  <c r="P74" i="11"/>
  <c r="O66" i="11"/>
  <c r="P66" i="11"/>
  <c r="K34" i="11"/>
  <c r="P379" i="11"/>
  <c r="O378" i="11"/>
  <c r="P378" i="11"/>
  <c r="O376" i="11"/>
  <c r="P376" i="11"/>
  <c r="O375" i="11"/>
  <c r="O374" i="11"/>
  <c r="P374" i="11" s="1"/>
  <c r="O373" i="11"/>
  <c r="P373" i="11"/>
  <c r="O371" i="11"/>
  <c r="P371" i="11"/>
  <c r="O370" i="11"/>
  <c r="P370" i="11" s="1"/>
  <c r="O366" i="11"/>
  <c r="O365" i="11"/>
  <c r="P365" i="11"/>
  <c r="O362" i="11"/>
  <c r="P362" i="11"/>
  <c r="O361" i="11"/>
  <c r="P361" i="11"/>
  <c r="O358" i="11"/>
  <c r="O356" i="11"/>
  <c r="P356" i="11"/>
  <c r="O355" i="11"/>
  <c r="P355" i="11"/>
  <c r="O353" i="11"/>
  <c r="P353" i="11" s="1"/>
  <c r="O352" i="11"/>
  <c r="P352" i="11"/>
  <c r="O350" i="11"/>
  <c r="P350" i="11"/>
  <c r="O349" i="11"/>
  <c r="O348" i="11"/>
  <c r="P348" i="11" s="1"/>
  <c r="O347" i="11"/>
  <c r="P347" i="11"/>
  <c r="O346" i="11"/>
  <c r="P346" i="11" s="1"/>
  <c r="O345" i="11"/>
  <c r="P345" i="11" s="1"/>
  <c r="O344" i="11"/>
  <c r="P344" i="11" s="1"/>
  <c r="O342" i="11"/>
  <c r="P342" i="11" s="1"/>
  <c r="O341" i="11"/>
  <c r="O340" i="11"/>
  <c r="P340" i="11"/>
  <c r="O339" i="11"/>
  <c r="P339" i="11"/>
  <c r="O337" i="11"/>
  <c r="P337" i="11"/>
  <c r="O336" i="11"/>
  <c r="P336" i="11"/>
  <c r="O334" i="11"/>
  <c r="P334" i="11"/>
  <c r="O333" i="11"/>
  <c r="O332" i="11"/>
  <c r="P332" i="11"/>
  <c r="O331" i="11"/>
  <c r="P331" i="11" s="1"/>
  <c r="O329" i="11"/>
  <c r="O328" i="11"/>
  <c r="P328" i="11" s="1"/>
  <c r="O326" i="11"/>
  <c r="P326" i="11"/>
  <c r="O325" i="11"/>
  <c r="P325" i="11"/>
  <c r="O323" i="11"/>
  <c r="P323" i="11" s="1"/>
  <c r="O322" i="11"/>
  <c r="O321" i="11"/>
  <c r="P321" i="11" s="1"/>
  <c r="O320" i="11"/>
  <c r="O318" i="11"/>
  <c r="P318" i="11" s="1"/>
  <c r="O317" i="11"/>
  <c r="P317" i="11" s="1"/>
  <c r="P316" i="11"/>
  <c r="O315" i="11"/>
  <c r="P315" i="11"/>
  <c r="O314" i="11"/>
  <c r="O312" i="11"/>
  <c r="P312" i="11" s="1"/>
  <c r="O311" i="11"/>
  <c r="P311" i="11"/>
  <c r="P310" i="11"/>
  <c r="O309" i="11"/>
  <c r="P309" i="11" s="1"/>
  <c r="O306" i="11"/>
  <c r="P306" i="11"/>
  <c r="O305" i="11"/>
  <c r="O304" i="11"/>
  <c r="P304" i="11"/>
  <c r="O303" i="11"/>
  <c r="P303" i="11" s="1"/>
  <c r="O301" i="11"/>
  <c r="P301" i="11"/>
  <c r="O298" i="11"/>
  <c r="P298" i="11"/>
  <c r="O296" i="11"/>
  <c r="O295" i="11"/>
  <c r="P295" i="11"/>
  <c r="O294" i="11"/>
  <c r="P294" i="11"/>
  <c r="O292" i="11"/>
  <c r="P292" i="11" s="1"/>
  <c r="O288" i="11"/>
  <c r="P288" i="11"/>
  <c r="O287" i="11"/>
  <c r="O285" i="11"/>
  <c r="P285" i="11" s="1"/>
  <c r="O283" i="11"/>
  <c r="P283" i="11"/>
  <c r="O280" i="11"/>
  <c r="P280" i="11" s="1"/>
  <c r="O278" i="11"/>
  <c r="O277" i="11"/>
  <c r="P277" i="11"/>
  <c r="O276" i="11"/>
  <c r="P276" i="11" s="1"/>
  <c r="O274" i="11"/>
  <c r="P274" i="11"/>
  <c r="O271" i="11"/>
  <c r="P271" i="11"/>
  <c r="O270" i="11"/>
  <c r="O269" i="11"/>
  <c r="P269" i="11"/>
  <c r="O268" i="11"/>
  <c r="P268" i="11"/>
  <c r="O266" i="11"/>
  <c r="P266" i="11"/>
  <c r="O265" i="11"/>
  <c r="O263" i="11"/>
  <c r="P263" i="11"/>
  <c r="O262" i="11"/>
  <c r="O261" i="11"/>
  <c r="P261" i="11" s="1"/>
  <c r="O260" i="11"/>
  <c r="P260" i="11" s="1"/>
  <c r="O258" i="11"/>
  <c r="P258" i="11"/>
  <c r="O257" i="11"/>
  <c r="P257" i="11" s="1"/>
  <c r="O254" i="11"/>
  <c r="O253" i="11"/>
  <c r="P253" i="11"/>
  <c r="O252" i="11"/>
  <c r="P252" i="11" s="1"/>
  <c r="O250" i="11"/>
  <c r="P250" i="11" s="1"/>
  <c r="O249" i="11"/>
  <c r="P249" i="11"/>
  <c r="O247" i="11"/>
  <c r="P247" i="11" s="1"/>
  <c r="O246" i="11"/>
  <c r="O244" i="11"/>
  <c r="P244" i="11"/>
  <c r="O242" i="11"/>
  <c r="P242" i="11"/>
  <c r="O241" i="11"/>
  <c r="P241" i="11" s="1"/>
  <c r="O239" i="11"/>
  <c r="P239" i="11" s="1"/>
  <c r="O238" i="11"/>
  <c r="O236" i="11"/>
  <c r="P236" i="11"/>
  <c r="O234" i="11"/>
  <c r="P234" i="11" s="1"/>
  <c r="O233" i="11"/>
  <c r="P233" i="11" s="1"/>
  <c r="O225" i="11"/>
  <c r="P225" i="11"/>
  <c r="O216" i="11"/>
  <c r="P216" i="11" s="1"/>
  <c r="O208" i="11"/>
  <c r="P208" i="11"/>
  <c r="O205" i="11"/>
  <c r="P205" i="11" s="1"/>
  <c r="O200" i="11"/>
  <c r="P200" i="11"/>
  <c r="O143" i="11"/>
  <c r="P143" i="11"/>
  <c r="O124" i="11"/>
  <c r="P124" i="11" s="1"/>
  <c r="O121" i="11"/>
  <c r="P121" i="11"/>
  <c r="O118" i="11"/>
  <c r="O113" i="11"/>
  <c r="O112" i="11"/>
  <c r="P112" i="11" s="1"/>
  <c r="O109" i="11"/>
  <c r="O108" i="11"/>
  <c r="P108" i="11"/>
  <c r="O105" i="11"/>
  <c r="O101" i="11"/>
  <c r="P101" i="11" s="1"/>
  <c r="O100" i="11"/>
  <c r="P100" i="11"/>
  <c r="O96" i="11"/>
  <c r="P96" i="11"/>
  <c r="O93" i="11"/>
  <c r="P93" i="11"/>
  <c r="O92" i="11"/>
  <c r="O88" i="11"/>
  <c r="P88" i="11" s="1"/>
  <c r="O85" i="11"/>
  <c r="O84" i="11"/>
  <c r="O80" i="11"/>
  <c r="P80" i="11" s="1"/>
  <c r="O79" i="11"/>
  <c r="P79" i="11" s="1"/>
  <c r="O76" i="11"/>
  <c r="O75" i="11"/>
  <c r="O72" i="11"/>
  <c r="P72" i="11" s="1"/>
  <c r="O71" i="11"/>
  <c r="P71" i="11" s="1"/>
  <c r="O68" i="11"/>
  <c r="O67" i="11"/>
  <c r="O63" i="11"/>
  <c r="P63" i="11"/>
  <c r="O59" i="11"/>
  <c r="P59" i="11" s="1"/>
  <c r="O56" i="11"/>
  <c r="P56" i="11" s="1"/>
  <c r="O52" i="11"/>
  <c r="P52" i="11" s="1"/>
  <c r="O51" i="11"/>
  <c r="O47" i="11"/>
  <c r="P47" i="11" s="1"/>
  <c r="O43" i="11"/>
  <c r="P43" i="11"/>
  <c r="O42" i="11"/>
  <c r="O38" i="11"/>
  <c r="P38" i="11" s="1"/>
  <c r="O35" i="11"/>
  <c r="P35" i="11"/>
  <c r="O33" i="11"/>
  <c r="O27" i="11"/>
  <c r="P27" i="11" s="1"/>
  <c r="O24" i="11"/>
  <c r="P24" i="11" s="1"/>
  <c r="O23" i="11"/>
  <c r="O17" i="11"/>
  <c r="P17" i="11" s="1"/>
  <c r="O14" i="11"/>
  <c r="O13" i="11"/>
  <c r="P13" i="11"/>
  <c r="O12" i="11"/>
  <c r="O222" i="11"/>
  <c r="P222" i="11"/>
  <c r="P320" i="11"/>
  <c r="L21" i="11"/>
  <c r="O21" i="11"/>
  <c r="O231" i="11"/>
  <c r="P231" i="11"/>
  <c r="O230" i="11"/>
  <c r="O228" i="11"/>
  <c r="P228" i="11" s="1"/>
  <c r="O226" i="11"/>
  <c r="P226" i="11"/>
  <c r="O223" i="11"/>
  <c r="P223" i="11" s="1"/>
  <c r="O221" i="11"/>
  <c r="O219" i="11"/>
  <c r="P219" i="11"/>
  <c r="O217" i="11"/>
  <c r="P217" i="11" s="1"/>
  <c r="O214" i="11"/>
  <c r="P214" i="11"/>
  <c r="O213" i="11"/>
  <c r="P213" i="11"/>
  <c r="O211" i="11"/>
  <c r="P211" i="11" s="1"/>
  <c r="O207" i="11"/>
  <c r="O206" i="11"/>
  <c r="P206" i="11"/>
  <c r="O202" i="11"/>
  <c r="P202" i="11"/>
  <c r="O198" i="11"/>
  <c r="O196" i="11"/>
  <c r="P196" i="11" s="1"/>
  <c r="O195" i="11"/>
  <c r="P195" i="11"/>
  <c r="O192" i="11"/>
  <c r="O191" i="11"/>
  <c r="P191" i="11" s="1"/>
  <c r="O190" i="11"/>
  <c r="P190" i="11"/>
  <c r="O186" i="11"/>
  <c r="P186" i="11"/>
  <c r="O183" i="11"/>
  <c r="P183" i="11" s="1"/>
  <c r="O181" i="11"/>
  <c r="P181" i="11"/>
  <c r="O180" i="11"/>
  <c r="P180" i="11"/>
  <c r="O176" i="11"/>
  <c r="P176" i="11" s="1"/>
  <c r="O173" i="11"/>
  <c r="P173" i="11"/>
  <c r="O172" i="11"/>
  <c r="O171" i="11"/>
  <c r="P171" i="11"/>
  <c r="O169" i="11"/>
  <c r="P169" i="11" s="1"/>
  <c r="O167" i="11"/>
  <c r="P167" i="11" s="1"/>
  <c r="P165" i="11"/>
  <c r="O164" i="11"/>
  <c r="P164" i="11"/>
  <c r="O162" i="11"/>
  <c r="P162" i="11" s="1"/>
  <c r="O161" i="11"/>
  <c r="O159" i="11"/>
  <c r="P159" i="11"/>
  <c r="O157" i="11"/>
  <c r="P157" i="11" s="1"/>
  <c r="O156" i="11"/>
  <c r="P156" i="11"/>
  <c r="P154" i="11"/>
  <c r="O153" i="11"/>
  <c r="P149" i="11"/>
  <c r="O148" i="11"/>
  <c r="P148" i="11"/>
  <c r="O146" i="11"/>
  <c r="P146" i="11" s="1"/>
  <c r="O145" i="11"/>
  <c r="O141" i="11"/>
  <c r="P141" i="11"/>
  <c r="O140" i="11"/>
  <c r="P140" i="11"/>
  <c r="O139" i="11"/>
  <c r="P139" i="11" s="1"/>
  <c r="O137" i="11"/>
  <c r="O136" i="11"/>
  <c r="P136" i="11" s="1"/>
  <c r="O133" i="11"/>
  <c r="P133" i="11" s="1"/>
  <c r="O132" i="11"/>
  <c r="P132" i="11"/>
  <c r="P130" i="11"/>
  <c r="O129" i="11"/>
  <c r="P333" i="11"/>
  <c r="P329" i="11"/>
  <c r="P265" i="11"/>
  <c r="P203" i="11"/>
  <c r="J197" i="11"/>
  <c r="O286" i="11"/>
  <c r="P286" i="11" s="1"/>
  <c r="K14" i="3"/>
  <c r="L27" i="9"/>
  <c r="N27" i="9"/>
  <c r="L30" i="9"/>
  <c r="N30" i="9" s="1"/>
  <c r="O30" i="9" s="1"/>
  <c r="L38" i="9"/>
  <c r="N38" i="9" s="1"/>
  <c r="L52" i="9"/>
  <c r="N52" i="9" s="1"/>
  <c r="K12" i="9"/>
  <c r="K20" i="9"/>
  <c r="O20" i="9" s="1"/>
  <c r="K22" i="9"/>
  <c r="M22" i="9"/>
  <c r="K26" i="9"/>
  <c r="K31" i="9"/>
  <c r="K41" i="9"/>
  <c r="K43" i="9"/>
  <c r="L53" i="9"/>
  <c r="N53" i="9" s="1"/>
  <c r="O53" i="9" s="1"/>
  <c r="K59" i="9"/>
  <c r="K19" i="9"/>
  <c r="K21" i="9"/>
  <c r="M21" i="9"/>
  <c r="K23" i="9"/>
  <c r="M23" i="9"/>
  <c r="K34" i="9"/>
  <c r="M34" i="9"/>
  <c r="M44" i="9"/>
  <c r="K62" i="9"/>
  <c r="M62" i="9"/>
  <c r="L65" i="9"/>
  <c r="N65" i="9" s="1"/>
  <c r="O65" i="9" s="1"/>
  <c r="K49" i="9"/>
  <c r="L31" i="9"/>
  <c r="N31" i="9"/>
  <c r="O31" i="9" s="1"/>
  <c r="L33" i="9"/>
  <c r="N33" i="9" s="1"/>
  <c r="O33" i="9" s="1"/>
  <c r="L62" i="9"/>
  <c r="N62" i="9" s="1"/>
  <c r="O62" i="9" s="1"/>
  <c r="L63" i="9"/>
  <c r="N63" i="9" s="1"/>
  <c r="O63" i="9" s="1"/>
  <c r="L79" i="9"/>
  <c r="N79" i="9" s="1"/>
  <c r="K24" i="9"/>
  <c r="K28" i="9"/>
  <c r="L16" i="9"/>
  <c r="N16" i="9" s="1"/>
  <c r="O16" i="9" s="1"/>
  <c r="L19" i="9"/>
  <c r="N19" i="9" s="1"/>
  <c r="O19" i="9"/>
  <c r="L21" i="9"/>
  <c r="L26" i="9"/>
  <c r="N26" i="9"/>
  <c r="O26" i="9"/>
  <c r="L28" i="9"/>
  <c r="N28" i="9" s="1"/>
  <c r="L41" i="9"/>
  <c r="N41" i="9" s="1"/>
  <c r="O41" i="9" s="1"/>
  <c r="L45" i="9"/>
  <c r="N45" i="9"/>
  <c r="O45" i="9"/>
  <c r="L49" i="9"/>
  <c r="N49" i="9"/>
  <c r="L61" i="9"/>
  <c r="N61" i="9"/>
  <c r="H82" i="9"/>
  <c r="K35" i="9"/>
  <c r="M35" i="9" s="1"/>
  <c r="K47" i="9"/>
  <c r="K51" i="9"/>
  <c r="O51" i="9" s="1"/>
  <c r="K53" i="9"/>
  <c r="K55" i="9"/>
  <c r="L12" i="9"/>
  <c r="N12" i="9" s="1"/>
  <c r="O12" i="9"/>
  <c r="L14" i="9"/>
  <c r="N14" i="9" s="1"/>
  <c r="O14" i="9" s="1"/>
  <c r="L24" i="9"/>
  <c r="N24" i="9"/>
  <c r="L29" i="9"/>
  <c r="N29" i="9" s="1"/>
  <c r="O29" i="9" s="1"/>
  <c r="L34" i="9"/>
  <c r="L39" i="9"/>
  <c r="N39" i="9"/>
  <c r="L43" i="9"/>
  <c r="N43" i="9"/>
  <c r="O43" i="9" s="1"/>
  <c r="L44" i="9"/>
  <c r="N44" i="9" s="1"/>
  <c r="O44" i="9" s="1"/>
  <c r="L57" i="9"/>
  <c r="N57" i="9" s="1"/>
  <c r="O57" i="9" s="1"/>
  <c r="L59" i="9"/>
  <c r="N59" i="9"/>
  <c r="O59" i="9"/>
  <c r="V14" i="10"/>
  <c r="W14" i="10"/>
  <c r="V17" i="10"/>
  <c r="W17" i="10" s="1"/>
  <c r="W23" i="10"/>
  <c r="V58" i="10"/>
  <c r="V63" i="10"/>
  <c r="W63" i="10"/>
  <c r="W66" i="10"/>
  <c r="V85" i="10"/>
  <c r="W85" i="10" s="1"/>
  <c r="V87" i="10"/>
  <c r="W87" i="10" s="1"/>
  <c r="V89" i="10"/>
  <c r="W89" i="10"/>
  <c r="V94" i="10"/>
  <c r="W94" i="10"/>
  <c r="V171" i="10"/>
  <c r="W171" i="10" s="1"/>
  <c r="V177" i="10"/>
  <c r="W177" i="10"/>
  <c r="W199" i="10"/>
  <c r="V267" i="10"/>
  <c r="W267" i="10"/>
  <c r="V269" i="10"/>
  <c r="W269" i="10"/>
  <c r="S53" i="10"/>
  <c r="V53" i="10" s="1"/>
  <c r="W53" i="10" s="1"/>
  <c r="Q182" i="10"/>
  <c r="Q53" i="10"/>
  <c r="Q328" i="10"/>
  <c r="W328" i="10"/>
  <c r="S302" i="10"/>
  <c r="V302" i="10"/>
  <c r="R201" i="10"/>
  <c r="V140" i="10"/>
  <c r="W140" i="10"/>
  <c r="S32" i="10"/>
  <c r="V107" i="10"/>
  <c r="W107" i="10" s="1"/>
  <c r="V225" i="10"/>
  <c r="W225" i="10"/>
  <c r="V293" i="10"/>
  <c r="W293" i="10"/>
  <c r="S151" i="10"/>
  <c r="R33" i="10"/>
  <c r="V33" i="10"/>
  <c r="V29" i="10"/>
  <c r="W29" i="10"/>
  <c r="V72" i="10"/>
  <c r="W72" i="10" s="1"/>
  <c r="V97" i="10"/>
  <c r="W97" i="10"/>
  <c r="V179" i="10"/>
  <c r="W179" i="10"/>
  <c r="V187" i="10"/>
  <c r="V189" i="10"/>
  <c r="W189" i="10" s="1"/>
  <c r="V191" i="10"/>
  <c r="W191" i="10"/>
  <c r="V202" i="10"/>
  <c r="W202" i="10"/>
  <c r="V223" i="10"/>
  <c r="W223" i="10" s="1"/>
  <c r="V271" i="10"/>
  <c r="V289" i="10"/>
  <c r="W289" i="10"/>
  <c r="V298" i="10"/>
  <c r="W298" i="10" s="1"/>
  <c r="S131" i="10"/>
  <c r="V131" i="10" s="1"/>
  <c r="W131" i="10" s="1"/>
  <c r="R131" i="10"/>
  <c r="S69" i="10"/>
  <c r="V69" i="10" s="1"/>
  <c r="W69" i="10" s="1"/>
  <c r="Q69" i="10"/>
  <c r="R37" i="10"/>
  <c r="R69" i="10"/>
  <c r="S174" i="10"/>
  <c r="R146" i="10"/>
  <c r="V146" i="10" s="1"/>
  <c r="W146" i="10" s="1"/>
  <c r="Q131" i="10"/>
  <c r="S146" i="10"/>
  <c r="Q33" i="10"/>
  <c r="W33" i="10"/>
  <c r="S321" i="10"/>
  <c r="V321" i="10" s="1"/>
  <c r="W321" i="10" s="1"/>
  <c r="R321" i="10"/>
  <c r="R296" i="10"/>
  <c r="V296" i="10" s="1"/>
  <c r="S296" i="10"/>
  <c r="Q296" i="10"/>
  <c r="W296" i="10" s="1"/>
  <c r="R291" i="10"/>
  <c r="V291" i="10" s="1"/>
  <c r="Q291" i="10"/>
  <c r="W291" i="10" s="1"/>
  <c r="S282" i="10"/>
  <c r="Q282" i="10"/>
  <c r="R226" i="10"/>
  <c r="Q226" i="10"/>
  <c r="R215" i="10"/>
  <c r="V215" i="10"/>
  <c r="S215" i="10"/>
  <c r="R205" i="10"/>
  <c r="V205" i="10"/>
  <c r="Q205" i="10"/>
  <c r="W205" i="10" s="1"/>
  <c r="Q124" i="10"/>
  <c r="S124" i="10"/>
  <c r="V25" i="10"/>
  <c r="W25" i="10"/>
  <c r="V27" i="10"/>
  <c r="V31" i="10"/>
  <c r="W31" i="10" s="1"/>
  <c r="V35" i="10"/>
  <c r="W35" i="10"/>
  <c r="V45" i="10"/>
  <c r="W45" i="10" s="1"/>
  <c r="V49" i="10"/>
  <c r="V74" i="10"/>
  <c r="Q335" i="10"/>
  <c r="S335" i="10"/>
  <c r="V335" i="10"/>
  <c r="W335" i="10"/>
  <c r="R326" i="10"/>
  <c r="S326" i="10"/>
  <c r="S137" i="10"/>
  <c r="Q137" i="10"/>
  <c r="W137" i="10" s="1"/>
  <c r="V83" i="10"/>
  <c r="W83" i="10"/>
  <c r="V100" i="10"/>
  <c r="W100" i="10"/>
  <c r="V109" i="10"/>
  <c r="W109" i="10" s="1"/>
  <c r="V117" i="10"/>
  <c r="W117" i="10" s="1"/>
  <c r="V119" i="10"/>
  <c r="W119" i="10"/>
  <c r="V169" i="10"/>
  <c r="W169" i="10"/>
  <c r="V181" i="10"/>
  <c r="V206" i="10"/>
  <c r="V220" i="10"/>
  <c r="W220" i="10"/>
  <c r="V236" i="10"/>
  <c r="W236" i="10"/>
  <c r="V265" i="10"/>
  <c r="W265" i="10" s="1"/>
  <c r="V273" i="10"/>
  <c r="W273" i="10" s="1"/>
  <c r="V279" i="10"/>
  <c r="W279" i="10" s="1"/>
  <c r="V286" i="10"/>
  <c r="W286" i="10"/>
  <c r="V300" i="10"/>
  <c r="W300" i="10" s="1"/>
  <c r="V318" i="10"/>
  <c r="W318" i="10"/>
  <c r="V320" i="10"/>
  <c r="W320" i="10" s="1"/>
  <c r="V333" i="10"/>
  <c r="W333" i="10" s="1"/>
  <c r="V203" i="10"/>
  <c r="W203" i="10"/>
  <c r="R185" i="10"/>
  <c r="V185" i="10" s="1"/>
  <c r="W185" i="10" s="1"/>
  <c r="R151" i="10"/>
  <c r="Q59" i="10"/>
  <c r="F339" i="10"/>
  <c r="Q198" i="10"/>
  <c r="W198" i="10" s="1"/>
  <c r="R198" i="10"/>
  <c r="S198" i="10"/>
  <c r="R195" i="10"/>
  <c r="S195" i="10"/>
  <c r="V195" i="10"/>
  <c r="Q195" i="10"/>
  <c r="W195" i="10" s="1"/>
  <c r="S176" i="10"/>
  <c r="Q163" i="10"/>
  <c r="R163" i="10"/>
  <c r="V163" i="10"/>
  <c r="W163" i="10"/>
  <c r="R159" i="10"/>
  <c r="V159" i="10" s="1"/>
  <c r="W159" i="10" s="1"/>
  <c r="Q159" i="10"/>
  <c r="R153" i="10"/>
  <c r="Q153" i="10"/>
  <c r="Q127" i="10"/>
  <c r="R127" i="10"/>
  <c r="Q121" i="10"/>
  <c r="S121" i="10"/>
  <c r="V121" i="10" s="1"/>
  <c r="R121" i="10"/>
  <c r="S95" i="10"/>
  <c r="D339" i="10"/>
  <c r="P13" i="3"/>
  <c r="V12" i="10"/>
  <c r="W12" i="10" s="1"/>
  <c r="V64" i="10"/>
  <c r="W64" i="10"/>
  <c r="R95" i="10"/>
  <c r="V95" i="10" s="1"/>
  <c r="W95" i="10" s="1"/>
  <c r="S127" i="10"/>
  <c r="V127" i="10" s="1"/>
  <c r="W127" i="10" s="1"/>
  <c r="S153" i="10"/>
  <c r="V153" i="10" s="1"/>
  <c r="S159" i="10"/>
  <c r="Q185" i="10"/>
  <c r="S185" i="10"/>
  <c r="Q151" i="10"/>
  <c r="R55" i="10"/>
  <c r="S55" i="10"/>
  <c r="V55" i="10"/>
  <c r="Q55" i="10"/>
  <c r="W55" i="10" s="1"/>
  <c r="J14" i="3"/>
  <c r="V41" i="10"/>
  <c r="W41" i="10"/>
  <c r="V43" i="10"/>
  <c r="W43" i="10"/>
  <c r="W47" i="10"/>
  <c r="V61" i="10"/>
  <c r="W61" i="10" s="1"/>
  <c r="V144" i="10"/>
  <c r="W144" i="10"/>
  <c r="V209" i="10"/>
  <c r="W209" i="10"/>
  <c r="V213" i="10"/>
  <c r="W213" i="10"/>
  <c r="V238" i="10"/>
  <c r="V254" i="10"/>
  <c r="V326" i="10"/>
  <c r="W326" i="10"/>
  <c r="V198" i="10"/>
  <c r="P199" i="11"/>
  <c r="P209" i="11"/>
  <c r="O291" i="11"/>
  <c r="P291" i="11" s="1"/>
  <c r="O94" i="11"/>
  <c r="P94" i="11"/>
  <c r="O46" i="11"/>
  <c r="P46" i="11"/>
  <c r="V137" i="10"/>
  <c r="W313" i="10"/>
  <c r="Q215" i="10"/>
  <c r="W215" i="10" s="1"/>
  <c r="Q32" i="10"/>
  <c r="W32" i="10"/>
  <c r="W167" i="10"/>
  <c r="W214" i="10"/>
  <c r="W118" i="10"/>
  <c r="W251" i="10"/>
  <c r="W73" i="10"/>
  <c r="W108" i="10"/>
  <c r="W139" i="10"/>
  <c r="W208" i="10"/>
  <c r="W233" i="10"/>
  <c r="W263" i="10"/>
  <c r="W316" i="10"/>
  <c r="V32" i="10"/>
  <c r="W128" i="10"/>
  <c r="W309" i="10"/>
  <c r="W21" i="10"/>
  <c r="W51" i="10"/>
  <c r="W77" i="10"/>
  <c r="W130" i="10"/>
  <c r="W133" i="10"/>
  <c r="W155" i="10"/>
  <c r="W166" i="10"/>
  <c r="W217" i="10"/>
  <c r="W229" i="10"/>
  <c r="W337" i="10"/>
  <c r="W310" i="10"/>
  <c r="W327" i="10"/>
  <c r="W123" i="10"/>
  <c r="W240" i="10"/>
  <c r="W13" i="10"/>
  <c r="W278" i="10"/>
  <c r="W71" i="10"/>
  <c r="W158" i="10"/>
  <c r="W170" i="10"/>
  <c r="W334" i="10"/>
  <c r="W164" i="10"/>
  <c r="W325" i="10"/>
  <c r="W260" i="10"/>
  <c r="W18" i="10"/>
  <c r="W112" i="10"/>
  <c r="W62" i="10"/>
  <c r="W28" i="10"/>
  <c r="W138" i="10"/>
  <c r="W231" i="10"/>
  <c r="W336" i="10"/>
  <c r="W219" i="10"/>
  <c r="P152" i="11"/>
  <c r="O77" i="11"/>
  <c r="P77" i="11" s="1"/>
  <c r="P279" i="11"/>
  <c r="P168" i="11"/>
  <c r="K381" i="11"/>
  <c r="O197" i="11"/>
  <c r="P197" i="11" s="1"/>
  <c r="P22" i="11"/>
  <c r="P127" i="11"/>
  <c r="P185" i="11"/>
  <c r="P255" i="11"/>
  <c r="P178" i="11"/>
  <c r="O40" i="11"/>
  <c r="P40" i="11" s="1"/>
  <c r="P45" i="11"/>
  <c r="P297" i="11"/>
  <c r="P31" i="11"/>
  <c r="K15" i="9"/>
  <c r="O15" i="9"/>
  <c r="K79" i="9"/>
  <c r="O79" i="9" s="1"/>
  <c r="W16" i="10"/>
  <c r="W141" i="10"/>
  <c r="W152" i="10"/>
  <c r="W210" i="10"/>
  <c r="W222" i="10"/>
  <c r="P289" i="11"/>
  <c r="P369" i="11"/>
  <c r="O40" i="9"/>
  <c r="O50" i="9"/>
  <c r="R261" i="10"/>
  <c r="V261" i="10"/>
  <c r="W261" i="10"/>
  <c r="Q54" i="10"/>
  <c r="W54" i="10" s="1"/>
  <c r="Q302" i="10"/>
  <c r="W302" i="10" s="1"/>
  <c r="K11" i="9"/>
  <c r="K66" i="9"/>
  <c r="O66" i="9"/>
  <c r="K70" i="9"/>
  <c r="O70" i="9" s="1"/>
  <c r="O39" i="9"/>
  <c r="O61" i="9"/>
  <c r="O49" i="9"/>
  <c r="N21" i="9"/>
  <c r="O21" i="9" s="1"/>
  <c r="O38" i="9"/>
  <c r="O32" i="9"/>
  <c r="O54" i="9"/>
  <c r="O24" i="9"/>
  <c r="N11" i="9"/>
  <c r="N67" i="9"/>
  <c r="O67" i="9" s="1"/>
  <c r="N34" i="9"/>
  <c r="O34" i="9"/>
  <c r="O47" i="9"/>
  <c r="O60" i="9"/>
  <c r="O75" i="9"/>
  <c r="O81" i="9"/>
  <c r="O55" i="9"/>
  <c r="O27" i="9"/>
  <c r="N58" i="9"/>
  <c r="O58" i="9" s="1"/>
  <c r="M53" i="9"/>
  <c r="O13" i="9"/>
  <c r="O80" i="9"/>
  <c r="W168" i="10"/>
  <c r="W80" i="10"/>
  <c r="L69" i="9"/>
  <c r="K69" i="9"/>
  <c r="O69" i="9" s="1"/>
  <c r="L74" i="9"/>
  <c r="N74" i="9"/>
  <c r="K74" i="9"/>
  <c r="O74" i="9" s="1"/>
  <c r="K78" i="9"/>
  <c r="P29" i="11"/>
  <c r="N69" i="9"/>
  <c r="P21" i="11"/>
  <c r="N22" i="9"/>
  <c r="O22" i="9" s="1"/>
  <c r="S182" i="10"/>
  <c r="V182" i="10" s="1"/>
  <c r="W182" i="10" s="1"/>
  <c r="R54" i="10"/>
  <c r="K71" i="9"/>
  <c r="O71" i="9"/>
  <c r="K77" i="9"/>
  <c r="O77" i="9"/>
  <c r="V54" i="10"/>
  <c r="V37" i="10" l="1"/>
  <c r="V157" i="10"/>
  <c r="W121" i="10"/>
  <c r="O28" i="9"/>
  <c r="W173" i="10"/>
  <c r="O11" i="9"/>
  <c r="W60" i="10"/>
  <c r="W181" i="10"/>
  <c r="O120" i="11"/>
  <c r="P120" i="11"/>
  <c r="O35" i="9"/>
  <c r="Q91" i="10"/>
  <c r="S157" i="10"/>
  <c r="Q157" i="10"/>
  <c r="W162" i="10"/>
  <c r="P270" i="11"/>
  <c r="P158" i="11"/>
  <c r="P142" i="11"/>
  <c r="O131" i="11"/>
  <c r="P131" i="11" s="1"/>
  <c r="R126" i="10"/>
  <c r="V126" i="10" s="1"/>
  <c r="L72" i="9"/>
  <c r="N72" i="9" s="1"/>
  <c r="K72" i="9"/>
  <c r="K36" i="9"/>
  <c r="L36" i="9"/>
  <c r="N36" i="9" s="1"/>
  <c r="W153" i="10"/>
  <c r="Q176" i="10"/>
  <c r="W176" i="10" s="1"/>
  <c r="L17" i="9"/>
  <c r="M18" i="9"/>
  <c r="P172" i="11"/>
  <c r="P128" i="11"/>
  <c r="P119" i="11"/>
  <c r="O119" i="11"/>
  <c r="P109" i="11"/>
  <c r="R290" i="10"/>
  <c r="S290" i="10"/>
  <c r="P42" i="11"/>
  <c r="J381" i="11"/>
  <c r="R91" i="10"/>
  <c r="V91" i="10" s="1"/>
  <c r="Q37" i="10"/>
  <c r="Q290" i="10"/>
  <c r="G56" i="4"/>
  <c r="L42" i="9"/>
  <c r="N42" i="9" s="1"/>
  <c r="K42" i="9"/>
  <c r="S59" i="10"/>
  <c r="V59" i="10" s="1"/>
  <c r="W59" i="10" s="1"/>
  <c r="E339" i="10"/>
  <c r="V151" i="10"/>
  <c r="W151" i="10" s="1"/>
  <c r="K73" i="9"/>
  <c r="O73" i="9" s="1"/>
  <c r="Q126" i="10"/>
  <c r="W126" i="10" s="1"/>
  <c r="L56" i="9"/>
  <c r="N56" i="9" s="1"/>
  <c r="O56" i="9" s="1"/>
  <c r="L48" i="9"/>
  <c r="N48" i="9" s="1"/>
  <c r="O48" i="9" s="1"/>
  <c r="V114" i="10"/>
  <c r="W114" i="10" s="1"/>
  <c r="S145" i="10"/>
  <c r="R145" i="10"/>
  <c r="V145" i="10" s="1"/>
  <c r="S40" i="10"/>
  <c r="S339" i="10" s="1"/>
  <c r="Q40" i="10"/>
  <c r="G82" i="9"/>
  <c r="W65" i="10"/>
  <c r="O368" i="11"/>
  <c r="P368" i="11"/>
  <c r="P296" i="11"/>
  <c r="P287" i="11"/>
  <c r="O175" i="11"/>
  <c r="P175" i="11" s="1"/>
  <c r="P166" i="11"/>
  <c r="O155" i="11"/>
  <c r="P155" i="11" s="1"/>
  <c r="O12" i="3"/>
  <c r="W124" i="10"/>
  <c r="R40" i="10"/>
  <c r="Q145" i="10"/>
  <c r="W145" i="10" s="1"/>
  <c r="W216" i="10"/>
  <c r="W86" i="10"/>
  <c r="K37" i="9"/>
  <c r="L37" i="9"/>
  <c r="N37" i="9" s="1"/>
  <c r="P113" i="11"/>
  <c r="P105" i="11"/>
  <c r="P12" i="11"/>
  <c r="S201" i="10"/>
  <c r="V201" i="10" s="1"/>
  <c r="Q201" i="10"/>
  <c r="W230" i="10"/>
  <c r="W272" i="10"/>
  <c r="V194" i="10"/>
  <c r="W194" i="10" s="1"/>
  <c r="L34" i="11"/>
  <c r="L381" i="11" s="1"/>
  <c r="J34" i="11"/>
  <c r="E381" i="11"/>
  <c r="Q174" i="10"/>
  <c r="W174" i="10" s="1"/>
  <c r="R174" i="10"/>
  <c r="V174" i="10" s="1"/>
  <c r="W274" i="10"/>
  <c r="W116" i="10"/>
  <c r="W197" i="10"/>
  <c r="W232" i="10"/>
  <c r="W268" i="10"/>
  <c r="V106" i="10"/>
  <c r="W106" i="10" s="1"/>
  <c r="O52" i="9"/>
  <c r="L46" i="9"/>
  <c r="K46" i="9"/>
  <c r="Q381" i="11"/>
  <c r="V105" i="10"/>
  <c r="W105" i="10" s="1"/>
  <c r="W142" i="10"/>
  <c r="K64" i="9"/>
  <c r="L64" i="9"/>
  <c r="N64" i="9" s="1"/>
  <c r="L23" i="9"/>
  <c r="N23" i="9" s="1"/>
  <c r="O23" i="9" s="1"/>
  <c r="L177" i="11"/>
  <c r="O177" i="11" s="1"/>
  <c r="J177" i="11"/>
  <c r="P177" i="11" s="1"/>
  <c r="S226" i="10"/>
  <c r="V226" i="10" s="1"/>
  <c r="W226" i="10" s="1"/>
  <c r="W332" i="10"/>
  <c r="W50" i="10"/>
  <c r="W294" i="10"/>
  <c r="V132" i="10"/>
  <c r="W132" i="10" s="1"/>
  <c r="V255" i="10"/>
  <c r="W255" i="10" s="1"/>
  <c r="O256" i="11"/>
  <c r="P256" i="11" s="1"/>
  <c r="P95" i="11"/>
  <c r="O62" i="11"/>
  <c r="P62" i="11" s="1"/>
  <c r="O25" i="11"/>
  <c r="P25" i="11" s="1"/>
  <c r="P99" i="11"/>
  <c r="W312" i="10"/>
  <c r="W143" i="10"/>
  <c r="W102" i="10"/>
  <c r="W178" i="10"/>
  <c r="O76" i="9"/>
  <c r="P229" i="11"/>
  <c r="X339" i="10"/>
  <c r="R282" i="10"/>
  <c r="V282" i="10" s="1"/>
  <c r="W282" i="10" s="1"/>
  <c r="W285" i="10"/>
  <c r="W78" i="10"/>
  <c r="W110" i="10"/>
  <c r="W135" i="10"/>
  <c r="W156" i="10"/>
  <c r="W284" i="10"/>
  <c r="W57" i="10"/>
  <c r="W235" i="10"/>
  <c r="V211" i="10"/>
  <c r="W211" i="10" s="1"/>
  <c r="O367" i="11"/>
  <c r="P367" i="11" s="1"/>
  <c r="O72" i="9" l="1"/>
  <c r="W157" i="10"/>
  <c r="P34" i="11"/>
  <c r="P381" i="11" s="1"/>
  <c r="O36" i="9"/>
  <c r="O14" i="3"/>
  <c r="P12" i="3"/>
  <c r="P14" i="3" s="1"/>
  <c r="O37" i="9"/>
  <c r="O42" i="9"/>
  <c r="M82" i="9"/>
  <c r="W91" i="10"/>
  <c r="K82" i="9"/>
  <c r="V40" i="10"/>
  <c r="V339" i="10" s="1"/>
  <c r="R339" i="10"/>
  <c r="M46" i="9"/>
  <c r="N46" i="9"/>
  <c r="O46" i="9" s="1"/>
  <c r="W201" i="10"/>
  <c r="V290" i="10"/>
  <c r="N18" i="9"/>
  <c r="O18" i="9" s="1"/>
  <c r="Q339" i="10"/>
  <c r="W37" i="10"/>
  <c r="O64" i="9"/>
  <c r="N17" i="9"/>
  <c r="L82" i="9"/>
  <c r="O34" i="11"/>
  <c r="O381" i="11" s="1"/>
  <c r="W290" i="10"/>
  <c r="W40" i="10" l="1"/>
  <c r="W339" i="10" s="1"/>
  <c r="N82" i="9"/>
  <c r="O17" i="9"/>
  <c r="O82" i="9" s="1"/>
</calcChain>
</file>

<file path=xl/comments1.xml><?xml version="1.0" encoding="utf-8"?>
<comments xmlns="http://schemas.openxmlformats.org/spreadsheetml/2006/main">
  <authors>
    <author>Alejandro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Artes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Artes: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<sst xmlns="http://schemas.openxmlformats.org/spreadsheetml/2006/main" count="1868" uniqueCount="1105">
  <si>
    <t>FAUSTINO RAMON FUENTES DE LEON</t>
  </si>
  <si>
    <t>BONOS Y OTRAS REMUNERACIONES</t>
  </si>
  <si>
    <t>MINISTERIO DE CULTURA Y DEPORTES</t>
  </si>
  <si>
    <t>UNIDAD DE INFORMACION PUBLICA</t>
  </si>
  <si>
    <t>NUMERAL 4 ARTICULO 10</t>
  </si>
  <si>
    <t>No.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</si>
  <si>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</si>
  <si>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</si>
  <si>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</si>
  <si>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</si>
  <si>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</si>
  <si>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</si>
  <si>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</si>
  <si>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</si>
  <si>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Bono MCD</t>
  </si>
  <si>
    <t>Bono Profesional</t>
  </si>
  <si>
    <t>Bono de Antigüedad</t>
  </si>
  <si>
    <t>66-2000</t>
  </si>
  <si>
    <t>IGSS</t>
  </si>
  <si>
    <t>MONTEPÍO</t>
  </si>
  <si>
    <t>ISR</t>
  </si>
  <si>
    <t>TOTAL DE DESCUENTOS</t>
  </si>
  <si>
    <t>LÍQUIDO</t>
  </si>
  <si>
    <t>DESCUENTOS</t>
  </si>
  <si>
    <t>Complemento Personal</t>
  </si>
  <si>
    <t>Monto Viáticos</t>
  </si>
  <si>
    <t>ANA KARINA ZEBADUA BLANCO</t>
  </si>
  <si>
    <t>CONSERJE</t>
  </si>
  <si>
    <t>TRAMOYISTA</t>
  </si>
  <si>
    <t>DIRECCIÓN GENERAL DE LAS ARTES</t>
  </si>
  <si>
    <t>HANIA CORINA CASTAÑEDA RUIZ</t>
  </si>
  <si>
    <t>ANGEL GABRIEL TEPEU TURUY</t>
  </si>
  <si>
    <t>LESVIA LISETH ALONZO NAVAS DE RODAS</t>
  </si>
  <si>
    <t>OSCAR LEONEL CULAJAY CHACACH</t>
  </si>
  <si>
    <t>CARMEN PETRONA AJCUC TEPEU DE AJCUC</t>
  </si>
  <si>
    <t>MAYRA MARIBEL MENDOZA VALENZUELA</t>
  </si>
  <si>
    <t>LUIS ISAIAS ZAPETA SAQUIC</t>
  </si>
  <si>
    <t>ANA KARINA PINZON FUSTER DE CATALAN</t>
  </si>
  <si>
    <t>MARLIS YAZMIN ALBUREZ ALECIO</t>
  </si>
  <si>
    <t>OTTO RENE ARANA MELCHOL</t>
  </si>
  <si>
    <t>ELIZARDO SALVADOR DIEGUEZ CABALLEROS</t>
  </si>
  <si>
    <t>ELIZABETH BELINDA GABRIEL OTZOY</t>
  </si>
  <si>
    <t>HEYLIM ARLEMY VALENZUELA MORALES DE RAZULEU</t>
  </si>
  <si>
    <t>JOHNATAN EDIBERTO POLANCO ALONZO</t>
  </si>
  <si>
    <t>ALEJANDRO BARRIENTOS ESTRADA</t>
  </si>
  <si>
    <t>LUIS EDUARDO PINEDA CERMEÑO</t>
  </si>
  <si>
    <t>MYNOR  BELICE CRUZ QUEVEDO</t>
  </si>
  <si>
    <t>MYNOR DAGOBERTO BARILLAS CASTAÑEDA</t>
  </si>
  <si>
    <t>DIEGO CIPRIANO SOLIZ</t>
  </si>
  <si>
    <t>LAURA ALEJANDRA MORALES SAZO</t>
  </si>
  <si>
    <t xml:space="preserve">CARLOS BENITO CONCOGUA </t>
  </si>
  <si>
    <t>JUAN CARLOS ESCOBAR TRUJILLO</t>
  </si>
  <si>
    <t>LUIS DE JESUS SALUCIO JERONIMO</t>
  </si>
  <si>
    <t>DORA ABELINA CORZANTES VARGAS</t>
  </si>
  <si>
    <t>MANUEL GUZMAN COJ</t>
  </si>
  <si>
    <t xml:space="preserve">IGNACIO GUZMAN COJ </t>
  </si>
  <si>
    <t>VIGILANTE (0000) SIN ESPECIALIDAD (0000)</t>
  </si>
  <si>
    <t>OSCAR ANIBAL CONTRERAS ALAY</t>
  </si>
  <si>
    <t>KIMBERLY AMARILIS FLORES MORALES</t>
  </si>
  <si>
    <t>LUIS ALBERTO CIFUENTES ORTIZ</t>
  </si>
  <si>
    <t>MONICA LISSETH VALLEGOS MUÑOZ</t>
  </si>
  <si>
    <t>ESPERANZA JUDITH RAMIREZ GALINDO</t>
  </si>
  <si>
    <t>JUAN GABRIEL CALEL ROQUEL</t>
  </si>
  <si>
    <t>MARIA DEL CARMEN BOCEL HOM DE BOCEL</t>
  </si>
  <si>
    <t>JULIANA ROSA ALONZO COCHOJIL</t>
  </si>
  <si>
    <t>SANDRA ELIZABETH ESTRADA SOLIS</t>
  </si>
  <si>
    <t>FAUSTINO VALENZUELA SOLARES</t>
  </si>
  <si>
    <t>KAREN FAVIOLA AGUILAR CANEL</t>
  </si>
  <si>
    <t>OPERADOR DE EQUIPO</t>
  </si>
  <si>
    <t>KAREN JESSENIA MELGAR MORALES</t>
  </si>
  <si>
    <t>ARNOLDO ROEL CASTILLO CASTILLO</t>
  </si>
  <si>
    <t>FEDERICO RODOLFO MURALLES</t>
  </si>
  <si>
    <t>DANIS AMADO MORALES CAMPOSECO</t>
  </si>
  <si>
    <t>FRANCISCO EMIGDIO SERECH PAR</t>
  </si>
  <si>
    <t>FERNANDO VALDIVIEZO QUINTANA</t>
  </si>
  <si>
    <t>DIEGO ISRAEL OXCAL MONROY</t>
  </si>
  <si>
    <t>FREDY MANUEL BUENAFE TORRES</t>
  </si>
  <si>
    <t>DOMINGO ISAAC CHAVAJAY BIXCUL</t>
  </si>
  <si>
    <t xml:space="preserve">MARIA CAROLINA PALOMO CAJAS </t>
  </si>
  <si>
    <t xml:space="preserve">LUIS ALEJANDRO OCAÑA AJCIP </t>
  </si>
  <si>
    <t>EDUARDO PALAX GUARCAX</t>
  </si>
  <si>
    <t>DIEGO ARMANDO SANTOS SALQUIL</t>
  </si>
  <si>
    <t>JEREMIAS MATEO GASPAR</t>
  </si>
  <si>
    <t>DIRLYN SAMARY CANO VILLATORO</t>
  </si>
  <si>
    <t>ANA LIGIA FELIPE PANIAGUA DE CAZZALY</t>
  </si>
  <si>
    <t>MAYRA LISSETH OLA LUNA DE BARRIENTOS</t>
  </si>
  <si>
    <t>EDGAR EDUARDO PIRIR YOC</t>
  </si>
  <si>
    <t>NIMROD LIMA OVANDO</t>
  </si>
  <si>
    <t>MELVY ROXANA PEÑATE CHINCHILLA</t>
  </si>
  <si>
    <t xml:space="preserve">LUIS ANGEL TARACENA BETANCOURTH </t>
  </si>
  <si>
    <t>OLIVER MARCELINO SIVESTRE DELGADO</t>
  </si>
  <si>
    <t>LUIS ALFREDO MORALES LEMUS</t>
  </si>
  <si>
    <t xml:space="preserve">LUIS ROBERTO AQUINO FIGUEROA </t>
  </si>
  <si>
    <t>PABLO CHOC CAAL</t>
  </si>
  <si>
    <t xml:space="preserve">AMADEO SALGUERO REYES </t>
  </si>
  <si>
    <t>IDELFONSO SONTAY IXCOY</t>
  </si>
  <si>
    <t>OLGA YESENIA ALVARADO SIS</t>
  </si>
  <si>
    <t>DIAHANN ANDREA COBOS FLORES</t>
  </si>
  <si>
    <t xml:space="preserve">MARIO SANTIAGO LEY BUCH </t>
  </si>
  <si>
    <t xml:space="preserve">JAIME LEONEL RUCAL SINTO </t>
  </si>
  <si>
    <t>EDY RIGOBERTO PASCUAL ABELAR</t>
  </si>
  <si>
    <t>MARCO ANTONIO MUZUL MENDEZ</t>
  </si>
  <si>
    <t>KEVIN RONALDO BARILLAS SOTO</t>
  </si>
  <si>
    <t>AMALIA EUGENIA OSORIO LUX</t>
  </si>
  <si>
    <t xml:space="preserve">NERY ALFREDO MULUL CASTRO </t>
  </si>
  <si>
    <t>ASISTENTE ADMINISTRATIVO I (0000) SIN ESPECIALIDAD (0000)</t>
  </si>
  <si>
    <t xml:space="preserve">COORDINADOR ADMINISTRATIVO (0000) SIN ESPECIALIDAD (0000) </t>
  </si>
  <si>
    <t>ANALISTA DE RECURSOS HUMANOS I (0000) SIN ESPECIALIDAD (0000)</t>
  </si>
  <si>
    <t>ASISTENTE DE CONTABILIDAD II (0000) SIN ESPECIALIDAD (0000)</t>
  </si>
  <si>
    <t>AUXILIAR I (0000) SIN ESPECIALIDAD (0000)</t>
  </si>
  <si>
    <t>ASISTENTE ADMINISTRATIVO II (0000) SIN ESPECIALIDAD (0000)</t>
  </si>
  <si>
    <t>CONSERJE (0000) SIN ESPECIALIDAD (0000)</t>
  </si>
  <si>
    <t>BORIS GILLERMO RIZO PANIAGUA</t>
  </si>
  <si>
    <t>TRAMOYISTA (0000) SIN ESPECIALIDAD (0000)</t>
  </si>
  <si>
    <t>FREDY ORLANDO SAGASTUME VELÁSQUEZ</t>
  </si>
  <si>
    <t>LORENZO FROILÁN TISTOJ CHAN</t>
  </si>
  <si>
    <t>OLGA AMALIA MARGARITA LIGORRÍA DÍAZ</t>
  </si>
  <si>
    <t xml:space="preserve">CARLOS ALFONSO QUEJ XUC </t>
  </si>
  <si>
    <t>GUILLERMO VINICIO QUEZADA MONZÓN</t>
  </si>
  <si>
    <t>SANDRA VERONICA CORONADO PAREDES</t>
  </si>
  <si>
    <t>WINGSTON OSWALDO GONZÁLEZ REYES</t>
  </si>
  <si>
    <t xml:space="preserve">MARTÍN ESTUARDO DE JESÚS DÍAZ VALDÉS </t>
  </si>
  <si>
    <t>MARIO ENRIQUE CAXAJ RODRIGUEZ</t>
  </si>
  <si>
    <t>BENVENUTO CHAVAJAY GONZÁLEZ</t>
  </si>
  <si>
    <t>OTTO AMILCAR AZURDIA LEIVA</t>
  </si>
  <si>
    <t>JOSE GABRIEL OZAETA GARCÍA</t>
  </si>
  <si>
    <t>OSCAR JUAN PABLO CASTILLO AROCHE</t>
  </si>
  <si>
    <t>LAZARO JAIRO RAMIREZ BALTAZAR</t>
  </si>
  <si>
    <t>GUSTAVO ADOLFO MARTINEZ ROMERO</t>
  </si>
  <si>
    <t>RICARDO HUMBERTO TAQUEZ YUCUTE</t>
  </si>
  <si>
    <t>DANIEL ESTUARDO CHINCHILLA PALACIOS</t>
  </si>
  <si>
    <t>EFRAIN CHICOP PEC</t>
  </si>
  <si>
    <t>MARIO RENE DONIS</t>
  </si>
  <si>
    <t>ANTONIO IXJOTOP QUEL</t>
  </si>
  <si>
    <t>EDGAR ROLANDO JOLOM ALTAN</t>
  </si>
  <si>
    <t>BRAYAM ARIEL LETONA LIMA</t>
  </si>
  <si>
    <t>MIGUEL ARNULFO LUNA SOTO</t>
  </si>
  <si>
    <t>DIANA JUDITH PINEDA ORTEGA</t>
  </si>
  <si>
    <t>ALEJANDRO MIGUEL REYES MARTÍNEZ</t>
  </si>
  <si>
    <t>EUSEBIO POR CULAJAY</t>
  </si>
  <si>
    <t>SANTOS TAQUEZ QUEL</t>
  </si>
  <si>
    <t>HENRY DAVID LOPEZ REYES</t>
  </si>
  <si>
    <t>FRANCISCO QUEL CHICOP</t>
  </si>
  <si>
    <t>EDWIN ORLANDO MONTENEGRO MURALLES</t>
  </si>
  <si>
    <t>ALIDA MARIBEL BARRIOS MORALES</t>
  </si>
  <si>
    <t>FRANCISCO ORLANDO SEQUEN RAC</t>
  </si>
  <si>
    <t>GUILLERMO ANTONIO GONZALEZ RODRIGUEZ</t>
  </si>
  <si>
    <t>IVAN ESTUARDO RECINOS RODRÌGUEZ</t>
  </si>
  <si>
    <t>LUIS ALBERTO TOJINO JULAJU</t>
  </si>
  <si>
    <t>MARTHA JULIA PEREZ POYON DE DE SIMON</t>
  </si>
  <si>
    <t>FIANZA</t>
  </si>
  <si>
    <t>KIMBERLY MARIBEL CORCUERA VALDEZ</t>
  </si>
  <si>
    <t>ASISTENTE DE PLANIFICACION II (000), SIN ESPECIALIDAD (000)</t>
  </si>
  <si>
    <t>ASISTENTE DE ADQUISICIONES II (0000), SIN ESPECIALIDAD (0000)</t>
  </si>
  <si>
    <t>ASISTENTE FINANCIERO II (0000), SIN ESPECIALIDAD (0000)</t>
  </si>
  <si>
    <t>JEFE DE DEPARTAMENTO SUSTANTIVO II (0000), SIN ESPECIALIDAD (0000)</t>
  </si>
  <si>
    <t>HERNAN OMMAR DIAZ MUÑOZ</t>
  </si>
  <si>
    <t>MERCEDES IXCACOJ QUEL</t>
  </si>
  <si>
    <t>NORMA ELIZABETH AREVALO SUTUJ DE MORALES</t>
  </si>
  <si>
    <t>SERGIO EMMANUEL ARRIOLA ROMERO</t>
  </si>
  <si>
    <t>EDGAR LEONEL CARIAS ALARCON</t>
  </si>
  <si>
    <t>JUAN SALVADOR SANDOVAL GUZMÁN</t>
  </si>
  <si>
    <t>Bono MCD Y Bono Administrativo del CCMA</t>
  </si>
  <si>
    <t>HERIBERTO ADAN SILVESTRE ALVAREZ TOMAS</t>
  </si>
  <si>
    <t>JORGE LEONIDAS CUC CHIROY</t>
  </si>
  <si>
    <t>JULIO FERNANDO ARIAS CHACON</t>
  </si>
  <si>
    <t>MARIO FERNANDO FERNANDEZ RIVAS</t>
  </si>
  <si>
    <t>MARIO ROBERTO AYAPAN JOCOP</t>
  </si>
  <si>
    <t>PEON VIGILANTE V</t>
  </si>
  <si>
    <t>ELECTRICISTA II</t>
  </si>
  <si>
    <t>PEON VIGILANTE IV</t>
  </si>
  <si>
    <t>TRABAJADORA VIVANDERA</t>
  </si>
  <si>
    <t>HERRERO II</t>
  </si>
  <si>
    <t>HERRERO III</t>
  </si>
  <si>
    <t>MENSAJERO II</t>
  </si>
  <si>
    <t>ENCARGADO II DE OPERACIONES DE MAQUINARIA Y EQUIPO</t>
  </si>
  <si>
    <t>JARDINERO II</t>
  </si>
  <si>
    <t>ELECTRICISTA III</t>
  </si>
  <si>
    <t xml:space="preserve">JARDINERO I </t>
  </si>
  <si>
    <t xml:space="preserve">GEORGINA ESMERALDA ABAJ XILOJ </t>
  </si>
  <si>
    <t>JORGE ANIBAL TOT GUERRA</t>
  </si>
  <si>
    <t>KATHERINE PAMELA CORDOVA</t>
  </si>
  <si>
    <t>ASTRID FABIOLA MONROY LEIVA</t>
  </si>
  <si>
    <t>CARLOS ALEXIS MALDONADO SAMAYOA</t>
  </si>
  <si>
    <t>DOMINGO ANTONIO VASQUEZ GONZALEZ</t>
  </si>
  <si>
    <t>DULCE ROSMERY TASUY CAJAS</t>
  </si>
  <si>
    <t>GERSON GEOVANI CAP AC</t>
  </si>
  <si>
    <t>GERTRUDIS PUAC MENDEZ</t>
  </si>
  <si>
    <t>JULIA ADRIANA CHINCHILLA LEMUS</t>
  </si>
  <si>
    <t>MARIO DAGOBERTO CRISOSTOMO MACARIO</t>
  </si>
  <si>
    <t>ALBERTO SANDOVAL SANTIAGO</t>
  </si>
  <si>
    <t>ELMER FELIPE RODAS</t>
  </si>
  <si>
    <t>LESLIE XIOMARA LÓPEZ CHACÓN</t>
  </si>
  <si>
    <t>MIRIAM SUSANA ARGÜELLO</t>
  </si>
  <si>
    <t>ROGER UNBERTO CASTRO MARTINES</t>
  </si>
  <si>
    <t xml:space="preserve">ASESOR PROFESIONAL ESPECIALIDADO IV </t>
  </si>
  <si>
    <t xml:space="preserve">ASESOR PROFESIONAL ESPECIALIZADO II </t>
  </si>
  <si>
    <t>ALMA SARA VAZQUEZ GRAMAJO</t>
  </si>
  <si>
    <t>DIRECTOR TECNICO I</t>
  </si>
  <si>
    <t>PROFESIONAL FINANCIERO I (0000) SIN ESPECIALIDAD (0000)</t>
  </si>
  <si>
    <t xml:space="preserve">PEDRO LAZARO SUAREZ PEREZ </t>
  </si>
  <si>
    <t xml:space="preserve">RIGOBERTO ARMANDO SEB COC </t>
  </si>
  <si>
    <t xml:space="preserve">ROBERTO ANDRE FRANCO </t>
  </si>
  <si>
    <t>ROBERTO FRANCISCO ACU CASTILLO</t>
  </si>
  <si>
    <t>ENCARGADO DE CALIFICAR ESPECTACULOS (0000) SIN ESPECIALIDAD (0000)</t>
  </si>
  <si>
    <t>ROLANDO CALLEJAS OJOT</t>
  </si>
  <si>
    <t>RONNIE EDUARDO GONZALEZ RAMOS</t>
  </si>
  <si>
    <t>ROSELIA ALVARADO BARRIOS DE MONROY</t>
  </si>
  <si>
    <t>SERGIO RAFAEL PAZ MALDONADO</t>
  </si>
  <si>
    <t>SEVERIANO YOTZ UJPAN</t>
  </si>
  <si>
    <t>SHERLIN VIRGINIA JAUCH AGUSTIN</t>
  </si>
  <si>
    <t>SILVIA VICTORIA ALVARADO BARILLAS</t>
  </si>
  <si>
    <t>SONIA MARITZA AGUILAR DE COLINDRES</t>
  </si>
  <si>
    <t xml:space="preserve">TORIBIO AJ CANIL </t>
  </si>
  <si>
    <t>VANIA ISABEL VARGAS MORALES</t>
  </si>
  <si>
    <t xml:space="preserve">VICTOR YOL QUISQUINAY </t>
  </si>
  <si>
    <t>VIDAL ESTUARDO SARAVIA CASTILLO</t>
  </si>
  <si>
    <t>WALTER FERNANDO MAYEN CATALAN</t>
  </si>
  <si>
    <t>WALTER RENE SAUCEDO RODRIGUEZ</t>
  </si>
  <si>
    <t>WILFRIDO ORIEL ALVAREZ LOPEZ</t>
  </si>
  <si>
    <t>WILLIAMS AUGUSTO CORADO MENA</t>
  </si>
  <si>
    <t>WILSON DANIEL IXCOY MORAN</t>
  </si>
  <si>
    <t>ZAIDA ELIZABETH QUIÑONEZ AJVIX DE ALONZO</t>
  </si>
  <si>
    <t>ZOILA MARISOL ZEPEDA QUIÑONEZ</t>
  </si>
  <si>
    <t>LESLIE MATILDE ZAMORA TRINIDAD DE ESTRADA</t>
  </si>
  <si>
    <t>CARLOS HUMBERTO MURALLES VASQUEZ</t>
  </si>
  <si>
    <t>AMILCAR ANTONIO ROSALES MIRANDA</t>
  </si>
  <si>
    <t>NELSON GEOVANY CETINO CETINO</t>
  </si>
  <si>
    <t>ADIN GIANCARLO RUBIO TREJO</t>
  </si>
  <si>
    <t>VICTOR ARMANDO RUIZ MINER</t>
  </si>
  <si>
    <t>MARVIN ESTEBAN CORTEZ BAC</t>
  </si>
  <si>
    <t>MIGUEL ANGEL GUZMAN ALVARADO</t>
  </si>
  <si>
    <t>ROCIO RIVAS TOMAS</t>
  </si>
  <si>
    <t>JAVIER ELISEO TENAS GONZALEZ</t>
  </si>
  <si>
    <t>BRAYAN LEONEL SEGURA MAZARIEGOS</t>
  </si>
  <si>
    <t>LUIS FREDERICK VANEGAS ALVARADO</t>
  </si>
  <si>
    <t>WILLIAM RICARDO SARMIENTOS CASTILLO</t>
  </si>
  <si>
    <t>PILOTO II</t>
  </si>
  <si>
    <t>JUVENTINO CHAVAC SET</t>
  </si>
  <si>
    <t>BODEGUERO IV</t>
  </si>
  <si>
    <t>WALTER ADOLFO ORELLANA SANDOVAL</t>
  </si>
  <si>
    <t>FRANCISCO MORALES SANTOS</t>
  </si>
  <si>
    <t>SEBASTIANA LASTOR MENDEZ</t>
  </si>
  <si>
    <t>HEBER DANIEL POGGIO COLINDRES</t>
  </si>
  <si>
    <t>IVAN POZO GONZALEZ</t>
  </si>
  <si>
    <t>CRISTOBAL ROLANDO VEGA CARRILLO</t>
  </si>
  <si>
    <t>MANUEL ABELARDO CANIZALES CRUZ</t>
  </si>
  <si>
    <t>MARIO FERNANDO CARDONA RIOS</t>
  </si>
  <si>
    <t>DANIEL ROBERTO CUX NOTZ</t>
  </si>
  <si>
    <t>MARIELA DEL ROSARIO CHOJLAN COJULUM DE QUISQUE</t>
  </si>
  <si>
    <t>ANGEL MANUEL CHAVEZ VASQUEZ</t>
  </si>
  <si>
    <t xml:space="preserve">AURA ELIZABETH FERNANDEZ  CASTELLANOS DE RUEDAS </t>
  </si>
  <si>
    <t>BLANCA ESTELA MORAN MUÑOZ</t>
  </si>
  <si>
    <t>BLANDINA LUDIBEL PELAEZ HERRERA</t>
  </si>
  <si>
    <t xml:space="preserve">CARLOS ARMANDO ORTEGA GONZALEZ </t>
  </si>
  <si>
    <t xml:space="preserve">CRISTIAN ESTUARDO TOLEDO GUZMAN </t>
  </si>
  <si>
    <t>DANNERY MARTALILIA PAIZ FLORES</t>
  </si>
  <si>
    <t>DAVID ESTUARDO GONZALEZ TORRES</t>
  </si>
  <si>
    <t>EDGAR LEONEL ARTIGA JUAREZ</t>
  </si>
  <si>
    <t>EDGAR TOMAS PERUCH HERRERA</t>
  </si>
  <si>
    <t>EDGAR VICTORIANO OSORIO GONZALEZ</t>
  </si>
  <si>
    <t>ELDER LEONEL MORALES VASQUEZ</t>
  </si>
  <si>
    <t xml:space="preserve">ESTUARDO ELISEO TOMAS VELASQUEZ </t>
  </si>
  <si>
    <t xml:space="preserve">ESVIN OBDULIO ROSALES QUIXTAN </t>
  </si>
  <si>
    <t xml:space="preserve">EVELYN ODETH GONZALEZ BOCHE </t>
  </si>
  <si>
    <t>FLOR DE MARIA VIELMAN VASQUEZ</t>
  </si>
  <si>
    <t>FRANCISCO JAVIER GAITAN PEREZ</t>
  </si>
  <si>
    <t>GABRIELA ALEJANDRA MORALES CHAVEZ</t>
  </si>
  <si>
    <t>GRISELDA LISSETTE GONZALEZ VEGA</t>
  </si>
  <si>
    <t xml:space="preserve">HEVER IVAN HERNANDEZ JUAREZ </t>
  </si>
  <si>
    <t>ISAIAS IVAN CASTILLO GONZALEZ</t>
  </si>
  <si>
    <t>JENNIFER LORENA GONZALES SOLARES</t>
  </si>
  <si>
    <t>JORGE LUIS RODRIGUEZ VELASQUEZ</t>
  </si>
  <si>
    <t>JUAN FRANCISCO VELASQUEZ CAMAJA</t>
  </si>
  <si>
    <t>LOIDY ABIGAIL CITALAN PAC</t>
  </si>
  <si>
    <t>LUIS ALEJANDRO GONZALEZ HERNANDEZ</t>
  </si>
  <si>
    <t>MARTIN  RANCHO CONCOGUA</t>
  </si>
  <si>
    <t>MINOR ENRIQUE HERNANDEZ ROSALES</t>
  </si>
  <si>
    <t>NIMEIRY MORALES  GUZMAN</t>
  </si>
  <si>
    <t>OSMAR ESTUARDO MELIA GRIFFTH</t>
  </si>
  <si>
    <t>ASISTENTE EDITOR DE ARTES GRAFICAS IV (0000), SIN ESPECIALIDAD (0000)</t>
  </si>
  <si>
    <t>VICENTE RUFINO GONZALEZ OBANDO</t>
  </si>
  <si>
    <t>VICENTE VENANCIO SANTIZO VELASQUEZ</t>
  </si>
  <si>
    <t>EVER ALFONSO RAMOS HERNANDEZ</t>
  </si>
  <si>
    <t>MARVIN ESTUARDO SEQUEN BOROR</t>
  </si>
  <si>
    <t>ANA GALVEZ SUN</t>
  </si>
  <si>
    <t xml:space="preserve">TECNICO DEL CENTRO (0000) SIN ESPECIALIDAD (0000) </t>
  </si>
  <si>
    <t>TECNICO DE ESCUELA (0000) SIN ESPECIALIDAD (0000)</t>
  </si>
  <si>
    <t xml:space="preserve">CARLOS JAVIER PEREZ CORZANTES </t>
  </si>
  <si>
    <t xml:space="preserve">EDGAR NOE XALIX ESQUIT </t>
  </si>
  <si>
    <t>EDWIN JAHZEEL ESTRADA JIMENEZ</t>
  </si>
  <si>
    <t>ELFIDO JOSE AYALA LIMA</t>
  </si>
  <si>
    <t xml:space="preserve">EMILIANO PEREZ SICA </t>
  </si>
  <si>
    <t xml:space="preserve">FATIMA YOLISETH GUERRA PEREZ DE REYES </t>
  </si>
  <si>
    <t>TECNICO DE CONTABILIDAD I (0000), SIN ESPECIALIDAD (0000)</t>
  </si>
  <si>
    <t>FULVIA GREIS SIM CUCA DE PEREZ</t>
  </si>
  <si>
    <t>HECTOR HERMAN ALVAREZ OROZCO</t>
  </si>
  <si>
    <t>IRMA NOEMI RUANO VELIZ</t>
  </si>
  <si>
    <t xml:space="preserve">JAIME JOSE ANDRES IXCOL VELASQUEZ </t>
  </si>
  <si>
    <t>JENNIFER IVONNE CASTILLO MERIDA</t>
  </si>
  <si>
    <t>JORGE AUGUSTO PEREZ LUNA</t>
  </si>
  <si>
    <t>JOSE  DAMIAN CUMES TUY</t>
  </si>
  <si>
    <t xml:space="preserve">JOSE ARMANDO MUÑOZ MOLINA </t>
  </si>
  <si>
    <t>JOSE FERNANDO AGUILAR FERRER</t>
  </si>
  <si>
    <t>JOSE LUIS VELASQUEZ CIFUENTES</t>
  </si>
  <si>
    <t xml:space="preserve">JOSE RAYMUNDO BAMAC </t>
  </si>
  <si>
    <t>JOSE ROLANDO CANTEO PIRIR</t>
  </si>
  <si>
    <t>JUAN JOSE CHANCHAVAC POROJ</t>
  </si>
  <si>
    <t>JUAN JOSE ESCOBAR MOX</t>
  </si>
  <si>
    <t>JULIAN COCHE MENDOZA</t>
  </si>
  <si>
    <t>JULIO CESAR NAVAS MENDEZ</t>
  </si>
  <si>
    <t>KEVIN OSMAN PEREZ QUIÑONEZ</t>
  </si>
  <si>
    <t>LILY ONELIA MENDEZ SARAT</t>
  </si>
  <si>
    <t>LUIS FERNANDO PEREZ MOLINA</t>
  </si>
  <si>
    <t>MARIO NOE MENDEZ MORALES</t>
  </si>
  <si>
    <t>MAYNOR MAURICIO PEREZ HERNANDEZ</t>
  </si>
  <si>
    <t>PABLO NOEL ALVA MERIDA</t>
  </si>
  <si>
    <t xml:space="preserve">PATRICIA EMIGDIA ROBLERO PEREZ </t>
  </si>
  <si>
    <t>TECNICO DE SONIDO II (0000) SIN ESPECIALIDAD (0000)</t>
  </si>
  <si>
    <t>ROXANA MARIBEL VALDEZ BARRIOS</t>
  </si>
  <si>
    <t>JOSE MIGUEL RECINOS BOCHE</t>
  </si>
  <si>
    <t>JEFE DE DEPARTAMENTO TECNICO II (0000) SIN ESPECIALIDAD (0000)</t>
  </si>
  <si>
    <t>JOSE RICARDO SANTOS AGUILAR</t>
  </si>
  <si>
    <t>SILVIA CAROLINA JEREZ CRUZ</t>
  </si>
  <si>
    <t>HUGO LEONEL ARENAS AMEZQUITA</t>
  </si>
  <si>
    <t>LIQUIDO</t>
  </si>
  <si>
    <t>MONTEPIO</t>
  </si>
  <si>
    <t>DOCENTE ARTISTICO 25 PERIODOS (0000) SIN ESPECIALIDAD (0000)</t>
  </si>
  <si>
    <t xml:space="preserve">ALFREDO DAVID CHOLOTIO VASQUEZ </t>
  </si>
  <si>
    <t xml:space="preserve">ALOM MARIELA ESTRADA GARCIA </t>
  </si>
  <si>
    <t>DOCENTE ARTISTICO 20 PERIODOS (0000) SIN ESPECIALIDAD (0000)</t>
  </si>
  <si>
    <t>ANA PATRICIA MARROQUIN ACUÑA</t>
  </si>
  <si>
    <t>ANGEL BAUDILIO CANREY MARROQUIN</t>
  </si>
  <si>
    <t>ARNOLDO JOSE HERNANDEZ DIAZ</t>
  </si>
  <si>
    <t>AUGUSTO RENE YOL ORTIZ</t>
  </si>
  <si>
    <t>ASISTENTE ARTISTICO III (0000) SIN ESPECIALIDAD (0000)</t>
  </si>
  <si>
    <t>DOCENTE ARTISTICO 22 PERIODOS (0000) SIN ESPECIALIDAD (0000)</t>
  </si>
  <si>
    <t>CONRADO ROVELSI AGUSTIN GARCIA</t>
  </si>
  <si>
    <t>CRISTINA FLORIDALMA RAMIREZ FLORES DE ESPAÑA</t>
  </si>
  <si>
    <t>DINA RUBALI OCHOA ESCOBAR</t>
  </si>
  <si>
    <t>EDDY ALEXANDER DIAZ DE LA ROCA</t>
  </si>
  <si>
    <t>ELIAS NEHEMIAS JIMENEZ TRACHTENBERG</t>
  </si>
  <si>
    <t>EMILDA MARIA ALEJANDRA FLORES GARCIA</t>
  </si>
  <si>
    <t xml:space="preserve">ERWIN ANTONIO MARTINEZ SANDOVAL </t>
  </si>
  <si>
    <t>FERNANDO ROBERTO DIAZ DUARTE</t>
  </si>
  <si>
    <t>DOCENTE ARTISTICO 21 PERIODOS (0000) SIN ESPECIALIDAD (0000)</t>
  </si>
  <si>
    <t xml:space="preserve">GASPAR IGNACIO CHOLOTIO CHOLOTIO </t>
  </si>
  <si>
    <t>JENER SEBASTIAN ACEYTUNO GARCIA</t>
  </si>
  <si>
    <t>JOSE ARMANDO CHACACH CALI</t>
  </si>
  <si>
    <t>JOSE BENITO GARCIA</t>
  </si>
  <si>
    <t>DOCENTE ARTISTICO 17 PERIODOS (0000) SIN ESPECIALIDAD (0000)</t>
  </si>
  <si>
    <t>JUAN ALEXANDER SALAZAR RAMIREZ</t>
  </si>
  <si>
    <t>JUAN MANUEL MAGAÑA MEJIA</t>
  </si>
  <si>
    <t>DOCENTE ARTISTICO 14 PERIODOS (0000) SIN ESPECIALIDAD (0000)</t>
  </si>
  <si>
    <t>LIGIA MARIA RENEE SALAZAR FLORES</t>
  </si>
  <si>
    <t>LUIS ALBERTO VALENZUELA RAMIREZ</t>
  </si>
  <si>
    <t>LUIS HUMBERTO MARTINEZ VELASQUEZ</t>
  </si>
  <si>
    <t>MARIA FELISSA TURCIOS PARADA</t>
  </si>
  <si>
    <t>MARIA JOSE DIAZ MENDEZ DE TEZEN</t>
  </si>
  <si>
    <t xml:space="preserve">MARIA JOSE GONZALEZ CASTILLO </t>
  </si>
  <si>
    <t>MARIA MORALES PANJOJ</t>
  </si>
  <si>
    <t>MARIA SANTOS IQUITE SEQUEN</t>
  </si>
  <si>
    <t>MARICRUZ DIAZ ARANA</t>
  </si>
  <si>
    <t>MARIO RENE BATZIN SICAJAU</t>
  </si>
  <si>
    <t>MARLON DAVID GUZMAN PEREZ</t>
  </si>
  <si>
    <t>MARVIN ARTURO ESCOBAR MARROQUIN</t>
  </si>
  <si>
    <t>MAYRA PATRICIA MARTINEZ GALEANO</t>
  </si>
  <si>
    <t>MAYTE MANUELA SANDOVAL ECHEVERRIA</t>
  </si>
  <si>
    <t>NERY ESTUARDO ESCOBAR MARROQUIN</t>
  </si>
  <si>
    <t>REBECA MONTEAGUDO RODRIGUEZ</t>
  </si>
  <si>
    <t>ROLAND STEPHEN AGUSTIN GARCIA</t>
  </si>
  <si>
    <t>ROMEO ESTUARDO GONZALEZ MEJIA</t>
  </si>
  <si>
    <t>ROSA MARGARITA SILVESTRE DIAZ</t>
  </si>
  <si>
    <t>RUTH NOEMI CONDE RUSTRIAN</t>
  </si>
  <si>
    <t>RUTH NOEMI PORRES RUIZ DE CASTAÑEDA</t>
  </si>
  <si>
    <t>SEBASTIANA MARCELINA IXMUCANE MARTIN VENTURA</t>
  </si>
  <si>
    <t>WILSON GUILLERMO AMILCAR ORTIZ ORDOÑEZ</t>
  </si>
  <si>
    <t>WAINER BRILLANI SAENZ MARTINEZ</t>
  </si>
  <si>
    <t>RUBEN DARIO RAMIREZ Y RAMIREZ</t>
  </si>
  <si>
    <t>MARCO TULIO RAMIREZ HERNANDEZ</t>
  </si>
  <si>
    <t>DIRECCION GENERAL DE LAS ARTES</t>
  </si>
  <si>
    <t>ABEL ELISEO PEREZ LOPEZ</t>
  </si>
  <si>
    <t>ALAN XAVIER GOMEZ ORELLANA</t>
  </si>
  <si>
    <t>ALMA MANUELA CASTRO GOMEZ</t>
  </si>
  <si>
    <t>ARON EMILIO ARMAS MENDOZA</t>
  </si>
  <si>
    <t>BRENDA LUCRECIA DE LEON BLANCO</t>
  </si>
  <si>
    <t>CARLOS BRYANNT ALEJANDRO LOPEZ RODAS</t>
  </si>
  <si>
    <t>CARLOS VINICIO MEJIA GOMEZ</t>
  </si>
  <si>
    <t>CLAUDIA VERONICA LOPEZ GUILLEN</t>
  </si>
  <si>
    <t>CONCEPCION SUQUE CONCOGUA</t>
  </si>
  <si>
    <t>DAVID GERARDO SANTIZO CHAJON</t>
  </si>
  <si>
    <t>EDGAR LEONEL LOPEZ VICENTE</t>
  </si>
  <si>
    <t>EDNA YESENIA CAMO ALDANA</t>
  </si>
  <si>
    <t>JEFE DE SECCION DE SERVICIOS GENERALES (0000), SIN ESPECIALIDAD (0000)</t>
  </si>
  <si>
    <t xml:space="preserve">ELY NEFTALY DE LEON MEDINA </t>
  </si>
  <si>
    <t>ENMA ANITA ESTRADA LOPEZ DE CALDERON</t>
  </si>
  <si>
    <t>ERICK AMILCAR PEREZ LOPEZ</t>
  </si>
  <si>
    <t>ERWIN DANILO CARCAMO LOPEZ</t>
  </si>
  <si>
    <t xml:space="preserve">ESTUARDO ADOLFO LOPEZ CHIAN </t>
  </si>
  <si>
    <t xml:space="preserve">EVA MARIA DE LEON BLANCO </t>
  </si>
  <si>
    <t>FELIX ANTONIO MERIDA LOPEZ</t>
  </si>
  <si>
    <t xml:space="preserve">FRESCIA ZULEMA ESTRADA LOPEZ </t>
  </si>
  <si>
    <t>GERMAN FERNANDO RAXON  EQUITE</t>
  </si>
  <si>
    <t xml:space="preserve">GERSON PASCUAL LOPEZ JACINTO </t>
  </si>
  <si>
    <t>GLENDY PAOLA PALACIOS GOMEZ DE CASTILLO</t>
  </si>
  <si>
    <t>HECTOR ROMEO LOPEZ PORON</t>
  </si>
  <si>
    <t>INGRID JOHANA CHAJON TOXCON</t>
  </si>
  <si>
    <t xml:space="preserve">IRMA YOLANDA LOPEZ VARGAS </t>
  </si>
  <si>
    <t>JEFE DE SECCION DE INVENTARIOS (0000), SIN ESPECIALIDAD (0000)</t>
  </si>
  <si>
    <t>JACKELLINE SUCELI ESTEBAN MONZON</t>
  </si>
  <si>
    <t xml:space="preserve">JEDLEY ESTIVENS LOPEZ ARDON </t>
  </si>
  <si>
    <t>JORGE ERNESTO RODAS LOPEZ</t>
  </si>
  <si>
    <t>JOSUE EMERSON CHICOL SIMON</t>
  </si>
  <si>
    <t>JUVENTINO CORONADO LOPEZ</t>
  </si>
  <si>
    <t>LEDY DINAEL GOMEZ APEN</t>
  </si>
  <si>
    <t>JEFE DE SECCION DE TESORERIA (0000) SIN ESPECIALIDA (0000)</t>
  </si>
  <si>
    <t>JEFE SECCION DE PRESUPUESTO (0000) SIN ESPECIALIDAD (0000)</t>
  </si>
  <si>
    <t>LUIS EDUARDO DIEGUEZ LOPEZ</t>
  </si>
  <si>
    <t>MAINOR RAMON CABRERA GOMEZ</t>
  </si>
  <si>
    <t>MANUELA CONCEPCION LOPEZ COLOP</t>
  </si>
  <si>
    <t>MARCOS ESTEBAN SAQUICH LOPEZ</t>
  </si>
  <si>
    <t>MARGARITO LOPEZ GARCIA</t>
  </si>
  <si>
    <t>MARIO FERNANDO LOPEZ CLARA</t>
  </si>
  <si>
    <t>MARTA YOLANDA MOGOLLON</t>
  </si>
  <si>
    <t>NICOLASA MARIBEL GARCIA LOPEZ</t>
  </si>
  <si>
    <t>PABLO JOSE LOPEZ MATEO</t>
  </si>
  <si>
    <t>SHIRLEY PATRICIA PANTALEON OROZCO</t>
  </si>
  <si>
    <t>YESSICA REBECA MONZON SANCHEZ</t>
  </si>
  <si>
    <t>JOSE FERNANDO LOPEZ ORTIZ</t>
  </si>
  <si>
    <t>DEMECIO DARIO HIDALGO GOMEZ</t>
  </si>
  <si>
    <t>SHARON KATHERINE AVILA CALDERON</t>
  </si>
  <si>
    <t>ABELINO TOT (UNICO APELLIDO)</t>
  </si>
  <si>
    <t>ANA LUCINDA URQUIZU SANCHEZ</t>
  </si>
  <si>
    <t>CARLOS DE JESUS SANTOS SACU</t>
  </si>
  <si>
    <t>CHRISTIAN RODOLFO FERRER BERDUO</t>
  </si>
  <si>
    <t>EDGAR FRANCISCO PU ROSALES</t>
  </si>
  <si>
    <t>LORENZO VELASQUEZ (UNICO APELLIDO)</t>
  </si>
  <si>
    <t>OLIVER JESUS RIVAS VASQUEZ</t>
  </si>
  <si>
    <t>PEDRO ALFONSO GOMEZ (UNICO APELLIDO)</t>
  </si>
  <si>
    <t xml:space="preserve">RAUL ANTONIO LOARCA CASTILLO </t>
  </si>
  <si>
    <t>ROBERTO CHUB (UNICO APELLIDO)</t>
  </si>
  <si>
    <t>ROGER DAVID GUZMAN MORALES</t>
  </si>
  <si>
    <t xml:space="preserve">ZUSI ESMERALDA DE LEON MERIDA DE ROLDAN </t>
  </si>
  <si>
    <t>HELEN SUSANA ENRIQUEZ LOPEZ</t>
  </si>
  <si>
    <t>JESUS ANTONIO ORTIZ LAPOYEU</t>
  </si>
  <si>
    <t>FELIPE DE JESUS CHOCOYO SIAN</t>
  </si>
  <si>
    <t>FRED ADONIRAM BOROR EQUITE</t>
  </si>
  <si>
    <t>DOCENTE ARTISTICO 18 PERIODOS -SIN ESPECIALIDAD-</t>
  </si>
  <si>
    <t>MADELEIN ALEJANDRA ESCOBAR ORELLANA</t>
  </si>
  <si>
    <t>GABRIELA DEL ROSARIO ZAMORA ARENALES</t>
  </si>
  <si>
    <t>MANUEL ANTONIO DE LEON ESTRADA</t>
  </si>
  <si>
    <t>VICTOR MANUEL SOLIS RAMOS</t>
  </si>
  <si>
    <t>MARLON PAUL DONIS MARTINEZ</t>
  </si>
  <si>
    <t>LUCAS ANANIAS XURUC ROSALES</t>
  </si>
  <si>
    <t>NEVALI ISMAEL GONZALEZ GONZALEZ</t>
  </si>
  <si>
    <t>GANDHI EMANUEL PONCE JUAREZ</t>
  </si>
  <si>
    <t xml:space="preserve">IGNACIO VICENTE COJON </t>
  </si>
  <si>
    <t>DIRECTOR TECNICO II</t>
  </si>
  <si>
    <t>JORGE ABEL MONTERROSO SANTIZO</t>
  </si>
  <si>
    <t>FRANCISCO JAVIER VEGA ALVIZURES</t>
  </si>
  <si>
    <t>SAQUEO DOMINGO PEREZ CHOLOTIO</t>
  </si>
  <si>
    <t>SHEILA VERONICA RAMIREZ DE ALONZO</t>
  </si>
  <si>
    <t>ALVA CONSUELO LOPEZ MORENO DE VIDES</t>
  </si>
  <si>
    <t>LUIS FELIPE GOMEZ CADENAS</t>
  </si>
  <si>
    <t>MANUELA ANTONIA SARA MENDOZA LOPEZ</t>
  </si>
  <si>
    <t>TOTALES</t>
  </si>
  <si>
    <t>SERVICIOS PROFESIONALES</t>
  </si>
  <si>
    <t>ALVARO ENRIQUE VELIZ ROSALES</t>
  </si>
  <si>
    <t>LUCIA DOLORES ARMAS GALVEZ</t>
  </si>
  <si>
    <t xml:space="preserve">DIRECTOR TECNICO II </t>
  </si>
  <si>
    <t>ASISTENTE ADMINISTRATIVO IV (0000) SIN ESPECIALIDAD (0000)</t>
  </si>
  <si>
    <t>OSCAR REYNALDO ORELLANA RUBIO</t>
  </si>
  <si>
    <t>YOSSEF GABRIEL RIVAS LOARCA</t>
  </si>
  <si>
    <t>OSCAR EDUARDO DAVILA GOMEZ</t>
  </si>
  <si>
    <t>ZONIA DALILA ERAZO CRUZ</t>
  </si>
  <si>
    <t>COORDINADOR DE ACADEMIAS (0000) SIN ESPECIALIDAD (0000)</t>
  </si>
  <si>
    <t>CARLOS ALBERTO DONIS GONZALEZ</t>
  </si>
  <si>
    <t>LESLIE ANELISSE ROMERO HERNANDEZ</t>
  </si>
  <si>
    <t>ANA LUCIA MENDIZABAL RUIZ</t>
  </si>
  <si>
    <t>OSWALDO ANTONIO OLIVAREZ MORENO</t>
  </si>
  <si>
    <t>JORGE ANTONIO CHUB POP</t>
  </si>
  <si>
    <t>HUGO ARMANDO GUTIERREZ  MORALES</t>
  </si>
  <si>
    <t>SILVIA PAMELA DOMINGUEZ MÉNDEZ DE ESCOBAR</t>
  </si>
  <si>
    <t>ASISTENTE DE PRESUPUESTO II (0000) SIN ESPECIALIDAD (0000)</t>
  </si>
  <si>
    <t>CLESMY CARMINA LÓPEZ DE LEMUS</t>
  </si>
  <si>
    <t>OLGA LORENA CIFUENTES GARCIA DE CIFUENTES</t>
  </si>
  <si>
    <t>ASISTENTE ADMINISTRATIVO III (0000) SIN ESPECIALIDAD (0000)</t>
  </si>
  <si>
    <t>ASISTENTE ADMINISTRATIVO V (0000) SIN ESPECIALIDAD (0000)</t>
  </si>
  <si>
    <t>ASISTENTE ARTISTICO IV (0000) SIN ESPECIALIDAD (0000)</t>
  </si>
  <si>
    <t xml:space="preserve">ASISTENTE DE RECURSOS HUMANOS II (0000) SIN ESPECIALIDAD (0000)  </t>
  </si>
  <si>
    <t>ASISTENTE DE RECURSOS HUMANOS I (0000) SIN ESPECIALIDAD (0000)</t>
  </si>
  <si>
    <t>ASISTENTE DE RELACIONES PUBLICAS  (0000) SIN ESPECIALIDAD (0000)</t>
  </si>
  <si>
    <t>AUXILIAR II (0000) SIN ESPECIALIDAD (0000)</t>
  </si>
  <si>
    <t>AUXILIAR PROFESIONAL ADMINISTRATIVO I (0000) SIN ESPECIALIDAD (0000)</t>
  </si>
  <si>
    <t>DIRECTOR ARTISTICO (0000) SIN ESPECIALIDAD (0000)</t>
  </si>
  <si>
    <t>DOCENTE ARTISTICO 24 PERIODOS (000) SIN ESPECIALIDAD (0000)</t>
  </si>
  <si>
    <t>ESCENOGRAFO (0000) SIN ESPECIALIDAD (0000)</t>
  </si>
  <si>
    <t>INSPECTOR DE ESPECTACULOS (0000) SIN ESPECIALIDAD (0000)</t>
  </si>
  <si>
    <t>JEFE ARTISTICO I (0000) SIN ESPECIALIDAD (0000)</t>
  </si>
  <si>
    <t>JEFE DE CONSERVATORIO NACIONAL (0000) SIN ESPECIALIDAD (0000)</t>
  </si>
  <si>
    <t>JEFE SECCION DE ALMACEN (0000) SIN ESPECIALIDAD (0000)</t>
  </si>
  <si>
    <t>MAESTRO ARTISTICO III (0000) SIN ESPECIALIDAD (0000)</t>
  </si>
  <si>
    <t xml:space="preserve">MENSAJERO I (0000) SIN ESPECIALIDAD (0000)  </t>
  </si>
  <si>
    <t>PROFESIONAL JURIDICO I(0000) SIN ESPECIALIDAD (0000)</t>
  </si>
  <si>
    <t>PROMOTOR ARTISTICO (0000) SIN ESPECIALIDAD (0000)</t>
  </si>
  <si>
    <t>SUBJEFE DE DEPARTAMENTO TECNICO II (0000) SIN ESPECIALIDAD (0000)</t>
  </si>
  <si>
    <t>SUPERVISOR DE TAQUILLA (0000) SIN ESPECIALIDAD (0000)</t>
  </si>
  <si>
    <t>TECNICO DE ALMACEN I (0000) SIN ESPECIALIDAD (0000)</t>
  </si>
  <si>
    <t>TRABAJADOR ESPECIALIZADO III (0000) SIN ESPECIALIDAD (0000)</t>
  </si>
  <si>
    <t>VIGILANTE JEFE (0000) SIN ESPECIALIDAD (0000)</t>
  </si>
  <si>
    <t>RAQUEL YESICA RAFAELA ARGUETA VELÁSQUEZ</t>
  </si>
  <si>
    <t>TOTAL  DESCUENTOS</t>
  </si>
  <si>
    <t>HILARIA MARÍA GUZMÁN HERNÁNDEZ</t>
  </si>
  <si>
    <t>ASISTENTE PEDAGOGO</t>
  </si>
  <si>
    <t>VILMA ARACELY ORELLANA RECINOS DE HERRERA</t>
  </si>
  <si>
    <t>HECTOR MACZ TOC</t>
  </si>
  <si>
    <t>ADRIANA MARIA VALDEZ DARDÓN</t>
  </si>
  <si>
    <t>DIRECTOR ARTÍSTICO</t>
  </si>
  <si>
    <t>MARY ALEJANDRA MANCILLA BALCÁRCEL</t>
  </si>
  <si>
    <t>MARIA GUISELA RODRIGUEZ CHACON</t>
  </si>
  <si>
    <t>ALFREDO LEMUS VASQUEZ</t>
  </si>
  <si>
    <t>ANTONIO CACERES</t>
  </si>
  <si>
    <t>ELVIS BERTONI FIGUEROA JUAREZ</t>
  </si>
  <si>
    <t>IRMA YOLANDA DE PAZ GONZALEZ</t>
  </si>
  <si>
    <t>LORENZO GRANDE AVILA</t>
  </si>
  <si>
    <t>MIGUEL ANGEL VELASQUEZ</t>
  </si>
  <si>
    <t>YANIS AHILIN POL VASQUEZ</t>
  </si>
  <si>
    <t>CESAR AUGUSTO BORRAYO ORDOÑEZ</t>
  </si>
  <si>
    <t>EMILIO CHAVEZ CHAMALE</t>
  </si>
  <si>
    <t>FABIAN CAPEN REYES</t>
  </si>
  <si>
    <t>HECTOR ROLANDO ZACARIAS RODRIGUEZ</t>
  </si>
  <si>
    <t>MIGUEL ANGEL PEREZ OSORIO</t>
  </si>
  <si>
    <t>ALEJANDRO DIAZ SOCOREC</t>
  </si>
  <si>
    <t>ANA MARIA PATZAN IQUITE</t>
  </si>
  <si>
    <t>EFRAIN RODRIGUEZ CANO</t>
  </si>
  <si>
    <t>ELIAS CHICOP YUCUTE</t>
  </si>
  <si>
    <t>ELISA MARIA ALEJANDRA ESCOBAR CASTAÑEDA</t>
  </si>
  <si>
    <t>IRMA MARIVEL DIAZ RAMIREZ</t>
  </si>
  <si>
    <t>LEONEL DIAZ OROZCO</t>
  </si>
  <si>
    <t>MARIA DEL CARMEN CAAL POP</t>
  </si>
  <si>
    <t>MARIA FERNANDA GARCIA MIRANDA</t>
  </si>
  <si>
    <t>VICTOR BATZIN QUEL</t>
  </si>
  <si>
    <t>ALEJANDRO TELON SIMON</t>
  </si>
  <si>
    <t>ANA GABRIELA RAMIREZ  GOMEZ</t>
  </si>
  <si>
    <t>CONCEPCION CUC CHICOP</t>
  </si>
  <si>
    <t>DIANA MARITZA SAMAYOA CASTRO DE LOPEZ</t>
  </si>
  <si>
    <t>ELVIS ORLANDO SENTE CORDON</t>
  </si>
  <si>
    <t>ESTUARDO AUGUSTO PEÑATE CORDON</t>
  </si>
  <si>
    <t>ISRAEL SICAJAU JOLON</t>
  </si>
  <si>
    <t>JERONIMO RODRIGUEZ IXPATAJ</t>
  </si>
  <si>
    <t>JOSE ALBERTO GIRON CANTE</t>
  </si>
  <si>
    <t>JOSE RAMON AGUILAR ARISANDIETA</t>
  </si>
  <si>
    <t xml:space="preserve">LEON MUCUR IXJOTOP </t>
  </si>
  <si>
    <t>MILAGRO GOMEZ CABRERA</t>
  </si>
  <si>
    <t>NORMA JAQUELINE ARAGON</t>
  </si>
  <si>
    <t>SELVIN OTONIEL LOPEZ MIRANDA</t>
  </si>
  <si>
    <t>DANIEL CHOXIN BUCU</t>
  </si>
  <si>
    <t>OSCAR LEONEL SOCOREC BUCU</t>
  </si>
  <si>
    <t>SAUL ANTONIO BARRERA</t>
  </si>
  <si>
    <t>MARVIN ROLANDO YUCUTE CHICOP</t>
  </si>
  <si>
    <t>MARIELLA ODILIA MARISOL RODRIGUEZ GAMBONI</t>
  </si>
  <si>
    <t>Complemento Salarial</t>
  </si>
  <si>
    <t>Escalafon</t>
  </si>
  <si>
    <t>Bosa</t>
  </si>
  <si>
    <t>Bosin/ Bosia/Bosin 2</t>
  </si>
  <si>
    <t>Gastos de Representación</t>
  </si>
  <si>
    <t>Fianza</t>
  </si>
  <si>
    <t>ABEL ENRIQUE SANTOS GONZALEZ</t>
  </si>
  <si>
    <t>JEFE TECNICO ARTISTICO I</t>
  </si>
  <si>
    <t>se le descuenta en el Ministerio de Educación</t>
  </si>
  <si>
    <t>ABRAHAM CON CULAJAY</t>
  </si>
  <si>
    <t>TRABAJADOR OPERATIVO III</t>
  </si>
  <si>
    <t>ADA ABIGAIL CHITAY BAUTISTA</t>
  </si>
  <si>
    <t>TECNICO ARTISTICO II, MUSICA</t>
  </si>
  <si>
    <t>ADAN DE JESUS FIGUEROA RAMIREZ</t>
  </si>
  <si>
    <t>TECNICO ARTISTICO II</t>
  </si>
  <si>
    <t>ADRIANA BEATRIZ IXCOT REYES</t>
  </si>
  <si>
    <t>ALBERTO CUC SACTIC</t>
  </si>
  <si>
    <t xml:space="preserve">ALCIDES RENE ARGUETA  FERNANDEZ </t>
  </si>
  <si>
    <t>ALEX JOB SIS MORALES</t>
  </si>
  <si>
    <t>TECNICO ARTISTICO III</t>
  </si>
  <si>
    <t>ALEXIS RIGOBERTO MENDEZ HERNANDEZ</t>
  </si>
  <si>
    <t>ALFREDO QUEZADA PEREIRA</t>
  </si>
  <si>
    <t>ALMA ROSA ANA GAITAN DAVILA DE AREVALO</t>
  </si>
  <si>
    <t>ALVARO ALEXANDER REYES SAGASTUME</t>
  </si>
  <si>
    <t>ALVARO ANIBAL ORTIZ MARTINEZ</t>
  </si>
  <si>
    <t>TECNICO ARTISTICO I</t>
  </si>
  <si>
    <t>ALVARO DAVID  MENDEZ JERONIMO</t>
  </si>
  <si>
    <t>ALVARO DAVID CATE CHALI</t>
  </si>
  <si>
    <t>AMADEO ALVIZURES GARCIA</t>
  </si>
  <si>
    <t>ANA ALICIA VILLALTA SURUY</t>
  </si>
  <si>
    <t>TRABAJADOR OPERATIVO IV</t>
  </si>
  <si>
    <t>ANA GABRIELA MAZARIEGOS MORALES</t>
  </si>
  <si>
    <t>TECNICO ARTISTICO III 4 HRS.</t>
  </si>
  <si>
    <t>ANA LUCRECIA VELEZ PALACIOS</t>
  </si>
  <si>
    <t>TECNICO ARTISTICO II 5 PERIODOS</t>
  </si>
  <si>
    <t>ANA MARYLENA JEREZ MARROQUIN</t>
  </si>
  <si>
    <t>ANA SOFIA REYES GIL</t>
  </si>
  <si>
    <t>ANA SOFIA VILLAR ALVARADO</t>
  </si>
  <si>
    <t>ANDREA ALVAREZ QUIÑONEZ</t>
  </si>
  <si>
    <t>ANDREA MARIA GALDAMEZ CASTILLO</t>
  </si>
  <si>
    <t>ANGEL ROBERTO PEREZ CHAMALE</t>
  </si>
  <si>
    <t>ANGELICA CAROLINA GOMEZ ESTRADA</t>
  </si>
  <si>
    <t>ARMANDO HERNANDEZ GARCIA</t>
  </si>
  <si>
    <t>JEFE TECNICO ARTISTICO II</t>
  </si>
  <si>
    <t>AROLDO RAMON VICENTE PEREZ</t>
  </si>
  <si>
    <t>TRABAJADOR ESPECIALIZADO III</t>
  </si>
  <si>
    <t>ASTRID GEORGINE MARROQUIN</t>
  </si>
  <si>
    <t>AURA MARINA GOMEZ MAZATE</t>
  </si>
  <si>
    <t>PROFESIONAL II, ADMINISTRACION</t>
  </si>
  <si>
    <t>BAYRON RENE DARDON</t>
  </si>
  <si>
    <t>BLANCA ILEANA  FLORES MACARIO</t>
  </si>
  <si>
    <t>BLANCA LUZ DELGADO MORALES</t>
  </si>
  <si>
    <t>BYRON ABRAHAM GARCIA RECINOS</t>
  </si>
  <si>
    <t>TECNICO I</t>
  </si>
  <si>
    <t>CARLA EUGENIA JEREZ</t>
  </si>
  <si>
    <t>CARLOS EDUARDO GONZALEZ DE PAZ</t>
  </si>
  <si>
    <t>CARLOS ENRIQUE AJUCHAN CHOC</t>
  </si>
  <si>
    <t>CARLOS ENRIQUE GALDAMEZ CASTILLO</t>
  </si>
  <si>
    <t>CARLOS ESTUARDO GOMEZ MARTINEZ</t>
  </si>
  <si>
    <t>CARLOS OTONIEL GOMEZ TEXAJ</t>
  </si>
  <si>
    <t>CARLOS RAMIRO VIVAR AGUILAR</t>
  </si>
  <si>
    <t xml:space="preserve">TECNICO ARTISTICO II 5 PERIODOS Y JEFE TECNICO ARTISTICO I </t>
  </si>
  <si>
    <t>CARLOS ROBERTO CHALI CUJCUJ</t>
  </si>
  <si>
    <t>CARMEN ADELA HERNANDEZ LUNA</t>
  </si>
  <si>
    <t>CAROLA MISHELL MERIDA SAZO DE ARBIZU</t>
  </si>
  <si>
    <t>TECNICO ARTISTICO I, DANZA</t>
  </si>
  <si>
    <t>CARY MARYLIS MELENDEZ GARCIA</t>
  </si>
  <si>
    <t>TECNICO ARTISTICO I-DANZA</t>
  </si>
  <si>
    <t>CESAR ARMANDO ESTRADA DE LEON</t>
  </si>
  <si>
    <t xml:space="preserve">CESAR AUGUSTO AJAU BURRION </t>
  </si>
  <si>
    <t>TRABAJADOR ESPECIALIZADO II</t>
  </si>
  <si>
    <t>CESAR AUGUSTO MORALES PEREZ</t>
  </si>
  <si>
    <t>CESAR HIDARIO CANREY MARROQUIN</t>
  </si>
  <si>
    <t>CHRISTIAN ESCOBAR PALACIOS</t>
  </si>
  <si>
    <t>CINTIA PAOLA FLOR MARIA ALEJANDRA RAMIREZ URIZAR</t>
  </si>
  <si>
    <t>ASISTENTE PROFESIONAL IV</t>
  </si>
  <si>
    <t>CLAUDIA ISABEL LAMADRID AJANEL DE AZURDIA</t>
  </si>
  <si>
    <t>CLAUDIA KARINA SEGURA AFRE</t>
  </si>
  <si>
    <t>CLAUDIA LUCRECIA GARCIA GUTIERREZ</t>
  </si>
  <si>
    <t>CLAUDIA MARIA CHINCHILLA VETTORAZI DE DIAZ</t>
  </si>
  <si>
    <t>TECNICO ARTISTICO II 5 PERIODOS, 4 PLAZAS</t>
  </si>
  <si>
    <t>CLAUDIA MARIA GUADALUPE YAX ROSALES</t>
  </si>
  <si>
    <t>CRISTOBAL BUCU PUAC</t>
  </si>
  <si>
    <t>DAFNNE LISSETH FLORES LOPEZ</t>
  </si>
  <si>
    <t>DANIELA CELESTE ARRECIS HERNANDEZ</t>
  </si>
  <si>
    <t>DANY MOISES BARTOLOMIN MUTZUTZ</t>
  </si>
  <si>
    <t>DARIL RAMIRO OLIVA SIERRA</t>
  </si>
  <si>
    <t>DINA ANELISE SANTA CRUZ GALVEZ DE AGUILAR</t>
  </si>
  <si>
    <t>DISRAEL DARIN MANFREDY JOM HERNANDEZ</t>
  </si>
  <si>
    <t>TECNICO ARTISTICO II 25 PERIODOS</t>
  </si>
  <si>
    <t>DOMINGO ALEXANDER SOTZ LOPEZ</t>
  </si>
  <si>
    <t>EDDY LEONEL MONTENEGRO MORATAYA</t>
  </si>
  <si>
    <t>EDDY RENE YANTUCHE CUYAN</t>
  </si>
  <si>
    <t>EDGAR DIONICIO QUISQUINAY ALCOR</t>
  </si>
  <si>
    <t>EDGAR LEONEL SILVA GARCIA</t>
  </si>
  <si>
    <t>EDGAR RENE QUIÑONEZ PEREZ</t>
  </si>
  <si>
    <t>EDGAR RODOLFO ORTEGA MOLINA</t>
  </si>
  <si>
    <t>EDITH ALEIDA ZUCELY LOPEZ VASQUEZ</t>
  </si>
  <si>
    <t>TECNICO PROFESIONAL I</t>
  </si>
  <si>
    <t>EDWIN ALEXANDER MORA GUZMAN</t>
  </si>
  <si>
    <t>EDVIN ROLANDO MORA GUZMAN</t>
  </si>
  <si>
    <t>EDWIN ARNOLDO RAMIREZ MUÑOZ</t>
  </si>
  <si>
    <t>EDWIN ERNESTO CRUZ GONZALEZ</t>
  </si>
  <si>
    <t>EDWIN GIOVANNI CANO SALAZAR</t>
  </si>
  <si>
    <t>TRABAJADOR OPERATIVO II</t>
  </si>
  <si>
    <t>EDWIN HAROLD GUERRA BAÑOS</t>
  </si>
  <si>
    <t>ELVIA MARGOTH SANABRIA HERNANDEZ</t>
  </si>
  <si>
    <t xml:space="preserve">EMILIA COSIGUA SICAJAU </t>
  </si>
  <si>
    <t>ERICK DOUGLAS CORDOVA ARRIAZA</t>
  </si>
  <si>
    <t>ERICK ROLANDO PANIAGUA</t>
  </si>
  <si>
    <t>ERVIN MANUEL AJQUILL VELASQUEZ</t>
  </si>
  <si>
    <t>ESTHER OBREGON OLAYA DE FLORES</t>
  </si>
  <si>
    <t>EVELYN LUCIA HERNANDEZ LOPEZ</t>
  </si>
  <si>
    <t>OFICINISTA IV</t>
  </si>
  <si>
    <t>EVELYN SHIVONEE GODINEZ OROZCO</t>
  </si>
  <si>
    <t>EVERILDO VICTOR PEREZ CORONADO</t>
  </si>
  <si>
    <t>FELIPE SAULO RODRIGUEZ JERONIMO</t>
  </si>
  <si>
    <t>TECNICO ARTISTICO II 5 PERIODOS-EDUCACION ARTISTICA-429095</t>
  </si>
  <si>
    <t>FELIX ALBERTO AZURDIA MEJIA</t>
  </si>
  <si>
    <t>FERNANDO ISABEL VASQUEZ HERNANDEZ</t>
  </si>
  <si>
    <t>FIELDIN UDINE ROLDAN LEMUS</t>
  </si>
  <si>
    <t>FRANCISCO ALEJANDRO CASTRO ORDOÑEZ</t>
  </si>
  <si>
    <t>FRANCISCO JAVIER CASADO OCHOA</t>
  </si>
  <si>
    <t>FRANCISCO OTZOY TZAJ</t>
  </si>
  <si>
    <t>FRANQUIL RAUL DE LEON</t>
  </si>
  <si>
    <t>GABINO CHICOP YUCUTE</t>
  </si>
  <si>
    <t>GABRIELA MARIA CORLETO ORANTES</t>
  </si>
  <si>
    <t>GAD ESAU ECHEVERRIA GARCIA</t>
  </si>
  <si>
    <t>GERONIMO BACA SIQUE</t>
  </si>
  <si>
    <t xml:space="preserve">GERSON ANIBAL MALIN HERNANDEZ </t>
  </si>
  <si>
    <t>GIDIA MARILA GALVEZ QUIM</t>
  </si>
  <si>
    <t>OFICINISTA I</t>
  </si>
  <si>
    <t>GIOVANNI CLEMENTINO CIFUENTES DE LEON</t>
  </si>
  <si>
    <t>GLADYS ELIZABETH GARCIA ACEITUNO</t>
  </si>
  <si>
    <t>GRETCHEN FABIOLA BARNEOND MARTÍNEZ</t>
  </si>
  <si>
    <t>GREG JOSE DANIEL CISNEROS ARRIAGA</t>
  </si>
  <si>
    <t>TRABAJADO OPERATIVO  III</t>
  </si>
  <si>
    <t>GRUSCHENKA PAOLA SANDOVAL TOSCANO</t>
  </si>
  <si>
    <t>GUILLERMO ANTONIO LOPEZ JIMENEZ</t>
  </si>
  <si>
    <t>GUSTAVO ADOLFO GOMEZ GARCIA</t>
  </si>
  <si>
    <t>TECNICO ARTISTICO II 5 PERIODOS Y TECNICO ARTISTICO II</t>
  </si>
  <si>
    <t>HECTOR MAXIMILIANO CASTRO ZAYAS</t>
  </si>
  <si>
    <t>TECNICO ARTISTICO II 5 PERIODOS Y JEFE TECNICO ARTISTICO II</t>
  </si>
  <si>
    <t>HECTOR RENE MALDONADO SANDOVAL</t>
  </si>
  <si>
    <t>HECTOR ROLANDO AGUILAR OROZCO</t>
  </si>
  <si>
    <t>JEFE TECNICO ARTISTICO I-ADMINISTRACION EDUCATIVA</t>
  </si>
  <si>
    <t>HECTOR ROLANDO VELASQUEZ SAMAYOA</t>
  </si>
  <si>
    <t>TECNICO ARTISTICO II 1 HRA.Y JEFE ARTISTICO I</t>
  </si>
  <si>
    <t>HECTOR VINICIO SALAZAR MENENDEZ</t>
  </si>
  <si>
    <t>HEIDI ELENA CORZO PINEDA</t>
  </si>
  <si>
    <t>HELBER AMAURI ANGEL FIGUEROA</t>
  </si>
  <si>
    <t>HERBERT HERMELINDO BOCHE LOPEZ</t>
  </si>
  <si>
    <t>HILARIO ALEJANDRO HERNANADEZ SANTIZO</t>
  </si>
  <si>
    <t>TECNICO ARTISTICO II, 4 HORAS, EDUCACION ARTISTICA</t>
  </si>
  <si>
    <t>HUGO RENE GUDIEL RAMIREZ</t>
  </si>
  <si>
    <t>ILEANA CRISTHEL YAT OLIVA</t>
  </si>
  <si>
    <t>TECNICO ARTISTICO II 25 PERIOD-EDUCACION ARTISTICA</t>
  </si>
  <si>
    <t>INGRID ELIZABETH MARTINEZ MERIDA</t>
  </si>
  <si>
    <t>TECNICO ARTISTICO II 5 PERIODOS-EDUCACION ARTISTICA</t>
  </si>
  <si>
    <t>INGRID ERNESTINA MORALES PEREZ</t>
  </si>
  <si>
    <t>ISABEL DE LOS ANGELES RUANO FLORES</t>
  </si>
  <si>
    <t>ISRAEL DEL PILAR RAMIREZ VARELA</t>
  </si>
  <si>
    <t>IUNUHE DE GANDARIAS LOPEZ</t>
  </si>
  <si>
    <t>IVAN MARTIN MARTINEZ PALMA</t>
  </si>
  <si>
    <t>JOAQUIN OSVALDO MARTINEZ HERNANDEZ</t>
  </si>
  <si>
    <t>JOHN RICHARDS TZUL IGNACIO</t>
  </si>
  <si>
    <t>JORGE ADALBERTO AJAU BURRION</t>
  </si>
  <si>
    <t>JORGE ALFREDO PORRAS SEAGRAVE-SMITH</t>
  </si>
  <si>
    <t>JORGE AURELIO FLORES ARRAZOLA</t>
  </si>
  <si>
    <t>JORGE EMILIO URRUTIA MEDINA</t>
  </si>
  <si>
    <t>JORGE FERNANDO DE LEON FLORES</t>
  </si>
  <si>
    <t>JORGE LEONEL VILLATORO VALDES</t>
  </si>
  <si>
    <t>TECNICO ARTISTICO II 25 PERIOD</t>
  </si>
  <si>
    <t>JORGE MARIO MARTINEZ CHAY</t>
  </si>
  <si>
    <t>JORGE OVIDIO JOLON ITZOL</t>
  </si>
  <si>
    <t>JORGE VINICIO SANCHEZ AGUILAR</t>
  </si>
  <si>
    <t>JOSE ARMANDO AJUCHAN LAROJ</t>
  </si>
  <si>
    <t>JOSE CRISTOBAL SUCUC BAL</t>
  </si>
  <si>
    <t>JOSE DOMINGO VELASQUEZ MIRANDA</t>
  </si>
  <si>
    <t>JOSE FRANCISCO HERNANDEZ LUNA</t>
  </si>
  <si>
    <t>JOSE LUIS LOPEZ</t>
  </si>
  <si>
    <t>JOSE REANDA MENDOZA</t>
  </si>
  <si>
    <t>JOSEFINA MORALES TAHON</t>
  </si>
  <si>
    <t>TRABAJADOR OPERATIVO II, CONSERJERIA</t>
  </si>
  <si>
    <t>JOSUE ELI BARRIOS ROMERO</t>
  </si>
  <si>
    <t>JOSUE SAUL VASQUEZ GARCIA</t>
  </si>
  <si>
    <t xml:space="preserve">JOYCE SHARON CRUZ ARGUELLO </t>
  </si>
  <si>
    <t>TECNICO ARTÍSTICO I, ESPECIALIDAD DANZA</t>
  </si>
  <si>
    <t>JUAN ANTONIO SEQUEN RAC</t>
  </si>
  <si>
    <t>JUAN CARLOS FRANCO CISNEROS</t>
  </si>
  <si>
    <t>JUAN DANILO RAYMUNDO SACALXOT</t>
  </si>
  <si>
    <t>TECNICO ARTISTICO II 25 PERIODOS Y TECNICO ARTISTICO II 4 PERIODOS-EDUCACION ARTISTICA</t>
  </si>
  <si>
    <t>JUAN DE JESUS DIAZ BAQUE</t>
  </si>
  <si>
    <t>JUAN GABRIEL YELA LOPEZ</t>
  </si>
  <si>
    <t>TECNICO ARTISTICO II 5 PERIODOS Y JEFE TECNICO ARTISTICO I</t>
  </si>
  <si>
    <t>JUAN JOSE GARCIA MORALES</t>
  </si>
  <si>
    <t>JUAN PABLO GUDIEL PEREZ</t>
  </si>
  <si>
    <t>JUAN SELVIN VELASQUEZ ANDRADE</t>
  </si>
  <si>
    <t>JUANA CELIA GUZMAN VIRULA</t>
  </si>
  <si>
    <t>JUANA MIGDALIA RUIZ BARRERA</t>
  </si>
  <si>
    <t>JULIO ALFONSO LIMA MARTINEZ</t>
  </si>
  <si>
    <t>JULIO CESAR FLORES HERNANDEZ</t>
  </si>
  <si>
    <t>JULIO CESAR GARCIA JUARROZ</t>
  </si>
  <si>
    <t>JULIO CESAR LOPEZ HERRERA</t>
  </si>
  <si>
    <t>JULIO CESAR RAMIREZ GONZALEZ</t>
  </si>
  <si>
    <t>JULIO CESAR SANTOS CAMPOS</t>
  </si>
  <si>
    <t>JULIO CESAR VILLALOBOS ARROYO</t>
  </si>
  <si>
    <t>JULIO DAVID GALLARDO REYES</t>
  </si>
  <si>
    <t>JULIO RAFAEL OLIVA MORALES</t>
  </si>
  <si>
    <t>JULIO RENE FUENTES LOPEZ</t>
  </si>
  <si>
    <t>KARLA MAGALI SALAS  DE ALVAREZ</t>
  </si>
  <si>
    <t>KARLA MARIA DARDON RIVAS DE HERNANDEZ</t>
  </si>
  <si>
    <t>KENNETH ERICKSON VASQUEZ VILLAGRAN</t>
  </si>
  <si>
    <t>LAURA CRISTINA PELLECER GONZALEZ</t>
  </si>
  <si>
    <t>LAURA ISABEL CORONADO GONZALEZ</t>
  </si>
  <si>
    <t>LESLI DOLORES LOPEZ MORENO</t>
  </si>
  <si>
    <t>LESLIE CLARISSA QUECHE GUITZOL</t>
  </si>
  <si>
    <t>LIGIA CELESTE LOPEZ VELASQUEZ</t>
  </si>
  <si>
    <t>LIGIA IRENE ALVARADO ESTRADA</t>
  </si>
  <si>
    <t>OFICINISTA II</t>
  </si>
  <si>
    <t>LILIANA MARITZA MURGA ARMAS</t>
  </si>
  <si>
    <t>LINDA PATRICIA MOLINA VALENZUELA DE ENRIQUEZ</t>
  </si>
  <si>
    <t>LIZY ANNEL ROMAN MORALES</t>
  </si>
  <si>
    <t>LUCIA ESTER QUINTANA DUBON</t>
  </si>
  <si>
    <t>LUCY YESENIA ZUÑIGA REVOLORIO</t>
  </si>
  <si>
    <t>LUDWIN CONSTANTINO VASQUEZ GOMEZ</t>
  </si>
  <si>
    <t>LUIS ADOLFO MIJANGOS RECINOS</t>
  </si>
  <si>
    <t>TECNICO ARTISTICO II-MUSICA</t>
  </si>
  <si>
    <t>LUIS ALBERTO DEL AGUILA GONZALEZ</t>
  </si>
  <si>
    <t>LUIS ALBERTO TALA DE LA CRUZ</t>
  </si>
  <si>
    <t>LUIS FERNANDO JUAREZ</t>
  </si>
  <si>
    <t>LUIS RENE MOSCOSO ORELLANA</t>
  </si>
  <si>
    <t>LUISA BEATRIZ CHALULEU BAEZA</t>
  </si>
  <si>
    <t>MACARIO DANIEL LIMATUJ VALDEZ</t>
  </si>
  <si>
    <t>MAINOR IBAN PINEDA GRANADOS</t>
  </si>
  <si>
    <t>MANFER ENRIQUE GOMEZ CISNEROS</t>
  </si>
  <si>
    <t>TRABAJADOR ESPECIALIZADO JEFE I</t>
  </si>
  <si>
    <t>MANUEL ANGEL CELADA CARTAGENA</t>
  </si>
  <si>
    <t>MANUEL DE JESUS CATU VASQUEZ</t>
  </si>
  <si>
    <t>MANUEL MATEO SUAR</t>
  </si>
  <si>
    <t>MARCIO SANTIAGO CHAMALE ORTIZ</t>
  </si>
  <si>
    <t>MARCO ANTONIO BARRIOS RENDON</t>
  </si>
  <si>
    <t>MARCO VINICIO BARRIOS HERRERA</t>
  </si>
  <si>
    <t>MARIA ALEJANDRA RIZZO ARRIVILLAGA</t>
  </si>
  <si>
    <t>MARIA ANTONIETA BRAN ANDRADE DE CHARNAUD</t>
  </si>
  <si>
    <t>MARIA DEL ROSARIO MORALES SOLORZANO</t>
  </si>
  <si>
    <t>MARIA DEL ROSARIO VASQUEZ GARCIA</t>
  </si>
  <si>
    <t>MARIA DOLORES MENDOZA GALVEZ  DE VALENCIA</t>
  </si>
  <si>
    <t>MARIA ESTEFANI MONTUFAR CASTRO DE CASTRO</t>
  </si>
  <si>
    <t>MARIA ESTELA BOCHE RECINOS</t>
  </si>
  <si>
    <t>MARIA ESTELA COLINDRES CONTRERAS</t>
  </si>
  <si>
    <t>MARIA EUGENIA CUA</t>
  </si>
  <si>
    <t>MARIA ISABEL CAC CASTRO</t>
  </si>
  <si>
    <t>MARIA JOSE MAGAÑA COUTIÑO</t>
  </si>
  <si>
    <t>MARIA LUISA GUARCAS CAAL</t>
  </si>
  <si>
    <t>MARIA VICTORIA SANTIZO URIZAR</t>
  </si>
  <si>
    <t>MARIAJOSE MANCILLA GOMEZ</t>
  </si>
  <si>
    <t>MARINA YOLANDA LEMUS GARCIA</t>
  </si>
  <si>
    <t>MARIO EDUARDO FAJARDO CONTRERAS</t>
  </si>
  <si>
    <t>MARIO OSWALDO CUBUR QUEXEL</t>
  </si>
  <si>
    <t>MARTHA LUCIA RIVERA MANSILLA</t>
  </si>
  <si>
    <t>MARVIN ARDANY LOPEZ ALVARADO</t>
  </si>
  <si>
    <t>MARVIN ARTURO CABRERA GUERRERO</t>
  </si>
  <si>
    <t>MARVIN GEOVANNI FUENTES RAMIREZ</t>
  </si>
  <si>
    <t>MAYNOR ANIBAL FUENTES RAMIREZ</t>
  </si>
  <si>
    <t>MAYNOR RENE ORDOÑEZ FLORES</t>
  </si>
  <si>
    <t>MAYRA ALEJANDRA SANTIZO CHAVEZ</t>
  </si>
  <si>
    <t>MAYRA OFELIA ESTRADA PADILLA  DE MORATAYA</t>
  </si>
  <si>
    <t>MIGUEL ANGEL  ROMERO ZETINA</t>
  </si>
  <si>
    <t>MIGUEL ANGEL JUAREZ GONZALEZ</t>
  </si>
  <si>
    <t>MILTON GUSTAVO  SANCHEZ GARCIA</t>
  </si>
  <si>
    <t>TRABAJADOR OPERATIVO II-CONSERJERIA</t>
  </si>
  <si>
    <t>MIRIAM CARLOTA MAZARIEGOS GARCIA</t>
  </si>
  <si>
    <t>MIRIAM ELIZABETH ALDANA SALGUERO</t>
  </si>
  <si>
    <t>MIRIAN CATALINA GIRON GONZALEZ</t>
  </si>
  <si>
    <t>MIRNA CONCEPCION GOMEZ CADENAS</t>
  </si>
  <si>
    <t>MIRNA ELIZABETH DE LEON DIAZ</t>
  </si>
  <si>
    <t>MOISES AARON RAMIREZ OLIVA</t>
  </si>
  <si>
    <t>MOISES ABRAHAM LOPEZ JIMENEZ</t>
  </si>
  <si>
    <t>MONICA IVONNE ORTIZ LOPEZ</t>
  </si>
  <si>
    <t>MONICA ROSA VICTORIA LOU GARRIDO</t>
  </si>
  <si>
    <t>MONICA SARMIENTOS ROLDAN</t>
  </si>
  <si>
    <t>NANCY ELIZABETH ACHIBI MARTINEZ</t>
  </si>
  <si>
    <t>NATANAEL JERONIMO TAQUEZ</t>
  </si>
  <si>
    <t>NERY ADOLFO  PINEDA</t>
  </si>
  <si>
    <t>TRABAJADOR OPERATIVO III-OPERACION EQUIPO PROYECCION</t>
  </si>
  <si>
    <t>NERY ROLANDO AGUILAR SANCHEZ</t>
  </si>
  <si>
    <t>TECNICO ARTISTICO II 5 PERIODOS, 2 PLAZAS</t>
  </si>
  <si>
    <t>NORIA SAMANTHA SANTANA MUÑOZ</t>
  </si>
  <si>
    <t>ODILIA JEREZ SANTIZO  DE GUZMAN</t>
  </si>
  <si>
    <t>OSCAR ANIVAL LEON GONZALEZ</t>
  </si>
  <si>
    <t>OSCAR EUSEBIO RAFAEL PUAC</t>
  </si>
  <si>
    <t>TRABAJADOR ESPECIALIZADO I</t>
  </si>
  <si>
    <t>OSMAR ESTUARDO CORTES BARRIOS</t>
  </si>
  <si>
    <t>OSWALDO ENRIQUE VALLADARES</t>
  </si>
  <si>
    <t>OTTO ARNOLDO LEMUS BENITEZ</t>
  </si>
  <si>
    <t>OTTO DANILO HERNANDEZ XITUMUL</t>
  </si>
  <si>
    <t>OTTO RENATO AROCHE ZAMORA</t>
  </si>
  <si>
    <t>PEDRO ADALBERTO VELASQUEZ MORENO</t>
  </si>
  <si>
    <t>PEDRO ALBERTO JAYES GUEVARA</t>
  </si>
  <si>
    <t>PEDRO JULIO AJIN HERNANDEZ</t>
  </si>
  <si>
    <t>TECNICO ARTISTICO II 1 HRA.</t>
  </si>
  <si>
    <t>RAFAEL ARCANGEL PEREZ MARTINEZ</t>
  </si>
  <si>
    <t>RAQUEL VICTORIA BETSABE SANTOS AZURDIA</t>
  </si>
  <si>
    <t>RAUL YOSIMAR CHOY CAMEY</t>
  </si>
  <si>
    <t>RENE ALBERTO CASTRO HEINEMANN</t>
  </si>
  <si>
    <t>RENE HAROLDO RAMIREZ HERNANDEZ</t>
  </si>
  <si>
    <t>REYNA ISABEL HERCULES PEREZ</t>
  </si>
  <si>
    <t>REYNA PATRICIA SANTIZO URIZAR</t>
  </si>
  <si>
    <t>REYNALDO BENJAMIN CALDERON CASTILLO</t>
  </si>
  <si>
    <t>RICARDO JOSE DEL CARMEN FORTUNY</t>
  </si>
  <si>
    <t>RICARDO SOLORZANO GOMEZ</t>
  </si>
  <si>
    <t>RITA CLARISSA SANTIZO CASTELLANOS</t>
  </si>
  <si>
    <t>ROBERTA REYNA BARRIOS GOMEZ</t>
  </si>
  <si>
    <t>RODOLFO ARMANDO OLIVA LEON</t>
  </si>
  <si>
    <t>ROGER FEDERICO OVALLE RODAS</t>
  </si>
  <si>
    <t>TECNICO ARTISTICO II 5 PERIODOS Y TECNICO ARTISTICO III-ESCENOGRAFIA</t>
  </si>
  <si>
    <t>ROLAN DAVID CASASOLA MAZARIEGOS</t>
  </si>
  <si>
    <t>ROSALIA MANUELA MENDEZ MACARIO</t>
  </si>
  <si>
    <t>ROSALIO EDUARDO SAC RACANCOJ</t>
  </si>
  <si>
    <t>ROY ALEXANDER GALVEZ MOYA</t>
  </si>
  <si>
    <t>TECNICO PROFESIONAL I, CONTABILIDAD</t>
  </si>
  <si>
    <t>SARA IVONNE REYNA MONTENEGRO</t>
  </si>
  <si>
    <t>SERGIO ANTONIO TZIC FUENTES</t>
  </si>
  <si>
    <t>SERGIO DANILO DIAZ AVENDAÑO</t>
  </si>
  <si>
    <t>SERGIO ERNESTO RODAS VELASQUEZ</t>
  </si>
  <si>
    <t>SERGIO ESTUARDO PACACHE TAJIN</t>
  </si>
  <si>
    <t>SERGIO FERNANDO REYES SAGASTUME</t>
  </si>
  <si>
    <t>SERGIO ROGELIO SALAY CONTRERAS</t>
  </si>
  <si>
    <t>TECNICO ARTISTICO II 4 HRS.</t>
  </si>
  <si>
    <t>SERGIO ROLANDO ALVARADO VALENZUELA</t>
  </si>
  <si>
    <t>SILVIA CLARA LUZ JUAREZ QUIQUIVIX DE GARCIA SALAS</t>
  </si>
  <si>
    <t>SIOMARA ESTHER CASTELLANOS BOBADILLA</t>
  </si>
  <si>
    <t>SONIA ANNABELLA MARCOS BOBADILLA  DE MARTINEZ</t>
  </si>
  <si>
    <t>SONIA ELVIA SOTO GARRIDO</t>
  </si>
  <si>
    <t>TELMA RAQUEL DIAZ DONIS DE GARCIA</t>
  </si>
  <si>
    <t xml:space="preserve">JEFE TECNICO ARTISTICO I </t>
  </si>
  <si>
    <t>TITO ROLANDO SANTOS SACU</t>
  </si>
  <si>
    <t>TULIO RENATO CARRILLO DUARTE</t>
  </si>
  <si>
    <t>VERLY ESTEFANY GARCIA OVALLE</t>
  </si>
  <si>
    <t>VICTOR HUGO RODAS PADILLA</t>
  </si>
  <si>
    <t>VICTORIA MENDOZA DE LEON</t>
  </si>
  <si>
    <t>VIDAL GARCIA VELASQUEZ</t>
  </si>
  <si>
    <t>VITALINA SACTIC BATZIN DE BATZIN</t>
  </si>
  <si>
    <t>VIVIAN CATALINA CASTELLANOS  DE GONZALEZ</t>
  </si>
  <si>
    <t>VIVIAN ERICKA ARANA TORRES  DE MONZON</t>
  </si>
  <si>
    <t>WALESKA SIEKAVIZZA ROJAS</t>
  </si>
  <si>
    <t>WENDY MARISELA RAMIREZ LOPEZ</t>
  </si>
  <si>
    <t>WILLIAM OSWALDO ALVAREZ ALVAREZ</t>
  </si>
  <si>
    <t>TRABAJADOR OPERATIVO III-RESGUARDO Y VIGILANCIA</t>
  </si>
  <si>
    <t>WINSTON PAUL MANUEL RUIZ ALVARADO</t>
  </si>
  <si>
    <t>YESENIA MARCELA TELLO JUAREZ DE US</t>
  </si>
  <si>
    <t>YURI VLADIMIR CRUZ QUEVEDO</t>
  </si>
  <si>
    <t>ZOILA CAROLINA MACA LOPEZ DE FLORES</t>
  </si>
  <si>
    <t>ZOILA ELIZABETH VASQUEZ ROJAS</t>
  </si>
  <si>
    <t>ZOILA LUZ POLANCO CORONADO</t>
  </si>
  <si>
    <t>ZUHAN VIVIANA CUELLAR MORATAYA</t>
  </si>
  <si>
    <t>ZULEYMA JEANETH TORRES CARDONA</t>
  </si>
  <si>
    <t>TECNICO PROFESIONAL II</t>
  </si>
  <si>
    <t>DIRECTOR DE DIFUSIÓN DE LAS ARTES</t>
  </si>
  <si>
    <t>JORGE LUIS MARIN AREVALO</t>
  </si>
  <si>
    <t>JAIME JOSE ANDRES IXCOL VASQUEZ</t>
  </si>
  <si>
    <t>TECNICO ARTISTICO II 4 PERIODOS</t>
  </si>
  <si>
    <t>ASESOR PROFESIONAL ESPECIALIZADO IV.</t>
  </si>
  <si>
    <t>MARIA DE LOS ANGELES VELASQUEZ ORTIZ</t>
  </si>
  <si>
    <t>WILVER VINICIO VILLACINDA GOLIA</t>
  </si>
  <si>
    <t>MARCO AURELIO NOGUERA GALVEZ</t>
  </si>
  <si>
    <t>ERICK MERARDO REYES RAMÍREZ</t>
  </si>
  <si>
    <t>JUAN JOSE CARVAJAL GODINEZ</t>
  </si>
  <si>
    <t>HÉCTOR ESTUARDO ROCA ANTILLÓN</t>
  </si>
  <si>
    <t>ASISTENTE DE PRESUPUESTO II</t>
  </si>
  <si>
    <t>SANDRA PATRICIA CHAVAC MELETZ</t>
  </si>
  <si>
    <t>LESLI JASMIN NAJERA BERGANZA</t>
  </si>
  <si>
    <t>JOSUE DAVID PEREZ VICENTE</t>
  </si>
  <si>
    <t>TRABAJADOR ESPECIALZIADO I</t>
  </si>
  <si>
    <t>HECTOR ROLANDO PIRIR SEQUEN</t>
  </si>
  <si>
    <t>ECNICO ARTÍSTICO II</t>
  </si>
  <si>
    <t>JORGE MANUEL OLIVA MORALES</t>
  </si>
  <si>
    <t>JULIO CESAR SANTOS AZURDIA</t>
  </si>
  <si>
    <t>HERBERT GIOVANNI IGNACIO AJUCHAN</t>
  </si>
  <si>
    <t>CLASES PASIVAS</t>
  </si>
  <si>
    <t>YASMYN  LETICIA GARCIA SAZO DE LIMA</t>
  </si>
  <si>
    <t>Montepío</t>
  </si>
  <si>
    <t>EDY WILFREDO BAL CHIGUIL</t>
  </si>
  <si>
    <t>ASISTENTE PROFESIONAL ESPECIALIZADO IV</t>
  </si>
  <si>
    <t>DIRECTOR TECNICO II-ADMINISTRACION</t>
  </si>
  <si>
    <t>JEFE TECNICO ARTISTICO I-MUSICA</t>
  </si>
  <si>
    <t>TECNICO II-COMPRAS Y SUMINISTROS</t>
  </si>
  <si>
    <t>TECNICO II-GRABACION Y SONIDO</t>
  </si>
  <si>
    <t>TECNICO II-CONTABILIDAD</t>
  </si>
  <si>
    <t>TECNICO III-RELACIONES PUBLICAS</t>
  </si>
  <si>
    <t>SECRETARIO EJECUTIVO III-ACTIVIDADES SECRETARIALES</t>
  </si>
  <si>
    <t>TECNICO III-CONTABILIDAD</t>
  </si>
  <si>
    <t>TECNICO ARTISTICO III-MUSICA</t>
  </si>
  <si>
    <t>TECNICO ARTISTICO II 4 PERIODOS-EDUCACION ARTISTICA</t>
  </si>
  <si>
    <t>JEFE TECNICO I-ADMINISTRACION</t>
  </si>
  <si>
    <t>TECNICO PROFESIONAL I-CONTABILIDAD</t>
  </si>
  <si>
    <t>TECNICO PROFESIONAL I-COMPRAS Y SUMINISTROS</t>
  </si>
  <si>
    <t>TECNICO PROFESIONAL I-ADMINISTRACION</t>
  </si>
  <si>
    <t xml:space="preserve">Monto Viáticos </t>
  </si>
  <si>
    <t>EDIN OMAR VÁSQUEZ ECHEVERRÍA</t>
  </si>
  <si>
    <t>IQOQUI JUAN ALEJANDRO CHIRIZ AJÚ</t>
  </si>
  <si>
    <t>MIGUEL ANGEL SANDOVAL VASQUEZ</t>
  </si>
  <si>
    <t>SERVICIOS TÉCNICOS</t>
  </si>
  <si>
    <t>MARIAJOSE MORAN AVALOS</t>
  </si>
  <si>
    <t>ASISTENTE PROFESIONAL I</t>
  </si>
  <si>
    <t>ANA VERONICA GIRON MARTINEZ</t>
  </si>
  <si>
    <t>SILBER ORLANDO GARCIA REYES</t>
  </si>
  <si>
    <t>AXEL NOLBERTO DE JESUS SANCHEZ ORANTES</t>
  </si>
  <si>
    <t>CLAUDIA MARIA CIUDAD REAL SOLIS</t>
  </si>
  <si>
    <t>JOSE ROBERTO ZUÑIGA RUIZ</t>
  </si>
  <si>
    <t>DIRECTOR TECNICO III</t>
  </si>
  <si>
    <t>LISBETH JACQUELINE GARCÍA GARCÍA</t>
  </si>
  <si>
    <t>EDDLER ALBERTHO TACÁN FUENTES</t>
  </si>
  <si>
    <t>ASISTENTE DE CONTABILIDAD II</t>
  </si>
  <si>
    <t>MARIO JOSUE CARRILLO CARRILLO</t>
  </si>
  <si>
    <t>TECNICO ARTISTICO II 6 HRS.</t>
  </si>
  <si>
    <t>Bono Salario Minimo</t>
  </si>
  <si>
    <t xml:space="preserve">            </t>
  </si>
  <si>
    <t>ILEANA MARIELITA CATUN CHOC</t>
  </si>
  <si>
    <t>JOYCE SHARON CRUZ ARGUELLO</t>
  </si>
  <si>
    <t>LUIS BENJAMIN MENDEZ JERONIMO</t>
  </si>
  <si>
    <t>ASISTENTE ADMINISTRATIVO III</t>
  </si>
  <si>
    <t>ASISTENTE DE ADQUISICIONES II (0000) SIN ESPECIALIDAD (0000)</t>
  </si>
  <si>
    <t>JOSE RICARDO  SANTOS AGUILAR</t>
  </si>
  <si>
    <t>AUXILIAR I   -SIN ESPECIALIDAD</t>
  </si>
  <si>
    <t>Dietas</t>
  </si>
  <si>
    <t>DIETAS</t>
  </si>
  <si>
    <t>MONTO VIATICOS</t>
  </si>
  <si>
    <t>NORMA LUCIA HERNANDEZ CHAY</t>
  </si>
  <si>
    <t>JUAN HELIODORO PICHIYA CULAJAY</t>
  </si>
  <si>
    <t>LESTON URIEL CULAJAY HERNANDEZ</t>
  </si>
  <si>
    <t>CARLOS DOMINGO GALVEZ ORDOÑEZ</t>
  </si>
  <si>
    <t>ERICK ORLANDO SALAZAR COYOY</t>
  </si>
  <si>
    <t>ASESOR PROFESIONAL ESPECIALIZADO</t>
  </si>
  <si>
    <t>MARCO ANTONIO AJAU BURRION</t>
  </si>
  <si>
    <t>DULCIDA CLARIBEL GARCIA REYES</t>
  </si>
  <si>
    <t>DOCENTE</t>
  </si>
  <si>
    <t>JOSUE MISAEL MATIAS DE LEON</t>
  </si>
  <si>
    <t>JEFE DE CONTABILIDAD</t>
  </si>
  <si>
    <t>JOSE AMILCAR BOCHE  QUIÑONEZ</t>
  </si>
  <si>
    <t>BLANCA ARACELY MORALES MARTINEZ</t>
  </si>
  <si>
    <t>ASISTENTE ARTÍSTICO III (0000) SIN ESPECIALIDAD (0000)</t>
  </si>
  <si>
    <t>30 DE ABRIL DE 2017</t>
  </si>
  <si>
    <t>CARLOS ENRIQUE PÉREZ VELÁSQUEZ</t>
  </si>
  <si>
    <t>JEFE DEPARTAMENTO TECNICO II (0000) SIN ESPECIALIDAD (0000)</t>
  </si>
  <si>
    <t>BRANDON JAIRR CRUZ VARGAS</t>
  </si>
  <si>
    <t>MILTON ALFONSO BETETA DIAZ</t>
  </si>
  <si>
    <t>MARYLENA CALDERÓN MARTINEZ DE MEDINA</t>
  </si>
  <si>
    <t>PROFESIONAL JURIDICO I (0000) SIN ESPECIALIDAD (0000)</t>
  </si>
  <si>
    <t>VERA LUCÍA DÍAZ AGUILAR</t>
  </si>
  <si>
    <t>MARLEN CORINA PÉREZ HERNÁNDEZ DE COLINDRES</t>
  </si>
  <si>
    <t>JACQUELINE MILAYDI AGUILAR ZAMORA DE ASENCIO</t>
  </si>
  <si>
    <t>SELVYN OMAR GARCÍA ESTRADA</t>
  </si>
  <si>
    <t>ASTRID DINORA VICENTE MARROQUIN</t>
  </si>
  <si>
    <t>ELVIN OMAR GARCÍA ESTRADA</t>
  </si>
  <si>
    <t>BERNER JOSUÉ MAZARIEGOS AJIN</t>
  </si>
  <si>
    <t>DAIRIN GABRIELA GAMBOA GIRÓN</t>
  </si>
  <si>
    <t>ANA OLIVIA CASTAÑEDA ARROYO</t>
  </si>
  <si>
    <t>WILFREDO RODERICO GONZÁLEZ GAITÁN</t>
  </si>
  <si>
    <t>JEFE DEL DEPARTAMENTO SUSTANTIVO II</t>
  </si>
  <si>
    <t>OLIVER ALEXANDER MARROQUÍN RIVAS</t>
  </si>
  <si>
    <t>ANA MARÍA VITAL PERALTA</t>
  </si>
  <si>
    <t>BRENDA YANIRA CHACÓN ARÉVALO</t>
  </si>
  <si>
    <t>SILVIA DE JESÚS HERNÁNDEZ ALVAREZ DE GUARÉ</t>
  </si>
  <si>
    <t>MARÍA ALEJANDRA GUERRA CASTAÑEDA</t>
  </si>
  <si>
    <t>OLGA LIDIA JUDITH DE LEÓN DE TAHUITE</t>
  </si>
  <si>
    <t>HELDER FABIÁN GÓMEZ CÓRDOVA</t>
  </si>
  <si>
    <t>JUAN CARLOS VEGA VILLEDA</t>
  </si>
  <si>
    <t>ROSALYNN AMALIA VALIENTE VILLATORO</t>
  </si>
  <si>
    <t>FERNANDO JOSÉ PALACIOS SALAZAR</t>
  </si>
  <si>
    <t>JOSUÉ MIGUEL FLETCHER ANDRADE</t>
  </si>
  <si>
    <t>WILLIAM UBALDO OSORIO SALMERÓN</t>
  </si>
  <si>
    <t>EDWIN AARON GUZMAN MONTERROSO</t>
  </si>
  <si>
    <t>ABRIL 2017</t>
  </si>
  <si>
    <t xml:space="preserve">Bono Ajuste Salario Mínimo        </t>
  </si>
  <si>
    <t>ENCARGADA II DE OPERACIONES DE MAQUINARIA Y EQUIPO</t>
  </si>
  <si>
    <t>CARPINTERO IV</t>
  </si>
  <si>
    <t>*</t>
  </si>
  <si>
    <t>A la señora Elisa María Alejandra Escobar Castañeda, se le suspendió el pago de sueldo por suspensción del IGSS, por maternidad del 28-03-2017 al 19-06-2017</t>
  </si>
  <si>
    <t>Bono Pacto</t>
  </si>
  <si>
    <t>MANUEL EDUARDO TECUM SALVADOR</t>
  </si>
  <si>
    <t xml:space="preserve">                    MINISTERIO DE CULTURA Y DEPORTES</t>
  </si>
  <si>
    <t xml:space="preserve">                    DIRECCION GENERAL DE LAS ARTES</t>
  </si>
  <si>
    <t xml:space="preserve">          RENGLON 021</t>
  </si>
  <si>
    <t xml:space="preserve">                    UNIDAD DE INFORMACION PUBLICA</t>
  </si>
  <si>
    <t xml:space="preserve">      30 DE ABRIL DE 2017</t>
  </si>
  <si>
    <t xml:space="preserve">        NUMERAL 4 ARTICULO 10</t>
  </si>
  <si>
    <t xml:space="preserve"> UNIDAD DE INFORMACION PUBLICA</t>
  </si>
  <si>
    <t xml:space="preserve"> MINISTERIO DE CULTURA Y DEPORTES</t>
  </si>
  <si>
    <t xml:space="preserve">               MINISTERIO DE CULTURA Y DEPORTES</t>
  </si>
  <si>
    <t xml:space="preserve">            UNIDAD DE INFORMACION PUBLICA</t>
  </si>
  <si>
    <t xml:space="preserve">            DIRECCIÓN GENERAL DE LAS ARTES</t>
  </si>
  <si>
    <t>SUB GRUPO 18</t>
  </si>
  <si>
    <t xml:space="preserve">   NUMERAL 4 ARTICULO 10</t>
  </si>
  <si>
    <t xml:space="preserve">                30 DE ABRIL 2017</t>
  </si>
  <si>
    <t>UBICACIÓN FÍSICA</t>
  </si>
  <si>
    <t xml:space="preserve"> TOTAL DE HONORARIO</t>
  </si>
  <si>
    <t>Baudilio Mendez</t>
  </si>
  <si>
    <t>Orquesta Sinfónica Nacional</t>
  </si>
  <si>
    <t>Servicios Artísticos</t>
  </si>
  <si>
    <t>Maximiliano Robelio Mendez Miranda</t>
  </si>
  <si>
    <t>Mario Augusto Linares Sagastume</t>
  </si>
  <si>
    <t>José Alfredo Mazariegos Dubón</t>
  </si>
  <si>
    <t>Juan Rutilio Raymundo Gonzalez</t>
  </si>
  <si>
    <t>Elisa Irene Aquino Gomez</t>
  </si>
  <si>
    <t>Otto René Letona Santizo</t>
  </si>
  <si>
    <t>Angel Rafael Pérez Ordoñez</t>
  </si>
  <si>
    <t>Rodrigo José Coto Montañes</t>
  </si>
  <si>
    <t>Juan Pablo Ramirez Ortiz</t>
  </si>
  <si>
    <t>Carlos Alberto Higueros Luna</t>
  </si>
  <si>
    <t>Servicios Técnicos</t>
  </si>
  <si>
    <t>Eduardo Martínez Rodriguez</t>
  </si>
  <si>
    <t>Servicios Tecnicos</t>
  </si>
  <si>
    <t>Hercilia Victoria Vargas García</t>
  </si>
  <si>
    <t>Gladys Patricia Sanchez de Palacios</t>
  </si>
  <si>
    <t>Servicios profesionales</t>
  </si>
  <si>
    <t>Meylin Alejandrina Ortíz Yocute</t>
  </si>
  <si>
    <t>Juan Carlos Pérez Diaz</t>
  </si>
  <si>
    <t>Laura del Rosario Castaño Gómez</t>
  </si>
  <si>
    <t>Luis Estuardo Prado Reyna</t>
  </si>
  <si>
    <t>Andres Manuel blanco Mejía</t>
  </si>
  <si>
    <t>Karen Paola Sac Pineda</t>
  </si>
  <si>
    <t>Ballet Nacional de Guatemala</t>
  </si>
  <si>
    <t>Mynor David Sagastume Velasquez</t>
  </si>
  <si>
    <t>Sonia Abigail Juarez Archila</t>
  </si>
  <si>
    <t>Derson Johany De la Cruz Escobar</t>
  </si>
  <si>
    <t>Arturo Florentin Xicay Colop</t>
  </si>
  <si>
    <t>Formación Artística</t>
  </si>
  <si>
    <t>Eddy Rolando Vielman Buckard</t>
  </si>
  <si>
    <t>Ballet Moderno y Folklorico</t>
  </si>
  <si>
    <t>Servicios de Capacitación</t>
  </si>
  <si>
    <t>Edgar Adolfo Portillo Quiñonez</t>
  </si>
  <si>
    <t>José Amilcar Boche Quiñonez</t>
  </si>
  <si>
    <t>Jorge Mario Villatoro Linares</t>
  </si>
  <si>
    <t>Marimba de Concierto de Bellas Artes</t>
  </si>
  <si>
    <t>Servicios Profesionales</t>
  </si>
  <si>
    <t>Nilda Ileana Quex Mucia</t>
  </si>
  <si>
    <t>Dirección y Coordinación</t>
  </si>
  <si>
    <t xml:space="preserve">Victor Augusto Vela Mena </t>
  </si>
  <si>
    <t xml:space="preserve">Sergio Saul Vega Garcia </t>
  </si>
  <si>
    <t xml:space="preserve">Direccion y Coordinacion </t>
  </si>
  <si>
    <t xml:space="preserve">Gustavo Armando Tecun Pamal </t>
  </si>
  <si>
    <t xml:space="preserve">Servicios Tecnicos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</si>
</sst>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82" formatCode="#,##0.00\ &quot;€&quot;;\-#,##0.00\ &quot;€&quot;"/>
    <numFmt numFmtId="188" formatCode="_(\Q* #,##0.00_);_(\Q* \(#,##0.00\);_(\Q* \-??_);_(@_)"/>
    <numFmt numFmtId="189" formatCode="&quot;Q&quot;#,##0.00"/>
    <numFmt numFmtId="191" formatCode="_([$Q-100A]* #,##0.00_);_([$Q-100A]* \(#,##0.00\);_([$Q-100A]* &quot;-&quot;??_);_(@_)"/>
    <numFmt numFmtId="193" formatCode="_-[$Q-100A]* #,##0.00_-;\-[$Q-100A]* #,##0.00_-;_-[$Q-100A]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9966FF"/>
        <bgColor indexed="31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6">
    <xf numFmtId="0" fontId="0" fillId="0" borderId="0"/>
    <xf numFmtId="0" fontId="6" fillId="0" borderId="0"/>
    <xf numFmtId="0" fontId="1" fillId="0" borderId="0"/>
    <xf numFmtId="0" fontId="1" fillId="0" borderId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ill="0" applyBorder="0" applyAlignment="0" applyProtection="0"/>
    <xf numFmtId="188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82" fontId="2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7" fillId="0" borderId="0">
      <alignment vertical="top"/>
    </xf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3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8" fillId="0" borderId="0" xfId="0" applyFont="1" applyFill="1"/>
    <xf numFmtId="0" fontId="0" fillId="0" borderId="0" xfId="0" applyFont="1" applyFill="1"/>
    <xf numFmtId="0" fontId="0" fillId="0" borderId="0" xfId="0" applyBorder="1"/>
    <xf numFmtId="189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189" fontId="0" fillId="0" borderId="0" xfId="0" applyNumberForma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8" fillId="0" borderId="0" xfId="0" applyFont="1" applyFill="1" applyBorder="1"/>
    <xf numFmtId="0" fontId="3" fillId="0" borderId="0" xfId="0" applyFont="1" applyBorder="1"/>
    <xf numFmtId="14" fontId="3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/>
    <xf numFmtId="189" fontId="0" fillId="0" borderId="0" xfId="0" applyNumberForma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31" applyFont="1" applyFill="1" applyBorder="1" applyAlignment="1" applyProtection="1">
      <alignment vertical="center" wrapText="1"/>
    </xf>
    <xf numFmtId="0" fontId="16" fillId="0" borderId="1" xfId="35" applyFont="1" applyFill="1" applyBorder="1" applyAlignment="1">
      <alignment vertical="center" wrapText="1"/>
    </xf>
    <xf numFmtId="44" fontId="16" fillId="0" borderId="1" xfId="13" applyNumberFormat="1" applyFont="1" applyFill="1" applyBorder="1" applyAlignment="1">
      <alignment horizontal="right" vertical="center" wrapText="1"/>
    </xf>
    <xf numFmtId="44" fontId="16" fillId="0" borderId="1" xfId="0" applyNumberFormat="1" applyFont="1" applyFill="1" applyBorder="1" applyAlignment="1">
      <alignment horizontal="right" vertical="center"/>
    </xf>
    <xf numFmtId="44" fontId="16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0" fontId="16" fillId="0" borderId="1" xfId="3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35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31" applyFont="1" applyFill="1" applyBorder="1" applyAlignment="1" applyProtection="1">
      <alignment horizontal="left" vertical="center" wrapText="1"/>
    </xf>
    <xf numFmtId="0" fontId="16" fillId="0" borderId="1" xfId="21" applyFont="1" applyFill="1" applyBorder="1" applyAlignment="1">
      <alignment horizontal="left" vertical="center" wrapText="1"/>
    </xf>
    <xf numFmtId="0" fontId="16" fillId="0" borderId="1" xfId="28" applyFont="1" applyFill="1" applyBorder="1" applyAlignment="1">
      <alignment vertical="center" wrapText="1"/>
    </xf>
    <xf numFmtId="0" fontId="17" fillId="0" borderId="1" xfId="31" applyFont="1" applyFill="1" applyBorder="1" applyAlignment="1" applyProtection="1">
      <alignment vertical="center" wrapText="1"/>
    </xf>
    <xf numFmtId="44" fontId="17" fillId="0" borderId="1" xfId="0" applyNumberFormat="1" applyFont="1" applyFill="1" applyBorder="1" applyAlignment="1">
      <alignment horizontal="right" vertical="center"/>
    </xf>
    <xf numFmtId="44" fontId="16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3" applyFont="1" applyFill="1" applyBorder="1" applyAlignment="1" applyProtection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4" fontId="16" fillId="0" borderId="1" xfId="9" applyNumberFormat="1" applyFont="1" applyFill="1" applyBorder="1" applyAlignment="1">
      <alignment horizontal="right" vertical="center" wrapText="1"/>
    </xf>
    <xf numFmtId="191" fontId="16" fillId="0" borderId="1" xfId="0" applyNumberFormat="1" applyFont="1" applyFill="1" applyBorder="1" applyAlignment="1">
      <alignment vertical="center" wrapText="1"/>
    </xf>
    <xf numFmtId="44" fontId="16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7" fillId="0" borderId="1" xfId="25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4" fontId="16" fillId="0" borderId="1" xfId="13" applyNumberFormat="1" applyFont="1" applyFill="1" applyBorder="1" applyAlignment="1">
      <alignment horizontal="left" vertical="center" wrapText="1"/>
    </xf>
    <xf numFmtId="44" fontId="16" fillId="0" borderId="1" xfId="0" applyNumberFormat="1" applyFont="1" applyFill="1" applyBorder="1" applyAlignment="1">
      <alignment horizontal="left" vertical="center" wrapText="1"/>
    </xf>
    <xf numFmtId="44" fontId="17" fillId="0" borderId="1" xfId="9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/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4" fontId="17" fillId="0" borderId="1" xfId="13" applyNumberFormat="1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/>
    </xf>
    <xf numFmtId="44" fontId="16" fillId="0" borderId="3" xfId="0" applyNumberFormat="1" applyFont="1" applyFill="1" applyBorder="1" applyAlignment="1">
      <alignment horizontal="right" vertical="center"/>
    </xf>
    <xf numFmtId="44" fontId="19" fillId="0" borderId="4" xfId="0" applyNumberFormat="1" applyFont="1" applyBorder="1" applyAlignment="1">
      <alignment horizontal="right" vertical="center"/>
    </xf>
    <xf numFmtId="44" fontId="19" fillId="0" borderId="5" xfId="0" applyNumberFormat="1" applyFont="1" applyBorder="1" applyAlignment="1">
      <alignment horizontal="right" vertical="center"/>
    </xf>
    <xf numFmtId="191" fontId="16" fillId="0" borderId="1" xfId="0" applyNumberFormat="1" applyFont="1" applyFill="1" applyBorder="1" applyAlignment="1">
      <alignment horizontal="center" vertical="center" wrapText="1"/>
    </xf>
    <xf numFmtId="44" fontId="16" fillId="0" borderId="0" xfId="0" applyNumberFormat="1" applyFont="1" applyFill="1" applyBorder="1" applyAlignment="1">
      <alignment horizontal="right" vertical="center"/>
    </xf>
    <xf numFmtId="44" fontId="17" fillId="0" borderId="1" xfId="7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1" fillId="4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 vertical="center" wrapText="1"/>
    </xf>
    <xf numFmtId="44" fontId="22" fillId="0" borderId="0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44" fontId="16" fillId="0" borderId="7" xfId="8" applyNumberFormat="1" applyFont="1" applyFill="1" applyBorder="1" applyAlignment="1">
      <alignment horizontal="center" vertical="center" wrapText="1"/>
    </xf>
    <xf numFmtId="44" fontId="16" fillId="0" borderId="7" xfId="12" applyNumberFormat="1" applyFont="1" applyFill="1" applyBorder="1" applyAlignment="1">
      <alignment horizontal="center" vertical="center" wrapText="1"/>
    </xf>
    <xf numFmtId="44" fontId="16" fillId="0" borderId="7" xfId="0" applyNumberFormat="1" applyFont="1" applyFill="1" applyBorder="1" applyAlignment="1">
      <alignment horizontal="right" vertical="center"/>
    </xf>
    <xf numFmtId="44" fontId="16" fillId="0" borderId="8" xfId="0" applyNumberFormat="1" applyFont="1" applyFill="1" applyBorder="1" applyAlignment="1">
      <alignment horizontal="center" vertical="center" wrapText="1"/>
    </xf>
    <xf numFmtId="44" fontId="16" fillId="0" borderId="1" xfId="8" applyNumberFormat="1" applyFont="1" applyFill="1" applyBorder="1" applyAlignment="1">
      <alignment horizontal="center" vertical="center" wrapText="1"/>
    </xf>
    <xf numFmtId="44" fontId="16" fillId="0" borderId="1" xfId="12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44" fontId="18" fillId="0" borderId="1" xfId="0" applyNumberFormat="1" applyFont="1" applyFill="1" applyBorder="1" applyAlignment="1">
      <alignment horizontal="center" vertical="center" wrapText="1"/>
    </xf>
    <xf numFmtId="44" fontId="17" fillId="0" borderId="1" xfId="13" applyNumberFormat="1" applyFont="1" applyFill="1" applyBorder="1" applyAlignment="1">
      <alignment horizontal="center" vertical="center" wrapText="1"/>
    </xf>
    <xf numFmtId="44" fontId="19" fillId="0" borderId="9" xfId="0" applyNumberFormat="1" applyFont="1" applyFill="1" applyBorder="1" applyAlignment="1">
      <alignment horizontal="center" vertical="center" wrapText="1"/>
    </xf>
    <xf numFmtId="44" fontId="19" fillId="0" borderId="4" xfId="0" applyNumberFormat="1" applyFont="1" applyFill="1" applyBorder="1" applyAlignment="1">
      <alignment horizontal="center" vertical="center" wrapText="1"/>
    </xf>
    <xf numFmtId="44" fontId="19" fillId="0" borderId="5" xfId="0" applyNumberFormat="1" applyFont="1" applyFill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horizontal="center" vertical="center" wrapText="1"/>
    </xf>
    <xf numFmtId="44" fontId="19" fillId="0" borderId="11" xfId="0" applyNumberFormat="1" applyFont="1" applyFill="1" applyBorder="1" applyAlignment="1">
      <alignment horizontal="right" vertical="center"/>
    </xf>
    <xf numFmtId="44" fontId="16" fillId="0" borderId="1" xfId="12" applyNumberFormat="1" applyFont="1" applyFill="1" applyBorder="1" applyAlignment="1"/>
    <xf numFmtId="0" fontId="16" fillId="0" borderId="1" xfId="24" applyFont="1" applyFill="1" applyBorder="1" applyAlignment="1" applyProtection="1">
      <alignment horizontal="left" vertical="center" wrapText="1"/>
    </xf>
    <xf numFmtId="44" fontId="16" fillId="0" borderId="1" xfId="9" applyNumberFormat="1" applyFont="1" applyFill="1" applyBorder="1" applyAlignment="1">
      <alignment horizontal="center" vertical="center" wrapText="1"/>
    </xf>
    <xf numFmtId="0" fontId="16" fillId="0" borderId="1" xfId="30" applyFont="1" applyFill="1" applyBorder="1" applyAlignment="1" applyProtection="1">
      <alignment horizontal="left" vertical="center" wrapText="1"/>
    </xf>
    <xf numFmtId="0" fontId="16" fillId="0" borderId="1" xfId="24" applyFont="1" applyFill="1" applyBorder="1" applyAlignment="1">
      <alignment horizontal="left" vertical="center" wrapText="1"/>
    </xf>
    <xf numFmtId="0" fontId="16" fillId="0" borderId="1" xfId="30" applyFont="1" applyFill="1" applyBorder="1" applyAlignment="1">
      <alignment horizontal="left" vertical="center" wrapText="1"/>
    </xf>
    <xf numFmtId="44" fontId="16" fillId="0" borderId="1" xfId="23" applyNumberFormat="1" applyFont="1" applyFill="1" applyBorder="1" applyAlignment="1">
      <alignment horizontal="right" vertical="center" wrapText="1"/>
    </xf>
    <xf numFmtId="3" fontId="16" fillId="0" borderId="1" xfId="9" applyNumberFormat="1" applyFont="1" applyFill="1" applyBorder="1" applyAlignment="1">
      <alignment horizontal="center" vertical="center" wrapText="1"/>
    </xf>
    <xf numFmtId="49" fontId="19" fillId="4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Font="1" applyFill="1" applyBorder="1"/>
    <xf numFmtId="4" fontId="0" fillId="0" borderId="0" xfId="0" applyNumberFormat="1" applyFont="1" applyBorder="1"/>
    <xf numFmtId="44" fontId="16" fillId="0" borderId="1" xfId="13" applyNumberFormat="1" applyFont="1" applyFill="1" applyBorder="1" applyAlignment="1"/>
    <xf numFmtId="44" fontId="16" fillId="0" borderId="1" xfId="16" applyNumberFormat="1" applyFont="1" applyFill="1" applyBorder="1" applyAlignment="1"/>
    <xf numFmtId="44" fontId="17" fillId="0" borderId="1" xfId="0" applyNumberFormat="1" applyFont="1" applyFill="1" applyBorder="1" applyAlignment="1">
      <alignment horizontal="left" vertical="center" wrapText="1"/>
    </xf>
    <xf numFmtId="44" fontId="16" fillId="0" borderId="1" xfId="18" applyNumberFormat="1" applyFont="1" applyFill="1" applyBorder="1" applyAlignment="1">
      <alignment horizontal="left" vertical="center" wrapText="1"/>
    </xf>
    <xf numFmtId="44" fontId="17" fillId="0" borderId="1" xfId="25" applyNumberFormat="1" applyFont="1" applyFill="1" applyBorder="1" applyAlignment="1">
      <alignment horizontal="left" vertical="center" wrapText="1"/>
    </xf>
    <xf numFmtId="44" fontId="16" fillId="0" borderId="1" xfId="0" applyNumberFormat="1" applyFont="1" applyFill="1" applyBorder="1" applyAlignment="1">
      <alignment horizontal="left" vertical="center"/>
    </xf>
    <xf numFmtId="44" fontId="17" fillId="0" borderId="1" xfId="18" applyNumberFormat="1" applyFont="1" applyFill="1" applyBorder="1" applyAlignment="1">
      <alignment horizontal="left" vertical="center" wrapText="1"/>
    </xf>
    <xf numFmtId="44" fontId="17" fillId="0" borderId="1" xfId="13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5" borderId="12" xfId="0" applyNumberFormat="1" applyFont="1" applyFill="1" applyBorder="1" applyAlignment="1">
      <alignment horizontal="center" vertical="center" wrapText="1"/>
    </xf>
    <xf numFmtId="44" fontId="19" fillId="0" borderId="13" xfId="0" applyNumberFormat="1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/>
    </xf>
    <xf numFmtId="44" fontId="16" fillId="0" borderId="3" xfId="0" applyNumberFormat="1" applyFont="1" applyBorder="1" applyAlignment="1">
      <alignment horizontal="right" vertical="center"/>
    </xf>
    <xf numFmtId="44" fontId="16" fillId="0" borderId="3" xfId="0" applyNumberFormat="1" applyFont="1" applyBorder="1" applyAlignment="1">
      <alignment horizontal="center" vertical="center"/>
    </xf>
    <xf numFmtId="44" fontId="16" fillId="0" borderId="1" xfId="12" applyNumberFormat="1" applyFont="1" applyFill="1" applyBorder="1" applyAlignment="1">
      <alignment horizontal="center" vertical="center"/>
    </xf>
    <xf numFmtId="44" fontId="17" fillId="0" borderId="1" xfId="12" applyNumberFormat="1" applyFont="1" applyFill="1" applyBorder="1" applyAlignment="1">
      <alignment wrapText="1"/>
    </xf>
    <xf numFmtId="44" fontId="17" fillId="0" borderId="1" xfId="12" applyNumberFormat="1" applyFont="1" applyFill="1" applyBorder="1" applyAlignment="1"/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Border="1" applyAlignment="1">
      <alignment wrapText="1"/>
    </xf>
    <xf numFmtId="191" fontId="0" fillId="0" borderId="1" xfId="0" applyNumberFormat="1" applyFont="1" applyFill="1" applyBorder="1" applyAlignment="1" applyProtection="1">
      <alignment horizontal="right" wrapText="1"/>
    </xf>
    <xf numFmtId="191" fontId="8" fillId="0" borderId="1" xfId="7" applyNumberFormat="1" applyFont="1" applyFill="1" applyBorder="1" applyAlignment="1" applyProtection="1">
      <alignment horizontal="right"/>
    </xf>
    <xf numFmtId="193" fontId="8" fillId="0" borderId="1" xfId="7" applyNumberFormat="1" applyFont="1" applyFill="1" applyBorder="1" applyAlignment="1" applyProtection="1">
      <alignment horizontal="right"/>
    </xf>
    <xf numFmtId="44" fontId="8" fillId="0" borderId="1" xfId="0" applyNumberFormat="1" applyFont="1" applyFill="1" applyBorder="1" applyAlignment="1">
      <alignment horizontal="left" wrapText="1"/>
    </xf>
    <xf numFmtId="191" fontId="0" fillId="0" borderId="1" xfId="7" applyNumberFormat="1" applyFont="1" applyFill="1" applyBorder="1" applyAlignment="1" applyProtection="1">
      <alignment horizontal="right"/>
    </xf>
    <xf numFmtId="191" fontId="0" fillId="2" borderId="1" xfId="0" applyNumberFormat="1" applyFont="1" applyFill="1" applyBorder="1" applyAlignment="1" applyProtection="1">
      <alignment horizontal="right" wrapText="1"/>
    </xf>
    <xf numFmtId="191" fontId="8" fillId="3" borderId="1" xfId="7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8" fillId="0" borderId="1" xfId="0" applyNumberFormat="1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7" fillId="0" borderId="1" xfId="0" applyFont="1" applyFill="1" applyBorder="1" applyAlignment="1">
      <alignment wrapText="1"/>
    </xf>
    <xf numFmtId="189" fontId="17" fillId="0" borderId="1" xfId="12" applyNumberFormat="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1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44" fontId="19" fillId="0" borderId="1" xfId="0" applyNumberFormat="1" applyFont="1" applyFill="1" applyBorder="1" applyAlignment="1">
      <alignment horizontal="right" vertical="center"/>
    </xf>
    <xf numFmtId="0" fontId="16" fillId="0" borderId="1" xfId="21" applyFont="1" applyFill="1" applyBorder="1" applyAlignment="1">
      <alignment horizontal="left" wrapText="1"/>
    </xf>
    <xf numFmtId="44" fontId="17" fillId="0" borderId="1" xfId="0" applyNumberFormat="1" applyFont="1" applyFill="1" applyBorder="1" applyAlignment="1">
      <alignment horizontal="right" vertical="center" wrapText="1"/>
    </xf>
    <xf numFmtId="44" fontId="16" fillId="0" borderId="1" xfId="16" applyNumberFormat="1" applyFont="1" applyFill="1" applyBorder="1" applyAlignment="1">
      <alignment horizontal="right" vertical="center"/>
    </xf>
    <xf numFmtId="44" fontId="16" fillId="0" borderId="1" xfId="11" applyNumberFormat="1" applyFont="1" applyFill="1" applyBorder="1" applyAlignment="1">
      <alignment horizontal="right" vertical="center" wrapText="1"/>
    </xf>
    <xf numFmtId="0" fontId="16" fillId="0" borderId="1" xfId="27" applyFont="1" applyFill="1" applyBorder="1" applyAlignment="1"/>
    <xf numFmtId="44" fontId="18" fillId="0" borderId="1" xfId="0" applyNumberFormat="1" applyFont="1" applyFill="1" applyBorder="1" applyAlignment="1">
      <alignment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44" fontId="16" fillId="0" borderId="1" xfId="13" applyNumberFormat="1" applyFont="1" applyFill="1" applyBorder="1" applyAlignment="1">
      <alignment horizontal="center" vertical="center" wrapText="1"/>
    </xf>
    <xf numFmtId="44" fontId="16" fillId="0" borderId="1" xfId="16" applyNumberFormat="1" applyFont="1" applyFill="1" applyBorder="1" applyAlignment="1">
      <alignment horizontal="center" vertical="center"/>
    </xf>
    <xf numFmtId="44" fontId="16" fillId="0" borderId="1" xfId="6" applyNumberFormat="1" applyFont="1" applyFill="1" applyBorder="1" applyAlignment="1">
      <alignment horizontal="left" vertical="center"/>
    </xf>
    <xf numFmtId="44" fontId="16" fillId="0" borderId="1" xfId="6" applyNumberFormat="1" applyFont="1" applyFill="1" applyBorder="1" applyAlignment="1">
      <alignment horizontal="right" vertical="center"/>
    </xf>
    <xf numFmtId="44" fontId="16" fillId="0" borderId="1" xfId="4" applyNumberFormat="1" applyFont="1" applyFill="1" applyBorder="1" applyAlignment="1">
      <alignment horizontal="right" vertical="center" wrapText="1"/>
    </xf>
    <xf numFmtId="44" fontId="16" fillId="0" borderId="1" xfId="8" applyNumberFormat="1" applyFont="1" applyFill="1" applyBorder="1" applyAlignment="1">
      <alignment vertical="center" wrapText="1"/>
    </xf>
    <xf numFmtId="44" fontId="16" fillId="0" borderId="1" xfId="11" applyNumberFormat="1" applyFont="1" applyFill="1" applyBorder="1" applyAlignment="1">
      <alignment horizontal="right" vertical="center"/>
    </xf>
    <xf numFmtId="44" fontId="16" fillId="0" borderId="1" xfId="8" applyNumberFormat="1" applyFont="1" applyFill="1" applyBorder="1" applyAlignment="1">
      <alignment vertical="center"/>
    </xf>
    <xf numFmtId="0" fontId="16" fillId="0" borderId="1" xfId="22" applyFont="1" applyFill="1" applyBorder="1" applyAlignment="1">
      <alignment horizontal="left" vertical="center" wrapText="1"/>
    </xf>
    <xf numFmtId="44" fontId="18" fillId="0" borderId="1" xfId="6" applyNumberFormat="1" applyFont="1" applyFill="1" applyBorder="1" applyAlignment="1">
      <alignment horizontal="right" vertical="center" wrapText="1"/>
    </xf>
    <xf numFmtId="44" fontId="17" fillId="0" borderId="1" xfId="4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 applyProtection="1">
      <alignment horizontal="left" vertical="center" wrapText="1"/>
    </xf>
    <xf numFmtId="44" fontId="16" fillId="0" borderId="1" xfId="6" applyNumberFormat="1" applyFont="1" applyFill="1" applyBorder="1" applyAlignment="1">
      <alignment horizontal="left" vertical="center" wrapText="1"/>
    </xf>
    <xf numFmtId="44" fontId="17" fillId="0" borderId="1" xfId="13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justify" vertical="center" wrapText="1"/>
    </xf>
    <xf numFmtId="44" fontId="17" fillId="0" borderId="1" xfId="16" applyNumberFormat="1" applyFont="1" applyFill="1" applyBorder="1" applyAlignment="1">
      <alignment horizontal="right" vertical="center"/>
    </xf>
    <xf numFmtId="0" fontId="16" fillId="0" borderId="1" xfId="27" applyFont="1" applyFill="1" applyBorder="1" applyAlignment="1">
      <alignment vertical="center" wrapText="1"/>
    </xf>
    <xf numFmtId="44" fontId="16" fillId="0" borderId="1" xfId="13" applyNumberFormat="1" applyFont="1" applyFill="1" applyBorder="1" applyAlignment="1">
      <alignment vertical="center"/>
    </xf>
    <xf numFmtId="0" fontId="16" fillId="0" borderId="1" xfId="2" applyFont="1" applyFill="1" applyBorder="1" applyAlignment="1" applyProtection="1">
      <alignment horizontal="left" vertical="top" wrapText="1"/>
    </xf>
    <xf numFmtId="44" fontId="17" fillId="0" borderId="1" xfId="7" applyNumberFormat="1" applyFont="1" applyFill="1" applyBorder="1" applyAlignment="1">
      <alignment horizontal="center" vertical="center" wrapText="1"/>
    </xf>
    <xf numFmtId="44" fontId="16" fillId="0" borderId="7" xfId="11" applyNumberFormat="1" applyFont="1" applyFill="1" applyBorder="1" applyAlignment="1">
      <alignment horizontal="right" vertical="center" wrapText="1"/>
    </xf>
    <xf numFmtId="44" fontId="16" fillId="0" borderId="7" xfId="0" applyNumberFormat="1" applyFont="1" applyFill="1" applyBorder="1" applyAlignment="1">
      <alignment horizontal="right" vertical="center" wrapText="1"/>
    </xf>
    <xf numFmtId="44" fontId="16" fillId="0" borderId="7" xfId="13" applyNumberFormat="1" applyFont="1" applyFill="1" applyBorder="1" applyAlignment="1">
      <alignment horizontal="right" vertical="center" wrapText="1"/>
    </xf>
    <xf numFmtId="44" fontId="16" fillId="0" borderId="7" xfId="16" applyNumberFormat="1" applyFont="1" applyFill="1" applyBorder="1" applyAlignment="1">
      <alignment horizontal="right" vertical="center"/>
    </xf>
    <xf numFmtId="44" fontId="19" fillId="0" borderId="9" xfId="0" applyNumberFormat="1" applyFont="1" applyFill="1" applyBorder="1" applyAlignment="1">
      <alignment vertical="center"/>
    </xf>
    <xf numFmtId="44" fontId="19" fillId="0" borderId="4" xfId="0" applyNumberFormat="1" applyFont="1" applyFill="1" applyBorder="1" applyAlignment="1">
      <alignment vertical="center"/>
    </xf>
    <xf numFmtId="44" fontId="19" fillId="0" borderId="4" xfId="0" applyNumberFormat="1" applyFont="1" applyFill="1" applyBorder="1" applyAlignment="1">
      <alignment horizontal="right" vertical="center"/>
    </xf>
    <xf numFmtId="44" fontId="19" fillId="0" borderId="5" xfId="0" applyNumberFormat="1" applyFont="1" applyFill="1" applyBorder="1" applyAlignment="1">
      <alignment vertical="center"/>
    </xf>
    <xf numFmtId="44" fontId="16" fillId="0" borderId="1" xfId="4" applyNumberFormat="1" applyFont="1" applyFill="1" applyBorder="1" applyAlignment="1">
      <alignment horizontal="right" vertical="center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91" fontId="16" fillId="0" borderId="3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wrapText="1"/>
    </xf>
    <xf numFmtId="191" fontId="23" fillId="0" borderId="1" xfId="5" applyNumberFormat="1" applyFont="1" applyFill="1" applyBorder="1" applyAlignment="1">
      <alignment horizontal="right" wrapText="1"/>
    </xf>
    <xf numFmtId="0" fontId="23" fillId="7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wrapText="1"/>
    </xf>
    <xf numFmtId="191" fontId="10" fillId="0" borderId="1" xfId="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44" fontId="23" fillId="0" borderId="1" xfId="0" applyNumberFormat="1" applyFont="1" applyBorder="1" applyAlignment="1"/>
    <xf numFmtId="0" fontId="8" fillId="0" borderId="1" xfId="0" applyFont="1" applyFill="1" applyBorder="1" applyAlignment="1"/>
    <xf numFmtId="0" fontId="23" fillId="0" borderId="1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191" fontId="23" fillId="0" borderId="1" xfId="5" applyNumberFormat="1" applyFont="1" applyFill="1" applyBorder="1" applyAlignment="1">
      <alignment horizontal="right"/>
    </xf>
    <xf numFmtId="44" fontId="8" fillId="0" borderId="1" xfId="12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 applyProtection="1">
      <alignment horizontal="right" wrapText="1"/>
    </xf>
    <xf numFmtId="44" fontId="16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/>
    </xf>
    <xf numFmtId="44" fontId="8" fillId="0" borderId="1" xfId="7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0" borderId="18" xfId="0" applyFont="1" applyFill="1" applyBorder="1" applyAlignment="1">
      <alignment wrapText="1"/>
    </xf>
    <xf numFmtId="191" fontId="8" fillId="0" borderId="1" xfId="12" applyNumberFormat="1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191" fontId="0" fillId="0" borderId="6" xfId="0" applyNumberFormat="1" applyFont="1" applyFill="1" applyBorder="1" applyAlignment="1" applyProtection="1">
      <alignment horizontal="right" wrapText="1"/>
    </xf>
    <xf numFmtId="44" fontId="16" fillId="0" borderId="20" xfId="0" applyNumberFormat="1" applyFont="1" applyBorder="1" applyAlignment="1">
      <alignment horizontal="right" vertical="center"/>
    </xf>
    <xf numFmtId="0" fontId="0" fillId="0" borderId="21" xfId="0" applyFill="1" applyBorder="1"/>
    <xf numFmtId="0" fontId="0" fillId="0" borderId="11" xfId="0" applyFill="1" applyBorder="1"/>
    <xf numFmtId="0" fontId="0" fillId="0" borderId="6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191" fontId="8" fillId="0" borderId="6" xfId="7" applyNumberFormat="1" applyFont="1" applyFill="1" applyBorder="1" applyAlignment="1" applyProtection="1">
      <alignment horizontal="right"/>
    </xf>
    <xf numFmtId="191" fontId="16" fillId="0" borderId="6" xfId="0" applyNumberFormat="1" applyFont="1" applyFill="1" applyBorder="1" applyAlignment="1">
      <alignment vertical="center" wrapText="1"/>
    </xf>
    <xf numFmtId="44" fontId="16" fillId="0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Fill="1" applyBorder="1" applyAlignment="1" applyProtection="1">
      <alignment wrapText="1"/>
    </xf>
    <xf numFmtId="191" fontId="0" fillId="0" borderId="22" xfId="0" applyNumberFormat="1" applyFill="1" applyBorder="1"/>
    <xf numFmtId="191" fontId="0" fillId="0" borderId="21" xfId="0" applyNumberFormat="1" applyFill="1" applyBorder="1"/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44" fontId="19" fillId="0" borderId="26" xfId="0" applyNumberFormat="1" applyFont="1" applyBorder="1" applyAlignment="1">
      <alignment horizontal="right" vertical="center" wrapText="1"/>
    </xf>
    <xf numFmtId="44" fontId="16" fillId="0" borderId="27" xfId="0" applyNumberFormat="1" applyFont="1" applyBorder="1" applyAlignment="1">
      <alignment vertical="center" wrapText="1"/>
    </xf>
    <xf numFmtId="44" fontId="16" fillId="0" borderId="28" xfId="0" applyNumberFormat="1" applyFont="1" applyBorder="1" applyAlignment="1">
      <alignment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0" borderId="27" xfId="0" applyFont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wrapText="1"/>
      <protection locked="0"/>
    </xf>
    <xf numFmtId="0" fontId="0" fillId="0" borderId="34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wrapText="1"/>
    </xf>
    <xf numFmtId="0" fontId="18" fillId="7" borderId="6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vertical="center" wrapText="1"/>
    </xf>
    <xf numFmtId="189" fontId="16" fillId="7" borderId="6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6" fillId="7" borderId="1" xfId="0" applyFont="1" applyFill="1" applyBorder="1" applyAlignment="1"/>
    <xf numFmtId="0" fontId="16" fillId="7" borderId="1" xfId="0" applyFont="1" applyFill="1" applyBorder="1" applyAlignment="1">
      <alignment wrapText="1"/>
    </xf>
    <xf numFmtId="189" fontId="16" fillId="7" borderId="1" xfId="0" applyNumberFormat="1" applyFont="1" applyFill="1" applyBorder="1" applyAlignment="1"/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9" fontId="0" fillId="0" borderId="0" xfId="0" applyNumberFormat="1" applyFont="1" applyFill="1" applyBorder="1"/>
  </cellXfs>
  <cellStyles count="36">
    <cellStyle name="Excel Built-in Normal" xfId="1"/>
    <cellStyle name="Excel Built-in Normal 2" xfId="2"/>
    <cellStyle name="Excel Built-in Normal_FORMATO NUMERAL 4 DICIEMBRE 2014 VIATICOS" xfId="3"/>
    <cellStyle name="Millares" xfId="4" builtinId="3"/>
    <cellStyle name="Millares 2" xfId="5"/>
    <cellStyle name="Millares 5" xfId="6"/>
    <cellStyle name="Millares 5 2" xfId="7"/>
    <cellStyle name="Moneda" xfId="8" builtinId="4"/>
    <cellStyle name="Moneda 2" xfId="9"/>
    <cellStyle name="Moneda 2 2" xfId="10"/>
    <cellStyle name="Moneda 2 2 2" xfId="11"/>
    <cellStyle name="Moneda 2 3" xfId="12"/>
    <cellStyle name="Moneda 2_FORMATO NUMERAL 4 DICIEMBRE 2014 VIATICOS" xfId="13"/>
    <cellStyle name="Moneda 26" xfId="14"/>
    <cellStyle name="Moneda 5" xfId="15"/>
    <cellStyle name="Moneda 5 2" xfId="16"/>
    <cellStyle name="Normal" xfId="0" builtinId="0"/>
    <cellStyle name="Normal 10 3 2" xfId="17"/>
    <cellStyle name="Normal 11" xfId="18"/>
    <cellStyle name="Normal 15 10" xfId="19"/>
    <cellStyle name="Normal 17 2" xfId="20"/>
    <cellStyle name="Normal 2" xfId="21"/>
    <cellStyle name="Normal 2 2" xfId="22"/>
    <cellStyle name="Normal 21" xfId="23"/>
    <cellStyle name="Normal 23" xfId="24"/>
    <cellStyle name="Normal 3_OCUPADAS ARTES 26 AGO" xfId="25"/>
    <cellStyle name="Normal 4 10" xfId="26"/>
    <cellStyle name="Normal 4 10 2" xfId="27"/>
    <cellStyle name="Normal 4 10_FORMATO NUMERAL 4 DICIEMBRE 2014 VIATICOS" xfId="28"/>
    <cellStyle name="Normal 7 10" xfId="29"/>
    <cellStyle name="Normal 7 10 2" xfId="30"/>
    <cellStyle name="Normal 7 10_FORMATO NUMERAL 4 DICIEMBRE 2014 VIATICOS" xfId="31"/>
    <cellStyle name="Normal 8 2" xfId="32"/>
    <cellStyle name="Normal 9 2" xfId="33"/>
    <cellStyle name="Normal 9 2 3" xfId="34"/>
    <cellStyle name="Normal 9 2_FORMATO NUMERAL 4 DICIEMBRE 2014 VIATICOS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2</xdr:col>
      <xdr:colOff>457200</xdr:colOff>
      <xdr:row>5</xdr:row>
      <xdr:rowOff>152400</xdr:rowOff>
    </xdr:to>
    <xdr:pic>
      <xdr:nvPicPr>
        <xdr:cNvPr id="108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26384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2</xdr:col>
      <xdr:colOff>552450</xdr:colOff>
      <xdr:row>7</xdr:row>
      <xdr:rowOff>66675</xdr:rowOff>
    </xdr:to>
    <xdr:pic>
      <xdr:nvPicPr>
        <xdr:cNvPr id="154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2425"/>
          <a:ext cx="3638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180975</xdr:colOff>
      <xdr:row>7</xdr:row>
      <xdr:rowOff>76200</xdr:rowOff>
    </xdr:to>
    <xdr:pic>
      <xdr:nvPicPr>
        <xdr:cNvPr id="144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790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66675</xdr:rowOff>
    </xdr:from>
    <xdr:to>
      <xdr:col>1</xdr:col>
      <xdr:colOff>1371600</xdr:colOff>
      <xdr:row>5</xdr:row>
      <xdr:rowOff>76200</xdr:rowOff>
    </xdr:to>
    <xdr:pic>
      <xdr:nvPicPr>
        <xdr:cNvPr id="114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90525"/>
          <a:ext cx="18573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0</xdr:rowOff>
    </xdr:from>
    <xdr:to>
      <xdr:col>1</xdr:col>
      <xdr:colOff>1504950</xdr:colOff>
      <xdr:row>6</xdr:row>
      <xdr:rowOff>152400</xdr:rowOff>
    </xdr:to>
    <xdr:pic>
      <xdr:nvPicPr>
        <xdr:cNvPr id="96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5775"/>
          <a:ext cx="2028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76200</xdr:rowOff>
    </xdr:from>
    <xdr:to>
      <xdr:col>1</xdr:col>
      <xdr:colOff>1143000</xdr:colOff>
      <xdr:row>6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1619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FO827"/>
  <sheetViews>
    <sheetView showGridLines="0" tabSelected="1" zoomScale="110" zoomScaleNormal="110" workbookViewId="0">
      <selection activeCell="B15" sqref="B15"/>
    </sheetView>
  </sheetViews>
  <sheetFormatPr baseColWidth="10" defaultColWidth="11.5703125" defaultRowHeight="12.75" x14ac:dyDescent="0.2"/>
  <cols>
    <col min="1" max="1" width="6.5703125" style="81" customWidth="1"/>
    <col min="2" max="2" width="26.85546875" style="82" customWidth="1"/>
    <col min="3" max="3" width="23.7109375" style="83" customWidth="1"/>
    <col min="4" max="4" width="11.5703125" style="83" customWidth="1"/>
    <col min="5" max="5" width="11.85546875" style="83" customWidth="1"/>
    <col min="6" max="6" width="10.7109375" style="83" customWidth="1"/>
    <col min="7" max="7" width="12.5703125" style="83" customWidth="1"/>
    <col min="8" max="9" width="13" style="83" customWidth="1"/>
    <col min="10" max="12" width="10.85546875" style="83" customWidth="1"/>
    <col min="13" max="13" width="10.7109375" style="83" customWidth="1"/>
    <col min="14" max="14" width="11.7109375" style="83" customWidth="1"/>
    <col min="15" max="16" width="13.140625" style="83" customWidth="1"/>
    <col min="17" max="17" width="13.42578125" style="83" customWidth="1"/>
    <col min="18" max="18" width="10.5703125" style="83" hidden="1" customWidth="1"/>
    <col min="19" max="19" width="11.85546875" style="83" hidden="1" customWidth="1"/>
    <col min="20" max="20" width="11" style="83" hidden="1" customWidth="1"/>
    <col min="21" max="21" width="9.7109375" style="83" hidden="1" customWidth="1"/>
    <col min="22" max="22" width="14.85546875" style="83" customWidth="1"/>
    <col min="23" max="23" width="13" style="83" customWidth="1"/>
    <col min="24" max="24" width="12.140625" style="83" customWidth="1"/>
    <col min="25" max="29" width="11.5703125" style="94" customWidth="1"/>
    <col min="30" max="171" width="11.5703125" style="94"/>
    <col min="172" max="16384" width="11.5703125" style="84"/>
  </cols>
  <sheetData>
    <row r="1" spans="1:171" x14ac:dyDescent="0.2">
      <c r="E1" s="82"/>
    </row>
    <row r="2" spans="1:171" ht="19.5" customHeight="1" x14ac:dyDescent="0.25">
      <c r="A2" s="86"/>
      <c r="D2" s="55" t="s">
        <v>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6"/>
      <c r="S2" s="166"/>
      <c r="T2" s="166"/>
      <c r="U2" s="166"/>
      <c r="V2" s="166"/>
      <c r="W2" s="166"/>
      <c r="X2" s="166"/>
    </row>
    <row r="3" spans="1:171" ht="12.75" customHeight="1" x14ac:dyDescent="0.2">
      <c r="A3" s="85"/>
      <c r="D3" s="159" t="s">
        <v>3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6"/>
      <c r="S3" s="166"/>
      <c r="T3" s="166"/>
      <c r="U3" s="166"/>
      <c r="V3" s="166"/>
      <c r="W3" s="166"/>
      <c r="X3" s="166"/>
    </row>
    <row r="4" spans="1:171" ht="14.25" customHeight="1" x14ac:dyDescent="0.2">
      <c r="A4" s="85"/>
      <c r="D4" s="55" t="s">
        <v>380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66"/>
      <c r="T4" s="166"/>
      <c r="U4" s="166"/>
      <c r="V4" s="166"/>
      <c r="W4" s="166"/>
      <c r="X4" s="166"/>
    </row>
    <row r="5" spans="1:171" ht="14.25" customHeight="1" x14ac:dyDescent="0.2">
      <c r="A5" s="87"/>
      <c r="C5" s="167"/>
      <c r="D5" s="159" t="s">
        <v>7</v>
      </c>
      <c r="E5" s="88"/>
      <c r="F5" s="80" t="s">
        <v>979</v>
      </c>
      <c r="G5" s="80"/>
      <c r="H5" s="80"/>
      <c r="I5" s="80"/>
      <c r="J5" s="80"/>
      <c r="K5" s="80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171" ht="14.25" customHeight="1" x14ac:dyDescent="0.2">
      <c r="A6" s="87"/>
      <c r="C6" s="167"/>
      <c r="D6" s="159" t="s">
        <v>4</v>
      </c>
      <c r="E6" s="88"/>
      <c r="F6" s="80"/>
      <c r="G6" s="80"/>
      <c r="H6" s="80"/>
      <c r="I6" s="80"/>
      <c r="J6" s="80"/>
      <c r="K6" s="80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171" ht="14.25" customHeight="1" x14ac:dyDescent="0.2">
      <c r="A7" s="87"/>
      <c r="C7" s="167"/>
      <c r="D7" s="160" t="s">
        <v>1004</v>
      </c>
      <c r="E7" s="88"/>
      <c r="F7" s="80"/>
      <c r="G7" s="80"/>
      <c r="H7" s="80"/>
      <c r="I7" s="80"/>
      <c r="J7" s="80"/>
      <c r="K7" s="80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</row>
    <row r="8" spans="1:171" ht="13.5" thickBot="1" x14ac:dyDescent="0.25">
      <c r="A8" s="89"/>
      <c r="I8" s="82"/>
    </row>
    <row r="9" spans="1:171" s="90" customFormat="1" ht="12.95" customHeight="1" x14ac:dyDescent="0.2">
      <c r="A9" s="267" t="s">
        <v>5</v>
      </c>
      <c r="B9" s="271" t="s">
        <v>11</v>
      </c>
      <c r="C9" s="262" t="s">
        <v>12</v>
      </c>
      <c r="D9" s="271" t="s">
        <v>13</v>
      </c>
      <c r="E9" s="259" t="s">
        <v>1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  <c r="R9" s="259" t="s">
        <v>23</v>
      </c>
      <c r="S9" s="260"/>
      <c r="T9" s="260"/>
      <c r="U9" s="260"/>
      <c r="V9" s="261"/>
      <c r="W9" s="262" t="s">
        <v>22</v>
      </c>
      <c r="X9" s="269" t="s">
        <v>25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</row>
    <row r="10" spans="1:171" s="90" customFormat="1" ht="24.75" thickBot="1" x14ac:dyDescent="0.25">
      <c r="A10" s="268"/>
      <c r="B10" s="272"/>
      <c r="C10" s="263"/>
      <c r="D10" s="272"/>
      <c r="E10" s="91" t="s">
        <v>561</v>
      </c>
      <c r="F10" s="91" t="s">
        <v>562</v>
      </c>
      <c r="G10" s="91" t="s">
        <v>14</v>
      </c>
      <c r="H10" s="91" t="s">
        <v>563</v>
      </c>
      <c r="I10" s="91" t="s">
        <v>564</v>
      </c>
      <c r="J10" s="91" t="s">
        <v>15</v>
      </c>
      <c r="K10" s="91" t="s">
        <v>16</v>
      </c>
      <c r="L10" s="91" t="s">
        <v>978</v>
      </c>
      <c r="M10" s="91" t="s">
        <v>17</v>
      </c>
      <c r="N10" s="91" t="s">
        <v>1041</v>
      </c>
      <c r="O10" s="91" t="s">
        <v>565</v>
      </c>
      <c r="P10" s="91" t="s">
        <v>987</v>
      </c>
      <c r="Q10" s="91" t="s">
        <v>6</v>
      </c>
      <c r="R10" s="91" t="s">
        <v>18</v>
      </c>
      <c r="S10" s="91" t="s">
        <v>943</v>
      </c>
      <c r="T10" s="91" t="s">
        <v>20</v>
      </c>
      <c r="U10" s="91" t="s">
        <v>566</v>
      </c>
      <c r="V10" s="91" t="s">
        <v>21</v>
      </c>
      <c r="W10" s="263"/>
      <c r="X10" s="270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</row>
    <row r="11" spans="1:171" s="92" customFormat="1" ht="50.25" customHeight="1" x14ac:dyDescent="0.2">
      <c r="A11" s="137">
        <v>1</v>
      </c>
      <c r="B11" s="59" t="s">
        <v>567</v>
      </c>
      <c r="C11" s="59" t="s">
        <v>568</v>
      </c>
      <c r="D11" s="106">
        <v>2885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2800</v>
      </c>
      <c r="O11" s="107">
        <v>0</v>
      </c>
      <c r="P11" s="107">
        <v>0</v>
      </c>
      <c r="Q11" s="108">
        <f t="shared" ref="Q11:Q41" si="0">SUM(D11:O11)</f>
        <v>5685</v>
      </c>
      <c r="R11" s="108">
        <f t="shared" ref="R11:R73" si="1">(D11+E11+F11+G11+H11+I11+J11+K11+O11)*3%</f>
        <v>86.55</v>
      </c>
      <c r="S11" s="108">
        <f t="shared" ref="S11:S18" si="2">(D11+E11+F11+G11+H11+I11+J11+K11+O11)*11%</f>
        <v>317.35000000000002</v>
      </c>
      <c r="T11" s="108" t="s">
        <v>569</v>
      </c>
      <c r="U11" s="108">
        <v>0</v>
      </c>
      <c r="V11" s="108">
        <f t="shared" ref="V11:V19" si="3">SUM(R11:U11)</f>
        <v>403.9</v>
      </c>
      <c r="W11" s="108">
        <f t="shared" ref="W11:W73" si="4">Q11-V11</f>
        <v>5281.1</v>
      </c>
      <c r="X11" s="108">
        <v>0</v>
      </c>
    </row>
    <row r="12" spans="1:171" s="92" customFormat="1" x14ac:dyDescent="0.2">
      <c r="A12" s="137">
        <v>2</v>
      </c>
      <c r="B12" s="133" t="s">
        <v>570</v>
      </c>
      <c r="C12" s="59" t="s">
        <v>571</v>
      </c>
      <c r="D12" s="78">
        <v>1074</v>
      </c>
      <c r="E12" s="129">
        <v>1000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600</v>
      </c>
      <c r="M12" s="107">
        <v>250</v>
      </c>
      <c r="N12" s="107">
        <v>2800</v>
      </c>
      <c r="O12" s="107">
        <v>0</v>
      </c>
      <c r="P12" s="107">
        <v>0</v>
      </c>
      <c r="Q12" s="108">
        <f t="shared" si="0"/>
        <v>5724</v>
      </c>
      <c r="R12" s="108">
        <f t="shared" si="1"/>
        <v>62.22</v>
      </c>
      <c r="S12" s="108">
        <f t="shared" si="2"/>
        <v>228.14</v>
      </c>
      <c r="T12" s="108">
        <v>0</v>
      </c>
      <c r="U12" s="108">
        <v>0</v>
      </c>
      <c r="V12" s="108">
        <f t="shared" si="3"/>
        <v>290.36</v>
      </c>
      <c r="W12" s="108">
        <f t="shared" si="4"/>
        <v>5433.64</v>
      </c>
      <c r="X12" s="108">
        <v>0</v>
      </c>
    </row>
    <row r="13" spans="1:171" s="92" customFormat="1" ht="25.5" x14ac:dyDescent="0.2">
      <c r="A13" s="137">
        <v>3</v>
      </c>
      <c r="B13" s="130" t="s">
        <v>572</v>
      </c>
      <c r="C13" s="130" t="s">
        <v>573</v>
      </c>
      <c r="D13" s="107">
        <v>1350</v>
      </c>
      <c r="E13" s="107">
        <v>2000</v>
      </c>
      <c r="F13" s="107">
        <v>0</v>
      </c>
      <c r="G13" s="107">
        <v>0</v>
      </c>
      <c r="H13" s="107">
        <v>1600</v>
      </c>
      <c r="I13" s="107">
        <v>2900</v>
      </c>
      <c r="J13" s="107">
        <v>0</v>
      </c>
      <c r="K13" s="107">
        <v>0</v>
      </c>
      <c r="L13" s="107">
        <v>0</v>
      </c>
      <c r="M13" s="107">
        <v>250</v>
      </c>
      <c r="N13" s="107">
        <v>2800</v>
      </c>
      <c r="O13" s="107">
        <v>0</v>
      </c>
      <c r="P13" s="107">
        <v>0</v>
      </c>
      <c r="Q13" s="108">
        <f t="shared" si="0"/>
        <v>10900</v>
      </c>
      <c r="R13" s="108">
        <f t="shared" si="1"/>
        <v>235.5</v>
      </c>
      <c r="S13" s="108">
        <f t="shared" si="2"/>
        <v>863.5</v>
      </c>
      <c r="T13" s="108">
        <v>146.18</v>
      </c>
      <c r="U13" s="108">
        <v>0</v>
      </c>
      <c r="V13" s="108">
        <f t="shared" si="3"/>
        <v>1245.18</v>
      </c>
      <c r="W13" s="108">
        <f t="shared" si="4"/>
        <v>9654.82</v>
      </c>
      <c r="X13" s="108">
        <v>9230.0300000000007</v>
      </c>
    </row>
    <row r="14" spans="1:171" s="92" customFormat="1" ht="25.5" x14ac:dyDescent="0.2">
      <c r="A14" s="137">
        <v>4</v>
      </c>
      <c r="B14" s="59" t="s">
        <v>574</v>
      </c>
      <c r="C14" s="130" t="s">
        <v>573</v>
      </c>
      <c r="D14" s="106">
        <v>1350</v>
      </c>
      <c r="E14" s="107">
        <v>1500</v>
      </c>
      <c r="F14" s="107">
        <v>0</v>
      </c>
      <c r="G14" s="107">
        <v>0</v>
      </c>
      <c r="H14" s="107">
        <v>0</v>
      </c>
      <c r="I14" s="107">
        <v>4500</v>
      </c>
      <c r="J14" s="107">
        <v>0</v>
      </c>
      <c r="K14" s="107">
        <v>0</v>
      </c>
      <c r="L14" s="107">
        <v>0</v>
      </c>
      <c r="M14" s="107">
        <v>250</v>
      </c>
      <c r="N14" s="107">
        <v>2800</v>
      </c>
      <c r="O14" s="107">
        <v>0</v>
      </c>
      <c r="P14" s="107">
        <v>0</v>
      </c>
      <c r="Q14" s="108">
        <f t="shared" si="0"/>
        <v>10400</v>
      </c>
      <c r="R14" s="108">
        <f t="shared" si="1"/>
        <v>220.5</v>
      </c>
      <c r="S14" s="108">
        <f t="shared" si="2"/>
        <v>808.5</v>
      </c>
      <c r="T14" s="108">
        <v>122.03</v>
      </c>
      <c r="U14" s="108">
        <v>0</v>
      </c>
      <c r="V14" s="108">
        <f t="shared" si="3"/>
        <v>1151.03</v>
      </c>
      <c r="W14" s="108">
        <f t="shared" si="4"/>
        <v>9248.9699999999993</v>
      </c>
      <c r="X14" s="108">
        <v>0</v>
      </c>
    </row>
    <row r="15" spans="1:171" s="92" customFormat="1" ht="25.5" x14ac:dyDescent="0.2">
      <c r="A15" s="137">
        <v>5</v>
      </c>
      <c r="B15" s="130" t="s">
        <v>576</v>
      </c>
      <c r="C15" s="130" t="s">
        <v>573</v>
      </c>
      <c r="D15" s="107">
        <v>1350</v>
      </c>
      <c r="E15" s="107">
        <v>2000</v>
      </c>
      <c r="F15" s="107">
        <v>0</v>
      </c>
      <c r="G15" s="107">
        <v>0</v>
      </c>
      <c r="H15" s="107">
        <v>1600</v>
      </c>
      <c r="I15" s="107">
        <v>2900</v>
      </c>
      <c r="J15" s="107">
        <v>0</v>
      </c>
      <c r="K15" s="107">
        <v>75</v>
      </c>
      <c r="L15" s="107">
        <v>0</v>
      </c>
      <c r="M15" s="107">
        <v>250</v>
      </c>
      <c r="N15" s="107">
        <v>2800</v>
      </c>
      <c r="O15" s="107">
        <v>0</v>
      </c>
      <c r="P15" s="107">
        <v>0</v>
      </c>
      <c r="Q15" s="108">
        <f t="shared" si="0"/>
        <v>10975</v>
      </c>
      <c r="R15" s="108">
        <f t="shared" si="1"/>
        <v>237.75</v>
      </c>
      <c r="S15" s="108">
        <f t="shared" si="2"/>
        <v>871.75</v>
      </c>
      <c r="T15" s="108">
        <v>145.13</v>
      </c>
      <c r="U15" s="108">
        <v>0</v>
      </c>
      <c r="V15" s="108">
        <f t="shared" si="3"/>
        <v>1254.6300000000001</v>
      </c>
      <c r="W15" s="108">
        <f t="shared" si="4"/>
        <v>9720.3700000000008</v>
      </c>
      <c r="X15" s="108">
        <v>9075.74</v>
      </c>
    </row>
    <row r="16" spans="1:171" s="92" customFormat="1" x14ac:dyDescent="0.2">
      <c r="A16" s="137">
        <v>6</v>
      </c>
      <c r="B16" s="59" t="s">
        <v>577</v>
      </c>
      <c r="C16" s="59" t="s">
        <v>571</v>
      </c>
      <c r="D16" s="106">
        <v>1074</v>
      </c>
      <c r="E16" s="107">
        <v>400</v>
      </c>
      <c r="F16" s="107">
        <v>0</v>
      </c>
      <c r="G16" s="107">
        <v>1000</v>
      </c>
      <c r="H16" s="107">
        <v>0</v>
      </c>
      <c r="I16" s="107">
        <v>0</v>
      </c>
      <c r="J16" s="107">
        <v>0</v>
      </c>
      <c r="K16" s="107">
        <v>50</v>
      </c>
      <c r="L16" s="107">
        <v>200</v>
      </c>
      <c r="M16" s="107">
        <v>250</v>
      </c>
      <c r="N16" s="107">
        <v>2800</v>
      </c>
      <c r="O16" s="107">
        <v>0</v>
      </c>
      <c r="P16" s="107">
        <v>0</v>
      </c>
      <c r="Q16" s="108">
        <f t="shared" si="0"/>
        <v>5774</v>
      </c>
      <c r="R16" s="108">
        <f t="shared" si="1"/>
        <v>75.72</v>
      </c>
      <c r="S16" s="108">
        <f t="shared" si="2"/>
        <v>277.64</v>
      </c>
      <c r="T16" s="108">
        <v>0</v>
      </c>
      <c r="U16" s="108">
        <v>0</v>
      </c>
      <c r="V16" s="108">
        <f t="shared" si="3"/>
        <v>353.36</v>
      </c>
      <c r="W16" s="108">
        <f t="shared" si="4"/>
        <v>5420.64</v>
      </c>
      <c r="X16" s="108">
        <v>0</v>
      </c>
    </row>
    <row r="17" spans="1:24" s="92" customFormat="1" ht="25.5" x14ac:dyDescent="0.2">
      <c r="A17" s="137">
        <v>7</v>
      </c>
      <c r="B17" s="59" t="s">
        <v>578</v>
      </c>
      <c r="C17" s="59" t="s">
        <v>568</v>
      </c>
      <c r="D17" s="106">
        <v>1634</v>
      </c>
      <c r="E17" s="107">
        <v>2400</v>
      </c>
      <c r="F17" s="107">
        <v>0</v>
      </c>
      <c r="G17" s="107">
        <v>0</v>
      </c>
      <c r="H17" s="107">
        <v>2200</v>
      </c>
      <c r="I17" s="107">
        <v>3200</v>
      </c>
      <c r="J17" s="107">
        <v>0</v>
      </c>
      <c r="K17" s="107">
        <v>75</v>
      </c>
      <c r="L17" s="107">
        <v>0</v>
      </c>
      <c r="M17" s="107">
        <v>250</v>
      </c>
      <c r="N17" s="107">
        <v>0</v>
      </c>
      <c r="O17" s="107">
        <v>0</v>
      </c>
      <c r="P17" s="107">
        <v>0</v>
      </c>
      <c r="Q17" s="108">
        <f t="shared" si="0"/>
        <v>9759</v>
      </c>
      <c r="R17" s="108">
        <f t="shared" si="1"/>
        <v>285.27</v>
      </c>
      <c r="S17" s="108">
        <f t="shared" si="2"/>
        <v>1045.99</v>
      </c>
      <c r="T17" s="108">
        <v>207.96</v>
      </c>
      <c r="U17" s="108">
        <v>0</v>
      </c>
      <c r="V17" s="108">
        <f t="shared" si="3"/>
        <v>1539.22</v>
      </c>
      <c r="W17" s="108">
        <f t="shared" si="4"/>
        <v>8219.7800000000007</v>
      </c>
      <c r="X17" s="108">
        <v>0</v>
      </c>
    </row>
    <row r="18" spans="1:24" s="92" customFormat="1" ht="25.5" x14ac:dyDescent="0.2">
      <c r="A18" s="137">
        <v>8</v>
      </c>
      <c r="B18" s="59" t="s">
        <v>579</v>
      </c>
      <c r="C18" s="59" t="s">
        <v>954</v>
      </c>
      <c r="D18" s="106">
        <v>1476</v>
      </c>
      <c r="E18" s="107">
        <v>2000</v>
      </c>
      <c r="F18" s="107">
        <v>0</v>
      </c>
      <c r="G18" s="107">
        <v>0</v>
      </c>
      <c r="H18" s="107">
        <v>1900</v>
      </c>
      <c r="I18" s="107">
        <v>2600</v>
      </c>
      <c r="J18" s="107">
        <v>0</v>
      </c>
      <c r="K18" s="107">
        <v>50</v>
      </c>
      <c r="L18" s="107">
        <v>0</v>
      </c>
      <c r="M18" s="107">
        <v>250</v>
      </c>
      <c r="N18" s="107">
        <v>2800</v>
      </c>
      <c r="O18" s="107">
        <v>0</v>
      </c>
      <c r="P18" s="107">
        <v>0</v>
      </c>
      <c r="Q18" s="108">
        <f t="shared" si="0"/>
        <v>11076</v>
      </c>
      <c r="R18" s="108">
        <f t="shared" si="1"/>
        <v>240.78</v>
      </c>
      <c r="S18" s="108">
        <f t="shared" si="2"/>
        <v>882.86</v>
      </c>
      <c r="T18" s="108">
        <v>146.41</v>
      </c>
      <c r="U18" s="108">
        <v>0</v>
      </c>
      <c r="V18" s="108">
        <f t="shared" si="3"/>
        <v>1270.05</v>
      </c>
      <c r="W18" s="108">
        <f t="shared" si="4"/>
        <v>9805.9500000000007</v>
      </c>
      <c r="X18" s="108">
        <v>0</v>
      </c>
    </row>
    <row r="19" spans="1:24" s="92" customFormat="1" ht="25.5" x14ac:dyDescent="0.2">
      <c r="A19" s="137">
        <v>9</v>
      </c>
      <c r="B19" s="168" t="s">
        <v>969</v>
      </c>
      <c r="C19" s="168" t="s">
        <v>575</v>
      </c>
      <c r="D19" s="106">
        <v>1350</v>
      </c>
      <c r="E19" s="107">
        <v>0</v>
      </c>
      <c r="F19" s="107">
        <v>0</v>
      </c>
      <c r="G19" s="107">
        <v>0</v>
      </c>
      <c r="H19" s="107">
        <v>0</v>
      </c>
      <c r="I19" s="107">
        <v>4500</v>
      </c>
      <c r="J19" s="107">
        <v>0</v>
      </c>
      <c r="K19" s="107">
        <v>0</v>
      </c>
      <c r="L19" s="107">
        <v>0</v>
      </c>
      <c r="M19" s="107">
        <v>250</v>
      </c>
      <c r="N19" s="107">
        <v>0</v>
      </c>
      <c r="O19" s="107">
        <v>0</v>
      </c>
      <c r="P19" s="107">
        <v>0</v>
      </c>
      <c r="Q19" s="108">
        <f t="shared" si="0"/>
        <v>6100</v>
      </c>
      <c r="R19" s="108">
        <f t="shared" si="1"/>
        <v>175.5</v>
      </c>
      <c r="S19" s="108">
        <f>(D19+E19+F19+G19+H19+I19+J19+K19+O19)*12%</f>
        <v>702</v>
      </c>
      <c r="T19" s="108">
        <v>48.15</v>
      </c>
      <c r="U19" s="108">
        <v>0</v>
      </c>
      <c r="V19" s="108">
        <f t="shared" si="3"/>
        <v>925.65</v>
      </c>
      <c r="W19" s="108">
        <f t="shared" si="4"/>
        <v>5174.3500000000004</v>
      </c>
      <c r="X19" s="108">
        <v>0</v>
      </c>
    </row>
    <row r="20" spans="1:24" s="92" customFormat="1" ht="76.5" x14ac:dyDescent="0.2">
      <c r="A20" s="137">
        <v>10</v>
      </c>
      <c r="B20" s="59" t="s">
        <v>581</v>
      </c>
      <c r="C20" s="59" t="s">
        <v>568</v>
      </c>
      <c r="D20" s="106">
        <v>2885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2800</v>
      </c>
      <c r="O20" s="107">
        <v>0</v>
      </c>
      <c r="P20" s="107">
        <v>0</v>
      </c>
      <c r="Q20" s="108">
        <f t="shared" si="0"/>
        <v>5685</v>
      </c>
      <c r="R20" s="108">
        <f t="shared" si="1"/>
        <v>86.55</v>
      </c>
      <c r="S20" s="108">
        <f t="shared" ref="S20:S63" si="5">(D20+E20+F20+G20+H20+I20+J20+K20+O20)*11%</f>
        <v>317.35000000000002</v>
      </c>
      <c r="T20" s="108" t="s">
        <v>569</v>
      </c>
      <c r="U20" s="108">
        <v>0</v>
      </c>
      <c r="V20" s="108">
        <f t="shared" ref="V20:V36" si="6">SUM(R20:U20)</f>
        <v>403.9</v>
      </c>
      <c r="W20" s="108">
        <f t="shared" si="4"/>
        <v>5281.1</v>
      </c>
      <c r="X20" s="108">
        <v>0</v>
      </c>
    </row>
    <row r="21" spans="1:24" s="92" customFormat="1" x14ac:dyDescent="0.2">
      <c r="A21" s="137">
        <v>11</v>
      </c>
      <c r="B21" s="59" t="s">
        <v>582</v>
      </c>
      <c r="C21" s="59" t="s">
        <v>568</v>
      </c>
      <c r="D21" s="106">
        <v>1634</v>
      </c>
      <c r="E21" s="107">
        <v>2400</v>
      </c>
      <c r="F21" s="107">
        <v>0</v>
      </c>
      <c r="G21" s="107">
        <v>0</v>
      </c>
      <c r="H21" s="107">
        <v>3000</v>
      </c>
      <c r="I21" s="107">
        <v>2400</v>
      </c>
      <c r="J21" s="107">
        <v>0</v>
      </c>
      <c r="K21" s="107">
        <v>75</v>
      </c>
      <c r="L21" s="107">
        <v>0</v>
      </c>
      <c r="M21" s="107">
        <v>250</v>
      </c>
      <c r="N21" s="107">
        <v>2800</v>
      </c>
      <c r="O21" s="107">
        <v>0</v>
      </c>
      <c r="P21" s="107">
        <v>0</v>
      </c>
      <c r="Q21" s="108">
        <f t="shared" si="0"/>
        <v>12559</v>
      </c>
      <c r="R21" s="108">
        <f t="shared" si="1"/>
        <v>285.27</v>
      </c>
      <c r="S21" s="108">
        <f t="shared" si="5"/>
        <v>1045.99</v>
      </c>
      <c r="T21" s="108">
        <v>207.96</v>
      </c>
      <c r="U21" s="108">
        <v>0</v>
      </c>
      <c r="V21" s="108">
        <f t="shared" si="6"/>
        <v>1539.22</v>
      </c>
      <c r="W21" s="108">
        <f t="shared" si="4"/>
        <v>11019.78</v>
      </c>
      <c r="X21" s="108">
        <v>0</v>
      </c>
    </row>
    <row r="22" spans="1:24" s="92" customFormat="1" ht="25.5" x14ac:dyDescent="0.2">
      <c r="A22" s="137">
        <v>12</v>
      </c>
      <c r="B22" s="59" t="s">
        <v>583</v>
      </c>
      <c r="C22" s="59" t="s">
        <v>568</v>
      </c>
      <c r="D22" s="106">
        <v>1634</v>
      </c>
      <c r="E22" s="107">
        <v>2400</v>
      </c>
      <c r="F22" s="107">
        <v>0</v>
      </c>
      <c r="G22" s="107">
        <v>0</v>
      </c>
      <c r="H22" s="107">
        <v>0</v>
      </c>
      <c r="I22" s="107">
        <v>5400</v>
      </c>
      <c r="J22" s="107">
        <v>0</v>
      </c>
      <c r="K22" s="107">
        <v>50</v>
      </c>
      <c r="L22" s="107">
        <v>0</v>
      </c>
      <c r="M22" s="107">
        <v>250</v>
      </c>
      <c r="N22" s="107">
        <v>2800</v>
      </c>
      <c r="O22" s="107">
        <v>0</v>
      </c>
      <c r="P22" s="107">
        <v>0</v>
      </c>
      <c r="Q22" s="108">
        <f t="shared" si="0"/>
        <v>12534</v>
      </c>
      <c r="R22" s="108">
        <f t="shared" si="1"/>
        <v>284.52</v>
      </c>
      <c r="S22" s="108">
        <f t="shared" si="5"/>
        <v>1043.24</v>
      </c>
      <c r="T22" s="108">
        <v>206.92</v>
      </c>
      <c r="U22" s="108">
        <v>0</v>
      </c>
      <c r="V22" s="108">
        <f t="shared" si="6"/>
        <v>1534.68</v>
      </c>
      <c r="W22" s="108">
        <f t="shared" si="4"/>
        <v>10999.32</v>
      </c>
      <c r="X22" s="108">
        <v>0</v>
      </c>
    </row>
    <row r="23" spans="1:24" s="92" customFormat="1" ht="25.5" x14ac:dyDescent="0.2">
      <c r="A23" s="137">
        <v>13</v>
      </c>
      <c r="B23" s="23" t="s">
        <v>197</v>
      </c>
      <c r="C23" s="33" t="s">
        <v>196</v>
      </c>
      <c r="D23" s="169">
        <v>5835</v>
      </c>
      <c r="E23" s="107">
        <v>3000</v>
      </c>
      <c r="F23" s="107">
        <v>0</v>
      </c>
      <c r="G23" s="107">
        <v>3000</v>
      </c>
      <c r="H23" s="107">
        <v>0</v>
      </c>
      <c r="I23" s="107">
        <v>0</v>
      </c>
      <c r="J23" s="107">
        <v>375</v>
      </c>
      <c r="K23" s="107">
        <v>0</v>
      </c>
      <c r="L23" s="107">
        <v>0</v>
      </c>
      <c r="M23" s="107">
        <v>250</v>
      </c>
      <c r="N23" s="107">
        <v>0</v>
      </c>
      <c r="O23" s="107">
        <v>0</v>
      </c>
      <c r="P23" s="107">
        <v>0</v>
      </c>
      <c r="Q23" s="108">
        <f t="shared" si="0"/>
        <v>12460</v>
      </c>
      <c r="R23" s="108">
        <f t="shared" si="1"/>
        <v>366.3</v>
      </c>
      <c r="S23" s="108">
        <f t="shared" si="5"/>
        <v>1343.1</v>
      </c>
      <c r="T23" s="28">
        <v>313.94</v>
      </c>
      <c r="U23" s="28">
        <v>164.1</v>
      </c>
      <c r="V23" s="108">
        <f t="shared" si="6"/>
        <v>2187.44</v>
      </c>
      <c r="W23" s="108">
        <f t="shared" si="4"/>
        <v>10272.56</v>
      </c>
      <c r="X23" s="108">
        <v>39</v>
      </c>
    </row>
    <row r="24" spans="1:24" s="92" customFormat="1" ht="25.5" x14ac:dyDescent="0.2">
      <c r="A24" s="137">
        <v>14</v>
      </c>
      <c r="B24" s="59" t="s">
        <v>584</v>
      </c>
      <c r="C24" s="59" t="s">
        <v>947</v>
      </c>
      <c r="D24" s="106">
        <v>1634</v>
      </c>
      <c r="E24" s="107">
        <v>2000</v>
      </c>
      <c r="F24" s="107">
        <v>0</v>
      </c>
      <c r="G24" s="107">
        <v>0</v>
      </c>
      <c r="H24" s="107">
        <v>0</v>
      </c>
      <c r="I24" s="107">
        <v>5400</v>
      </c>
      <c r="J24" s="107">
        <v>0</v>
      </c>
      <c r="K24" s="107">
        <v>0</v>
      </c>
      <c r="L24" s="107">
        <v>0</v>
      </c>
      <c r="M24" s="107">
        <v>250</v>
      </c>
      <c r="N24" s="107">
        <v>2800</v>
      </c>
      <c r="O24" s="107">
        <v>0</v>
      </c>
      <c r="P24" s="107">
        <v>0</v>
      </c>
      <c r="Q24" s="108">
        <f t="shared" si="0"/>
        <v>12084</v>
      </c>
      <c r="R24" s="108">
        <f t="shared" si="1"/>
        <v>271.02</v>
      </c>
      <c r="S24" s="108">
        <f t="shared" si="5"/>
        <v>993.74</v>
      </c>
      <c r="T24" s="108">
        <v>188.24</v>
      </c>
      <c r="U24" s="108">
        <v>121.42</v>
      </c>
      <c r="V24" s="108">
        <f t="shared" si="6"/>
        <v>1574.42</v>
      </c>
      <c r="W24" s="108">
        <f t="shared" si="4"/>
        <v>10509.58</v>
      </c>
      <c r="X24" s="108">
        <v>0</v>
      </c>
    </row>
    <row r="25" spans="1:24" s="92" customFormat="1" ht="31.5" customHeight="1" x14ac:dyDescent="0.2">
      <c r="A25" s="137">
        <v>15</v>
      </c>
      <c r="B25" s="59" t="s">
        <v>585</v>
      </c>
      <c r="C25" s="59" t="s">
        <v>586</v>
      </c>
      <c r="D25" s="106">
        <v>1223</v>
      </c>
      <c r="E25" s="108">
        <v>2000</v>
      </c>
      <c r="F25" s="107">
        <v>0</v>
      </c>
      <c r="G25" s="107">
        <v>0</v>
      </c>
      <c r="H25" s="107">
        <v>1300</v>
      </c>
      <c r="I25" s="107">
        <v>3200</v>
      </c>
      <c r="J25" s="107">
        <v>0</v>
      </c>
      <c r="K25" s="107">
        <v>0</v>
      </c>
      <c r="L25" s="107">
        <v>0</v>
      </c>
      <c r="M25" s="107">
        <v>250</v>
      </c>
      <c r="N25" s="107">
        <v>2800</v>
      </c>
      <c r="O25" s="107">
        <v>0</v>
      </c>
      <c r="P25" s="107">
        <v>0</v>
      </c>
      <c r="Q25" s="108">
        <f t="shared" si="0"/>
        <v>10773</v>
      </c>
      <c r="R25" s="108">
        <f t="shared" si="1"/>
        <v>231.69</v>
      </c>
      <c r="S25" s="108">
        <f t="shared" si="5"/>
        <v>849.53</v>
      </c>
      <c r="T25" s="108">
        <v>140.85</v>
      </c>
      <c r="U25" s="108">
        <v>0</v>
      </c>
      <c r="V25" s="108">
        <f t="shared" si="6"/>
        <v>1222.07</v>
      </c>
      <c r="W25" s="108">
        <f t="shared" si="4"/>
        <v>9550.93</v>
      </c>
      <c r="X25" s="108">
        <v>0</v>
      </c>
    </row>
    <row r="26" spans="1:24" s="92" customFormat="1" ht="25.5" x14ac:dyDescent="0.2">
      <c r="A26" s="137">
        <v>16</v>
      </c>
      <c r="B26" s="130" t="s">
        <v>587</v>
      </c>
      <c r="C26" s="59" t="s">
        <v>954</v>
      </c>
      <c r="D26" s="107">
        <v>1476</v>
      </c>
      <c r="E26" s="107">
        <v>2000</v>
      </c>
      <c r="F26" s="107">
        <v>0</v>
      </c>
      <c r="G26" s="107">
        <v>0</v>
      </c>
      <c r="H26" s="107">
        <v>1900</v>
      </c>
      <c r="I26" s="107">
        <v>2600</v>
      </c>
      <c r="J26" s="107">
        <v>0</v>
      </c>
      <c r="K26" s="107">
        <v>0</v>
      </c>
      <c r="L26" s="107">
        <v>0</v>
      </c>
      <c r="M26" s="107">
        <v>250</v>
      </c>
      <c r="N26" s="107">
        <v>2800</v>
      </c>
      <c r="O26" s="107">
        <v>0</v>
      </c>
      <c r="P26" s="107">
        <v>0</v>
      </c>
      <c r="Q26" s="108">
        <f t="shared" si="0"/>
        <v>11026</v>
      </c>
      <c r="R26" s="108">
        <f t="shared" si="1"/>
        <v>239.28</v>
      </c>
      <c r="S26" s="108">
        <f t="shared" si="5"/>
        <v>877.36</v>
      </c>
      <c r="T26" s="108">
        <v>148.33000000000001</v>
      </c>
      <c r="U26" s="108">
        <v>0</v>
      </c>
      <c r="V26" s="108">
        <f t="shared" si="6"/>
        <v>1264.97</v>
      </c>
      <c r="W26" s="108">
        <f t="shared" si="4"/>
        <v>9761.0300000000007</v>
      </c>
      <c r="X26" s="108">
        <v>0</v>
      </c>
    </row>
    <row r="27" spans="1:24" s="92" customFormat="1" ht="25.5" x14ac:dyDescent="0.2">
      <c r="A27" s="137">
        <v>17</v>
      </c>
      <c r="B27" s="130" t="s">
        <v>588</v>
      </c>
      <c r="C27" s="130" t="s">
        <v>954</v>
      </c>
      <c r="D27" s="107">
        <v>1476</v>
      </c>
      <c r="E27" s="107">
        <v>2000</v>
      </c>
      <c r="F27" s="107">
        <v>0</v>
      </c>
      <c r="G27" s="107">
        <v>0</v>
      </c>
      <c r="H27" s="107">
        <v>1900</v>
      </c>
      <c r="I27" s="107">
        <v>2600</v>
      </c>
      <c r="J27" s="107">
        <v>0</v>
      </c>
      <c r="K27" s="107">
        <v>0</v>
      </c>
      <c r="L27" s="107">
        <v>0</v>
      </c>
      <c r="M27" s="107">
        <v>250</v>
      </c>
      <c r="N27" s="107">
        <v>2800</v>
      </c>
      <c r="O27" s="107">
        <v>0</v>
      </c>
      <c r="P27" s="107">
        <v>0</v>
      </c>
      <c r="Q27" s="108">
        <f t="shared" si="0"/>
        <v>11026</v>
      </c>
      <c r="R27" s="108">
        <f t="shared" si="1"/>
        <v>239.28</v>
      </c>
      <c r="S27" s="108">
        <f t="shared" si="5"/>
        <v>877.36</v>
      </c>
      <c r="T27" s="108">
        <v>148.33000000000001</v>
      </c>
      <c r="U27" s="108">
        <v>0</v>
      </c>
      <c r="V27" s="108">
        <f t="shared" si="6"/>
        <v>1264.97</v>
      </c>
      <c r="W27" s="108">
        <f t="shared" si="4"/>
        <v>9761.0300000000007</v>
      </c>
      <c r="X27" s="108">
        <v>0</v>
      </c>
    </row>
    <row r="28" spans="1:24" s="92" customFormat="1" x14ac:dyDescent="0.2">
      <c r="A28" s="137">
        <v>18</v>
      </c>
      <c r="B28" s="59" t="s">
        <v>589</v>
      </c>
      <c r="C28" s="59" t="s">
        <v>568</v>
      </c>
      <c r="D28" s="106">
        <v>1634</v>
      </c>
      <c r="E28" s="107">
        <v>2400</v>
      </c>
      <c r="F28" s="107">
        <v>0</v>
      </c>
      <c r="G28" s="107">
        <v>0</v>
      </c>
      <c r="H28" s="107">
        <v>2200</v>
      </c>
      <c r="I28" s="107">
        <v>3200</v>
      </c>
      <c r="J28" s="107">
        <v>0</v>
      </c>
      <c r="K28" s="107">
        <v>50</v>
      </c>
      <c r="L28" s="107">
        <v>0</v>
      </c>
      <c r="M28" s="107">
        <v>250</v>
      </c>
      <c r="N28" s="107">
        <v>2800</v>
      </c>
      <c r="O28" s="107">
        <v>0</v>
      </c>
      <c r="P28" s="107">
        <v>0</v>
      </c>
      <c r="Q28" s="108">
        <f t="shared" si="0"/>
        <v>12534</v>
      </c>
      <c r="R28" s="108">
        <f t="shared" si="1"/>
        <v>284.52</v>
      </c>
      <c r="S28" s="108">
        <f t="shared" si="5"/>
        <v>1043.24</v>
      </c>
      <c r="T28" s="108">
        <v>206.92</v>
      </c>
      <c r="U28" s="108">
        <v>0</v>
      </c>
      <c r="V28" s="108">
        <f t="shared" si="6"/>
        <v>1534.68</v>
      </c>
      <c r="W28" s="108">
        <f t="shared" si="4"/>
        <v>10999.32</v>
      </c>
      <c r="X28" s="108">
        <v>0</v>
      </c>
    </row>
    <row r="29" spans="1:24" s="92" customFormat="1" x14ac:dyDescent="0.2">
      <c r="A29" s="137">
        <v>19</v>
      </c>
      <c r="B29" s="59" t="s">
        <v>590</v>
      </c>
      <c r="C29" s="59" t="s">
        <v>591</v>
      </c>
      <c r="D29" s="106">
        <v>1105</v>
      </c>
      <c r="E29" s="107">
        <v>671</v>
      </c>
      <c r="F29" s="107">
        <v>0</v>
      </c>
      <c r="G29" s="107">
        <v>1000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250</v>
      </c>
      <c r="N29" s="107">
        <v>2800</v>
      </c>
      <c r="O29" s="107">
        <v>0</v>
      </c>
      <c r="P29" s="107">
        <v>0</v>
      </c>
      <c r="Q29" s="108">
        <f t="shared" si="0"/>
        <v>5826</v>
      </c>
      <c r="R29" s="108">
        <f t="shared" si="1"/>
        <v>83.28</v>
      </c>
      <c r="S29" s="108">
        <f t="shared" si="5"/>
        <v>305.36</v>
      </c>
      <c r="T29" s="108">
        <v>590.99</v>
      </c>
      <c r="U29" s="108">
        <v>0</v>
      </c>
      <c r="V29" s="108">
        <f t="shared" si="6"/>
        <v>979.63</v>
      </c>
      <c r="W29" s="108">
        <f t="shared" si="4"/>
        <v>4846.37</v>
      </c>
      <c r="X29" s="108">
        <v>0</v>
      </c>
    </row>
    <row r="30" spans="1:24" s="92" customFormat="1" ht="25.5" x14ac:dyDescent="0.2">
      <c r="A30" s="137">
        <v>20</v>
      </c>
      <c r="B30" s="59" t="s">
        <v>592</v>
      </c>
      <c r="C30" s="59" t="s">
        <v>593</v>
      </c>
      <c r="D30" s="106">
        <v>1476</v>
      </c>
      <c r="E30" s="107">
        <v>2000</v>
      </c>
      <c r="F30" s="107">
        <v>0</v>
      </c>
      <c r="G30" s="107">
        <v>1900</v>
      </c>
      <c r="H30" s="107">
        <v>0</v>
      </c>
      <c r="I30" s="107">
        <v>2600</v>
      </c>
      <c r="J30" s="107">
        <v>0</v>
      </c>
      <c r="K30" s="107">
        <v>50</v>
      </c>
      <c r="L30" s="107">
        <v>0</v>
      </c>
      <c r="M30" s="107">
        <v>250</v>
      </c>
      <c r="N30" s="107">
        <v>2800</v>
      </c>
      <c r="O30" s="107">
        <v>0</v>
      </c>
      <c r="P30" s="107">
        <v>0</v>
      </c>
      <c r="Q30" s="108">
        <f t="shared" si="0"/>
        <v>11076</v>
      </c>
      <c r="R30" s="108">
        <f t="shared" si="1"/>
        <v>240.78</v>
      </c>
      <c r="S30" s="108">
        <f t="shared" si="5"/>
        <v>882.86</v>
      </c>
      <c r="T30" s="108">
        <v>145.13</v>
      </c>
      <c r="U30" s="108">
        <v>0</v>
      </c>
      <c r="V30" s="108">
        <f t="shared" si="6"/>
        <v>1268.77</v>
      </c>
      <c r="W30" s="108">
        <f t="shared" si="4"/>
        <v>9807.23</v>
      </c>
      <c r="X30" s="108">
        <v>0</v>
      </c>
    </row>
    <row r="31" spans="1:24" s="92" customFormat="1" ht="25.5" x14ac:dyDescent="0.2">
      <c r="A31" s="137">
        <v>21</v>
      </c>
      <c r="B31" s="23" t="s">
        <v>26</v>
      </c>
      <c r="C31" s="33" t="s">
        <v>196</v>
      </c>
      <c r="D31" s="58">
        <v>5835</v>
      </c>
      <c r="E31" s="107">
        <v>3000</v>
      </c>
      <c r="F31" s="107">
        <v>0</v>
      </c>
      <c r="G31" s="107">
        <v>3000</v>
      </c>
      <c r="H31" s="107">
        <v>0</v>
      </c>
      <c r="I31" s="107">
        <v>0</v>
      </c>
      <c r="J31" s="107">
        <v>375</v>
      </c>
      <c r="K31" s="107">
        <v>0</v>
      </c>
      <c r="L31" s="107">
        <v>0</v>
      </c>
      <c r="M31" s="107">
        <v>250</v>
      </c>
      <c r="N31" s="107">
        <v>0</v>
      </c>
      <c r="O31" s="107">
        <v>0</v>
      </c>
      <c r="P31" s="107">
        <v>0</v>
      </c>
      <c r="Q31" s="108">
        <f t="shared" si="0"/>
        <v>12460</v>
      </c>
      <c r="R31" s="108">
        <f t="shared" si="1"/>
        <v>366.3</v>
      </c>
      <c r="S31" s="108">
        <f t="shared" si="5"/>
        <v>1343.1</v>
      </c>
      <c r="T31" s="28">
        <v>195.56</v>
      </c>
      <c r="U31" s="28">
        <v>164.1</v>
      </c>
      <c r="V31" s="108">
        <f t="shared" si="6"/>
        <v>2069.06</v>
      </c>
      <c r="W31" s="108">
        <f t="shared" si="4"/>
        <v>10390.94</v>
      </c>
      <c r="X31" s="108">
        <v>0</v>
      </c>
    </row>
    <row r="32" spans="1:24" s="92" customFormat="1" ht="25.5" x14ac:dyDescent="0.2">
      <c r="A32" s="137">
        <v>22</v>
      </c>
      <c r="B32" s="59" t="s">
        <v>594</v>
      </c>
      <c r="C32" s="59" t="s">
        <v>595</v>
      </c>
      <c r="D32" s="106">
        <f>485*6</f>
        <v>2910</v>
      </c>
      <c r="E32" s="107">
        <v>0</v>
      </c>
      <c r="F32" s="107">
        <f>485*6</f>
        <v>2910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2800</v>
      </c>
      <c r="O32" s="107">
        <v>0</v>
      </c>
      <c r="P32" s="107">
        <v>0</v>
      </c>
      <c r="Q32" s="108">
        <f t="shared" si="0"/>
        <v>8620</v>
      </c>
      <c r="R32" s="108">
        <f t="shared" si="1"/>
        <v>174.6</v>
      </c>
      <c r="S32" s="108">
        <f t="shared" si="5"/>
        <v>640.20000000000005</v>
      </c>
      <c r="T32" s="108">
        <v>48.18</v>
      </c>
      <c r="U32" s="108">
        <v>0</v>
      </c>
      <c r="V32" s="108">
        <f t="shared" si="6"/>
        <v>862.98</v>
      </c>
      <c r="W32" s="108">
        <f t="shared" si="4"/>
        <v>7757.02</v>
      </c>
      <c r="X32" s="108">
        <v>0</v>
      </c>
    </row>
    <row r="33" spans="1:24" s="92" customFormat="1" ht="38.25" x14ac:dyDescent="0.2">
      <c r="A33" s="137">
        <v>23</v>
      </c>
      <c r="B33" s="59" t="s">
        <v>596</v>
      </c>
      <c r="C33" s="59" t="s">
        <v>719</v>
      </c>
      <c r="D33" s="106">
        <f>485*3</f>
        <v>1455</v>
      </c>
      <c r="E33" s="107">
        <v>0</v>
      </c>
      <c r="F33" s="107">
        <f>242.5*3</f>
        <v>727.5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2800</v>
      </c>
      <c r="O33" s="107">
        <v>0</v>
      </c>
      <c r="P33" s="107">
        <v>0</v>
      </c>
      <c r="Q33" s="108">
        <f t="shared" si="0"/>
        <v>4982.5</v>
      </c>
      <c r="R33" s="108">
        <f t="shared" si="1"/>
        <v>65.48</v>
      </c>
      <c r="S33" s="108">
        <f t="shared" si="5"/>
        <v>240.08</v>
      </c>
      <c r="T33" s="108">
        <v>0</v>
      </c>
      <c r="U33" s="108">
        <v>0</v>
      </c>
      <c r="V33" s="108">
        <f t="shared" si="6"/>
        <v>305.56</v>
      </c>
      <c r="W33" s="108">
        <f t="shared" si="4"/>
        <v>4676.9399999999996</v>
      </c>
      <c r="X33" s="108">
        <v>0</v>
      </c>
    </row>
    <row r="34" spans="1:24" s="92" customFormat="1" ht="25.5" x14ac:dyDescent="0.2">
      <c r="A34" s="137">
        <v>24</v>
      </c>
      <c r="B34" s="59" t="s">
        <v>597</v>
      </c>
      <c r="C34" s="59" t="s">
        <v>954</v>
      </c>
      <c r="D34" s="106">
        <v>1476</v>
      </c>
      <c r="E34" s="107">
        <v>2000</v>
      </c>
      <c r="F34" s="107">
        <v>0</v>
      </c>
      <c r="G34" s="107">
        <v>0</v>
      </c>
      <c r="H34" s="107">
        <v>1900</v>
      </c>
      <c r="I34" s="107">
        <v>2600</v>
      </c>
      <c r="J34" s="107">
        <v>0</v>
      </c>
      <c r="K34" s="107">
        <v>0</v>
      </c>
      <c r="L34" s="107">
        <v>0</v>
      </c>
      <c r="M34" s="107">
        <v>250</v>
      </c>
      <c r="N34" s="107">
        <v>2800</v>
      </c>
      <c r="O34" s="107">
        <v>0</v>
      </c>
      <c r="P34" s="107">
        <v>0</v>
      </c>
      <c r="Q34" s="108">
        <f t="shared" si="0"/>
        <v>11026</v>
      </c>
      <c r="R34" s="108">
        <f t="shared" si="1"/>
        <v>239.28</v>
      </c>
      <c r="S34" s="108">
        <f t="shared" si="5"/>
        <v>877.36</v>
      </c>
      <c r="T34" s="108">
        <v>148.33000000000001</v>
      </c>
      <c r="U34" s="108">
        <v>0</v>
      </c>
      <c r="V34" s="108">
        <f t="shared" si="6"/>
        <v>1264.97</v>
      </c>
      <c r="W34" s="108">
        <f t="shared" si="4"/>
        <v>9761.0300000000007</v>
      </c>
      <c r="X34" s="108">
        <v>0</v>
      </c>
    </row>
    <row r="35" spans="1:24" s="92" customFormat="1" x14ac:dyDescent="0.2">
      <c r="A35" s="137">
        <v>25</v>
      </c>
      <c r="B35" s="59" t="s">
        <v>598</v>
      </c>
      <c r="C35" s="59" t="s">
        <v>580</v>
      </c>
      <c r="D35" s="106">
        <v>1476</v>
      </c>
      <c r="E35" s="107">
        <v>2000</v>
      </c>
      <c r="F35" s="107">
        <v>0</v>
      </c>
      <c r="G35" s="107">
        <v>1900</v>
      </c>
      <c r="H35" s="107">
        <v>0</v>
      </c>
      <c r="I35" s="107">
        <v>2600</v>
      </c>
      <c r="J35" s="107">
        <v>0</v>
      </c>
      <c r="K35" s="107">
        <v>50</v>
      </c>
      <c r="L35" s="107">
        <v>0</v>
      </c>
      <c r="M35" s="107">
        <v>250</v>
      </c>
      <c r="N35" s="107">
        <v>2800</v>
      </c>
      <c r="O35" s="107">
        <v>0</v>
      </c>
      <c r="P35" s="107">
        <v>0</v>
      </c>
      <c r="Q35" s="108">
        <f t="shared" si="0"/>
        <v>11076</v>
      </c>
      <c r="R35" s="108">
        <f t="shared" si="1"/>
        <v>240.78</v>
      </c>
      <c r="S35" s="108">
        <f t="shared" si="5"/>
        <v>882.86</v>
      </c>
      <c r="T35" s="108">
        <v>145.79</v>
      </c>
      <c r="U35" s="108">
        <v>0</v>
      </c>
      <c r="V35" s="108">
        <f t="shared" si="6"/>
        <v>1269.43</v>
      </c>
      <c r="W35" s="108">
        <f t="shared" si="4"/>
        <v>9806.57</v>
      </c>
      <c r="X35" s="108">
        <v>0</v>
      </c>
    </row>
    <row r="36" spans="1:24" s="92" customFormat="1" ht="36" customHeight="1" x14ac:dyDescent="0.2">
      <c r="A36" s="137">
        <v>26</v>
      </c>
      <c r="B36" s="170" t="s">
        <v>967</v>
      </c>
      <c r="C36" s="168" t="s">
        <v>571</v>
      </c>
      <c r="D36" s="106">
        <v>1074</v>
      </c>
      <c r="E36" s="107">
        <v>0</v>
      </c>
      <c r="F36" s="107">
        <v>0</v>
      </c>
      <c r="G36" s="107">
        <v>1000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250</v>
      </c>
      <c r="N36" s="107">
        <v>2800</v>
      </c>
      <c r="O36" s="107">
        <v>0</v>
      </c>
      <c r="P36" s="107">
        <v>0</v>
      </c>
      <c r="Q36" s="108">
        <f t="shared" si="0"/>
        <v>5124</v>
      </c>
      <c r="R36" s="108">
        <f t="shared" si="1"/>
        <v>62.22</v>
      </c>
      <c r="S36" s="108">
        <f t="shared" si="5"/>
        <v>228.14</v>
      </c>
      <c r="T36" s="108">
        <v>0</v>
      </c>
      <c r="U36" s="108">
        <v>0</v>
      </c>
      <c r="V36" s="108">
        <f t="shared" si="6"/>
        <v>290.36</v>
      </c>
      <c r="W36" s="108">
        <f t="shared" si="4"/>
        <v>4833.6400000000003</v>
      </c>
      <c r="X36" s="108">
        <v>0</v>
      </c>
    </row>
    <row r="37" spans="1:24" s="92" customFormat="1" x14ac:dyDescent="0.2">
      <c r="A37" s="137">
        <v>27</v>
      </c>
      <c r="B37" s="59" t="s">
        <v>599</v>
      </c>
      <c r="C37" s="130" t="s">
        <v>568</v>
      </c>
      <c r="D37" s="106">
        <v>1634</v>
      </c>
      <c r="E37" s="107">
        <f>2000</f>
        <v>2000</v>
      </c>
      <c r="F37" s="107">
        <v>0</v>
      </c>
      <c r="G37" s="107">
        <v>0</v>
      </c>
      <c r="H37" s="107">
        <v>2200</v>
      </c>
      <c r="I37" s="107">
        <v>3200</v>
      </c>
      <c r="J37" s="107">
        <v>0</v>
      </c>
      <c r="K37" s="107">
        <v>50</v>
      </c>
      <c r="L37" s="107">
        <v>0</v>
      </c>
      <c r="M37" s="107">
        <v>250</v>
      </c>
      <c r="N37" s="107">
        <v>2800</v>
      </c>
      <c r="O37" s="107">
        <v>0</v>
      </c>
      <c r="P37" s="107">
        <v>0</v>
      </c>
      <c r="Q37" s="108">
        <f t="shared" si="0"/>
        <v>12134</v>
      </c>
      <c r="R37" s="108">
        <f t="shared" si="1"/>
        <v>272.52</v>
      </c>
      <c r="S37" s="108">
        <f t="shared" si="5"/>
        <v>999.24</v>
      </c>
      <c r="T37" s="108"/>
      <c r="U37" s="108">
        <v>0</v>
      </c>
      <c r="V37" s="108">
        <f t="shared" ref="V37:V67" si="7">SUM(R37:U37)</f>
        <v>1271.76</v>
      </c>
      <c r="W37" s="108">
        <f t="shared" si="4"/>
        <v>10862.24</v>
      </c>
      <c r="X37" s="108">
        <v>0</v>
      </c>
    </row>
    <row r="38" spans="1:24" s="92" customFormat="1" ht="25.5" x14ac:dyDescent="0.2">
      <c r="A38" s="137">
        <v>28</v>
      </c>
      <c r="B38" s="59" t="s">
        <v>600</v>
      </c>
      <c r="C38" s="59" t="s">
        <v>568</v>
      </c>
      <c r="D38" s="106">
        <v>1634</v>
      </c>
      <c r="E38" s="107">
        <v>2400</v>
      </c>
      <c r="F38" s="107">
        <v>0</v>
      </c>
      <c r="G38" s="107">
        <v>0</v>
      </c>
      <c r="H38" s="107">
        <v>3000</v>
      </c>
      <c r="I38" s="107">
        <v>2400</v>
      </c>
      <c r="J38" s="107">
        <v>0</v>
      </c>
      <c r="K38" s="107">
        <v>0</v>
      </c>
      <c r="L38" s="107">
        <v>0</v>
      </c>
      <c r="M38" s="107">
        <v>250</v>
      </c>
      <c r="N38" s="107">
        <v>2800</v>
      </c>
      <c r="O38" s="107">
        <v>0</v>
      </c>
      <c r="P38" s="107">
        <v>0</v>
      </c>
      <c r="Q38" s="108">
        <f t="shared" si="0"/>
        <v>12484</v>
      </c>
      <c r="R38" s="108">
        <f t="shared" si="1"/>
        <v>283.02</v>
      </c>
      <c r="S38" s="108">
        <f t="shared" si="5"/>
        <v>1037.74</v>
      </c>
      <c r="T38" s="108">
        <v>204.84</v>
      </c>
      <c r="U38" s="108">
        <v>0</v>
      </c>
      <c r="V38" s="108">
        <f t="shared" si="7"/>
        <v>1525.6</v>
      </c>
      <c r="W38" s="108">
        <f t="shared" si="4"/>
        <v>10958.4</v>
      </c>
      <c r="X38" s="108">
        <v>0</v>
      </c>
    </row>
    <row r="39" spans="1:24" s="92" customFormat="1" ht="25.5" x14ac:dyDescent="0.2">
      <c r="A39" s="137">
        <v>29</v>
      </c>
      <c r="B39" s="59" t="s">
        <v>601</v>
      </c>
      <c r="C39" s="59" t="s">
        <v>954</v>
      </c>
      <c r="D39" s="106">
        <v>1476</v>
      </c>
      <c r="E39" s="107">
        <v>2000</v>
      </c>
      <c r="F39" s="107">
        <v>0</v>
      </c>
      <c r="G39" s="107">
        <v>0</v>
      </c>
      <c r="H39" s="107">
        <v>1900</v>
      </c>
      <c r="I39" s="107">
        <v>2600</v>
      </c>
      <c r="J39" s="107">
        <v>0</v>
      </c>
      <c r="K39" s="107">
        <v>50</v>
      </c>
      <c r="L39" s="107">
        <v>0</v>
      </c>
      <c r="M39" s="107">
        <v>250</v>
      </c>
      <c r="N39" s="107">
        <v>2800</v>
      </c>
      <c r="O39" s="107">
        <v>0</v>
      </c>
      <c r="P39" s="107">
        <v>0</v>
      </c>
      <c r="Q39" s="108">
        <f t="shared" si="0"/>
        <v>11076</v>
      </c>
      <c r="R39" s="108">
        <f t="shared" si="1"/>
        <v>240.78</v>
      </c>
      <c r="S39" s="108">
        <f t="shared" si="5"/>
        <v>882.86</v>
      </c>
      <c r="T39" s="108">
        <v>145.79</v>
      </c>
      <c r="U39" s="108">
        <v>0</v>
      </c>
      <c r="V39" s="108">
        <f t="shared" si="7"/>
        <v>1269.43</v>
      </c>
      <c r="W39" s="108">
        <f t="shared" si="4"/>
        <v>9806.57</v>
      </c>
      <c r="X39" s="108">
        <v>9604.7999999999993</v>
      </c>
    </row>
    <row r="40" spans="1:24" s="92" customFormat="1" ht="25.5" x14ac:dyDescent="0.2">
      <c r="A40" s="137">
        <v>30</v>
      </c>
      <c r="B40" s="59" t="s">
        <v>602</v>
      </c>
      <c r="C40" s="130" t="s">
        <v>573</v>
      </c>
      <c r="D40" s="106">
        <v>1350</v>
      </c>
      <c r="E40" s="107">
        <f>2000</f>
        <v>2000</v>
      </c>
      <c r="F40" s="107">
        <v>0</v>
      </c>
      <c r="G40" s="107">
        <v>0</v>
      </c>
      <c r="H40" s="107">
        <v>1600</v>
      </c>
      <c r="I40" s="107">
        <f>2900</f>
        <v>2900</v>
      </c>
      <c r="J40" s="107">
        <v>0</v>
      </c>
      <c r="K40" s="107">
        <v>50</v>
      </c>
      <c r="L40" s="107">
        <v>0</v>
      </c>
      <c r="M40" s="107">
        <v>250</v>
      </c>
      <c r="N40" s="107">
        <v>2800</v>
      </c>
      <c r="O40" s="107">
        <v>0</v>
      </c>
      <c r="P40" s="107">
        <v>0</v>
      </c>
      <c r="Q40" s="108">
        <f t="shared" si="0"/>
        <v>10950</v>
      </c>
      <c r="R40" s="108">
        <f t="shared" si="1"/>
        <v>237</v>
      </c>
      <c r="S40" s="108">
        <f t="shared" si="5"/>
        <v>869</v>
      </c>
      <c r="T40" s="108">
        <v>145.13</v>
      </c>
      <c r="U40" s="108">
        <v>0</v>
      </c>
      <c r="V40" s="108">
        <f t="shared" si="7"/>
        <v>1251.1300000000001</v>
      </c>
      <c r="W40" s="108">
        <f t="shared" si="4"/>
        <v>9698.8700000000008</v>
      </c>
      <c r="X40" s="108">
        <v>0</v>
      </c>
    </row>
    <row r="41" spans="1:24" s="92" customFormat="1" ht="32.25" customHeight="1" x14ac:dyDescent="0.2">
      <c r="A41" s="137">
        <v>31</v>
      </c>
      <c r="B41" s="59" t="s">
        <v>603</v>
      </c>
      <c r="C41" s="59" t="s">
        <v>604</v>
      </c>
      <c r="D41" s="106">
        <v>1792</v>
      </c>
      <c r="E41" s="107">
        <v>2500</v>
      </c>
      <c r="F41" s="107">
        <v>0</v>
      </c>
      <c r="G41" s="107">
        <v>2500</v>
      </c>
      <c r="H41" s="107">
        <v>0</v>
      </c>
      <c r="I41" s="107">
        <v>3000</v>
      </c>
      <c r="J41" s="107">
        <v>0</v>
      </c>
      <c r="K41" s="107">
        <v>50</v>
      </c>
      <c r="L41" s="107">
        <v>0</v>
      </c>
      <c r="M41" s="107">
        <v>250</v>
      </c>
      <c r="N41" s="107">
        <v>2800</v>
      </c>
      <c r="O41" s="107">
        <v>0</v>
      </c>
      <c r="P41" s="107">
        <v>0</v>
      </c>
      <c r="Q41" s="108">
        <f t="shared" si="0"/>
        <v>12892</v>
      </c>
      <c r="R41" s="108">
        <f t="shared" si="1"/>
        <v>295.26</v>
      </c>
      <c r="S41" s="108">
        <f t="shared" si="5"/>
        <v>1082.6199999999999</v>
      </c>
      <c r="T41" s="108">
        <v>221.78</v>
      </c>
      <c r="U41" s="108">
        <v>0</v>
      </c>
      <c r="V41" s="108">
        <f t="shared" si="7"/>
        <v>1599.66</v>
      </c>
      <c r="W41" s="108">
        <f t="shared" si="4"/>
        <v>11292.34</v>
      </c>
      <c r="X41" s="108">
        <v>0</v>
      </c>
    </row>
    <row r="42" spans="1:24" s="92" customFormat="1" ht="25.5" x14ac:dyDescent="0.2">
      <c r="A42" s="137">
        <v>32</v>
      </c>
      <c r="B42" s="59" t="s">
        <v>605</v>
      </c>
      <c r="C42" s="59" t="s">
        <v>606</v>
      </c>
      <c r="D42" s="106">
        <v>1168</v>
      </c>
      <c r="E42" s="107">
        <v>500</v>
      </c>
      <c r="F42" s="107">
        <v>0</v>
      </c>
      <c r="G42" s="107">
        <v>1000</v>
      </c>
      <c r="H42" s="107">
        <v>0</v>
      </c>
      <c r="I42" s="107">
        <v>0</v>
      </c>
      <c r="J42" s="107">
        <v>0</v>
      </c>
      <c r="K42" s="107">
        <v>50</v>
      </c>
      <c r="L42" s="107">
        <v>0</v>
      </c>
      <c r="M42" s="107">
        <v>250</v>
      </c>
      <c r="N42" s="107">
        <v>0</v>
      </c>
      <c r="O42" s="107">
        <v>0</v>
      </c>
      <c r="P42" s="107">
        <v>0</v>
      </c>
      <c r="Q42" s="108">
        <f t="shared" ref="Q42:Q73" si="8">SUM(D42:O42)</f>
        <v>2968</v>
      </c>
      <c r="R42" s="108">
        <f t="shared" si="1"/>
        <v>81.540000000000006</v>
      </c>
      <c r="S42" s="108">
        <f t="shared" si="5"/>
        <v>298.98</v>
      </c>
      <c r="T42" s="108">
        <v>0</v>
      </c>
      <c r="U42" s="108">
        <v>0</v>
      </c>
      <c r="V42" s="108">
        <f t="shared" si="7"/>
        <v>380.52</v>
      </c>
      <c r="W42" s="108">
        <f t="shared" si="4"/>
        <v>2587.48</v>
      </c>
      <c r="X42" s="108">
        <f>1833</f>
        <v>1833</v>
      </c>
    </row>
    <row r="43" spans="1:24" s="92" customFormat="1" ht="25.5" x14ac:dyDescent="0.2">
      <c r="A43" s="137">
        <v>33</v>
      </c>
      <c r="B43" s="59" t="s">
        <v>607</v>
      </c>
      <c r="C43" s="130" t="s">
        <v>573</v>
      </c>
      <c r="D43" s="106">
        <v>1350</v>
      </c>
      <c r="E43" s="107">
        <v>1500</v>
      </c>
      <c r="F43" s="107">
        <v>0</v>
      </c>
      <c r="G43" s="107">
        <v>0</v>
      </c>
      <c r="H43" s="107">
        <v>0</v>
      </c>
      <c r="I43" s="107">
        <v>4500</v>
      </c>
      <c r="J43" s="107">
        <v>0</v>
      </c>
      <c r="K43" s="107">
        <v>0</v>
      </c>
      <c r="L43" s="107">
        <v>0</v>
      </c>
      <c r="M43" s="107">
        <v>250</v>
      </c>
      <c r="N43" s="107">
        <v>2800</v>
      </c>
      <c r="O43" s="107">
        <v>0</v>
      </c>
      <c r="P43" s="107">
        <v>0</v>
      </c>
      <c r="Q43" s="108">
        <f t="shared" si="8"/>
        <v>10400</v>
      </c>
      <c r="R43" s="108">
        <f t="shared" si="1"/>
        <v>220.5</v>
      </c>
      <c r="S43" s="108">
        <f t="shared" si="5"/>
        <v>808.5</v>
      </c>
      <c r="T43" s="108">
        <v>122.03</v>
      </c>
      <c r="U43" s="108">
        <v>0</v>
      </c>
      <c r="V43" s="108">
        <f t="shared" si="7"/>
        <v>1151.03</v>
      </c>
      <c r="W43" s="108">
        <f t="shared" si="4"/>
        <v>9248.9699999999993</v>
      </c>
      <c r="X43" s="108">
        <v>0</v>
      </c>
    </row>
    <row r="44" spans="1:24" s="92" customFormat="1" ht="25.5" x14ac:dyDescent="0.2">
      <c r="A44" s="137">
        <v>34</v>
      </c>
      <c r="B44" s="59" t="s">
        <v>608</v>
      </c>
      <c r="C44" s="131" t="s">
        <v>609</v>
      </c>
      <c r="D44" s="106">
        <v>3525</v>
      </c>
      <c r="E44" s="107">
        <v>1800</v>
      </c>
      <c r="F44" s="107">
        <v>0</v>
      </c>
      <c r="G44" s="107">
        <v>1800</v>
      </c>
      <c r="H44" s="107">
        <v>0</v>
      </c>
      <c r="I44" s="107">
        <v>0</v>
      </c>
      <c r="J44" s="107">
        <v>375</v>
      </c>
      <c r="K44" s="107">
        <v>0</v>
      </c>
      <c r="L44" s="107">
        <v>0</v>
      </c>
      <c r="M44" s="107">
        <v>250</v>
      </c>
      <c r="N44" s="107">
        <v>0</v>
      </c>
      <c r="O44" s="107">
        <v>0</v>
      </c>
      <c r="P44" s="107">
        <v>0</v>
      </c>
      <c r="Q44" s="108">
        <f t="shared" si="8"/>
        <v>7750</v>
      </c>
      <c r="R44" s="108">
        <f t="shared" si="1"/>
        <v>225</v>
      </c>
      <c r="S44" s="108">
        <f t="shared" si="5"/>
        <v>825</v>
      </c>
      <c r="T44" s="108">
        <v>128.33000000000001</v>
      </c>
      <c r="U44" s="108">
        <v>100.8</v>
      </c>
      <c r="V44" s="108">
        <f t="shared" si="7"/>
        <v>1279.1300000000001</v>
      </c>
      <c r="W44" s="108">
        <f t="shared" si="4"/>
        <v>6470.87</v>
      </c>
      <c r="X44" s="108">
        <f>458</f>
        <v>458</v>
      </c>
    </row>
    <row r="45" spans="1:24" s="92" customFormat="1" ht="25.5" x14ac:dyDescent="0.2">
      <c r="A45" s="137">
        <v>35</v>
      </c>
      <c r="B45" s="59" t="s">
        <v>610</v>
      </c>
      <c r="C45" s="59" t="s">
        <v>954</v>
      </c>
      <c r="D45" s="106">
        <v>1476</v>
      </c>
      <c r="E45" s="107">
        <v>1600</v>
      </c>
      <c r="F45" s="107">
        <v>0</v>
      </c>
      <c r="G45" s="107">
        <v>0</v>
      </c>
      <c r="H45" s="107">
        <v>1900</v>
      </c>
      <c r="I45" s="107">
        <v>0</v>
      </c>
      <c r="J45" s="107">
        <v>0</v>
      </c>
      <c r="K45" s="107">
        <v>50</v>
      </c>
      <c r="L45" s="107">
        <v>0</v>
      </c>
      <c r="M45" s="107">
        <v>250</v>
      </c>
      <c r="N45" s="107">
        <v>2800</v>
      </c>
      <c r="O45" s="107">
        <v>0</v>
      </c>
      <c r="P45" s="107">
        <v>0</v>
      </c>
      <c r="Q45" s="108">
        <f t="shared" si="8"/>
        <v>8076</v>
      </c>
      <c r="R45" s="108">
        <f t="shared" si="1"/>
        <v>150.78</v>
      </c>
      <c r="S45" s="108">
        <f t="shared" si="5"/>
        <v>552.86</v>
      </c>
      <c r="T45" s="108">
        <v>288.89</v>
      </c>
      <c r="U45" s="108">
        <v>0</v>
      </c>
      <c r="V45" s="108">
        <f t="shared" si="7"/>
        <v>992.53</v>
      </c>
      <c r="W45" s="108">
        <f t="shared" si="4"/>
        <v>7083.47</v>
      </c>
      <c r="X45" s="108">
        <v>8814.16</v>
      </c>
    </row>
    <row r="46" spans="1:24" s="92" customFormat="1" ht="25.5" x14ac:dyDescent="0.2">
      <c r="A46" s="137">
        <v>36</v>
      </c>
      <c r="B46" s="59" t="s">
        <v>611</v>
      </c>
      <c r="C46" s="59" t="s">
        <v>568</v>
      </c>
      <c r="D46" s="106">
        <v>1634</v>
      </c>
      <c r="E46" s="107">
        <v>2400</v>
      </c>
      <c r="F46" s="107">
        <v>0</v>
      </c>
      <c r="G46" s="107">
        <v>0</v>
      </c>
      <c r="H46" s="107">
        <v>2200</v>
      </c>
      <c r="I46" s="107">
        <v>3200</v>
      </c>
      <c r="J46" s="107">
        <v>0</v>
      </c>
      <c r="K46" s="107">
        <v>75</v>
      </c>
      <c r="L46" s="107">
        <v>0</v>
      </c>
      <c r="M46" s="107">
        <v>250</v>
      </c>
      <c r="N46" s="107">
        <v>2800</v>
      </c>
      <c r="O46" s="107">
        <v>0</v>
      </c>
      <c r="P46" s="107">
        <v>0</v>
      </c>
      <c r="Q46" s="108">
        <f t="shared" si="8"/>
        <v>12559</v>
      </c>
      <c r="R46" s="108">
        <f t="shared" si="1"/>
        <v>285.27</v>
      </c>
      <c r="S46" s="108">
        <f t="shared" si="5"/>
        <v>1045.99</v>
      </c>
      <c r="T46" s="108">
        <v>207.96</v>
      </c>
      <c r="U46" s="108">
        <v>0</v>
      </c>
      <c r="V46" s="108">
        <f t="shared" si="7"/>
        <v>1539.22</v>
      </c>
      <c r="W46" s="108">
        <f t="shared" si="4"/>
        <v>11019.78</v>
      </c>
      <c r="X46" s="108">
        <v>0</v>
      </c>
    </row>
    <row r="47" spans="1:24" s="92" customFormat="1" ht="25.5" x14ac:dyDescent="0.2">
      <c r="A47" s="137">
        <v>37</v>
      </c>
      <c r="B47" s="59" t="s">
        <v>612</v>
      </c>
      <c r="C47" s="59" t="s">
        <v>954</v>
      </c>
      <c r="D47" s="106">
        <v>1476</v>
      </c>
      <c r="E47" s="107">
        <v>2000</v>
      </c>
      <c r="F47" s="107">
        <v>0</v>
      </c>
      <c r="G47" s="107">
        <v>0</v>
      </c>
      <c r="H47" s="107">
        <v>1900</v>
      </c>
      <c r="I47" s="107">
        <v>2600</v>
      </c>
      <c r="J47" s="107">
        <v>0</v>
      </c>
      <c r="K47" s="107">
        <v>50</v>
      </c>
      <c r="L47" s="107">
        <v>0</v>
      </c>
      <c r="M47" s="107">
        <v>250</v>
      </c>
      <c r="N47" s="107">
        <v>2800</v>
      </c>
      <c r="O47" s="107">
        <v>0</v>
      </c>
      <c r="P47" s="107">
        <v>0</v>
      </c>
      <c r="Q47" s="108">
        <f t="shared" si="8"/>
        <v>11076</v>
      </c>
      <c r="R47" s="108">
        <f t="shared" si="1"/>
        <v>240.78</v>
      </c>
      <c r="S47" s="108">
        <f t="shared" si="5"/>
        <v>882.86</v>
      </c>
      <c r="T47" s="108">
        <v>146.41</v>
      </c>
      <c r="U47" s="108">
        <v>0</v>
      </c>
      <c r="V47" s="108">
        <f t="shared" si="7"/>
        <v>1270.05</v>
      </c>
      <c r="W47" s="108">
        <f t="shared" si="4"/>
        <v>9805.9500000000007</v>
      </c>
      <c r="X47" s="108">
        <v>0</v>
      </c>
    </row>
    <row r="48" spans="1:24" s="92" customFormat="1" ht="25.5" x14ac:dyDescent="0.2">
      <c r="A48" s="137">
        <v>38</v>
      </c>
      <c r="B48" s="59" t="s">
        <v>613</v>
      </c>
      <c r="C48" s="59" t="s">
        <v>614</v>
      </c>
      <c r="D48" s="107">
        <v>2885</v>
      </c>
      <c r="E48" s="107">
        <v>0</v>
      </c>
      <c r="F48" s="107">
        <v>2885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2800</v>
      </c>
      <c r="O48" s="107">
        <v>0</v>
      </c>
      <c r="P48" s="107">
        <v>0</v>
      </c>
      <c r="Q48" s="108">
        <f t="shared" si="8"/>
        <v>8570</v>
      </c>
      <c r="R48" s="108">
        <f t="shared" si="1"/>
        <v>173.1</v>
      </c>
      <c r="S48" s="108">
        <f t="shared" si="5"/>
        <v>634.70000000000005</v>
      </c>
      <c r="T48" s="108">
        <v>46.06</v>
      </c>
      <c r="U48" s="108">
        <v>0</v>
      </c>
      <c r="V48" s="108">
        <f t="shared" si="7"/>
        <v>853.86</v>
      </c>
      <c r="W48" s="108">
        <f t="shared" si="4"/>
        <v>7716.14</v>
      </c>
      <c r="X48" s="108">
        <v>0</v>
      </c>
    </row>
    <row r="49" spans="1:24" s="92" customFormat="1" ht="25.5" x14ac:dyDescent="0.2">
      <c r="A49" s="137">
        <v>39</v>
      </c>
      <c r="B49" s="59" t="s">
        <v>615</v>
      </c>
      <c r="C49" s="130" t="s">
        <v>573</v>
      </c>
      <c r="D49" s="106">
        <v>1350</v>
      </c>
      <c r="E49" s="107">
        <v>2000</v>
      </c>
      <c r="F49" s="107">
        <v>0</v>
      </c>
      <c r="G49" s="107">
        <v>0</v>
      </c>
      <c r="H49" s="107">
        <v>1600</v>
      </c>
      <c r="I49" s="107">
        <v>2900</v>
      </c>
      <c r="J49" s="107">
        <v>0</v>
      </c>
      <c r="K49" s="107">
        <v>50</v>
      </c>
      <c r="L49" s="107">
        <v>0</v>
      </c>
      <c r="M49" s="107">
        <v>250</v>
      </c>
      <c r="N49" s="107">
        <v>2800</v>
      </c>
      <c r="O49" s="107">
        <v>0</v>
      </c>
      <c r="P49" s="107">
        <v>0</v>
      </c>
      <c r="Q49" s="108">
        <f t="shared" si="8"/>
        <v>10950</v>
      </c>
      <c r="R49" s="108">
        <f t="shared" si="1"/>
        <v>237</v>
      </c>
      <c r="S49" s="108">
        <f t="shared" si="5"/>
        <v>869</v>
      </c>
      <c r="T49" s="108">
        <v>145.13</v>
      </c>
      <c r="U49" s="108">
        <v>0</v>
      </c>
      <c r="V49" s="108">
        <f t="shared" si="7"/>
        <v>1251.1300000000001</v>
      </c>
      <c r="W49" s="108">
        <f t="shared" si="4"/>
        <v>9698.8700000000008</v>
      </c>
      <c r="X49" s="108">
        <v>8864.1299999999992</v>
      </c>
    </row>
    <row r="50" spans="1:24" s="92" customFormat="1" ht="25.5" x14ac:dyDescent="0.2">
      <c r="A50" s="137">
        <v>40</v>
      </c>
      <c r="B50" s="59" t="s">
        <v>616</v>
      </c>
      <c r="C50" s="59" t="s">
        <v>595</v>
      </c>
      <c r="D50" s="106">
        <v>485</v>
      </c>
      <c r="E50" s="107">
        <v>0</v>
      </c>
      <c r="F50" s="107">
        <v>606.25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2800</v>
      </c>
      <c r="O50" s="107">
        <v>0</v>
      </c>
      <c r="P50" s="107">
        <v>0</v>
      </c>
      <c r="Q50" s="108">
        <f t="shared" si="8"/>
        <v>3891.25</v>
      </c>
      <c r="R50" s="108">
        <f t="shared" si="1"/>
        <v>32.74</v>
      </c>
      <c r="S50" s="108">
        <f t="shared" si="5"/>
        <v>120.04</v>
      </c>
      <c r="T50" s="108">
        <v>0</v>
      </c>
      <c r="U50" s="108">
        <v>0</v>
      </c>
      <c r="V50" s="108">
        <f t="shared" si="7"/>
        <v>152.78</v>
      </c>
      <c r="W50" s="108">
        <f t="shared" si="4"/>
        <v>3738.47</v>
      </c>
      <c r="X50" s="108">
        <v>0</v>
      </c>
    </row>
    <row r="51" spans="1:24" s="92" customFormat="1" ht="25.5" x14ac:dyDescent="0.2">
      <c r="A51" s="137">
        <v>41</v>
      </c>
      <c r="B51" s="59" t="s">
        <v>617</v>
      </c>
      <c r="C51" s="59" t="s">
        <v>954</v>
      </c>
      <c r="D51" s="106">
        <v>1476</v>
      </c>
      <c r="E51" s="107">
        <v>2000</v>
      </c>
      <c r="F51" s="107">
        <v>0</v>
      </c>
      <c r="G51" s="107">
        <v>0</v>
      </c>
      <c r="H51" s="107">
        <v>1900</v>
      </c>
      <c r="I51" s="107">
        <v>2600</v>
      </c>
      <c r="J51" s="107">
        <v>0</v>
      </c>
      <c r="K51" s="107">
        <v>50</v>
      </c>
      <c r="L51" s="107">
        <v>0</v>
      </c>
      <c r="M51" s="107">
        <v>250</v>
      </c>
      <c r="N51" s="107">
        <v>2800</v>
      </c>
      <c r="O51" s="107">
        <v>0</v>
      </c>
      <c r="P51" s="107">
        <v>0</v>
      </c>
      <c r="Q51" s="108">
        <f t="shared" si="8"/>
        <v>11076</v>
      </c>
      <c r="R51" s="108">
        <f t="shared" si="1"/>
        <v>240.78</v>
      </c>
      <c r="S51" s="108">
        <f t="shared" si="5"/>
        <v>882.86</v>
      </c>
      <c r="T51" s="108">
        <v>146.41</v>
      </c>
      <c r="U51" s="108">
        <v>0</v>
      </c>
      <c r="V51" s="108">
        <f t="shared" si="7"/>
        <v>1270.05</v>
      </c>
      <c r="W51" s="108">
        <f t="shared" si="4"/>
        <v>9805.9500000000007</v>
      </c>
      <c r="X51" s="108">
        <v>0</v>
      </c>
    </row>
    <row r="52" spans="1:24" s="92" customFormat="1" ht="25.5" x14ac:dyDescent="0.2">
      <c r="A52" s="137">
        <v>42</v>
      </c>
      <c r="B52" s="59" t="s">
        <v>618</v>
      </c>
      <c r="C52" s="59" t="s">
        <v>568</v>
      </c>
      <c r="D52" s="106">
        <v>1634</v>
      </c>
      <c r="E52" s="107">
        <v>2400</v>
      </c>
      <c r="F52" s="107">
        <v>0</v>
      </c>
      <c r="G52" s="107">
        <v>0</v>
      </c>
      <c r="H52" s="107">
        <v>0</v>
      </c>
      <c r="I52" s="107">
        <v>5400</v>
      </c>
      <c r="J52" s="107">
        <v>0</v>
      </c>
      <c r="K52" s="107">
        <v>0</v>
      </c>
      <c r="L52" s="107">
        <v>0</v>
      </c>
      <c r="M52" s="107">
        <v>250</v>
      </c>
      <c r="N52" s="107">
        <v>2800</v>
      </c>
      <c r="O52" s="107">
        <v>0</v>
      </c>
      <c r="P52" s="107">
        <v>0</v>
      </c>
      <c r="Q52" s="108">
        <f t="shared" si="8"/>
        <v>12484</v>
      </c>
      <c r="R52" s="108">
        <f t="shared" si="1"/>
        <v>283.02</v>
      </c>
      <c r="S52" s="108">
        <f t="shared" si="5"/>
        <v>1037.74</v>
      </c>
      <c r="T52" s="108">
        <v>204.84</v>
      </c>
      <c r="U52" s="108">
        <v>126.79</v>
      </c>
      <c r="V52" s="108">
        <f t="shared" si="7"/>
        <v>1652.39</v>
      </c>
      <c r="W52" s="108">
        <f t="shared" si="4"/>
        <v>10831.61</v>
      </c>
      <c r="X52" s="108">
        <v>0</v>
      </c>
    </row>
    <row r="53" spans="1:24" s="92" customFormat="1" ht="25.5" x14ac:dyDescent="0.2">
      <c r="A53" s="137">
        <v>43</v>
      </c>
      <c r="B53" s="59" t="s">
        <v>619</v>
      </c>
      <c r="C53" s="59" t="s">
        <v>595</v>
      </c>
      <c r="D53" s="106">
        <f>(485*4)+1350</f>
        <v>3290</v>
      </c>
      <c r="E53" s="107">
        <v>2000</v>
      </c>
      <c r="F53" s="107">
        <f>485*4</f>
        <v>1940</v>
      </c>
      <c r="G53" s="107">
        <v>0</v>
      </c>
      <c r="H53" s="107">
        <v>0</v>
      </c>
      <c r="I53" s="107">
        <v>4500</v>
      </c>
      <c r="J53" s="107">
        <v>0</v>
      </c>
      <c r="K53" s="107">
        <v>0</v>
      </c>
      <c r="L53" s="107">
        <v>0</v>
      </c>
      <c r="M53" s="107">
        <v>250</v>
      </c>
      <c r="N53" s="107">
        <v>2800</v>
      </c>
      <c r="O53" s="107">
        <v>0</v>
      </c>
      <c r="P53" s="107">
        <v>0</v>
      </c>
      <c r="Q53" s="108">
        <f t="shared" si="8"/>
        <v>14780</v>
      </c>
      <c r="R53" s="108">
        <f t="shared" si="1"/>
        <v>351.9</v>
      </c>
      <c r="S53" s="108">
        <f t="shared" si="5"/>
        <v>1290.3</v>
      </c>
      <c r="T53" s="109">
        <v>143.03</v>
      </c>
      <c r="U53" s="108">
        <v>0</v>
      </c>
      <c r="V53" s="108">
        <f t="shared" si="7"/>
        <v>1785.23</v>
      </c>
      <c r="W53" s="108">
        <f t="shared" si="4"/>
        <v>12994.77</v>
      </c>
      <c r="X53" s="108">
        <v>0</v>
      </c>
    </row>
    <row r="54" spans="1:24" s="92" customFormat="1" ht="38.25" x14ac:dyDescent="0.2">
      <c r="A54" s="137">
        <v>44</v>
      </c>
      <c r="B54" s="59" t="s">
        <v>620</v>
      </c>
      <c r="C54" s="59" t="s">
        <v>719</v>
      </c>
      <c r="D54" s="106">
        <f>485*3</f>
        <v>1455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2800</v>
      </c>
      <c r="O54" s="107">
        <v>0</v>
      </c>
      <c r="P54" s="107">
        <v>0</v>
      </c>
      <c r="Q54" s="108">
        <f t="shared" si="8"/>
        <v>4255</v>
      </c>
      <c r="R54" s="108">
        <f t="shared" si="1"/>
        <v>43.65</v>
      </c>
      <c r="S54" s="108">
        <f t="shared" si="5"/>
        <v>160.05000000000001</v>
      </c>
      <c r="T54" s="108">
        <v>0</v>
      </c>
      <c r="U54" s="108">
        <v>0</v>
      </c>
      <c r="V54" s="108">
        <f t="shared" si="7"/>
        <v>203.7</v>
      </c>
      <c r="W54" s="108">
        <f t="shared" si="4"/>
        <v>4051.3</v>
      </c>
      <c r="X54" s="108">
        <v>0</v>
      </c>
    </row>
    <row r="55" spans="1:24" s="92" customFormat="1" ht="38.25" x14ac:dyDescent="0.2">
      <c r="A55" s="137">
        <v>45</v>
      </c>
      <c r="B55" s="59" t="s">
        <v>621</v>
      </c>
      <c r="C55" s="59" t="s">
        <v>622</v>
      </c>
      <c r="D55" s="106">
        <f>(485*4)+1634</f>
        <v>3574</v>
      </c>
      <c r="E55" s="107">
        <v>2400</v>
      </c>
      <c r="F55" s="107">
        <f>606.25*4</f>
        <v>2425</v>
      </c>
      <c r="G55" s="107">
        <v>0</v>
      </c>
      <c r="H55" s="107">
        <v>0</v>
      </c>
      <c r="I55" s="107">
        <v>5400</v>
      </c>
      <c r="J55" s="107">
        <v>0</v>
      </c>
      <c r="K55" s="107">
        <v>0</v>
      </c>
      <c r="L55" s="107">
        <v>0</v>
      </c>
      <c r="M55" s="107">
        <v>250</v>
      </c>
      <c r="N55" s="107">
        <v>2800</v>
      </c>
      <c r="O55" s="107">
        <v>0</v>
      </c>
      <c r="P55" s="107">
        <v>0</v>
      </c>
      <c r="Q55" s="108">
        <f t="shared" si="8"/>
        <v>16849</v>
      </c>
      <c r="R55" s="108">
        <f t="shared" si="1"/>
        <v>413.97</v>
      </c>
      <c r="S55" s="108">
        <f t="shared" si="5"/>
        <v>1517.89</v>
      </c>
      <c r="T55" s="108">
        <v>379.09</v>
      </c>
      <c r="U55" s="108">
        <v>0</v>
      </c>
      <c r="V55" s="108">
        <f t="shared" si="7"/>
        <v>2310.9499999999998</v>
      </c>
      <c r="W55" s="108">
        <f t="shared" si="4"/>
        <v>14538.05</v>
      </c>
      <c r="X55" s="108">
        <v>0</v>
      </c>
    </row>
    <row r="56" spans="1:24" s="92" customFormat="1" x14ac:dyDescent="0.2">
      <c r="A56" s="137">
        <v>46</v>
      </c>
      <c r="B56" s="59" t="s">
        <v>623</v>
      </c>
      <c r="C56" s="59" t="s">
        <v>571</v>
      </c>
      <c r="D56" s="106">
        <v>1074</v>
      </c>
      <c r="E56" s="107">
        <v>400</v>
      </c>
      <c r="F56" s="107">
        <v>0</v>
      </c>
      <c r="G56" s="107">
        <v>1000</v>
      </c>
      <c r="H56" s="107">
        <v>0</v>
      </c>
      <c r="I56" s="107">
        <v>0</v>
      </c>
      <c r="J56" s="107">
        <v>0</v>
      </c>
      <c r="K56" s="107">
        <v>0</v>
      </c>
      <c r="L56" s="107">
        <v>200</v>
      </c>
      <c r="M56" s="107">
        <v>250</v>
      </c>
      <c r="N56" s="107">
        <v>2800</v>
      </c>
      <c r="O56" s="107">
        <v>0</v>
      </c>
      <c r="P56" s="107">
        <v>0</v>
      </c>
      <c r="Q56" s="108">
        <f t="shared" si="8"/>
        <v>5724</v>
      </c>
      <c r="R56" s="108">
        <f t="shared" si="1"/>
        <v>74.22</v>
      </c>
      <c r="S56" s="108">
        <f t="shared" si="5"/>
        <v>272.14</v>
      </c>
      <c r="T56" s="108">
        <v>0</v>
      </c>
      <c r="U56" s="108">
        <v>0</v>
      </c>
      <c r="V56" s="108">
        <f t="shared" si="7"/>
        <v>346.36</v>
      </c>
      <c r="W56" s="108">
        <f t="shared" si="4"/>
        <v>5377.64</v>
      </c>
      <c r="X56" s="108">
        <v>0</v>
      </c>
    </row>
    <row r="57" spans="1:24" s="92" customFormat="1" ht="25.5" x14ac:dyDescent="0.2">
      <c r="A57" s="137">
        <v>47</v>
      </c>
      <c r="B57" s="59" t="s">
        <v>624</v>
      </c>
      <c r="C57" s="59" t="s">
        <v>788</v>
      </c>
      <c r="D57" s="106">
        <v>1350</v>
      </c>
      <c r="E57" s="107">
        <v>2000</v>
      </c>
      <c r="F57" s="107">
        <v>0</v>
      </c>
      <c r="G57" s="107">
        <v>0</v>
      </c>
      <c r="H57" s="107">
        <v>0</v>
      </c>
      <c r="I57" s="107">
        <v>4500</v>
      </c>
      <c r="J57" s="107">
        <v>0</v>
      </c>
      <c r="K57" s="107">
        <v>75</v>
      </c>
      <c r="L57" s="107">
        <v>0</v>
      </c>
      <c r="M57" s="107">
        <v>250</v>
      </c>
      <c r="N57" s="107">
        <v>2800</v>
      </c>
      <c r="O57" s="107">
        <v>0</v>
      </c>
      <c r="P57" s="107">
        <v>0</v>
      </c>
      <c r="Q57" s="108">
        <f t="shared" si="8"/>
        <v>10975</v>
      </c>
      <c r="R57" s="108">
        <f t="shared" si="1"/>
        <v>237.75</v>
      </c>
      <c r="S57" s="108">
        <f t="shared" si="5"/>
        <v>871.75</v>
      </c>
      <c r="T57" s="108">
        <v>150.15</v>
      </c>
      <c r="U57" s="108">
        <v>0</v>
      </c>
      <c r="V57" s="108">
        <f t="shared" si="7"/>
        <v>1259.6500000000001</v>
      </c>
      <c r="W57" s="108">
        <f t="shared" si="4"/>
        <v>9715.35</v>
      </c>
      <c r="X57" s="108">
        <v>0</v>
      </c>
    </row>
    <row r="58" spans="1:24" s="92" customFormat="1" ht="25.5" x14ac:dyDescent="0.2">
      <c r="A58" s="137">
        <v>48</v>
      </c>
      <c r="B58" s="130" t="s">
        <v>625</v>
      </c>
      <c r="C58" s="59" t="s">
        <v>626</v>
      </c>
      <c r="D58" s="107">
        <v>1223</v>
      </c>
      <c r="E58" s="108">
        <v>2000</v>
      </c>
      <c r="F58" s="107">
        <v>0</v>
      </c>
      <c r="G58" s="107">
        <v>0</v>
      </c>
      <c r="H58" s="107">
        <v>1300</v>
      </c>
      <c r="I58" s="107">
        <v>3200</v>
      </c>
      <c r="J58" s="107">
        <v>0</v>
      </c>
      <c r="K58" s="107">
        <v>0</v>
      </c>
      <c r="L58" s="107">
        <v>0</v>
      </c>
      <c r="M58" s="107">
        <v>250</v>
      </c>
      <c r="N58" s="107">
        <v>2800</v>
      </c>
      <c r="O58" s="107">
        <v>0</v>
      </c>
      <c r="P58" s="107">
        <v>0</v>
      </c>
      <c r="Q58" s="108">
        <f t="shared" si="8"/>
        <v>10773</v>
      </c>
      <c r="R58" s="108">
        <f t="shared" si="1"/>
        <v>231.69</v>
      </c>
      <c r="S58" s="108">
        <f t="shared" si="5"/>
        <v>849.53</v>
      </c>
      <c r="T58" s="108">
        <v>137.69</v>
      </c>
      <c r="U58" s="108">
        <v>0</v>
      </c>
      <c r="V58" s="108">
        <f t="shared" si="7"/>
        <v>1218.9100000000001</v>
      </c>
      <c r="W58" s="108">
        <f t="shared" si="4"/>
        <v>9554.09</v>
      </c>
      <c r="X58" s="108">
        <v>0</v>
      </c>
    </row>
    <row r="59" spans="1:24" s="92" customFormat="1" ht="25.5" x14ac:dyDescent="0.2">
      <c r="A59" s="137">
        <v>49</v>
      </c>
      <c r="B59" s="59" t="s">
        <v>627</v>
      </c>
      <c r="C59" s="59" t="s">
        <v>628</v>
      </c>
      <c r="D59" s="106">
        <v>1223</v>
      </c>
      <c r="E59" s="107">
        <f>2000</f>
        <v>2000</v>
      </c>
      <c r="F59" s="107">
        <v>0</v>
      </c>
      <c r="G59" s="107">
        <v>0</v>
      </c>
      <c r="H59" s="107">
        <v>1300</v>
      </c>
      <c r="I59" s="107">
        <f>3200</f>
        <v>3200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8">
        <f t="shared" si="8"/>
        <v>7723</v>
      </c>
      <c r="R59" s="108">
        <f t="shared" si="1"/>
        <v>231.69</v>
      </c>
      <c r="S59" s="108">
        <f t="shared" si="5"/>
        <v>849.53</v>
      </c>
      <c r="T59" s="108">
        <v>137.69</v>
      </c>
      <c r="U59" s="108">
        <v>0</v>
      </c>
      <c r="V59" s="108">
        <f t="shared" si="7"/>
        <v>1218.9100000000001</v>
      </c>
      <c r="W59" s="108">
        <f t="shared" si="4"/>
        <v>6504.09</v>
      </c>
      <c r="X59" s="108">
        <v>0</v>
      </c>
    </row>
    <row r="60" spans="1:24" s="92" customFormat="1" ht="25.5" x14ac:dyDescent="0.2">
      <c r="A60" s="137">
        <v>50</v>
      </c>
      <c r="B60" s="59" t="s">
        <v>629</v>
      </c>
      <c r="C60" s="130" t="s">
        <v>573</v>
      </c>
      <c r="D60" s="106">
        <v>1350</v>
      </c>
      <c r="E60" s="107">
        <v>2000</v>
      </c>
      <c r="F60" s="107">
        <v>0</v>
      </c>
      <c r="G60" s="107">
        <v>0</v>
      </c>
      <c r="H60" s="107">
        <v>1600</v>
      </c>
      <c r="I60" s="107">
        <v>2900</v>
      </c>
      <c r="J60" s="107">
        <v>0</v>
      </c>
      <c r="K60" s="107">
        <v>0</v>
      </c>
      <c r="L60" s="107">
        <v>0</v>
      </c>
      <c r="M60" s="107">
        <v>250</v>
      </c>
      <c r="N60" s="107">
        <v>2800</v>
      </c>
      <c r="O60" s="107">
        <v>0</v>
      </c>
      <c r="P60" s="107">
        <v>0</v>
      </c>
      <c r="Q60" s="108">
        <f t="shared" si="8"/>
        <v>10900</v>
      </c>
      <c r="R60" s="108">
        <f t="shared" si="1"/>
        <v>235.5</v>
      </c>
      <c r="S60" s="108">
        <f t="shared" si="5"/>
        <v>863.5</v>
      </c>
      <c r="T60" s="108">
        <v>143.03</v>
      </c>
      <c r="U60" s="108">
        <v>0</v>
      </c>
      <c r="V60" s="108">
        <f t="shared" si="7"/>
        <v>1242.03</v>
      </c>
      <c r="W60" s="108">
        <f t="shared" si="4"/>
        <v>9657.9699999999993</v>
      </c>
      <c r="X60" s="108">
        <v>0</v>
      </c>
    </row>
    <row r="61" spans="1:24" s="92" customFormat="1" ht="25.5" x14ac:dyDescent="0.2">
      <c r="A61" s="137">
        <v>51</v>
      </c>
      <c r="B61" s="59" t="s">
        <v>630</v>
      </c>
      <c r="C61" s="59" t="s">
        <v>631</v>
      </c>
      <c r="D61" s="106">
        <v>1135</v>
      </c>
      <c r="E61" s="107">
        <v>500</v>
      </c>
      <c r="F61" s="107">
        <v>0</v>
      </c>
      <c r="G61" s="107">
        <v>1000</v>
      </c>
      <c r="H61" s="107">
        <v>0</v>
      </c>
      <c r="I61" s="107">
        <v>0</v>
      </c>
      <c r="J61" s="107">
        <v>0</v>
      </c>
      <c r="K61" s="107">
        <v>0</v>
      </c>
      <c r="L61" s="107">
        <v>200</v>
      </c>
      <c r="M61" s="107">
        <v>250</v>
      </c>
      <c r="N61" s="107">
        <v>2800</v>
      </c>
      <c r="O61" s="107">
        <v>0</v>
      </c>
      <c r="P61" s="107">
        <v>0</v>
      </c>
      <c r="Q61" s="108">
        <f t="shared" si="8"/>
        <v>5885</v>
      </c>
      <c r="R61" s="108">
        <f t="shared" si="1"/>
        <v>79.05</v>
      </c>
      <c r="S61" s="108">
        <f t="shared" si="5"/>
        <v>289.85000000000002</v>
      </c>
      <c r="T61" s="108">
        <v>0</v>
      </c>
      <c r="U61" s="108">
        <v>0</v>
      </c>
      <c r="V61" s="108">
        <f t="shared" si="7"/>
        <v>368.9</v>
      </c>
      <c r="W61" s="108">
        <f t="shared" si="4"/>
        <v>5516.1</v>
      </c>
      <c r="X61" s="108">
        <v>0</v>
      </c>
    </row>
    <row r="62" spans="1:24" s="92" customFormat="1" ht="25.5" x14ac:dyDescent="0.2">
      <c r="A62" s="137">
        <v>52</v>
      </c>
      <c r="B62" s="59" t="s">
        <v>632</v>
      </c>
      <c r="C62" s="59" t="s">
        <v>631</v>
      </c>
      <c r="D62" s="106">
        <v>1135</v>
      </c>
      <c r="E62" s="107">
        <v>400</v>
      </c>
      <c r="F62" s="107">
        <v>0</v>
      </c>
      <c r="G62" s="107">
        <v>1000</v>
      </c>
      <c r="H62" s="107">
        <v>0</v>
      </c>
      <c r="I62" s="107">
        <v>0</v>
      </c>
      <c r="J62" s="107">
        <v>0</v>
      </c>
      <c r="K62" s="107">
        <v>50</v>
      </c>
      <c r="L62" s="107">
        <v>0</v>
      </c>
      <c r="M62" s="107">
        <v>250</v>
      </c>
      <c r="N62" s="107">
        <v>2800</v>
      </c>
      <c r="O62" s="107">
        <v>0</v>
      </c>
      <c r="P62" s="107">
        <v>0</v>
      </c>
      <c r="Q62" s="108">
        <f t="shared" si="8"/>
        <v>5635</v>
      </c>
      <c r="R62" s="108">
        <f t="shared" si="1"/>
        <v>77.55</v>
      </c>
      <c r="S62" s="108">
        <f t="shared" si="5"/>
        <v>284.35000000000002</v>
      </c>
      <c r="T62" s="108">
        <v>0</v>
      </c>
      <c r="U62" s="108">
        <v>0</v>
      </c>
      <c r="V62" s="108">
        <f t="shared" si="7"/>
        <v>361.9</v>
      </c>
      <c r="W62" s="108">
        <f t="shared" si="4"/>
        <v>5273.1</v>
      </c>
      <c r="X62" s="108">
        <v>0</v>
      </c>
    </row>
    <row r="63" spans="1:24" s="92" customFormat="1" ht="25.5" x14ac:dyDescent="0.2">
      <c r="A63" s="137">
        <v>53</v>
      </c>
      <c r="B63" s="59" t="s">
        <v>633</v>
      </c>
      <c r="C63" s="59" t="s">
        <v>954</v>
      </c>
      <c r="D63" s="106">
        <v>1476</v>
      </c>
      <c r="E63" s="107">
        <v>2000</v>
      </c>
      <c r="F63" s="107">
        <v>0</v>
      </c>
      <c r="G63" s="107">
        <v>0</v>
      </c>
      <c r="H63" s="107">
        <v>1900</v>
      </c>
      <c r="I63" s="107">
        <v>2600</v>
      </c>
      <c r="J63" s="107">
        <v>0</v>
      </c>
      <c r="K63" s="107">
        <v>50</v>
      </c>
      <c r="L63" s="107">
        <v>0</v>
      </c>
      <c r="M63" s="107">
        <v>250</v>
      </c>
      <c r="N63" s="107">
        <v>2800</v>
      </c>
      <c r="O63" s="107">
        <v>0</v>
      </c>
      <c r="P63" s="107">
        <v>0</v>
      </c>
      <c r="Q63" s="108">
        <f t="shared" si="8"/>
        <v>11076</v>
      </c>
      <c r="R63" s="108">
        <f t="shared" si="1"/>
        <v>240.78</v>
      </c>
      <c r="S63" s="108">
        <f t="shared" si="5"/>
        <v>882.86</v>
      </c>
      <c r="T63" s="108">
        <v>146.41</v>
      </c>
      <c r="U63" s="108">
        <v>0</v>
      </c>
      <c r="V63" s="108">
        <f t="shared" si="7"/>
        <v>1270.05</v>
      </c>
      <c r="W63" s="108">
        <f t="shared" si="4"/>
        <v>9805.9500000000007</v>
      </c>
      <c r="X63" s="108">
        <v>0</v>
      </c>
    </row>
    <row r="64" spans="1:24" s="92" customFormat="1" ht="25.5" x14ac:dyDescent="0.2">
      <c r="A64" s="137">
        <v>54</v>
      </c>
      <c r="B64" s="59" t="s">
        <v>634</v>
      </c>
      <c r="C64" s="59" t="s">
        <v>788</v>
      </c>
      <c r="D64" s="106">
        <v>1350</v>
      </c>
      <c r="E64" s="107">
        <v>2000</v>
      </c>
      <c r="F64" s="107">
        <v>0</v>
      </c>
      <c r="G64" s="107">
        <v>0</v>
      </c>
      <c r="H64" s="107">
        <v>0</v>
      </c>
      <c r="I64" s="107">
        <v>4500</v>
      </c>
      <c r="J64" s="107">
        <v>0</v>
      </c>
      <c r="K64" s="107">
        <v>75</v>
      </c>
      <c r="L64" s="107">
        <v>0</v>
      </c>
      <c r="M64" s="107">
        <v>250</v>
      </c>
      <c r="N64" s="107">
        <v>2800</v>
      </c>
      <c r="O64" s="107">
        <v>0</v>
      </c>
      <c r="P64" s="107">
        <v>0</v>
      </c>
      <c r="Q64" s="108">
        <f t="shared" si="8"/>
        <v>10975</v>
      </c>
      <c r="R64" s="108">
        <f t="shared" si="1"/>
        <v>237.75</v>
      </c>
      <c r="S64" s="108">
        <f>(D64+E64+F64+G64+H64+I64+J64+K64+O64)*15%</f>
        <v>1188.75</v>
      </c>
      <c r="T64" s="108">
        <v>280.98</v>
      </c>
      <c r="U64" s="108">
        <v>0</v>
      </c>
      <c r="V64" s="108">
        <f t="shared" si="7"/>
        <v>1707.48</v>
      </c>
      <c r="W64" s="108">
        <f t="shared" si="4"/>
        <v>9267.52</v>
      </c>
      <c r="X64" s="108">
        <v>0</v>
      </c>
    </row>
    <row r="65" spans="1:24" s="92" customFormat="1" ht="25.5" x14ac:dyDescent="0.2">
      <c r="A65" s="137">
        <v>55</v>
      </c>
      <c r="B65" s="130" t="s">
        <v>635</v>
      </c>
      <c r="C65" s="130" t="s">
        <v>636</v>
      </c>
      <c r="D65" s="107">
        <v>2441</v>
      </c>
      <c r="E65" s="107">
        <v>1000</v>
      </c>
      <c r="F65" s="107">
        <v>0</v>
      </c>
      <c r="G65" s="107">
        <v>1000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250</v>
      </c>
      <c r="N65" s="107">
        <v>2800</v>
      </c>
      <c r="O65" s="107">
        <v>0</v>
      </c>
      <c r="P65" s="107">
        <v>0</v>
      </c>
      <c r="Q65" s="108">
        <f t="shared" si="8"/>
        <v>7491</v>
      </c>
      <c r="R65" s="108">
        <f t="shared" si="1"/>
        <v>133.22999999999999</v>
      </c>
      <c r="S65" s="108">
        <f>(D65+E65+F65+G65+H65+I65+J65+K65+O65)*11%</f>
        <v>488.51</v>
      </c>
      <c r="T65" s="108">
        <v>0</v>
      </c>
      <c r="U65" s="108">
        <v>0</v>
      </c>
      <c r="V65" s="108">
        <f t="shared" si="7"/>
        <v>621.74</v>
      </c>
      <c r="W65" s="108">
        <f t="shared" si="4"/>
        <v>6869.26</v>
      </c>
      <c r="X65" s="108">
        <v>0</v>
      </c>
    </row>
    <row r="66" spans="1:24" s="92" customFormat="1" ht="25.5" x14ac:dyDescent="0.2">
      <c r="A66" s="137">
        <v>56</v>
      </c>
      <c r="B66" s="59" t="s">
        <v>637</v>
      </c>
      <c r="C66" s="130" t="s">
        <v>573</v>
      </c>
      <c r="D66" s="106">
        <v>1350</v>
      </c>
      <c r="E66" s="107">
        <v>2000</v>
      </c>
      <c r="F66" s="107">
        <v>0</v>
      </c>
      <c r="G66" s="107">
        <v>0</v>
      </c>
      <c r="H66" s="107">
        <v>1600</v>
      </c>
      <c r="I66" s="107">
        <v>2900</v>
      </c>
      <c r="J66" s="107">
        <v>0</v>
      </c>
      <c r="K66" s="107">
        <v>75</v>
      </c>
      <c r="L66" s="107">
        <v>0</v>
      </c>
      <c r="M66" s="107">
        <v>250</v>
      </c>
      <c r="N66" s="107">
        <v>2800</v>
      </c>
      <c r="O66" s="107">
        <v>0</v>
      </c>
      <c r="P66" s="107">
        <v>0</v>
      </c>
      <c r="Q66" s="108">
        <f t="shared" si="8"/>
        <v>10975</v>
      </c>
      <c r="R66" s="108">
        <f t="shared" si="1"/>
        <v>237.75</v>
      </c>
      <c r="S66" s="108">
        <f>(D66+E66+F66+G66+H66+I66+J66+K66+O66)*11%</f>
        <v>871.75</v>
      </c>
      <c r="T66" s="108">
        <v>143.03</v>
      </c>
      <c r="U66" s="108">
        <v>0</v>
      </c>
      <c r="V66" s="108">
        <f t="shared" si="7"/>
        <v>1252.53</v>
      </c>
      <c r="W66" s="108">
        <f t="shared" si="4"/>
        <v>9722.4699999999993</v>
      </c>
      <c r="X66" s="108">
        <v>0</v>
      </c>
    </row>
    <row r="67" spans="1:24" s="92" customFormat="1" x14ac:dyDescent="0.2">
      <c r="A67" s="137">
        <v>57</v>
      </c>
      <c r="B67" s="59" t="s">
        <v>638</v>
      </c>
      <c r="C67" s="59" t="s">
        <v>580</v>
      </c>
      <c r="D67" s="106">
        <v>1476</v>
      </c>
      <c r="E67" s="107">
        <v>2000</v>
      </c>
      <c r="F67" s="107">
        <v>0</v>
      </c>
      <c r="G67" s="107">
        <v>1900</v>
      </c>
      <c r="H67" s="107">
        <v>0</v>
      </c>
      <c r="I67" s="107">
        <v>2600</v>
      </c>
      <c r="J67" s="107">
        <v>0</v>
      </c>
      <c r="K67" s="107">
        <v>50</v>
      </c>
      <c r="L67" s="107">
        <v>0</v>
      </c>
      <c r="M67" s="107">
        <v>250</v>
      </c>
      <c r="N67" s="107">
        <v>2800</v>
      </c>
      <c r="O67" s="107">
        <v>0</v>
      </c>
      <c r="P67" s="107">
        <v>0</v>
      </c>
      <c r="Q67" s="108">
        <f t="shared" si="8"/>
        <v>11076</v>
      </c>
      <c r="R67" s="108">
        <f t="shared" si="1"/>
        <v>240.78</v>
      </c>
      <c r="S67" s="108">
        <f>(D67+E67+F67+G67+H67+I67+J67+K67+O67)*11%</f>
        <v>882.86</v>
      </c>
      <c r="T67" s="108">
        <v>146.41</v>
      </c>
      <c r="U67" s="108">
        <v>0</v>
      </c>
      <c r="V67" s="108">
        <f t="shared" si="7"/>
        <v>1270.05</v>
      </c>
      <c r="W67" s="108">
        <f t="shared" si="4"/>
        <v>9805.9500000000007</v>
      </c>
      <c r="X67" s="108">
        <v>0</v>
      </c>
    </row>
    <row r="68" spans="1:24" s="92" customFormat="1" ht="25.5" x14ac:dyDescent="0.2">
      <c r="A68" s="137">
        <v>58</v>
      </c>
      <c r="B68" s="59" t="s">
        <v>639</v>
      </c>
      <c r="C68" s="59" t="s">
        <v>954</v>
      </c>
      <c r="D68" s="106">
        <v>1476</v>
      </c>
      <c r="E68" s="107">
        <v>2000</v>
      </c>
      <c r="F68" s="107">
        <v>0</v>
      </c>
      <c r="G68" s="107">
        <v>0</v>
      </c>
      <c r="H68" s="107">
        <v>1900</v>
      </c>
      <c r="I68" s="107">
        <v>2600</v>
      </c>
      <c r="J68" s="107">
        <v>0</v>
      </c>
      <c r="K68" s="107">
        <v>75</v>
      </c>
      <c r="L68" s="107">
        <v>0</v>
      </c>
      <c r="M68" s="107">
        <v>250</v>
      </c>
      <c r="N68" s="107">
        <v>2800</v>
      </c>
      <c r="O68" s="107">
        <v>0</v>
      </c>
      <c r="P68" s="107">
        <v>0</v>
      </c>
      <c r="Q68" s="108">
        <f t="shared" si="8"/>
        <v>11101</v>
      </c>
      <c r="R68" s="108">
        <f t="shared" si="1"/>
        <v>241.53</v>
      </c>
      <c r="S68" s="108">
        <f>(D68+E68+F68+G68+H68+I68+J68+K68+O68)*14%</f>
        <v>1127.1400000000001</v>
      </c>
      <c r="T68" s="108">
        <v>160.85</v>
      </c>
      <c r="U68" s="108">
        <v>0</v>
      </c>
      <c r="V68" s="108">
        <f t="shared" ref="V68:V100" si="9">SUM(R68:U68)</f>
        <v>1529.52</v>
      </c>
      <c r="W68" s="108">
        <f t="shared" si="4"/>
        <v>9571.48</v>
      </c>
      <c r="X68" s="108">
        <v>0</v>
      </c>
    </row>
    <row r="69" spans="1:24" s="92" customFormat="1" ht="25.5" x14ac:dyDescent="0.2">
      <c r="A69" s="137">
        <v>59</v>
      </c>
      <c r="B69" s="130" t="s">
        <v>640</v>
      </c>
      <c r="C69" s="130" t="s">
        <v>641</v>
      </c>
      <c r="D69" s="107">
        <f>485*4</f>
        <v>1940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2800</v>
      </c>
      <c r="O69" s="107">
        <v>0</v>
      </c>
      <c r="P69" s="107">
        <v>0</v>
      </c>
      <c r="Q69" s="108">
        <f t="shared" si="8"/>
        <v>4740</v>
      </c>
      <c r="R69" s="108">
        <f t="shared" si="1"/>
        <v>58.2</v>
      </c>
      <c r="S69" s="108">
        <f t="shared" ref="S69:S78" si="10">(D69+E69+F69+G69+H69+I69+J69+K69+O69)*11%</f>
        <v>213.4</v>
      </c>
      <c r="T69" s="108">
        <v>0</v>
      </c>
      <c r="U69" s="108">
        <v>0</v>
      </c>
      <c r="V69" s="108">
        <f t="shared" si="9"/>
        <v>271.60000000000002</v>
      </c>
      <c r="W69" s="108">
        <f t="shared" si="4"/>
        <v>4468.3999999999996</v>
      </c>
      <c r="X69" s="108">
        <v>0</v>
      </c>
    </row>
    <row r="70" spans="1:24" s="92" customFormat="1" ht="25.5" x14ac:dyDescent="0.2">
      <c r="A70" s="137">
        <v>60</v>
      </c>
      <c r="B70" s="59" t="s">
        <v>642</v>
      </c>
      <c r="C70" s="130" t="s">
        <v>568</v>
      </c>
      <c r="D70" s="106">
        <v>1634</v>
      </c>
      <c r="E70" s="107">
        <v>2000</v>
      </c>
      <c r="F70" s="107">
        <v>0</v>
      </c>
      <c r="G70" s="107">
        <v>0</v>
      </c>
      <c r="H70" s="107">
        <v>2200</v>
      </c>
      <c r="I70" s="107">
        <v>3200</v>
      </c>
      <c r="J70" s="107">
        <v>0</v>
      </c>
      <c r="K70" s="107">
        <v>75</v>
      </c>
      <c r="L70" s="107">
        <v>0</v>
      </c>
      <c r="M70" s="107">
        <v>250</v>
      </c>
      <c r="N70" s="107">
        <v>2800</v>
      </c>
      <c r="O70" s="107">
        <v>0</v>
      </c>
      <c r="P70" s="107">
        <v>0</v>
      </c>
      <c r="Q70" s="108">
        <f t="shared" si="8"/>
        <v>12159</v>
      </c>
      <c r="R70" s="108">
        <f t="shared" si="1"/>
        <v>273.27</v>
      </c>
      <c r="S70" s="108">
        <f t="shared" si="10"/>
        <v>1001.99</v>
      </c>
      <c r="T70" s="108">
        <v>0</v>
      </c>
      <c r="U70" s="108">
        <v>0</v>
      </c>
      <c r="V70" s="108">
        <f t="shared" si="9"/>
        <v>1275.26</v>
      </c>
      <c r="W70" s="108">
        <f t="shared" si="4"/>
        <v>10883.74</v>
      </c>
      <c r="X70" s="108">
        <v>0</v>
      </c>
    </row>
    <row r="71" spans="1:24" s="92" customFormat="1" x14ac:dyDescent="0.2">
      <c r="A71" s="137">
        <v>61</v>
      </c>
      <c r="B71" s="59" t="s">
        <v>643</v>
      </c>
      <c r="C71" s="59" t="s">
        <v>571</v>
      </c>
      <c r="D71" s="106">
        <v>1074</v>
      </c>
      <c r="E71" s="107">
        <v>400</v>
      </c>
      <c r="F71" s="107">
        <v>0</v>
      </c>
      <c r="G71" s="107">
        <v>1000</v>
      </c>
      <c r="H71" s="107">
        <v>0</v>
      </c>
      <c r="I71" s="107">
        <v>0</v>
      </c>
      <c r="J71" s="107">
        <v>0</v>
      </c>
      <c r="K71" s="107">
        <v>0</v>
      </c>
      <c r="L71" s="107">
        <v>200</v>
      </c>
      <c r="M71" s="107">
        <v>250</v>
      </c>
      <c r="N71" s="107">
        <v>2800</v>
      </c>
      <c r="O71" s="107">
        <v>0</v>
      </c>
      <c r="P71" s="107">
        <v>0</v>
      </c>
      <c r="Q71" s="108">
        <f t="shared" si="8"/>
        <v>5724</v>
      </c>
      <c r="R71" s="108">
        <f t="shared" si="1"/>
        <v>74.22</v>
      </c>
      <c r="S71" s="108">
        <f t="shared" si="10"/>
        <v>272.14</v>
      </c>
      <c r="T71" s="108">
        <v>0</v>
      </c>
      <c r="U71" s="108">
        <v>0</v>
      </c>
      <c r="V71" s="108">
        <f t="shared" si="9"/>
        <v>346.36</v>
      </c>
      <c r="W71" s="108">
        <f t="shared" si="4"/>
        <v>5377.64</v>
      </c>
      <c r="X71" s="108">
        <v>0</v>
      </c>
    </row>
    <row r="72" spans="1:24" s="92" customFormat="1" x14ac:dyDescent="0.2">
      <c r="A72" s="137">
        <v>62</v>
      </c>
      <c r="B72" s="59" t="s">
        <v>644</v>
      </c>
      <c r="C72" s="59" t="s">
        <v>575</v>
      </c>
      <c r="D72" s="106">
        <v>1350</v>
      </c>
      <c r="E72" s="107">
        <v>2000</v>
      </c>
      <c r="F72" s="107">
        <v>0</v>
      </c>
      <c r="G72" s="107">
        <v>0</v>
      </c>
      <c r="H72" s="107">
        <v>0</v>
      </c>
      <c r="I72" s="107">
        <v>4500</v>
      </c>
      <c r="J72" s="107">
        <v>0</v>
      </c>
      <c r="K72" s="107">
        <v>0</v>
      </c>
      <c r="L72" s="107">
        <v>0</v>
      </c>
      <c r="M72" s="107">
        <v>250</v>
      </c>
      <c r="N72" s="107">
        <v>2800</v>
      </c>
      <c r="O72" s="107">
        <v>0</v>
      </c>
      <c r="P72" s="107">
        <v>0</v>
      </c>
      <c r="Q72" s="108">
        <f t="shared" si="8"/>
        <v>10900</v>
      </c>
      <c r="R72" s="108">
        <f t="shared" si="1"/>
        <v>235.5</v>
      </c>
      <c r="S72" s="108">
        <f t="shared" si="10"/>
        <v>863.5</v>
      </c>
      <c r="T72" s="108">
        <v>143.03</v>
      </c>
      <c r="U72" s="108">
        <v>0</v>
      </c>
      <c r="V72" s="108">
        <f t="shared" si="9"/>
        <v>1242.03</v>
      </c>
      <c r="W72" s="108">
        <f t="shared" si="4"/>
        <v>9657.9699999999993</v>
      </c>
      <c r="X72" s="108">
        <v>0</v>
      </c>
    </row>
    <row r="73" spans="1:24" s="92" customFormat="1" ht="25.5" x14ac:dyDescent="0.2">
      <c r="A73" s="137">
        <v>63</v>
      </c>
      <c r="B73" s="59" t="s">
        <v>645</v>
      </c>
      <c r="C73" s="130" t="s">
        <v>573</v>
      </c>
      <c r="D73" s="106">
        <v>1350</v>
      </c>
      <c r="E73" s="107">
        <v>2000</v>
      </c>
      <c r="F73" s="107">
        <v>0</v>
      </c>
      <c r="G73" s="107">
        <v>0</v>
      </c>
      <c r="H73" s="107">
        <v>1600</v>
      </c>
      <c r="I73" s="107">
        <v>2900</v>
      </c>
      <c r="J73" s="107">
        <v>0</v>
      </c>
      <c r="K73" s="107">
        <v>0</v>
      </c>
      <c r="L73" s="107">
        <v>0</v>
      </c>
      <c r="M73" s="107">
        <v>250</v>
      </c>
      <c r="N73" s="107">
        <v>2800</v>
      </c>
      <c r="O73" s="107">
        <v>0</v>
      </c>
      <c r="P73" s="107">
        <v>0</v>
      </c>
      <c r="Q73" s="108">
        <f t="shared" si="8"/>
        <v>10900</v>
      </c>
      <c r="R73" s="108">
        <f t="shared" si="1"/>
        <v>235.5</v>
      </c>
      <c r="S73" s="108">
        <f t="shared" si="10"/>
        <v>863.5</v>
      </c>
      <c r="T73" s="108">
        <v>143.03</v>
      </c>
      <c r="U73" s="108">
        <v>0</v>
      </c>
      <c r="V73" s="108">
        <f t="shared" si="9"/>
        <v>1242.03</v>
      </c>
      <c r="W73" s="108">
        <f t="shared" si="4"/>
        <v>9657.9699999999993</v>
      </c>
      <c r="X73" s="108">
        <v>0</v>
      </c>
    </row>
    <row r="74" spans="1:24" s="92" customFormat="1" ht="25.5" x14ac:dyDescent="0.2">
      <c r="A74" s="137">
        <v>64</v>
      </c>
      <c r="B74" s="59" t="s">
        <v>646</v>
      </c>
      <c r="C74" s="59" t="s">
        <v>575</v>
      </c>
      <c r="D74" s="106">
        <v>1350</v>
      </c>
      <c r="E74" s="107">
        <v>2000</v>
      </c>
      <c r="F74" s="107">
        <v>0</v>
      </c>
      <c r="G74" s="107">
        <v>0</v>
      </c>
      <c r="H74" s="107">
        <v>0</v>
      </c>
      <c r="I74" s="107">
        <v>4500</v>
      </c>
      <c r="J74" s="107">
        <v>0</v>
      </c>
      <c r="K74" s="107">
        <v>0</v>
      </c>
      <c r="L74" s="107">
        <v>0</v>
      </c>
      <c r="M74" s="107">
        <v>250</v>
      </c>
      <c r="N74" s="107">
        <v>2800</v>
      </c>
      <c r="O74" s="107">
        <v>0</v>
      </c>
      <c r="P74" s="107">
        <v>0</v>
      </c>
      <c r="Q74" s="108">
        <f t="shared" ref="Q74:Q97" si="11">SUM(D74:O74)</f>
        <v>10900</v>
      </c>
      <c r="R74" s="108">
        <f t="shared" ref="R74:R136" si="12">(D74+E74+F74+G74+H74+I74+J74+K74+O74)*3%</f>
        <v>235.5</v>
      </c>
      <c r="S74" s="108">
        <f t="shared" si="10"/>
        <v>863.5</v>
      </c>
      <c r="T74" s="108">
        <v>143.03</v>
      </c>
      <c r="U74" s="108">
        <v>0</v>
      </c>
      <c r="V74" s="108">
        <f t="shared" si="9"/>
        <v>1242.03</v>
      </c>
      <c r="W74" s="108">
        <f t="shared" ref="W74:W138" si="13">Q74-V74</f>
        <v>9657.9699999999993</v>
      </c>
      <c r="X74" s="108">
        <v>0</v>
      </c>
    </row>
    <row r="75" spans="1:24" s="92" customFormat="1" x14ac:dyDescent="0.2">
      <c r="A75" s="137">
        <v>65</v>
      </c>
      <c r="B75" s="59" t="s">
        <v>647</v>
      </c>
      <c r="C75" s="59" t="s">
        <v>571</v>
      </c>
      <c r="D75" s="106">
        <v>1074</v>
      </c>
      <c r="E75" s="107">
        <v>0</v>
      </c>
      <c r="F75" s="107">
        <v>0</v>
      </c>
      <c r="G75" s="107">
        <v>1000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250</v>
      </c>
      <c r="N75" s="107">
        <v>2800</v>
      </c>
      <c r="O75" s="107">
        <v>0</v>
      </c>
      <c r="P75" s="107">
        <v>0</v>
      </c>
      <c r="Q75" s="108">
        <f t="shared" si="11"/>
        <v>5124</v>
      </c>
      <c r="R75" s="108">
        <f t="shared" si="12"/>
        <v>62.22</v>
      </c>
      <c r="S75" s="108">
        <f t="shared" si="10"/>
        <v>228.14</v>
      </c>
      <c r="T75" s="108">
        <v>0</v>
      </c>
      <c r="U75" s="108">
        <v>0</v>
      </c>
      <c r="V75" s="108">
        <f t="shared" si="9"/>
        <v>290.36</v>
      </c>
      <c r="W75" s="108">
        <f t="shared" si="13"/>
        <v>4833.6400000000003</v>
      </c>
      <c r="X75" s="108">
        <v>0</v>
      </c>
    </row>
    <row r="76" spans="1:24" s="92" customFormat="1" ht="25.5" x14ac:dyDescent="0.2">
      <c r="A76" s="137">
        <v>66</v>
      </c>
      <c r="B76" s="59" t="s">
        <v>648</v>
      </c>
      <c r="C76" s="130" t="s">
        <v>573</v>
      </c>
      <c r="D76" s="106">
        <v>1350</v>
      </c>
      <c r="E76" s="107">
        <v>2000</v>
      </c>
      <c r="F76" s="107">
        <v>0</v>
      </c>
      <c r="G76" s="107">
        <v>0</v>
      </c>
      <c r="H76" s="107">
        <v>1600</v>
      </c>
      <c r="I76" s="107">
        <v>2900</v>
      </c>
      <c r="J76" s="107">
        <v>0</v>
      </c>
      <c r="K76" s="107">
        <v>75</v>
      </c>
      <c r="L76" s="107">
        <v>0</v>
      </c>
      <c r="M76" s="107">
        <v>250</v>
      </c>
      <c r="N76" s="107">
        <v>2800</v>
      </c>
      <c r="O76" s="107">
        <v>0</v>
      </c>
      <c r="P76" s="107">
        <v>0</v>
      </c>
      <c r="Q76" s="108">
        <f t="shared" si="11"/>
        <v>10975</v>
      </c>
      <c r="R76" s="108">
        <f t="shared" si="12"/>
        <v>237.75</v>
      </c>
      <c r="S76" s="108">
        <f t="shared" si="10"/>
        <v>871.75</v>
      </c>
      <c r="T76" s="108">
        <v>146.18</v>
      </c>
      <c r="U76" s="108">
        <v>0</v>
      </c>
      <c r="V76" s="108">
        <f t="shared" si="9"/>
        <v>1255.68</v>
      </c>
      <c r="W76" s="108">
        <f t="shared" si="13"/>
        <v>9719.32</v>
      </c>
      <c r="X76" s="108">
        <v>8864.1299999999992</v>
      </c>
    </row>
    <row r="77" spans="1:24" s="92" customFormat="1" ht="25.5" x14ac:dyDescent="0.2">
      <c r="A77" s="137">
        <v>67</v>
      </c>
      <c r="B77" s="130" t="s">
        <v>649</v>
      </c>
      <c r="C77" s="130" t="s">
        <v>650</v>
      </c>
      <c r="D77" s="128">
        <v>2425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8">
        <f t="shared" si="11"/>
        <v>2425</v>
      </c>
      <c r="R77" s="108">
        <f t="shared" si="12"/>
        <v>72.75</v>
      </c>
      <c r="S77" s="108">
        <f t="shared" si="10"/>
        <v>266.75</v>
      </c>
      <c r="T77" s="108">
        <v>0</v>
      </c>
      <c r="U77" s="108">
        <v>0</v>
      </c>
      <c r="V77" s="108">
        <f t="shared" si="9"/>
        <v>339.5</v>
      </c>
      <c r="W77" s="108">
        <f t="shared" si="13"/>
        <v>2085.5</v>
      </c>
      <c r="X77" s="108">
        <v>0</v>
      </c>
    </row>
    <row r="78" spans="1:24" s="92" customFormat="1" ht="25.5" x14ac:dyDescent="0.2">
      <c r="A78" s="137">
        <v>68</v>
      </c>
      <c r="B78" s="59" t="s">
        <v>651</v>
      </c>
      <c r="C78" s="59" t="s">
        <v>586</v>
      </c>
      <c r="D78" s="106">
        <v>2885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2800</v>
      </c>
      <c r="O78" s="107">
        <v>0</v>
      </c>
      <c r="P78" s="107">
        <v>0</v>
      </c>
      <c r="Q78" s="108">
        <f t="shared" si="11"/>
        <v>5685</v>
      </c>
      <c r="R78" s="108">
        <f t="shared" si="12"/>
        <v>86.55</v>
      </c>
      <c r="S78" s="108">
        <f t="shared" si="10"/>
        <v>317.35000000000002</v>
      </c>
      <c r="T78" s="108">
        <v>0</v>
      </c>
      <c r="U78" s="108">
        <v>0</v>
      </c>
      <c r="V78" s="108">
        <f t="shared" si="9"/>
        <v>403.9</v>
      </c>
      <c r="W78" s="108">
        <f t="shared" si="13"/>
        <v>5281.1</v>
      </c>
      <c r="X78" s="108">
        <v>0</v>
      </c>
    </row>
    <row r="79" spans="1:24" s="92" customFormat="1" x14ac:dyDescent="0.2">
      <c r="A79" s="137">
        <v>69</v>
      </c>
      <c r="B79" s="59" t="s">
        <v>997</v>
      </c>
      <c r="C79" s="59" t="s">
        <v>998</v>
      </c>
      <c r="D79" s="106">
        <f>285*2</f>
        <v>570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8">
        <f t="shared" si="11"/>
        <v>570</v>
      </c>
      <c r="R79" s="108">
        <f t="shared" si="12"/>
        <v>17.100000000000001</v>
      </c>
      <c r="S79" s="108">
        <f>(D79+E79+F79+G79+H79+I79+J79+K79+O79)*10%</f>
        <v>57</v>
      </c>
      <c r="T79" s="108">
        <v>0</v>
      </c>
      <c r="U79" s="108">
        <v>0</v>
      </c>
      <c r="V79" s="108">
        <f t="shared" si="9"/>
        <v>74.099999999999994</v>
      </c>
      <c r="W79" s="108">
        <f t="shared" si="13"/>
        <v>495.9</v>
      </c>
      <c r="X79" s="108">
        <v>0</v>
      </c>
    </row>
    <row r="80" spans="1:24" s="92" customFormat="1" ht="25.5" x14ac:dyDescent="0.2">
      <c r="A80" s="137">
        <v>70</v>
      </c>
      <c r="B80" s="130" t="s">
        <v>944</v>
      </c>
      <c r="C80" s="130" t="s">
        <v>948</v>
      </c>
      <c r="D80" s="106">
        <v>1381</v>
      </c>
      <c r="E80" s="107">
        <v>0</v>
      </c>
      <c r="F80" s="107">
        <v>0</v>
      </c>
      <c r="G80" s="107">
        <v>1000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250</v>
      </c>
      <c r="N80" s="107">
        <v>0</v>
      </c>
      <c r="O80" s="107">
        <v>0</v>
      </c>
      <c r="P80" s="107">
        <v>0</v>
      </c>
      <c r="Q80" s="108">
        <f t="shared" si="11"/>
        <v>2631</v>
      </c>
      <c r="R80" s="108">
        <f t="shared" si="12"/>
        <v>71.430000000000007</v>
      </c>
      <c r="S80" s="108">
        <f t="shared" ref="S80:S97" si="14">(D80+E80+F80+G80+H80+I80+J80+K80+O80)*11%</f>
        <v>261.91000000000003</v>
      </c>
      <c r="T80" s="108">
        <v>0</v>
      </c>
      <c r="U80" s="108">
        <v>0</v>
      </c>
      <c r="V80" s="108">
        <f t="shared" si="9"/>
        <v>333.34</v>
      </c>
      <c r="W80" s="108">
        <f t="shared" si="13"/>
        <v>2297.66</v>
      </c>
      <c r="X80" s="108">
        <v>0</v>
      </c>
    </row>
    <row r="81" spans="1:24" s="92" customFormat="1" ht="25.5" x14ac:dyDescent="0.2">
      <c r="A81" s="137">
        <v>71</v>
      </c>
      <c r="B81" s="59" t="s">
        <v>652</v>
      </c>
      <c r="C81" s="59" t="s">
        <v>631</v>
      </c>
      <c r="D81" s="106">
        <v>1135</v>
      </c>
      <c r="E81" s="107">
        <v>500</v>
      </c>
      <c r="F81" s="107">
        <v>0</v>
      </c>
      <c r="G81" s="107">
        <v>1000</v>
      </c>
      <c r="H81" s="107">
        <v>0</v>
      </c>
      <c r="I81" s="107">
        <v>0</v>
      </c>
      <c r="J81" s="107">
        <v>0</v>
      </c>
      <c r="K81" s="107">
        <v>50</v>
      </c>
      <c r="L81" s="107">
        <v>200</v>
      </c>
      <c r="M81" s="107">
        <v>250</v>
      </c>
      <c r="N81" s="107">
        <v>2800</v>
      </c>
      <c r="O81" s="107">
        <v>0</v>
      </c>
      <c r="P81" s="107">
        <v>0</v>
      </c>
      <c r="Q81" s="108">
        <f t="shared" si="11"/>
        <v>5935</v>
      </c>
      <c r="R81" s="108">
        <f t="shared" si="12"/>
        <v>80.55</v>
      </c>
      <c r="S81" s="108">
        <f t="shared" si="14"/>
        <v>295.35000000000002</v>
      </c>
      <c r="T81" s="108">
        <v>0</v>
      </c>
      <c r="U81" s="108">
        <v>0</v>
      </c>
      <c r="V81" s="108">
        <f t="shared" si="9"/>
        <v>375.9</v>
      </c>
      <c r="W81" s="108">
        <f t="shared" si="13"/>
        <v>5559.1</v>
      </c>
      <c r="X81" s="108">
        <v>0</v>
      </c>
    </row>
    <row r="82" spans="1:24" s="92" customFormat="1" ht="25.5" x14ac:dyDescent="0.2">
      <c r="A82" s="137">
        <v>72</v>
      </c>
      <c r="B82" s="59" t="s">
        <v>653</v>
      </c>
      <c r="C82" s="59" t="s">
        <v>954</v>
      </c>
      <c r="D82" s="106">
        <v>1476</v>
      </c>
      <c r="E82" s="107">
        <v>2000</v>
      </c>
      <c r="F82" s="107">
        <v>0</v>
      </c>
      <c r="G82" s="107">
        <v>0</v>
      </c>
      <c r="H82" s="107">
        <v>1900</v>
      </c>
      <c r="I82" s="107">
        <v>2600</v>
      </c>
      <c r="J82" s="107">
        <v>0</v>
      </c>
      <c r="K82" s="107">
        <v>0</v>
      </c>
      <c r="L82" s="107">
        <v>0</v>
      </c>
      <c r="M82" s="107">
        <v>250</v>
      </c>
      <c r="N82" s="107">
        <v>2800</v>
      </c>
      <c r="O82" s="107">
        <v>0</v>
      </c>
      <c r="P82" s="107">
        <v>0</v>
      </c>
      <c r="Q82" s="108">
        <f t="shared" si="11"/>
        <v>11026</v>
      </c>
      <c r="R82" s="108">
        <f t="shared" si="12"/>
        <v>239.28</v>
      </c>
      <c r="S82" s="108">
        <f t="shared" si="14"/>
        <v>877.36</v>
      </c>
      <c r="T82" s="108">
        <v>148.33000000000001</v>
      </c>
      <c r="U82" s="108">
        <v>0</v>
      </c>
      <c r="V82" s="108">
        <f t="shared" si="9"/>
        <v>1264.97</v>
      </c>
      <c r="W82" s="108">
        <f t="shared" si="13"/>
        <v>9761.0300000000007</v>
      </c>
      <c r="X82" s="108">
        <v>0</v>
      </c>
    </row>
    <row r="83" spans="1:24" s="92" customFormat="1" ht="25.5" x14ac:dyDescent="0.2">
      <c r="A83" s="137">
        <v>73</v>
      </c>
      <c r="B83" s="59" t="s">
        <v>654</v>
      </c>
      <c r="C83" s="130" t="s">
        <v>573</v>
      </c>
      <c r="D83" s="106">
        <v>1350</v>
      </c>
      <c r="E83" s="107">
        <v>2000</v>
      </c>
      <c r="F83" s="107">
        <v>0</v>
      </c>
      <c r="G83" s="107">
        <v>0</v>
      </c>
      <c r="H83" s="107">
        <v>1600</v>
      </c>
      <c r="I83" s="107">
        <v>2900</v>
      </c>
      <c r="J83" s="107">
        <v>0</v>
      </c>
      <c r="K83" s="107">
        <v>0</v>
      </c>
      <c r="L83" s="107">
        <v>0</v>
      </c>
      <c r="M83" s="107">
        <v>250</v>
      </c>
      <c r="N83" s="107">
        <v>0</v>
      </c>
      <c r="O83" s="107">
        <v>0</v>
      </c>
      <c r="P83" s="107">
        <v>0</v>
      </c>
      <c r="Q83" s="108">
        <f t="shared" si="11"/>
        <v>8100</v>
      </c>
      <c r="R83" s="108">
        <f t="shared" si="12"/>
        <v>235.5</v>
      </c>
      <c r="S83" s="108">
        <f t="shared" si="14"/>
        <v>863.5</v>
      </c>
      <c r="T83" s="108">
        <v>143.03</v>
      </c>
      <c r="U83" s="108">
        <v>0</v>
      </c>
      <c r="V83" s="108">
        <f t="shared" si="9"/>
        <v>1242.03</v>
      </c>
      <c r="W83" s="108">
        <f t="shared" si="13"/>
        <v>6857.97</v>
      </c>
      <c r="X83" s="108">
        <v>0</v>
      </c>
    </row>
    <row r="84" spans="1:24" s="92" customFormat="1" x14ac:dyDescent="0.2">
      <c r="A84" s="137">
        <v>74</v>
      </c>
      <c r="B84" s="59" t="s">
        <v>655</v>
      </c>
      <c r="C84" s="59" t="s">
        <v>591</v>
      </c>
      <c r="D84" s="106">
        <v>1105</v>
      </c>
      <c r="E84" s="107">
        <v>400</v>
      </c>
      <c r="F84" s="107">
        <v>0</v>
      </c>
      <c r="G84" s="107">
        <v>1000</v>
      </c>
      <c r="H84" s="107">
        <v>0</v>
      </c>
      <c r="I84" s="107">
        <v>0</v>
      </c>
      <c r="J84" s="107">
        <v>0</v>
      </c>
      <c r="K84" s="107">
        <v>50</v>
      </c>
      <c r="L84" s="107">
        <v>0</v>
      </c>
      <c r="M84" s="107">
        <v>250</v>
      </c>
      <c r="N84" s="107">
        <v>0</v>
      </c>
      <c r="O84" s="107">
        <v>0</v>
      </c>
      <c r="P84" s="107">
        <v>0</v>
      </c>
      <c r="Q84" s="108">
        <f t="shared" si="11"/>
        <v>2805</v>
      </c>
      <c r="R84" s="108">
        <f t="shared" si="12"/>
        <v>76.650000000000006</v>
      </c>
      <c r="S84" s="108">
        <f t="shared" si="14"/>
        <v>281.05</v>
      </c>
      <c r="T84" s="108">
        <v>0</v>
      </c>
      <c r="U84" s="108">
        <v>0</v>
      </c>
      <c r="V84" s="108">
        <f t="shared" si="9"/>
        <v>357.7</v>
      </c>
      <c r="W84" s="108">
        <f t="shared" si="13"/>
        <v>2447.3000000000002</v>
      </c>
      <c r="X84" s="108">
        <v>0</v>
      </c>
    </row>
    <row r="85" spans="1:24" s="92" customFormat="1" x14ac:dyDescent="0.2">
      <c r="A85" s="137">
        <v>75</v>
      </c>
      <c r="B85" s="59" t="s">
        <v>656</v>
      </c>
      <c r="C85" s="59" t="s">
        <v>568</v>
      </c>
      <c r="D85" s="106">
        <v>1634</v>
      </c>
      <c r="E85" s="107">
        <v>1800</v>
      </c>
      <c r="F85" s="107">
        <v>0</v>
      </c>
      <c r="G85" s="107">
        <v>1000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250</v>
      </c>
      <c r="N85" s="107">
        <v>2800</v>
      </c>
      <c r="O85" s="107">
        <v>0</v>
      </c>
      <c r="P85" s="107">
        <v>0</v>
      </c>
      <c r="Q85" s="108">
        <f t="shared" si="11"/>
        <v>7484</v>
      </c>
      <c r="R85" s="108">
        <f t="shared" si="12"/>
        <v>133.02000000000001</v>
      </c>
      <c r="S85" s="108">
        <f t="shared" si="14"/>
        <v>487.74</v>
      </c>
      <c r="T85" s="108">
        <v>0</v>
      </c>
      <c r="U85" s="108">
        <v>0</v>
      </c>
      <c r="V85" s="108">
        <f t="shared" si="9"/>
        <v>620.76</v>
      </c>
      <c r="W85" s="108">
        <f t="shared" si="13"/>
        <v>6863.24</v>
      </c>
      <c r="X85" s="108">
        <v>0</v>
      </c>
    </row>
    <row r="86" spans="1:24" s="92" customFormat="1" ht="25.5" x14ac:dyDescent="0.2">
      <c r="A86" s="137">
        <v>76</v>
      </c>
      <c r="B86" s="59" t="s">
        <v>657</v>
      </c>
      <c r="C86" s="59" t="s">
        <v>951</v>
      </c>
      <c r="D86" s="106">
        <v>1460</v>
      </c>
      <c r="E86" s="107">
        <v>600</v>
      </c>
      <c r="F86" s="107">
        <v>0</v>
      </c>
      <c r="G86" s="107">
        <v>1000</v>
      </c>
      <c r="H86" s="107">
        <v>0</v>
      </c>
      <c r="I86" s="107">
        <v>0</v>
      </c>
      <c r="J86" s="107">
        <v>0</v>
      </c>
      <c r="K86" s="107">
        <v>75</v>
      </c>
      <c r="L86" s="107">
        <v>0</v>
      </c>
      <c r="M86" s="107">
        <v>250</v>
      </c>
      <c r="N86" s="107">
        <v>2800</v>
      </c>
      <c r="O86" s="107">
        <v>0</v>
      </c>
      <c r="P86" s="107">
        <v>0</v>
      </c>
      <c r="Q86" s="108">
        <f t="shared" si="11"/>
        <v>6185</v>
      </c>
      <c r="R86" s="108">
        <f t="shared" si="12"/>
        <v>94.05</v>
      </c>
      <c r="S86" s="108">
        <f t="shared" si="14"/>
        <v>344.85</v>
      </c>
      <c r="T86" s="108">
        <v>0</v>
      </c>
      <c r="U86" s="108">
        <v>0</v>
      </c>
      <c r="V86" s="108">
        <f t="shared" si="9"/>
        <v>438.9</v>
      </c>
      <c r="W86" s="108">
        <f t="shared" si="13"/>
        <v>5746.1</v>
      </c>
      <c r="X86" s="108">
        <v>0</v>
      </c>
    </row>
    <row r="87" spans="1:24" s="92" customFormat="1" ht="25.5" x14ac:dyDescent="0.2">
      <c r="A87" s="137">
        <v>77</v>
      </c>
      <c r="B87" s="131" t="s">
        <v>658</v>
      </c>
      <c r="C87" s="59" t="s">
        <v>957</v>
      </c>
      <c r="D87" s="106">
        <v>1575</v>
      </c>
      <c r="E87" s="107">
        <v>550</v>
      </c>
      <c r="F87" s="107">
        <v>0</v>
      </c>
      <c r="G87" s="107">
        <v>1000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250</v>
      </c>
      <c r="N87" s="107">
        <v>0</v>
      </c>
      <c r="O87" s="107">
        <v>0</v>
      </c>
      <c r="P87" s="107">
        <v>0</v>
      </c>
      <c r="Q87" s="108">
        <f t="shared" si="11"/>
        <v>3375</v>
      </c>
      <c r="R87" s="108">
        <f t="shared" si="12"/>
        <v>93.75</v>
      </c>
      <c r="S87" s="108">
        <f t="shared" si="14"/>
        <v>343.75</v>
      </c>
      <c r="T87" s="108">
        <v>0</v>
      </c>
      <c r="U87" s="108">
        <v>42</v>
      </c>
      <c r="V87" s="108">
        <f t="shared" si="9"/>
        <v>479.5</v>
      </c>
      <c r="W87" s="108">
        <f t="shared" si="13"/>
        <v>2895.5</v>
      </c>
      <c r="X87" s="108">
        <v>0</v>
      </c>
    </row>
    <row r="88" spans="1:24" s="92" customFormat="1" ht="25.5" x14ac:dyDescent="0.2">
      <c r="A88" s="137">
        <v>78</v>
      </c>
      <c r="B88" s="131" t="s">
        <v>660</v>
      </c>
      <c r="C88" s="59" t="s">
        <v>954</v>
      </c>
      <c r="D88" s="107">
        <v>1476</v>
      </c>
      <c r="E88" s="107">
        <v>2000</v>
      </c>
      <c r="F88" s="107">
        <v>0</v>
      </c>
      <c r="G88" s="107">
        <v>0</v>
      </c>
      <c r="H88" s="107">
        <v>1900</v>
      </c>
      <c r="I88" s="107">
        <v>2600</v>
      </c>
      <c r="J88" s="107">
        <v>0</v>
      </c>
      <c r="K88" s="107">
        <v>75</v>
      </c>
      <c r="L88" s="107">
        <v>0</v>
      </c>
      <c r="M88" s="107">
        <v>250</v>
      </c>
      <c r="N88" s="107">
        <v>2800</v>
      </c>
      <c r="O88" s="107">
        <v>0</v>
      </c>
      <c r="P88" s="107">
        <v>0</v>
      </c>
      <c r="Q88" s="108">
        <f t="shared" si="11"/>
        <v>11101</v>
      </c>
      <c r="R88" s="108">
        <f t="shared" si="12"/>
        <v>241.53</v>
      </c>
      <c r="S88" s="108">
        <f t="shared" si="14"/>
        <v>885.61</v>
      </c>
      <c r="T88" s="108">
        <v>146.41</v>
      </c>
      <c r="U88" s="108">
        <v>0</v>
      </c>
      <c r="V88" s="108">
        <f t="shared" si="9"/>
        <v>1273.55</v>
      </c>
      <c r="W88" s="108">
        <f t="shared" si="13"/>
        <v>9827.4500000000007</v>
      </c>
      <c r="X88" s="108">
        <v>964.9</v>
      </c>
    </row>
    <row r="89" spans="1:24" s="92" customFormat="1" ht="25.5" x14ac:dyDescent="0.2">
      <c r="A89" s="137">
        <v>79</v>
      </c>
      <c r="B89" s="59" t="s">
        <v>661</v>
      </c>
      <c r="C89" s="59" t="s">
        <v>954</v>
      </c>
      <c r="D89" s="106">
        <v>1476</v>
      </c>
      <c r="E89" s="107">
        <v>2000</v>
      </c>
      <c r="F89" s="107">
        <v>0</v>
      </c>
      <c r="G89" s="107">
        <v>0</v>
      </c>
      <c r="H89" s="107">
        <v>1900</v>
      </c>
      <c r="I89" s="107">
        <v>2600</v>
      </c>
      <c r="J89" s="107">
        <v>0</v>
      </c>
      <c r="K89" s="107">
        <v>75</v>
      </c>
      <c r="L89" s="107">
        <v>0</v>
      </c>
      <c r="M89" s="107">
        <v>250</v>
      </c>
      <c r="N89" s="107">
        <v>2800</v>
      </c>
      <c r="O89" s="107">
        <v>0</v>
      </c>
      <c r="P89" s="107">
        <v>0</v>
      </c>
      <c r="Q89" s="108">
        <f t="shared" si="11"/>
        <v>11101</v>
      </c>
      <c r="R89" s="108">
        <f t="shared" si="12"/>
        <v>241.53</v>
      </c>
      <c r="S89" s="108">
        <f t="shared" si="14"/>
        <v>885.61</v>
      </c>
      <c r="T89" s="108">
        <v>146.41</v>
      </c>
      <c r="U89" s="108">
        <v>0</v>
      </c>
      <c r="V89" s="108">
        <f t="shared" si="9"/>
        <v>1273.55</v>
      </c>
      <c r="W89" s="108">
        <f t="shared" si="13"/>
        <v>9827.4500000000007</v>
      </c>
      <c r="X89" s="108">
        <f>710.9</f>
        <v>710.9</v>
      </c>
    </row>
    <row r="90" spans="1:24" s="92" customFormat="1" ht="25.5" x14ac:dyDescent="0.2">
      <c r="A90" s="137">
        <v>80</v>
      </c>
      <c r="B90" s="59" t="s">
        <v>662</v>
      </c>
      <c r="C90" s="130" t="s">
        <v>573</v>
      </c>
      <c r="D90" s="106">
        <v>1350</v>
      </c>
      <c r="E90" s="107">
        <v>2000</v>
      </c>
      <c r="F90" s="107">
        <v>0</v>
      </c>
      <c r="G90" s="107">
        <v>0</v>
      </c>
      <c r="H90" s="107">
        <v>1600</v>
      </c>
      <c r="I90" s="107">
        <v>2900</v>
      </c>
      <c r="J90" s="107">
        <v>0</v>
      </c>
      <c r="K90" s="107">
        <v>75</v>
      </c>
      <c r="L90" s="107">
        <v>0</v>
      </c>
      <c r="M90" s="107">
        <v>250</v>
      </c>
      <c r="N90" s="107">
        <v>2800</v>
      </c>
      <c r="O90" s="107">
        <v>0</v>
      </c>
      <c r="P90" s="107">
        <v>0</v>
      </c>
      <c r="Q90" s="108">
        <f t="shared" si="11"/>
        <v>10975</v>
      </c>
      <c r="R90" s="108">
        <f t="shared" si="12"/>
        <v>237.75</v>
      </c>
      <c r="S90" s="108">
        <f t="shared" si="14"/>
        <v>871.75</v>
      </c>
      <c r="T90" s="108">
        <v>5.65</v>
      </c>
      <c r="U90" s="108">
        <v>0</v>
      </c>
      <c r="V90" s="108">
        <f t="shared" si="9"/>
        <v>1115.1500000000001</v>
      </c>
      <c r="W90" s="108">
        <f t="shared" si="13"/>
        <v>9859.85</v>
      </c>
      <c r="X90" s="108">
        <v>8533.82</v>
      </c>
    </row>
    <row r="91" spans="1:24" s="92" customFormat="1" ht="25.5" x14ac:dyDescent="0.2">
      <c r="A91" s="137">
        <v>81</v>
      </c>
      <c r="B91" s="59" t="s">
        <v>663</v>
      </c>
      <c r="C91" s="130" t="s">
        <v>573</v>
      </c>
      <c r="D91" s="106">
        <v>1350</v>
      </c>
      <c r="E91" s="107">
        <v>2000</v>
      </c>
      <c r="F91" s="107">
        <v>0</v>
      </c>
      <c r="G91" s="107">
        <v>0</v>
      </c>
      <c r="H91" s="107">
        <v>1600</v>
      </c>
      <c r="I91" s="107">
        <f>2900</f>
        <v>2900</v>
      </c>
      <c r="J91" s="107">
        <v>0</v>
      </c>
      <c r="K91" s="107">
        <v>0</v>
      </c>
      <c r="L91" s="107">
        <v>0</v>
      </c>
      <c r="M91" s="107">
        <v>250</v>
      </c>
      <c r="N91" s="107">
        <v>2800</v>
      </c>
      <c r="O91" s="107">
        <v>0</v>
      </c>
      <c r="P91" s="107">
        <v>0</v>
      </c>
      <c r="Q91" s="108">
        <f t="shared" si="11"/>
        <v>10900</v>
      </c>
      <c r="R91" s="108">
        <f t="shared" si="12"/>
        <v>235.5</v>
      </c>
      <c r="S91" s="108">
        <f t="shared" si="14"/>
        <v>863.5</v>
      </c>
      <c r="T91" s="108">
        <v>145.13</v>
      </c>
      <c r="U91" s="108">
        <v>0</v>
      </c>
      <c r="V91" s="108">
        <f t="shared" si="9"/>
        <v>1244.1300000000001</v>
      </c>
      <c r="W91" s="108">
        <f t="shared" si="13"/>
        <v>9655.8700000000008</v>
      </c>
      <c r="X91" s="108">
        <v>0</v>
      </c>
    </row>
    <row r="92" spans="1:24" s="92" customFormat="1" ht="25.5" x14ac:dyDescent="0.2">
      <c r="A92" s="137">
        <v>82</v>
      </c>
      <c r="B92" s="59" t="s">
        <v>664</v>
      </c>
      <c r="C92" s="59" t="s">
        <v>665</v>
      </c>
      <c r="D92" s="106">
        <v>1039</v>
      </c>
      <c r="E92" s="107">
        <v>400</v>
      </c>
      <c r="F92" s="107">
        <v>0</v>
      </c>
      <c r="G92" s="107">
        <v>1000</v>
      </c>
      <c r="H92" s="107">
        <v>0</v>
      </c>
      <c r="I92" s="107">
        <v>0</v>
      </c>
      <c r="J92" s="107">
        <v>0</v>
      </c>
      <c r="K92" s="107">
        <v>0</v>
      </c>
      <c r="L92" s="107">
        <v>200</v>
      </c>
      <c r="M92" s="107">
        <v>250</v>
      </c>
      <c r="N92" s="107">
        <v>2800</v>
      </c>
      <c r="O92" s="107">
        <v>0</v>
      </c>
      <c r="P92" s="107">
        <v>0</v>
      </c>
      <c r="Q92" s="108">
        <f t="shared" si="11"/>
        <v>5689</v>
      </c>
      <c r="R92" s="108">
        <f t="shared" si="12"/>
        <v>73.17</v>
      </c>
      <c r="S92" s="108">
        <f t="shared" si="14"/>
        <v>268.29000000000002</v>
      </c>
      <c r="T92" s="108">
        <v>0</v>
      </c>
      <c r="U92" s="108">
        <v>0</v>
      </c>
      <c r="V92" s="108">
        <f t="shared" si="9"/>
        <v>341.46</v>
      </c>
      <c r="W92" s="108">
        <f t="shared" si="13"/>
        <v>5347.54</v>
      </c>
      <c r="X92" s="108">
        <v>0</v>
      </c>
    </row>
    <row r="93" spans="1:24" s="92" customFormat="1" x14ac:dyDescent="0.2">
      <c r="A93" s="137">
        <v>83</v>
      </c>
      <c r="B93" s="59" t="s">
        <v>666</v>
      </c>
      <c r="C93" s="59" t="s">
        <v>575</v>
      </c>
      <c r="D93" s="106">
        <v>1350</v>
      </c>
      <c r="E93" s="107">
        <v>2000</v>
      </c>
      <c r="F93" s="107">
        <v>0</v>
      </c>
      <c r="G93" s="107">
        <v>0</v>
      </c>
      <c r="H93" s="107">
        <v>2500</v>
      </c>
      <c r="I93" s="107">
        <v>2000</v>
      </c>
      <c r="J93" s="107">
        <v>0</v>
      </c>
      <c r="K93" s="107">
        <v>75</v>
      </c>
      <c r="L93" s="107">
        <v>0</v>
      </c>
      <c r="M93" s="107">
        <v>250</v>
      </c>
      <c r="N93" s="107">
        <v>2800</v>
      </c>
      <c r="O93" s="107">
        <v>0</v>
      </c>
      <c r="P93" s="107">
        <v>0</v>
      </c>
      <c r="Q93" s="108">
        <f t="shared" si="11"/>
        <v>10975</v>
      </c>
      <c r="R93" s="108">
        <f t="shared" si="12"/>
        <v>237.75</v>
      </c>
      <c r="S93" s="108">
        <f t="shared" si="14"/>
        <v>871.75</v>
      </c>
      <c r="T93" s="108">
        <v>146.18</v>
      </c>
      <c r="U93" s="108">
        <v>0</v>
      </c>
      <c r="V93" s="108">
        <f t="shared" si="9"/>
        <v>1255.68</v>
      </c>
      <c r="W93" s="108">
        <f t="shared" si="13"/>
        <v>9719.32</v>
      </c>
      <c r="X93" s="108">
        <v>0</v>
      </c>
    </row>
    <row r="94" spans="1:24" s="92" customFormat="1" x14ac:dyDescent="0.2">
      <c r="A94" s="137">
        <v>84</v>
      </c>
      <c r="B94" s="133" t="s">
        <v>535</v>
      </c>
      <c r="C94" s="130" t="s">
        <v>571</v>
      </c>
      <c r="D94" s="106">
        <v>1074</v>
      </c>
      <c r="E94" s="107">
        <v>0</v>
      </c>
      <c r="F94" s="107">
        <v>0</v>
      </c>
      <c r="G94" s="107">
        <v>1000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250</v>
      </c>
      <c r="N94" s="107">
        <v>2800</v>
      </c>
      <c r="O94" s="107">
        <v>0</v>
      </c>
      <c r="P94" s="107">
        <v>0</v>
      </c>
      <c r="Q94" s="108">
        <f t="shared" si="11"/>
        <v>5124</v>
      </c>
      <c r="R94" s="108">
        <f t="shared" si="12"/>
        <v>62.22</v>
      </c>
      <c r="S94" s="108">
        <f t="shared" si="14"/>
        <v>228.14</v>
      </c>
      <c r="T94" s="108">
        <v>0</v>
      </c>
      <c r="U94" s="108">
        <v>0</v>
      </c>
      <c r="V94" s="108">
        <f t="shared" si="9"/>
        <v>290.36</v>
      </c>
      <c r="W94" s="108">
        <f t="shared" si="13"/>
        <v>4833.6400000000003</v>
      </c>
      <c r="X94" s="108">
        <v>0</v>
      </c>
    </row>
    <row r="95" spans="1:24" s="92" customFormat="1" ht="25.5" x14ac:dyDescent="0.2">
      <c r="A95" s="137">
        <v>85</v>
      </c>
      <c r="B95" s="59" t="s">
        <v>667</v>
      </c>
      <c r="C95" s="59" t="s">
        <v>595</v>
      </c>
      <c r="D95" s="106">
        <f>485*2</f>
        <v>970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2800</v>
      </c>
      <c r="O95" s="107">
        <v>0</v>
      </c>
      <c r="P95" s="107">
        <v>0</v>
      </c>
      <c r="Q95" s="108">
        <f t="shared" si="11"/>
        <v>3770</v>
      </c>
      <c r="R95" s="108">
        <f t="shared" si="12"/>
        <v>29.1</v>
      </c>
      <c r="S95" s="108">
        <f t="shared" si="14"/>
        <v>106.7</v>
      </c>
      <c r="T95" s="108">
        <v>0</v>
      </c>
      <c r="U95" s="108">
        <v>0</v>
      </c>
      <c r="V95" s="108">
        <f t="shared" si="9"/>
        <v>135.80000000000001</v>
      </c>
      <c r="W95" s="108">
        <f t="shared" si="13"/>
        <v>3634.2</v>
      </c>
      <c r="X95" s="108">
        <v>0</v>
      </c>
    </row>
    <row r="96" spans="1:24" s="92" customFormat="1" x14ac:dyDescent="0.2">
      <c r="A96" s="137">
        <v>86</v>
      </c>
      <c r="B96" s="59" t="s">
        <v>668</v>
      </c>
      <c r="C96" s="59" t="s">
        <v>659</v>
      </c>
      <c r="D96" s="106">
        <v>1575</v>
      </c>
      <c r="E96" s="107">
        <v>816</v>
      </c>
      <c r="F96" s="107">
        <v>0</v>
      </c>
      <c r="G96" s="107">
        <v>1000</v>
      </c>
      <c r="H96" s="107">
        <v>0</v>
      </c>
      <c r="I96" s="107">
        <v>0</v>
      </c>
      <c r="J96" s="107">
        <v>0</v>
      </c>
      <c r="K96" s="107">
        <v>50</v>
      </c>
      <c r="L96" s="107">
        <v>0</v>
      </c>
      <c r="M96" s="107">
        <v>250</v>
      </c>
      <c r="N96" s="107">
        <v>0</v>
      </c>
      <c r="O96" s="107">
        <v>0</v>
      </c>
      <c r="P96" s="107">
        <v>0</v>
      </c>
      <c r="Q96" s="108">
        <f t="shared" si="11"/>
        <v>3691</v>
      </c>
      <c r="R96" s="108">
        <f t="shared" si="12"/>
        <v>103.23</v>
      </c>
      <c r="S96" s="108">
        <f t="shared" si="14"/>
        <v>378.51</v>
      </c>
      <c r="T96" s="108">
        <v>0</v>
      </c>
      <c r="U96" s="108">
        <v>0</v>
      </c>
      <c r="V96" s="108">
        <f t="shared" si="9"/>
        <v>481.74</v>
      </c>
      <c r="W96" s="108">
        <f t="shared" si="13"/>
        <v>3209.26</v>
      </c>
      <c r="X96" s="108">
        <v>0</v>
      </c>
    </row>
    <row r="97" spans="1:24" s="92" customFormat="1" ht="25.5" x14ac:dyDescent="0.2">
      <c r="A97" s="137">
        <v>87</v>
      </c>
      <c r="B97" s="59" t="s">
        <v>669</v>
      </c>
      <c r="C97" s="59" t="s">
        <v>586</v>
      </c>
      <c r="D97" s="106">
        <v>1223</v>
      </c>
      <c r="E97" s="107">
        <v>650</v>
      </c>
      <c r="F97" s="107">
        <v>0</v>
      </c>
      <c r="G97" s="107">
        <v>1000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250</v>
      </c>
      <c r="N97" s="107">
        <v>2800</v>
      </c>
      <c r="O97" s="107">
        <v>0</v>
      </c>
      <c r="P97" s="107">
        <v>0</v>
      </c>
      <c r="Q97" s="108">
        <f t="shared" si="11"/>
        <v>5923</v>
      </c>
      <c r="R97" s="108">
        <f t="shared" si="12"/>
        <v>86.19</v>
      </c>
      <c r="S97" s="108">
        <f t="shared" si="14"/>
        <v>316.02999999999997</v>
      </c>
      <c r="T97" s="108">
        <v>0</v>
      </c>
      <c r="U97" s="108">
        <v>0</v>
      </c>
      <c r="V97" s="108">
        <f t="shared" si="9"/>
        <v>402.22</v>
      </c>
      <c r="W97" s="108">
        <f t="shared" si="13"/>
        <v>5520.78</v>
      </c>
      <c r="X97" s="108">
        <v>0</v>
      </c>
    </row>
    <row r="98" spans="1:24" s="92" customFormat="1" ht="25.5" x14ac:dyDescent="0.2">
      <c r="A98" s="137">
        <v>88</v>
      </c>
      <c r="B98" s="59" t="s">
        <v>994</v>
      </c>
      <c r="C98" s="59" t="s">
        <v>995</v>
      </c>
      <c r="D98" s="106">
        <v>5835</v>
      </c>
      <c r="E98" s="107">
        <v>0</v>
      </c>
      <c r="F98" s="107">
        <v>0</v>
      </c>
      <c r="G98" s="107">
        <v>3000</v>
      </c>
      <c r="H98" s="107">
        <v>0</v>
      </c>
      <c r="I98" s="107">
        <v>0</v>
      </c>
      <c r="J98" s="107">
        <v>375</v>
      </c>
      <c r="K98" s="107">
        <v>0</v>
      </c>
      <c r="L98" s="107">
        <v>0</v>
      </c>
      <c r="M98" s="107">
        <v>250</v>
      </c>
      <c r="N98" s="107">
        <v>0</v>
      </c>
      <c r="O98" s="107">
        <v>0</v>
      </c>
      <c r="P98" s="107">
        <v>0</v>
      </c>
      <c r="Q98" s="108">
        <f>SUM(D98:P98)</f>
        <v>9460</v>
      </c>
      <c r="R98" s="108">
        <f t="shared" si="12"/>
        <v>276.3</v>
      </c>
      <c r="S98" s="108">
        <f>(D98+E98+F98+G98+H98+I98+J98+K98+O98)*14%</f>
        <v>1289.4000000000001</v>
      </c>
      <c r="T98" s="108">
        <v>0</v>
      </c>
      <c r="U98" s="108">
        <v>0</v>
      </c>
      <c r="V98" s="108">
        <f t="shared" si="9"/>
        <v>1565.7</v>
      </c>
      <c r="W98" s="108">
        <f t="shared" si="13"/>
        <v>7894.3</v>
      </c>
      <c r="X98" s="108">
        <v>0</v>
      </c>
    </row>
    <row r="99" spans="1:24" s="92" customFormat="1" ht="25.5" x14ac:dyDescent="0.2">
      <c r="A99" s="137">
        <v>89</v>
      </c>
      <c r="B99" s="59" t="s">
        <v>670</v>
      </c>
      <c r="C99" s="130" t="s">
        <v>573</v>
      </c>
      <c r="D99" s="106">
        <v>1350</v>
      </c>
      <c r="E99" s="107">
        <v>2000</v>
      </c>
      <c r="F99" s="107">
        <v>0</v>
      </c>
      <c r="G99" s="107">
        <v>0</v>
      </c>
      <c r="H99" s="107">
        <v>1600</v>
      </c>
      <c r="I99" s="107">
        <v>2900</v>
      </c>
      <c r="J99" s="107">
        <v>0</v>
      </c>
      <c r="K99" s="107">
        <v>75</v>
      </c>
      <c r="L99" s="107">
        <v>0</v>
      </c>
      <c r="M99" s="107">
        <v>250</v>
      </c>
      <c r="N99" s="107">
        <v>2800</v>
      </c>
      <c r="O99" s="107">
        <v>0</v>
      </c>
      <c r="P99" s="107">
        <v>0</v>
      </c>
      <c r="Q99" s="108">
        <f t="shared" ref="Q99:Q129" si="15">SUM(D99:O99)</f>
        <v>10975</v>
      </c>
      <c r="R99" s="108">
        <f t="shared" si="12"/>
        <v>237.75</v>
      </c>
      <c r="S99" s="108">
        <f t="shared" ref="S99:S129" si="16">(D99+E99+F99+G99+H99+I99+J99+K99+O99)*11%</f>
        <v>871.75</v>
      </c>
      <c r="T99" s="108">
        <v>145.13</v>
      </c>
      <c r="U99" s="108">
        <v>0</v>
      </c>
      <c r="V99" s="108">
        <f t="shared" si="9"/>
        <v>1254.6300000000001</v>
      </c>
      <c r="W99" s="108">
        <f t="shared" si="13"/>
        <v>9720.3700000000008</v>
      </c>
      <c r="X99" s="108">
        <v>0</v>
      </c>
    </row>
    <row r="100" spans="1:24" s="92" customFormat="1" ht="25.5" x14ac:dyDescent="0.2">
      <c r="A100" s="137">
        <v>90</v>
      </c>
      <c r="B100" s="59" t="s">
        <v>671</v>
      </c>
      <c r="C100" s="59" t="s">
        <v>595</v>
      </c>
      <c r="D100" s="106">
        <v>485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2800</v>
      </c>
      <c r="O100" s="107">
        <v>0</v>
      </c>
      <c r="P100" s="107">
        <v>0</v>
      </c>
      <c r="Q100" s="108">
        <f t="shared" si="15"/>
        <v>3285</v>
      </c>
      <c r="R100" s="108">
        <f t="shared" si="12"/>
        <v>14.55</v>
      </c>
      <c r="S100" s="108">
        <f t="shared" si="16"/>
        <v>53.35</v>
      </c>
      <c r="T100" s="108">
        <v>0</v>
      </c>
      <c r="U100" s="108">
        <v>0</v>
      </c>
      <c r="V100" s="108">
        <f t="shared" si="9"/>
        <v>67.900000000000006</v>
      </c>
      <c r="W100" s="108">
        <f t="shared" si="13"/>
        <v>3217.1</v>
      </c>
      <c r="X100" s="108">
        <v>0</v>
      </c>
    </row>
    <row r="101" spans="1:24" s="92" customFormat="1" ht="25.5" x14ac:dyDescent="0.2">
      <c r="A101" s="137">
        <v>91</v>
      </c>
      <c r="B101" s="59" t="s">
        <v>672</v>
      </c>
      <c r="C101" s="59" t="s">
        <v>954</v>
      </c>
      <c r="D101" s="106">
        <v>1476</v>
      </c>
      <c r="E101" s="107">
        <v>1600</v>
      </c>
      <c r="F101" s="107">
        <v>0</v>
      </c>
      <c r="G101" s="107">
        <v>0</v>
      </c>
      <c r="H101" s="107">
        <v>1900</v>
      </c>
      <c r="I101" s="107">
        <v>0</v>
      </c>
      <c r="J101" s="107">
        <v>0</v>
      </c>
      <c r="K101" s="107">
        <v>75</v>
      </c>
      <c r="L101" s="107">
        <v>0</v>
      </c>
      <c r="M101" s="107">
        <v>250</v>
      </c>
      <c r="N101" s="107">
        <v>2800</v>
      </c>
      <c r="O101" s="107">
        <v>0</v>
      </c>
      <c r="P101" s="107">
        <v>0</v>
      </c>
      <c r="Q101" s="108">
        <f t="shared" si="15"/>
        <v>8101</v>
      </c>
      <c r="R101" s="108">
        <f t="shared" si="12"/>
        <v>151.53</v>
      </c>
      <c r="S101" s="108">
        <f t="shared" si="16"/>
        <v>555.61</v>
      </c>
      <c r="T101" s="108">
        <v>20.420000000000002</v>
      </c>
      <c r="U101" s="108">
        <v>0</v>
      </c>
      <c r="V101" s="108">
        <f t="shared" ref="V101:V132" si="17">SUM(R101:U101)</f>
        <v>727.56</v>
      </c>
      <c r="W101" s="108">
        <f t="shared" si="13"/>
        <v>7373.44</v>
      </c>
      <c r="X101" s="108">
        <v>9139.5400000000009</v>
      </c>
    </row>
    <row r="102" spans="1:24" s="92" customFormat="1" ht="30" customHeight="1" x14ac:dyDescent="0.2">
      <c r="A102" s="137">
        <v>92</v>
      </c>
      <c r="B102" s="59" t="s">
        <v>673</v>
      </c>
      <c r="C102" s="59" t="s">
        <v>674</v>
      </c>
      <c r="D102" s="106">
        <v>1253</v>
      </c>
      <c r="E102" s="107">
        <v>550</v>
      </c>
      <c r="F102" s="107">
        <v>0</v>
      </c>
      <c r="G102" s="107">
        <v>1000</v>
      </c>
      <c r="H102" s="107">
        <v>0</v>
      </c>
      <c r="I102" s="107">
        <v>0</v>
      </c>
      <c r="J102" s="107">
        <v>0</v>
      </c>
      <c r="K102" s="107">
        <v>50</v>
      </c>
      <c r="L102" s="107">
        <v>0</v>
      </c>
      <c r="M102" s="107">
        <v>250</v>
      </c>
      <c r="N102" s="107">
        <v>2800</v>
      </c>
      <c r="O102" s="107">
        <v>0</v>
      </c>
      <c r="P102" s="107">
        <v>0</v>
      </c>
      <c r="Q102" s="108">
        <f t="shared" si="15"/>
        <v>5903</v>
      </c>
      <c r="R102" s="108">
        <f t="shared" si="12"/>
        <v>85.59</v>
      </c>
      <c r="S102" s="108">
        <f t="shared" si="16"/>
        <v>313.83</v>
      </c>
      <c r="T102" s="108">
        <v>0</v>
      </c>
      <c r="U102" s="108">
        <v>38.340000000000003</v>
      </c>
      <c r="V102" s="108">
        <f t="shared" si="17"/>
        <v>437.76</v>
      </c>
      <c r="W102" s="108">
        <f t="shared" si="13"/>
        <v>5465.24</v>
      </c>
      <c r="X102" s="108">
        <v>0</v>
      </c>
    </row>
    <row r="103" spans="1:24" s="92" customFormat="1" ht="25.5" x14ac:dyDescent="0.2">
      <c r="A103" s="137">
        <v>93</v>
      </c>
      <c r="B103" s="59" t="s">
        <v>675</v>
      </c>
      <c r="C103" s="59" t="s">
        <v>580</v>
      </c>
      <c r="D103" s="106">
        <v>1476</v>
      </c>
      <c r="E103" s="107">
        <v>2000</v>
      </c>
      <c r="F103" s="107">
        <v>0</v>
      </c>
      <c r="G103" s="107">
        <v>1900</v>
      </c>
      <c r="H103" s="107">
        <v>0</v>
      </c>
      <c r="I103" s="107">
        <v>2600</v>
      </c>
      <c r="J103" s="107">
        <v>0</v>
      </c>
      <c r="K103" s="107">
        <v>50</v>
      </c>
      <c r="L103" s="107">
        <v>0</v>
      </c>
      <c r="M103" s="107">
        <v>250</v>
      </c>
      <c r="N103" s="107">
        <v>2800</v>
      </c>
      <c r="O103" s="107">
        <v>0</v>
      </c>
      <c r="P103" s="107">
        <v>0</v>
      </c>
      <c r="Q103" s="108">
        <f t="shared" si="15"/>
        <v>11076</v>
      </c>
      <c r="R103" s="108">
        <f t="shared" si="12"/>
        <v>240.78</v>
      </c>
      <c r="S103" s="108">
        <f t="shared" si="16"/>
        <v>882.86</v>
      </c>
      <c r="T103" s="108">
        <v>146.41</v>
      </c>
      <c r="U103" s="108">
        <v>0</v>
      </c>
      <c r="V103" s="108">
        <f t="shared" si="17"/>
        <v>1270.05</v>
      </c>
      <c r="W103" s="108">
        <f t="shared" si="13"/>
        <v>9805.9500000000007</v>
      </c>
      <c r="X103" s="108">
        <v>0</v>
      </c>
    </row>
    <row r="104" spans="1:24" s="92" customFormat="1" ht="25.5" x14ac:dyDescent="0.2">
      <c r="A104" s="137">
        <v>94</v>
      </c>
      <c r="B104" s="59" t="s">
        <v>676</v>
      </c>
      <c r="C104" s="59" t="s">
        <v>665</v>
      </c>
      <c r="D104" s="106">
        <v>1039</v>
      </c>
      <c r="E104" s="107">
        <v>400</v>
      </c>
      <c r="F104" s="107">
        <v>0</v>
      </c>
      <c r="G104" s="107">
        <v>1000</v>
      </c>
      <c r="H104" s="107">
        <v>0</v>
      </c>
      <c r="I104" s="107">
        <v>0</v>
      </c>
      <c r="J104" s="107">
        <v>0</v>
      </c>
      <c r="K104" s="107">
        <v>50</v>
      </c>
      <c r="L104" s="107">
        <v>200</v>
      </c>
      <c r="M104" s="107">
        <v>250</v>
      </c>
      <c r="N104" s="107">
        <v>2800</v>
      </c>
      <c r="O104" s="107">
        <v>0</v>
      </c>
      <c r="P104" s="107">
        <v>0</v>
      </c>
      <c r="Q104" s="108">
        <f t="shared" si="15"/>
        <v>5739</v>
      </c>
      <c r="R104" s="108">
        <f t="shared" si="12"/>
        <v>74.67</v>
      </c>
      <c r="S104" s="108">
        <f t="shared" si="16"/>
        <v>273.79000000000002</v>
      </c>
      <c r="T104" s="108">
        <v>0</v>
      </c>
      <c r="U104" s="108">
        <v>0</v>
      </c>
      <c r="V104" s="108">
        <f t="shared" si="17"/>
        <v>348.46</v>
      </c>
      <c r="W104" s="108">
        <f t="shared" si="13"/>
        <v>5390.54</v>
      </c>
      <c r="X104" s="108">
        <v>0</v>
      </c>
    </row>
    <row r="105" spans="1:24" s="92" customFormat="1" ht="38.25" x14ac:dyDescent="0.2">
      <c r="A105" s="137">
        <v>95</v>
      </c>
      <c r="B105" s="59" t="s">
        <v>677</v>
      </c>
      <c r="C105" s="59" t="s">
        <v>678</v>
      </c>
      <c r="D105" s="106">
        <f>485*5</f>
        <v>2425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2800</v>
      </c>
      <c r="O105" s="107">
        <v>0</v>
      </c>
      <c r="P105" s="107">
        <v>0</v>
      </c>
      <c r="Q105" s="108">
        <f t="shared" si="15"/>
        <v>5225</v>
      </c>
      <c r="R105" s="108">
        <f t="shared" si="12"/>
        <v>72.75</v>
      </c>
      <c r="S105" s="108">
        <f t="shared" si="16"/>
        <v>266.75</v>
      </c>
      <c r="T105" s="108">
        <v>0</v>
      </c>
      <c r="U105" s="108">
        <v>0</v>
      </c>
      <c r="V105" s="108">
        <f t="shared" si="17"/>
        <v>339.5</v>
      </c>
      <c r="W105" s="108">
        <f t="shared" si="13"/>
        <v>4885.5</v>
      </c>
      <c r="X105" s="108">
        <v>0</v>
      </c>
    </row>
    <row r="106" spans="1:24" s="92" customFormat="1" ht="25.5" x14ac:dyDescent="0.2">
      <c r="A106" s="137">
        <v>96</v>
      </c>
      <c r="B106" s="59" t="s">
        <v>679</v>
      </c>
      <c r="C106" s="130" t="s">
        <v>573</v>
      </c>
      <c r="D106" s="106">
        <v>1350</v>
      </c>
      <c r="E106" s="107">
        <v>2000</v>
      </c>
      <c r="F106" s="107">
        <v>0</v>
      </c>
      <c r="G106" s="107">
        <v>0</v>
      </c>
      <c r="H106" s="107">
        <v>1600</v>
      </c>
      <c r="I106" s="107">
        <v>2900</v>
      </c>
      <c r="J106" s="107">
        <v>0</v>
      </c>
      <c r="K106" s="107">
        <v>75</v>
      </c>
      <c r="L106" s="107">
        <v>0</v>
      </c>
      <c r="M106" s="107">
        <v>250</v>
      </c>
      <c r="N106" s="107">
        <v>2800</v>
      </c>
      <c r="O106" s="107">
        <v>0</v>
      </c>
      <c r="P106" s="107">
        <v>0</v>
      </c>
      <c r="Q106" s="108">
        <f t="shared" si="15"/>
        <v>10975</v>
      </c>
      <c r="R106" s="108">
        <f t="shared" si="12"/>
        <v>237.75</v>
      </c>
      <c r="S106" s="108">
        <f t="shared" si="16"/>
        <v>871.75</v>
      </c>
      <c r="T106" s="108">
        <v>146.18</v>
      </c>
      <c r="U106" s="108">
        <v>0</v>
      </c>
      <c r="V106" s="108">
        <f t="shared" si="17"/>
        <v>1255.68</v>
      </c>
      <c r="W106" s="108">
        <f t="shared" si="13"/>
        <v>9719.32</v>
      </c>
      <c r="X106" s="108">
        <v>0</v>
      </c>
    </row>
    <row r="107" spans="1:24" s="92" customFormat="1" ht="25.5" x14ac:dyDescent="0.2">
      <c r="A107" s="137">
        <v>97</v>
      </c>
      <c r="B107" s="59" t="s">
        <v>680</v>
      </c>
      <c r="C107" s="130" t="s">
        <v>604</v>
      </c>
      <c r="D107" s="106">
        <v>1792</v>
      </c>
      <c r="E107" s="107">
        <v>2500</v>
      </c>
      <c r="F107" s="107">
        <v>0</v>
      </c>
      <c r="G107" s="107">
        <v>0</v>
      </c>
      <c r="H107" s="107">
        <v>2500</v>
      </c>
      <c r="I107" s="107">
        <v>3000</v>
      </c>
      <c r="J107" s="107">
        <v>0</v>
      </c>
      <c r="K107" s="107">
        <v>50</v>
      </c>
      <c r="L107" s="107">
        <v>0</v>
      </c>
      <c r="M107" s="107">
        <v>250</v>
      </c>
      <c r="N107" s="107">
        <v>2800</v>
      </c>
      <c r="O107" s="107">
        <v>0</v>
      </c>
      <c r="P107" s="107">
        <v>0</v>
      </c>
      <c r="Q107" s="108">
        <f t="shared" si="15"/>
        <v>12892</v>
      </c>
      <c r="R107" s="108">
        <f t="shared" si="12"/>
        <v>295.26</v>
      </c>
      <c r="S107" s="108">
        <f t="shared" si="16"/>
        <v>1082.6199999999999</v>
      </c>
      <c r="T107" s="108">
        <v>221.78</v>
      </c>
      <c r="U107" s="108">
        <v>0</v>
      </c>
      <c r="V107" s="108">
        <f t="shared" si="17"/>
        <v>1599.66</v>
      </c>
      <c r="W107" s="108">
        <f t="shared" si="13"/>
        <v>11292.34</v>
      </c>
      <c r="X107" s="108">
        <v>0</v>
      </c>
    </row>
    <row r="108" spans="1:24" s="92" customFormat="1" x14ac:dyDescent="0.2">
      <c r="A108" s="137">
        <v>98</v>
      </c>
      <c r="B108" s="59" t="s">
        <v>681</v>
      </c>
      <c r="C108" s="59" t="s">
        <v>568</v>
      </c>
      <c r="D108" s="106">
        <v>1634</v>
      </c>
      <c r="E108" s="107">
        <v>2400</v>
      </c>
      <c r="F108" s="107">
        <v>0</v>
      </c>
      <c r="G108" s="107">
        <v>0</v>
      </c>
      <c r="H108" s="107">
        <v>3000</v>
      </c>
      <c r="I108" s="107">
        <v>2400</v>
      </c>
      <c r="J108" s="107">
        <v>0</v>
      </c>
      <c r="K108" s="107">
        <v>75</v>
      </c>
      <c r="L108" s="107">
        <v>0</v>
      </c>
      <c r="M108" s="107">
        <v>250</v>
      </c>
      <c r="N108" s="107">
        <v>2800</v>
      </c>
      <c r="O108" s="107">
        <v>0</v>
      </c>
      <c r="P108" s="107">
        <v>0</v>
      </c>
      <c r="Q108" s="108">
        <f t="shared" si="15"/>
        <v>12559</v>
      </c>
      <c r="R108" s="108">
        <f t="shared" si="12"/>
        <v>285.27</v>
      </c>
      <c r="S108" s="108">
        <f t="shared" si="16"/>
        <v>1045.99</v>
      </c>
      <c r="T108" s="108">
        <v>207.96</v>
      </c>
      <c r="U108" s="108">
        <v>0</v>
      </c>
      <c r="V108" s="108">
        <f t="shared" si="17"/>
        <v>1539.22</v>
      </c>
      <c r="W108" s="108">
        <f t="shared" si="13"/>
        <v>11019.78</v>
      </c>
      <c r="X108" s="108">
        <v>0</v>
      </c>
    </row>
    <row r="109" spans="1:24" s="92" customFormat="1" ht="25.5" x14ac:dyDescent="0.2">
      <c r="A109" s="137">
        <v>99</v>
      </c>
      <c r="B109" s="59" t="s">
        <v>682</v>
      </c>
      <c r="C109" s="59" t="s">
        <v>580</v>
      </c>
      <c r="D109" s="106">
        <v>1476</v>
      </c>
      <c r="E109" s="107">
        <v>2000</v>
      </c>
      <c r="F109" s="107">
        <v>0</v>
      </c>
      <c r="G109" s="107">
        <v>1900</v>
      </c>
      <c r="H109" s="107">
        <v>0</v>
      </c>
      <c r="I109" s="107">
        <v>2600</v>
      </c>
      <c r="J109" s="107">
        <v>0</v>
      </c>
      <c r="K109" s="107">
        <v>50</v>
      </c>
      <c r="L109" s="107">
        <v>0</v>
      </c>
      <c r="M109" s="107">
        <v>250</v>
      </c>
      <c r="N109" s="107">
        <v>2800</v>
      </c>
      <c r="O109" s="107">
        <v>0</v>
      </c>
      <c r="P109" s="107">
        <v>0</v>
      </c>
      <c r="Q109" s="108">
        <f t="shared" si="15"/>
        <v>11076</v>
      </c>
      <c r="R109" s="108">
        <f t="shared" si="12"/>
        <v>240.78</v>
      </c>
      <c r="S109" s="108">
        <f t="shared" si="16"/>
        <v>882.86</v>
      </c>
      <c r="T109" s="108">
        <v>146.41</v>
      </c>
      <c r="U109" s="108">
        <v>0</v>
      </c>
      <c r="V109" s="108">
        <f t="shared" si="17"/>
        <v>1270.05</v>
      </c>
      <c r="W109" s="108">
        <f t="shared" si="13"/>
        <v>9805.9500000000007</v>
      </c>
      <c r="X109" s="108">
        <v>0</v>
      </c>
    </row>
    <row r="110" spans="1:24" s="92" customFormat="1" ht="25.5" x14ac:dyDescent="0.2">
      <c r="A110" s="137">
        <v>100</v>
      </c>
      <c r="B110" s="59" t="s">
        <v>683</v>
      </c>
      <c r="C110" s="59" t="s">
        <v>575</v>
      </c>
      <c r="D110" s="106">
        <v>1350</v>
      </c>
      <c r="E110" s="107">
        <v>2000</v>
      </c>
      <c r="F110" s="107">
        <v>0</v>
      </c>
      <c r="G110" s="107">
        <v>0</v>
      </c>
      <c r="H110" s="107">
        <v>0</v>
      </c>
      <c r="I110" s="107">
        <v>4500</v>
      </c>
      <c r="J110" s="107">
        <v>0</v>
      </c>
      <c r="K110" s="107">
        <v>75</v>
      </c>
      <c r="L110" s="107">
        <v>0</v>
      </c>
      <c r="M110" s="107">
        <v>250</v>
      </c>
      <c r="N110" s="107">
        <v>2800</v>
      </c>
      <c r="O110" s="107">
        <v>0</v>
      </c>
      <c r="P110" s="107">
        <v>0</v>
      </c>
      <c r="Q110" s="108">
        <f t="shared" si="15"/>
        <v>10975</v>
      </c>
      <c r="R110" s="108">
        <f t="shared" si="12"/>
        <v>237.75</v>
      </c>
      <c r="S110" s="108">
        <f t="shared" si="16"/>
        <v>871.75</v>
      </c>
      <c r="T110" s="108">
        <v>145.13</v>
      </c>
      <c r="U110" s="108">
        <v>0</v>
      </c>
      <c r="V110" s="108">
        <f t="shared" si="17"/>
        <v>1254.6300000000001</v>
      </c>
      <c r="W110" s="108">
        <f t="shared" si="13"/>
        <v>9720.3700000000008</v>
      </c>
      <c r="X110" s="108">
        <v>0</v>
      </c>
    </row>
    <row r="111" spans="1:24" s="92" customFormat="1" x14ac:dyDescent="0.2">
      <c r="A111" s="137">
        <v>101</v>
      </c>
      <c r="B111" s="59" t="s">
        <v>684</v>
      </c>
      <c r="C111" s="59" t="s">
        <v>571</v>
      </c>
      <c r="D111" s="106">
        <v>1074</v>
      </c>
      <c r="E111" s="107">
        <v>400</v>
      </c>
      <c r="F111" s="107">
        <v>0</v>
      </c>
      <c r="G111" s="107">
        <v>1000</v>
      </c>
      <c r="H111" s="107">
        <v>0</v>
      </c>
      <c r="I111" s="107">
        <v>0</v>
      </c>
      <c r="J111" s="107">
        <v>0</v>
      </c>
      <c r="K111" s="107">
        <v>50</v>
      </c>
      <c r="L111" s="107">
        <v>200</v>
      </c>
      <c r="M111" s="107">
        <v>250</v>
      </c>
      <c r="N111" s="107">
        <v>2800</v>
      </c>
      <c r="O111" s="107">
        <v>0</v>
      </c>
      <c r="P111" s="107">
        <v>0</v>
      </c>
      <c r="Q111" s="108">
        <f t="shared" si="15"/>
        <v>5774</v>
      </c>
      <c r="R111" s="108">
        <f t="shared" si="12"/>
        <v>75.72</v>
      </c>
      <c r="S111" s="108">
        <f t="shared" si="16"/>
        <v>277.64</v>
      </c>
      <c r="T111" s="108">
        <v>0</v>
      </c>
      <c r="U111" s="108">
        <v>0</v>
      </c>
      <c r="V111" s="108">
        <f t="shared" si="17"/>
        <v>353.36</v>
      </c>
      <c r="W111" s="108">
        <f t="shared" si="13"/>
        <v>5420.64</v>
      </c>
      <c r="X111" s="108">
        <v>0</v>
      </c>
    </row>
    <row r="112" spans="1:24" s="92" customFormat="1" x14ac:dyDescent="0.2">
      <c r="A112" s="137">
        <v>102</v>
      </c>
      <c r="B112" s="59" t="s">
        <v>685</v>
      </c>
      <c r="C112" s="59" t="s">
        <v>575</v>
      </c>
      <c r="D112" s="106">
        <v>1350</v>
      </c>
      <c r="E112" s="107">
        <v>2000</v>
      </c>
      <c r="F112" s="107">
        <v>0</v>
      </c>
      <c r="G112" s="107">
        <v>0</v>
      </c>
      <c r="H112" s="107">
        <v>0</v>
      </c>
      <c r="I112" s="107">
        <v>4500</v>
      </c>
      <c r="J112" s="107">
        <v>0</v>
      </c>
      <c r="K112" s="107">
        <v>50</v>
      </c>
      <c r="L112" s="107">
        <v>0</v>
      </c>
      <c r="M112" s="107">
        <v>250</v>
      </c>
      <c r="N112" s="107">
        <v>2800</v>
      </c>
      <c r="O112" s="107">
        <v>0</v>
      </c>
      <c r="P112" s="107">
        <v>0</v>
      </c>
      <c r="Q112" s="108">
        <f t="shared" si="15"/>
        <v>10950</v>
      </c>
      <c r="R112" s="108">
        <f t="shared" si="12"/>
        <v>237</v>
      </c>
      <c r="S112" s="108">
        <f t="shared" si="16"/>
        <v>869</v>
      </c>
      <c r="T112" s="108">
        <v>145.53</v>
      </c>
      <c r="U112" s="108">
        <v>0</v>
      </c>
      <c r="V112" s="108">
        <f t="shared" si="17"/>
        <v>1251.53</v>
      </c>
      <c r="W112" s="108">
        <f t="shared" si="13"/>
        <v>9698.4699999999993</v>
      </c>
      <c r="X112" s="108">
        <v>0</v>
      </c>
    </row>
    <row r="113" spans="1:24" s="92" customFormat="1" ht="25.5" x14ac:dyDescent="0.2">
      <c r="A113" s="137">
        <v>103</v>
      </c>
      <c r="B113" s="56" t="s">
        <v>114</v>
      </c>
      <c r="C113" s="57" t="s">
        <v>195</v>
      </c>
      <c r="D113" s="58">
        <v>6759</v>
      </c>
      <c r="E113" s="52">
        <v>2000</v>
      </c>
      <c r="F113" s="107">
        <v>0</v>
      </c>
      <c r="G113" s="58">
        <v>4000</v>
      </c>
      <c r="H113" s="107">
        <v>0</v>
      </c>
      <c r="I113" s="107">
        <v>0</v>
      </c>
      <c r="J113" s="107">
        <v>375</v>
      </c>
      <c r="K113" s="107">
        <v>0</v>
      </c>
      <c r="L113" s="107">
        <v>0</v>
      </c>
      <c r="M113" s="107">
        <v>250</v>
      </c>
      <c r="N113" s="107">
        <v>0</v>
      </c>
      <c r="O113" s="107">
        <v>0</v>
      </c>
      <c r="P113" s="107">
        <v>0</v>
      </c>
      <c r="Q113" s="108">
        <f t="shared" si="15"/>
        <v>13384</v>
      </c>
      <c r="R113" s="108">
        <f t="shared" si="12"/>
        <v>394.02</v>
      </c>
      <c r="S113" s="108">
        <f t="shared" si="16"/>
        <v>1444.74</v>
      </c>
      <c r="T113" s="28">
        <v>354.95</v>
      </c>
      <c r="U113" s="28">
        <v>176.52</v>
      </c>
      <c r="V113" s="108">
        <f t="shared" si="17"/>
        <v>2370.23</v>
      </c>
      <c r="W113" s="108">
        <f t="shared" si="13"/>
        <v>11013.77</v>
      </c>
      <c r="X113" s="108">
        <f>414</f>
        <v>414</v>
      </c>
    </row>
    <row r="114" spans="1:24" s="92" customFormat="1" x14ac:dyDescent="0.2">
      <c r="A114" s="137">
        <v>104</v>
      </c>
      <c r="B114" s="59" t="s">
        <v>686</v>
      </c>
      <c r="C114" s="59" t="s">
        <v>571</v>
      </c>
      <c r="D114" s="106">
        <v>1074</v>
      </c>
      <c r="E114" s="107">
        <v>400</v>
      </c>
      <c r="F114" s="107">
        <v>0</v>
      </c>
      <c r="G114" s="107">
        <v>1000</v>
      </c>
      <c r="H114" s="107">
        <v>0</v>
      </c>
      <c r="I114" s="107">
        <v>0</v>
      </c>
      <c r="J114" s="107">
        <v>0</v>
      </c>
      <c r="K114" s="107">
        <v>0</v>
      </c>
      <c r="L114" s="107">
        <v>200</v>
      </c>
      <c r="M114" s="107">
        <v>250</v>
      </c>
      <c r="N114" s="107">
        <v>2800</v>
      </c>
      <c r="O114" s="107">
        <v>0</v>
      </c>
      <c r="P114" s="107">
        <v>0</v>
      </c>
      <c r="Q114" s="108">
        <f t="shared" si="15"/>
        <v>5724</v>
      </c>
      <c r="R114" s="108">
        <f t="shared" si="12"/>
        <v>74.22</v>
      </c>
      <c r="S114" s="108">
        <f t="shared" si="16"/>
        <v>272.14</v>
      </c>
      <c r="T114" s="108">
        <v>0</v>
      </c>
      <c r="U114" s="108">
        <v>0</v>
      </c>
      <c r="V114" s="108">
        <f t="shared" si="17"/>
        <v>346.36</v>
      </c>
      <c r="W114" s="108">
        <f t="shared" si="13"/>
        <v>5377.64</v>
      </c>
      <c r="X114" s="108">
        <v>0</v>
      </c>
    </row>
    <row r="115" spans="1:24" s="92" customFormat="1" ht="25.5" x14ac:dyDescent="0.2">
      <c r="A115" s="137">
        <v>105</v>
      </c>
      <c r="B115" s="59" t="s">
        <v>687</v>
      </c>
      <c r="C115" s="59" t="s">
        <v>586</v>
      </c>
      <c r="D115" s="106">
        <v>1223</v>
      </c>
      <c r="E115" s="107">
        <v>2000</v>
      </c>
      <c r="F115" s="107">
        <v>0</v>
      </c>
      <c r="G115" s="107">
        <v>0</v>
      </c>
      <c r="H115" s="107">
        <v>0</v>
      </c>
      <c r="I115" s="107">
        <v>4500</v>
      </c>
      <c r="J115" s="107">
        <v>0</v>
      </c>
      <c r="K115" s="107">
        <v>0</v>
      </c>
      <c r="L115" s="107">
        <v>0</v>
      </c>
      <c r="M115" s="107">
        <v>250</v>
      </c>
      <c r="N115" s="107">
        <v>2800</v>
      </c>
      <c r="O115" s="107">
        <v>0</v>
      </c>
      <c r="P115" s="107">
        <v>0</v>
      </c>
      <c r="Q115" s="108">
        <f t="shared" si="15"/>
        <v>10773</v>
      </c>
      <c r="R115" s="108">
        <f t="shared" si="12"/>
        <v>231.69</v>
      </c>
      <c r="S115" s="108">
        <f t="shared" si="16"/>
        <v>849.53</v>
      </c>
      <c r="T115" s="108">
        <v>137.69999999999999</v>
      </c>
      <c r="U115" s="108">
        <v>0</v>
      </c>
      <c r="V115" s="108">
        <f t="shared" si="17"/>
        <v>1218.92</v>
      </c>
      <c r="W115" s="108">
        <f t="shared" si="13"/>
        <v>9554.08</v>
      </c>
      <c r="X115" s="108">
        <v>0</v>
      </c>
    </row>
    <row r="116" spans="1:24" s="92" customFormat="1" ht="25.5" x14ac:dyDescent="0.2">
      <c r="A116" s="137">
        <v>106</v>
      </c>
      <c r="B116" s="59" t="s">
        <v>688</v>
      </c>
      <c r="C116" s="130" t="s">
        <v>573</v>
      </c>
      <c r="D116" s="106">
        <v>1350</v>
      </c>
      <c r="E116" s="107">
        <v>2000</v>
      </c>
      <c r="F116" s="107">
        <v>0</v>
      </c>
      <c r="G116" s="107">
        <v>0</v>
      </c>
      <c r="H116" s="107">
        <v>1600</v>
      </c>
      <c r="I116" s="107">
        <v>2900</v>
      </c>
      <c r="J116" s="107">
        <v>0</v>
      </c>
      <c r="K116" s="107">
        <v>35</v>
      </c>
      <c r="L116" s="107">
        <v>0</v>
      </c>
      <c r="M116" s="107">
        <v>250</v>
      </c>
      <c r="N116" s="107">
        <v>2800</v>
      </c>
      <c r="O116" s="107">
        <v>0</v>
      </c>
      <c r="P116" s="107">
        <v>0</v>
      </c>
      <c r="Q116" s="108">
        <f t="shared" si="15"/>
        <v>10935</v>
      </c>
      <c r="R116" s="108">
        <f t="shared" si="12"/>
        <v>236.55</v>
      </c>
      <c r="S116" s="108">
        <f t="shared" si="16"/>
        <v>867.35</v>
      </c>
      <c r="T116" s="108">
        <v>144.5</v>
      </c>
      <c r="U116" s="108">
        <v>105.97</v>
      </c>
      <c r="V116" s="108">
        <f t="shared" si="17"/>
        <v>1354.37</v>
      </c>
      <c r="W116" s="108">
        <f t="shared" si="13"/>
        <v>9580.6299999999992</v>
      </c>
      <c r="X116" s="108">
        <v>0</v>
      </c>
    </row>
    <row r="117" spans="1:24" s="92" customFormat="1" x14ac:dyDescent="0.2">
      <c r="A117" s="137">
        <v>107</v>
      </c>
      <c r="B117" s="59" t="s">
        <v>689</v>
      </c>
      <c r="C117" s="59" t="s">
        <v>571</v>
      </c>
      <c r="D117" s="106">
        <v>1074</v>
      </c>
      <c r="E117" s="107">
        <v>400</v>
      </c>
      <c r="F117" s="107">
        <v>0</v>
      </c>
      <c r="G117" s="107">
        <v>1000</v>
      </c>
      <c r="H117" s="107">
        <v>0</v>
      </c>
      <c r="I117" s="107">
        <v>0</v>
      </c>
      <c r="J117" s="107">
        <v>0</v>
      </c>
      <c r="K117" s="107">
        <v>0</v>
      </c>
      <c r="L117" s="107">
        <v>200</v>
      </c>
      <c r="M117" s="107">
        <v>250</v>
      </c>
      <c r="N117" s="107">
        <v>2800</v>
      </c>
      <c r="O117" s="107">
        <v>0</v>
      </c>
      <c r="P117" s="107">
        <v>0</v>
      </c>
      <c r="Q117" s="108">
        <f t="shared" si="15"/>
        <v>5724</v>
      </c>
      <c r="R117" s="108">
        <f t="shared" si="12"/>
        <v>74.22</v>
      </c>
      <c r="S117" s="108">
        <f t="shared" si="16"/>
        <v>272.14</v>
      </c>
      <c r="T117" s="108">
        <v>0</v>
      </c>
      <c r="U117" s="108">
        <v>0</v>
      </c>
      <c r="V117" s="108">
        <f t="shared" si="17"/>
        <v>346.36</v>
      </c>
      <c r="W117" s="108">
        <f t="shared" si="13"/>
        <v>5377.64</v>
      </c>
      <c r="X117" s="108">
        <v>0</v>
      </c>
    </row>
    <row r="118" spans="1:24" s="92" customFormat="1" ht="25.5" x14ac:dyDescent="0.2">
      <c r="A118" s="137">
        <v>108</v>
      </c>
      <c r="B118" s="59" t="s">
        <v>690</v>
      </c>
      <c r="C118" s="130" t="s">
        <v>573</v>
      </c>
      <c r="D118" s="107">
        <v>1350</v>
      </c>
      <c r="E118" s="108">
        <v>2000</v>
      </c>
      <c r="F118" s="107">
        <v>0</v>
      </c>
      <c r="G118" s="107">
        <v>0</v>
      </c>
      <c r="H118" s="107">
        <v>1600</v>
      </c>
      <c r="I118" s="107">
        <v>2900</v>
      </c>
      <c r="J118" s="107">
        <v>0</v>
      </c>
      <c r="K118" s="107">
        <v>0</v>
      </c>
      <c r="L118" s="107">
        <v>0</v>
      </c>
      <c r="M118" s="107">
        <v>250</v>
      </c>
      <c r="N118" s="107">
        <v>2800</v>
      </c>
      <c r="O118" s="107">
        <v>0</v>
      </c>
      <c r="P118" s="107">
        <v>0</v>
      </c>
      <c r="Q118" s="108">
        <f t="shared" si="15"/>
        <v>10900</v>
      </c>
      <c r="R118" s="108">
        <f t="shared" si="12"/>
        <v>235.5</v>
      </c>
      <c r="S118" s="108">
        <f t="shared" si="16"/>
        <v>863.5</v>
      </c>
      <c r="T118" s="108">
        <v>137.69</v>
      </c>
      <c r="U118" s="108">
        <v>0</v>
      </c>
      <c r="V118" s="108">
        <f t="shared" si="17"/>
        <v>1236.69</v>
      </c>
      <c r="W118" s="108">
        <f t="shared" si="13"/>
        <v>9663.31</v>
      </c>
      <c r="X118" s="108">
        <v>0</v>
      </c>
    </row>
    <row r="119" spans="1:24" s="92" customFormat="1" x14ac:dyDescent="0.2">
      <c r="A119" s="137">
        <v>109</v>
      </c>
      <c r="B119" s="59" t="s">
        <v>691</v>
      </c>
      <c r="C119" s="59" t="s">
        <v>692</v>
      </c>
      <c r="D119" s="107">
        <v>1128</v>
      </c>
      <c r="E119" s="107">
        <v>0</v>
      </c>
      <c r="F119" s="107">
        <v>0</v>
      </c>
      <c r="G119" s="107">
        <v>1000</v>
      </c>
      <c r="H119" s="107">
        <v>0</v>
      </c>
      <c r="I119" s="107">
        <v>0</v>
      </c>
      <c r="J119" s="107">
        <v>0</v>
      </c>
      <c r="K119" s="107">
        <v>0</v>
      </c>
      <c r="L119" s="107">
        <v>600</v>
      </c>
      <c r="M119" s="107">
        <v>250</v>
      </c>
      <c r="N119" s="107">
        <v>2800</v>
      </c>
      <c r="O119" s="107">
        <v>0</v>
      </c>
      <c r="P119" s="107">
        <v>0</v>
      </c>
      <c r="Q119" s="108">
        <f t="shared" si="15"/>
        <v>5778</v>
      </c>
      <c r="R119" s="108">
        <f t="shared" si="12"/>
        <v>63.84</v>
      </c>
      <c r="S119" s="108">
        <f t="shared" si="16"/>
        <v>234.08</v>
      </c>
      <c r="T119" s="108">
        <v>0</v>
      </c>
      <c r="U119" s="108">
        <v>0</v>
      </c>
      <c r="V119" s="108">
        <f t="shared" si="17"/>
        <v>297.92</v>
      </c>
      <c r="W119" s="108">
        <f t="shared" si="13"/>
        <v>5480.08</v>
      </c>
      <c r="X119" s="108">
        <v>0</v>
      </c>
    </row>
    <row r="120" spans="1:24" s="92" customFormat="1" ht="25.5" x14ac:dyDescent="0.2">
      <c r="A120" s="137">
        <v>110</v>
      </c>
      <c r="B120" s="59" t="s">
        <v>693</v>
      </c>
      <c r="C120" s="130" t="s">
        <v>573</v>
      </c>
      <c r="D120" s="106">
        <v>1350</v>
      </c>
      <c r="E120" s="107">
        <v>2000</v>
      </c>
      <c r="F120" s="107">
        <v>0</v>
      </c>
      <c r="G120" s="107">
        <v>0</v>
      </c>
      <c r="H120" s="107">
        <v>1600</v>
      </c>
      <c r="I120" s="107">
        <v>2900</v>
      </c>
      <c r="J120" s="107">
        <v>0</v>
      </c>
      <c r="K120" s="107">
        <v>75</v>
      </c>
      <c r="L120" s="107">
        <v>0</v>
      </c>
      <c r="M120" s="107">
        <v>250</v>
      </c>
      <c r="N120" s="107">
        <v>2800</v>
      </c>
      <c r="O120" s="107">
        <v>0</v>
      </c>
      <c r="P120" s="107">
        <v>0</v>
      </c>
      <c r="Q120" s="108">
        <f t="shared" si="15"/>
        <v>10975</v>
      </c>
      <c r="R120" s="108">
        <f t="shared" si="12"/>
        <v>237.75</v>
      </c>
      <c r="S120" s="108">
        <f t="shared" si="16"/>
        <v>871.75</v>
      </c>
      <c r="T120" s="108">
        <v>145.13</v>
      </c>
      <c r="U120" s="108">
        <v>106.18</v>
      </c>
      <c r="V120" s="108">
        <f t="shared" si="17"/>
        <v>1360.81</v>
      </c>
      <c r="W120" s="108">
        <f t="shared" si="13"/>
        <v>9614.19</v>
      </c>
      <c r="X120" s="108">
        <v>8525.82</v>
      </c>
    </row>
    <row r="121" spans="1:24" s="92" customFormat="1" ht="25.5" x14ac:dyDescent="0.2">
      <c r="A121" s="137">
        <v>111</v>
      </c>
      <c r="B121" s="59" t="s">
        <v>694</v>
      </c>
      <c r="C121" s="59" t="s">
        <v>586</v>
      </c>
      <c r="D121" s="106">
        <v>1223</v>
      </c>
      <c r="E121" s="108">
        <f>2000</f>
        <v>2000</v>
      </c>
      <c r="F121" s="107">
        <v>0</v>
      </c>
      <c r="G121" s="107">
        <v>0</v>
      </c>
      <c r="H121" s="107">
        <v>1300</v>
      </c>
      <c r="I121" s="107">
        <f>3200</f>
        <v>3200</v>
      </c>
      <c r="J121" s="107">
        <v>0</v>
      </c>
      <c r="K121" s="107">
        <v>0</v>
      </c>
      <c r="L121" s="107">
        <v>0</v>
      </c>
      <c r="M121" s="107">
        <v>250</v>
      </c>
      <c r="N121" s="107">
        <v>2800</v>
      </c>
      <c r="O121" s="107">
        <v>0</v>
      </c>
      <c r="P121" s="107">
        <v>0</v>
      </c>
      <c r="Q121" s="108">
        <f t="shared" si="15"/>
        <v>10773</v>
      </c>
      <c r="R121" s="108">
        <f t="shared" si="12"/>
        <v>231.69</v>
      </c>
      <c r="S121" s="108">
        <f t="shared" si="16"/>
        <v>849.53</v>
      </c>
      <c r="T121" s="108">
        <v>139.80000000000001</v>
      </c>
      <c r="U121" s="108">
        <v>0</v>
      </c>
      <c r="V121" s="108">
        <f t="shared" si="17"/>
        <v>1221.02</v>
      </c>
      <c r="W121" s="108">
        <f t="shared" si="13"/>
        <v>9551.98</v>
      </c>
      <c r="X121" s="108">
        <v>0</v>
      </c>
    </row>
    <row r="122" spans="1:24" s="92" customFormat="1" ht="25.5" x14ac:dyDescent="0.2">
      <c r="A122" s="137">
        <v>112</v>
      </c>
      <c r="B122" s="130" t="s">
        <v>695</v>
      </c>
      <c r="C122" s="132" t="s">
        <v>946</v>
      </c>
      <c r="D122" s="71">
        <v>10261</v>
      </c>
      <c r="E122" s="108">
        <v>4000</v>
      </c>
      <c r="F122" s="107">
        <v>0</v>
      </c>
      <c r="G122" s="107">
        <v>5000</v>
      </c>
      <c r="H122" s="107">
        <v>0</v>
      </c>
      <c r="I122" s="107">
        <v>0</v>
      </c>
      <c r="J122" s="107">
        <v>375</v>
      </c>
      <c r="K122" s="107">
        <v>0</v>
      </c>
      <c r="L122" s="107">
        <v>0</v>
      </c>
      <c r="M122" s="107">
        <v>250</v>
      </c>
      <c r="N122" s="107">
        <v>0</v>
      </c>
      <c r="O122" s="107">
        <v>0</v>
      </c>
      <c r="P122" s="107">
        <v>0</v>
      </c>
      <c r="Q122" s="108">
        <f t="shared" si="15"/>
        <v>19886</v>
      </c>
      <c r="R122" s="108">
        <f t="shared" si="12"/>
        <v>589.08000000000004</v>
      </c>
      <c r="S122" s="108">
        <f t="shared" si="16"/>
        <v>2159.96</v>
      </c>
      <c r="T122" s="108">
        <v>618.41</v>
      </c>
      <c r="U122" s="108">
        <v>263.91000000000003</v>
      </c>
      <c r="V122" s="108">
        <f t="shared" si="17"/>
        <v>3631.36</v>
      </c>
      <c r="W122" s="108">
        <f t="shared" si="13"/>
        <v>16254.64</v>
      </c>
      <c r="X122" s="108">
        <v>0</v>
      </c>
    </row>
    <row r="123" spans="1:24" s="92" customFormat="1" ht="25.5" x14ac:dyDescent="0.2">
      <c r="A123" s="137">
        <v>113</v>
      </c>
      <c r="B123" s="130" t="s">
        <v>696</v>
      </c>
      <c r="C123" s="59" t="s">
        <v>697</v>
      </c>
      <c r="D123" s="107">
        <v>1074</v>
      </c>
      <c r="E123" s="107">
        <v>0</v>
      </c>
      <c r="F123" s="107">
        <v>0</v>
      </c>
      <c r="G123" s="107">
        <v>1000</v>
      </c>
      <c r="H123" s="107">
        <v>0</v>
      </c>
      <c r="I123" s="107">
        <v>0</v>
      </c>
      <c r="J123" s="107">
        <v>0</v>
      </c>
      <c r="K123" s="107">
        <v>0</v>
      </c>
      <c r="L123" s="107">
        <v>600</v>
      </c>
      <c r="M123" s="107">
        <v>250</v>
      </c>
      <c r="N123" s="107">
        <v>2800</v>
      </c>
      <c r="O123" s="107">
        <v>0</v>
      </c>
      <c r="P123" s="107">
        <v>0</v>
      </c>
      <c r="Q123" s="108">
        <f t="shared" si="15"/>
        <v>5724</v>
      </c>
      <c r="R123" s="108">
        <f t="shared" si="12"/>
        <v>62.22</v>
      </c>
      <c r="S123" s="108">
        <f t="shared" si="16"/>
        <v>228.14</v>
      </c>
      <c r="T123" s="108">
        <v>0</v>
      </c>
      <c r="U123" s="108">
        <v>0</v>
      </c>
      <c r="V123" s="108">
        <f t="shared" si="17"/>
        <v>290.36</v>
      </c>
      <c r="W123" s="108">
        <f t="shared" si="13"/>
        <v>5433.64</v>
      </c>
      <c r="X123" s="108">
        <v>0</v>
      </c>
    </row>
    <row r="124" spans="1:24" s="92" customFormat="1" ht="25.5" x14ac:dyDescent="0.2">
      <c r="A124" s="137">
        <v>114</v>
      </c>
      <c r="B124" s="59" t="s">
        <v>698</v>
      </c>
      <c r="C124" s="130" t="s">
        <v>573</v>
      </c>
      <c r="D124" s="106">
        <v>1350</v>
      </c>
      <c r="E124" s="107">
        <v>2000</v>
      </c>
      <c r="F124" s="107">
        <v>0</v>
      </c>
      <c r="G124" s="107">
        <v>0</v>
      </c>
      <c r="H124" s="107">
        <v>1600</v>
      </c>
      <c r="I124" s="107">
        <f>2900</f>
        <v>2900</v>
      </c>
      <c r="J124" s="107">
        <v>0</v>
      </c>
      <c r="K124" s="107">
        <v>0</v>
      </c>
      <c r="L124" s="107">
        <v>0</v>
      </c>
      <c r="M124" s="107">
        <v>250</v>
      </c>
      <c r="N124" s="107">
        <v>2800</v>
      </c>
      <c r="O124" s="107">
        <v>0</v>
      </c>
      <c r="P124" s="107">
        <v>0</v>
      </c>
      <c r="Q124" s="108">
        <f t="shared" si="15"/>
        <v>10900</v>
      </c>
      <c r="R124" s="108">
        <f t="shared" si="12"/>
        <v>235.5</v>
      </c>
      <c r="S124" s="108">
        <f t="shared" si="16"/>
        <v>863.5</v>
      </c>
      <c r="T124" s="108">
        <v>145.13</v>
      </c>
      <c r="U124" s="108">
        <v>0</v>
      </c>
      <c r="V124" s="108">
        <f t="shared" si="17"/>
        <v>1244.1300000000001</v>
      </c>
      <c r="W124" s="108">
        <f t="shared" si="13"/>
        <v>9655.8700000000008</v>
      </c>
      <c r="X124" s="108">
        <v>0</v>
      </c>
    </row>
    <row r="125" spans="1:24" s="92" customFormat="1" ht="25.5" x14ac:dyDescent="0.2">
      <c r="A125" s="137">
        <v>115</v>
      </c>
      <c r="B125" s="59" t="s">
        <v>699</v>
      </c>
      <c r="C125" s="59" t="s">
        <v>575</v>
      </c>
      <c r="D125" s="106">
        <v>1350</v>
      </c>
      <c r="E125" s="107">
        <v>2000</v>
      </c>
      <c r="F125" s="107">
        <v>0</v>
      </c>
      <c r="G125" s="107">
        <v>0</v>
      </c>
      <c r="H125" s="107">
        <v>0</v>
      </c>
      <c r="I125" s="107">
        <v>4500</v>
      </c>
      <c r="J125" s="107">
        <v>0</v>
      </c>
      <c r="K125" s="107">
        <v>75</v>
      </c>
      <c r="L125" s="107">
        <v>0</v>
      </c>
      <c r="M125" s="107">
        <v>250</v>
      </c>
      <c r="N125" s="107">
        <v>2800</v>
      </c>
      <c r="O125" s="107">
        <v>0</v>
      </c>
      <c r="P125" s="107">
        <v>0</v>
      </c>
      <c r="Q125" s="108">
        <f t="shared" si="15"/>
        <v>10975</v>
      </c>
      <c r="R125" s="108">
        <f t="shared" si="12"/>
        <v>237.75</v>
      </c>
      <c r="S125" s="108">
        <f t="shared" si="16"/>
        <v>871.75</v>
      </c>
      <c r="T125" s="108">
        <v>146.18</v>
      </c>
      <c r="U125" s="108">
        <v>0</v>
      </c>
      <c r="V125" s="108">
        <f t="shared" si="17"/>
        <v>1255.68</v>
      </c>
      <c r="W125" s="108">
        <f t="shared" si="13"/>
        <v>9719.32</v>
      </c>
      <c r="X125" s="108">
        <v>0</v>
      </c>
    </row>
    <row r="126" spans="1:24" s="92" customFormat="1" ht="38.25" x14ac:dyDescent="0.2">
      <c r="A126" s="137">
        <v>116</v>
      </c>
      <c r="B126" s="59" t="s">
        <v>700</v>
      </c>
      <c r="C126" s="59" t="s">
        <v>701</v>
      </c>
      <c r="D126" s="106">
        <f>(485*6)+1350</f>
        <v>4260</v>
      </c>
      <c r="E126" s="107">
        <v>2000</v>
      </c>
      <c r="F126" s="107">
        <f>606.25*6</f>
        <v>3637.5</v>
      </c>
      <c r="G126" s="107">
        <v>0</v>
      </c>
      <c r="H126" s="107">
        <v>0</v>
      </c>
      <c r="I126" s="107">
        <v>4500</v>
      </c>
      <c r="J126" s="107">
        <v>0</v>
      </c>
      <c r="K126" s="107">
        <v>0</v>
      </c>
      <c r="L126" s="107">
        <v>0</v>
      </c>
      <c r="M126" s="107">
        <v>250</v>
      </c>
      <c r="N126" s="107">
        <v>2800</v>
      </c>
      <c r="O126" s="107">
        <v>0</v>
      </c>
      <c r="P126" s="107">
        <v>0</v>
      </c>
      <c r="Q126" s="108">
        <f t="shared" si="15"/>
        <v>17447.5</v>
      </c>
      <c r="R126" s="108">
        <f t="shared" si="12"/>
        <v>431.93</v>
      </c>
      <c r="S126" s="108">
        <f t="shared" si="16"/>
        <v>1583.73</v>
      </c>
      <c r="T126" s="108">
        <v>403.63</v>
      </c>
      <c r="U126" s="108">
        <v>0</v>
      </c>
      <c r="V126" s="108">
        <f t="shared" si="17"/>
        <v>2419.29</v>
      </c>
      <c r="W126" s="108">
        <f t="shared" si="13"/>
        <v>15028.21</v>
      </c>
      <c r="X126" s="108">
        <v>0</v>
      </c>
    </row>
    <row r="127" spans="1:24" s="92" customFormat="1" ht="38.25" x14ac:dyDescent="0.2">
      <c r="A127" s="137">
        <v>117</v>
      </c>
      <c r="B127" s="59" t="s">
        <v>702</v>
      </c>
      <c r="C127" s="59" t="s">
        <v>703</v>
      </c>
      <c r="D127" s="106">
        <f>(485*6)+2848</f>
        <v>5758</v>
      </c>
      <c r="E127" s="107">
        <v>2500</v>
      </c>
      <c r="F127" s="107">
        <f>485*6</f>
        <v>2910</v>
      </c>
      <c r="G127" s="107">
        <v>0</v>
      </c>
      <c r="H127" s="107">
        <v>0</v>
      </c>
      <c r="I127" s="107">
        <v>5500</v>
      </c>
      <c r="J127" s="107">
        <v>0</v>
      </c>
      <c r="K127" s="107">
        <v>0</v>
      </c>
      <c r="L127" s="107">
        <v>0</v>
      </c>
      <c r="M127" s="107">
        <v>250</v>
      </c>
      <c r="N127" s="107">
        <v>2800</v>
      </c>
      <c r="O127" s="107">
        <v>0</v>
      </c>
      <c r="P127" s="107">
        <v>0</v>
      </c>
      <c r="Q127" s="108">
        <f t="shared" si="15"/>
        <v>19718</v>
      </c>
      <c r="R127" s="108">
        <f t="shared" si="12"/>
        <v>500.04</v>
      </c>
      <c r="S127" s="108">
        <f t="shared" si="16"/>
        <v>1833.48</v>
      </c>
      <c r="T127" s="108">
        <v>541.87</v>
      </c>
      <c r="U127" s="108">
        <v>145.80000000000001</v>
      </c>
      <c r="V127" s="108">
        <f t="shared" si="17"/>
        <v>3021.19</v>
      </c>
      <c r="W127" s="108">
        <f t="shared" si="13"/>
        <v>16696.810000000001</v>
      </c>
      <c r="X127" s="108">
        <v>0</v>
      </c>
    </row>
    <row r="128" spans="1:24" s="92" customFormat="1" ht="25.5" x14ac:dyDescent="0.2">
      <c r="A128" s="137">
        <v>118</v>
      </c>
      <c r="B128" s="59" t="s">
        <v>704</v>
      </c>
      <c r="C128" s="130" t="s">
        <v>573</v>
      </c>
      <c r="D128" s="106">
        <v>1350</v>
      </c>
      <c r="E128" s="107">
        <v>2000</v>
      </c>
      <c r="F128" s="107">
        <v>0</v>
      </c>
      <c r="G128" s="107">
        <v>0</v>
      </c>
      <c r="H128" s="107">
        <v>1600</v>
      </c>
      <c r="I128" s="107">
        <v>2900</v>
      </c>
      <c r="J128" s="107">
        <v>0</v>
      </c>
      <c r="K128" s="107">
        <v>50</v>
      </c>
      <c r="L128" s="107">
        <v>0</v>
      </c>
      <c r="M128" s="107">
        <v>250</v>
      </c>
      <c r="N128" s="107">
        <v>2800</v>
      </c>
      <c r="O128" s="107">
        <v>0</v>
      </c>
      <c r="P128" s="107">
        <v>0</v>
      </c>
      <c r="Q128" s="108">
        <f t="shared" si="15"/>
        <v>10950</v>
      </c>
      <c r="R128" s="108">
        <f t="shared" si="12"/>
        <v>237</v>
      </c>
      <c r="S128" s="108">
        <f t="shared" si="16"/>
        <v>869</v>
      </c>
      <c r="T128" s="108">
        <v>0</v>
      </c>
      <c r="U128" s="108">
        <v>0</v>
      </c>
      <c r="V128" s="108">
        <f t="shared" si="17"/>
        <v>1106</v>
      </c>
      <c r="W128" s="108">
        <f t="shared" si="13"/>
        <v>9844</v>
      </c>
      <c r="X128" s="108">
        <v>9090.44</v>
      </c>
    </row>
    <row r="129" spans="1:24" s="92" customFormat="1" ht="38.25" x14ac:dyDescent="0.2">
      <c r="A129" s="137">
        <v>119</v>
      </c>
      <c r="B129" s="59" t="s">
        <v>705</v>
      </c>
      <c r="C129" s="59" t="s">
        <v>706</v>
      </c>
      <c r="D129" s="106">
        <v>2885</v>
      </c>
      <c r="E129" s="107">
        <v>0</v>
      </c>
      <c r="F129" s="107">
        <v>3606.25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2800</v>
      </c>
      <c r="O129" s="107">
        <v>0</v>
      </c>
      <c r="P129" s="107">
        <v>0</v>
      </c>
      <c r="Q129" s="108">
        <f t="shared" si="15"/>
        <v>9291.25</v>
      </c>
      <c r="R129" s="108">
        <f t="shared" si="12"/>
        <v>194.74</v>
      </c>
      <c r="S129" s="108">
        <f t="shared" si="16"/>
        <v>714.04</v>
      </c>
      <c r="T129" s="108">
        <v>72.63</v>
      </c>
      <c r="U129" s="108">
        <v>0</v>
      </c>
      <c r="V129" s="108">
        <f t="shared" si="17"/>
        <v>981.41</v>
      </c>
      <c r="W129" s="108">
        <f t="shared" si="13"/>
        <v>8309.84</v>
      </c>
      <c r="X129" s="108">
        <v>0</v>
      </c>
    </row>
    <row r="130" spans="1:24" s="92" customFormat="1" x14ac:dyDescent="0.2">
      <c r="A130" s="137">
        <v>120</v>
      </c>
      <c r="B130" s="133" t="s">
        <v>936</v>
      </c>
      <c r="C130" s="59" t="s">
        <v>937</v>
      </c>
      <c r="D130" s="106">
        <v>1350</v>
      </c>
      <c r="E130" s="107">
        <v>0</v>
      </c>
      <c r="F130" s="107">
        <v>0</v>
      </c>
      <c r="G130" s="107">
        <v>0</v>
      </c>
      <c r="H130" s="107">
        <v>0</v>
      </c>
      <c r="I130" s="107">
        <v>4500</v>
      </c>
      <c r="J130" s="107">
        <v>0</v>
      </c>
      <c r="K130" s="107">
        <v>0</v>
      </c>
      <c r="L130" s="107">
        <v>0</v>
      </c>
      <c r="M130" s="107">
        <v>250</v>
      </c>
      <c r="N130" s="107">
        <v>0</v>
      </c>
      <c r="O130" s="107">
        <v>0</v>
      </c>
      <c r="P130" s="107">
        <v>0</v>
      </c>
      <c r="Q130" s="108">
        <f t="shared" ref="Q130:Q161" si="18">SUM(D130:O130)</f>
        <v>6100</v>
      </c>
      <c r="R130" s="108">
        <f t="shared" si="12"/>
        <v>175.5</v>
      </c>
      <c r="S130" s="108">
        <f t="shared" ref="S130:S165" si="19">(D130+E130+F130+G130+H130+I130+J130+K130+O130)*11%</f>
        <v>643.5</v>
      </c>
      <c r="T130" s="108">
        <v>0</v>
      </c>
      <c r="U130" s="108">
        <v>0</v>
      </c>
      <c r="V130" s="108">
        <f t="shared" si="17"/>
        <v>819</v>
      </c>
      <c r="W130" s="108">
        <f t="shared" si="13"/>
        <v>5281</v>
      </c>
      <c r="X130" s="108">
        <v>0</v>
      </c>
    </row>
    <row r="131" spans="1:24" s="92" customFormat="1" ht="25.5" x14ac:dyDescent="0.2">
      <c r="A131" s="137">
        <v>121</v>
      </c>
      <c r="B131" s="59" t="s">
        <v>707</v>
      </c>
      <c r="C131" s="59" t="s">
        <v>708</v>
      </c>
      <c r="D131" s="106">
        <f>(362*5)</f>
        <v>1810</v>
      </c>
      <c r="E131" s="107">
        <v>0</v>
      </c>
      <c r="F131" s="107">
        <f>271.5*5</f>
        <v>1357.5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2800</v>
      </c>
      <c r="O131" s="107">
        <v>0</v>
      </c>
      <c r="P131" s="107">
        <v>0</v>
      </c>
      <c r="Q131" s="108">
        <f t="shared" si="18"/>
        <v>5967.5</v>
      </c>
      <c r="R131" s="108">
        <f t="shared" si="12"/>
        <v>95.03</v>
      </c>
      <c r="S131" s="108">
        <f t="shared" si="19"/>
        <v>348.43</v>
      </c>
      <c r="T131" s="108">
        <v>0</v>
      </c>
      <c r="U131" s="108">
        <v>0</v>
      </c>
      <c r="V131" s="108">
        <f t="shared" si="17"/>
        <v>443.46</v>
      </c>
      <c r="W131" s="108">
        <f t="shared" si="13"/>
        <v>5524.04</v>
      </c>
      <c r="X131" s="108">
        <v>0</v>
      </c>
    </row>
    <row r="132" spans="1:24" s="92" customFormat="1" ht="25.5" x14ac:dyDescent="0.2">
      <c r="A132" s="137">
        <v>122</v>
      </c>
      <c r="B132" s="59" t="s">
        <v>709</v>
      </c>
      <c r="C132" s="130" t="s">
        <v>573</v>
      </c>
      <c r="D132" s="106">
        <v>1350</v>
      </c>
      <c r="E132" s="107">
        <v>2000</v>
      </c>
      <c r="F132" s="107">
        <v>0</v>
      </c>
      <c r="G132" s="107">
        <v>0</v>
      </c>
      <c r="H132" s="107">
        <v>1600</v>
      </c>
      <c r="I132" s="107">
        <v>2900</v>
      </c>
      <c r="J132" s="107">
        <v>0</v>
      </c>
      <c r="K132" s="107">
        <v>75</v>
      </c>
      <c r="L132" s="107">
        <v>0</v>
      </c>
      <c r="M132" s="107">
        <v>250</v>
      </c>
      <c r="N132" s="107">
        <v>2800</v>
      </c>
      <c r="O132" s="107">
        <v>0</v>
      </c>
      <c r="P132" s="107">
        <v>0</v>
      </c>
      <c r="Q132" s="108">
        <f t="shared" si="18"/>
        <v>10975</v>
      </c>
      <c r="R132" s="108">
        <f t="shared" si="12"/>
        <v>237.75</v>
      </c>
      <c r="S132" s="108">
        <f t="shared" si="19"/>
        <v>871.75</v>
      </c>
      <c r="T132" s="108">
        <v>145.13</v>
      </c>
      <c r="U132" s="108">
        <v>0</v>
      </c>
      <c r="V132" s="108">
        <f t="shared" si="17"/>
        <v>1254.6300000000001</v>
      </c>
      <c r="W132" s="108">
        <f t="shared" si="13"/>
        <v>9720.3700000000008</v>
      </c>
      <c r="X132" s="108">
        <v>8529.82</v>
      </c>
    </row>
    <row r="133" spans="1:24" s="92" customFormat="1" x14ac:dyDescent="0.2">
      <c r="A133" s="137">
        <v>123</v>
      </c>
      <c r="B133" s="59" t="s">
        <v>710</v>
      </c>
      <c r="C133" s="59" t="s">
        <v>580</v>
      </c>
      <c r="D133" s="106">
        <v>1476</v>
      </c>
      <c r="E133" s="107">
        <v>2000</v>
      </c>
      <c r="F133" s="107">
        <v>0</v>
      </c>
      <c r="G133" s="107">
        <v>1900</v>
      </c>
      <c r="H133" s="107">
        <v>0</v>
      </c>
      <c r="I133" s="107">
        <v>2600</v>
      </c>
      <c r="J133" s="107">
        <v>0</v>
      </c>
      <c r="K133" s="107">
        <v>50</v>
      </c>
      <c r="L133" s="107">
        <v>0</v>
      </c>
      <c r="M133" s="107">
        <v>250</v>
      </c>
      <c r="N133" s="107">
        <v>2800</v>
      </c>
      <c r="O133" s="107">
        <v>0</v>
      </c>
      <c r="P133" s="107">
        <v>0</v>
      </c>
      <c r="Q133" s="108">
        <f t="shared" si="18"/>
        <v>11076</v>
      </c>
      <c r="R133" s="108">
        <f t="shared" si="12"/>
        <v>240.78</v>
      </c>
      <c r="S133" s="108">
        <f t="shared" si="19"/>
        <v>882.86</v>
      </c>
      <c r="T133" s="108">
        <v>146.41</v>
      </c>
      <c r="U133" s="108">
        <v>0</v>
      </c>
      <c r="V133" s="108">
        <f t="shared" ref="V133:V164" si="20">SUM(R133:U133)</f>
        <v>1270.05</v>
      </c>
      <c r="W133" s="108">
        <f t="shared" si="13"/>
        <v>9805.9500000000007</v>
      </c>
      <c r="X133" s="108">
        <v>0</v>
      </c>
    </row>
    <row r="134" spans="1:24" s="92" customFormat="1" ht="25.5" x14ac:dyDescent="0.2">
      <c r="A134" s="137">
        <v>124</v>
      </c>
      <c r="B134" s="59" t="s">
        <v>711</v>
      </c>
      <c r="C134" s="59" t="s">
        <v>568</v>
      </c>
      <c r="D134" s="106">
        <v>1634</v>
      </c>
      <c r="E134" s="107">
        <v>1800</v>
      </c>
      <c r="F134" s="107">
        <v>0</v>
      </c>
      <c r="G134" s="107">
        <v>0</v>
      </c>
      <c r="H134" s="107">
        <v>2200</v>
      </c>
      <c r="I134" s="107">
        <v>0</v>
      </c>
      <c r="J134" s="107">
        <v>0</v>
      </c>
      <c r="K134" s="107">
        <v>75</v>
      </c>
      <c r="L134" s="107">
        <v>0</v>
      </c>
      <c r="M134" s="107">
        <v>250</v>
      </c>
      <c r="N134" s="107">
        <v>2800</v>
      </c>
      <c r="O134" s="107">
        <v>0</v>
      </c>
      <c r="P134" s="107">
        <v>0</v>
      </c>
      <c r="Q134" s="108">
        <f t="shared" si="18"/>
        <v>8759</v>
      </c>
      <c r="R134" s="108">
        <f t="shared" si="12"/>
        <v>171.27</v>
      </c>
      <c r="S134" s="108">
        <f t="shared" si="19"/>
        <v>627.99</v>
      </c>
      <c r="T134" s="108">
        <v>55.97</v>
      </c>
      <c r="U134" s="108">
        <v>0</v>
      </c>
      <c r="V134" s="108">
        <f t="shared" si="20"/>
        <v>855.23</v>
      </c>
      <c r="W134" s="108">
        <f t="shared" si="13"/>
        <v>7903.77</v>
      </c>
      <c r="X134" s="108">
        <v>0</v>
      </c>
    </row>
    <row r="135" spans="1:24" s="92" customFormat="1" ht="25.5" x14ac:dyDescent="0.2">
      <c r="A135" s="137">
        <v>125</v>
      </c>
      <c r="B135" s="130" t="s">
        <v>940</v>
      </c>
      <c r="C135" s="130" t="s">
        <v>935</v>
      </c>
      <c r="D135" s="106">
        <v>1105</v>
      </c>
      <c r="E135" s="107">
        <v>0</v>
      </c>
      <c r="F135" s="107">
        <v>0</v>
      </c>
      <c r="G135" s="107">
        <v>1000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250</v>
      </c>
      <c r="N135" s="107">
        <v>2800</v>
      </c>
      <c r="O135" s="107">
        <v>0</v>
      </c>
      <c r="P135" s="107">
        <v>0</v>
      </c>
      <c r="Q135" s="108">
        <f t="shared" si="18"/>
        <v>5155</v>
      </c>
      <c r="R135" s="108">
        <f t="shared" si="12"/>
        <v>63.15</v>
      </c>
      <c r="S135" s="108">
        <f t="shared" si="19"/>
        <v>231.55</v>
      </c>
      <c r="T135" s="108">
        <v>0</v>
      </c>
      <c r="U135" s="108">
        <v>0</v>
      </c>
      <c r="V135" s="108">
        <f t="shared" si="20"/>
        <v>294.7</v>
      </c>
      <c r="W135" s="108">
        <f t="shared" si="13"/>
        <v>4860.3</v>
      </c>
      <c r="X135" s="108">
        <v>0</v>
      </c>
    </row>
    <row r="136" spans="1:24" s="92" customFormat="1" ht="25.5" x14ac:dyDescent="0.2">
      <c r="A136" s="137">
        <v>126</v>
      </c>
      <c r="B136" s="130" t="s">
        <v>712</v>
      </c>
      <c r="C136" s="130" t="s">
        <v>954</v>
      </c>
      <c r="D136" s="107">
        <v>1476</v>
      </c>
      <c r="E136" s="107">
        <v>2000</v>
      </c>
      <c r="F136" s="107">
        <v>0</v>
      </c>
      <c r="G136" s="107">
        <v>0</v>
      </c>
      <c r="H136" s="107">
        <v>1900</v>
      </c>
      <c r="I136" s="107">
        <v>2600</v>
      </c>
      <c r="J136" s="107">
        <v>0</v>
      </c>
      <c r="K136" s="107">
        <v>0</v>
      </c>
      <c r="L136" s="107">
        <v>0</v>
      </c>
      <c r="M136" s="107">
        <v>0</v>
      </c>
      <c r="N136" s="107">
        <v>2800</v>
      </c>
      <c r="O136" s="107">
        <v>0</v>
      </c>
      <c r="P136" s="107">
        <v>0</v>
      </c>
      <c r="Q136" s="108">
        <f t="shared" si="18"/>
        <v>10776</v>
      </c>
      <c r="R136" s="108">
        <f t="shared" si="12"/>
        <v>239.28</v>
      </c>
      <c r="S136" s="108">
        <f t="shared" si="19"/>
        <v>877.36</v>
      </c>
      <c r="T136" s="108">
        <v>148.33000000000001</v>
      </c>
      <c r="U136" s="108">
        <v>0</v>
      </c>
      <c r="V136" s="108">
        <f t="shared" si="20"/>
        <v>1264.97</v>
      </c>
      <c r="W136" s="108">
        <f t="shared" si="13"/>
        <v>9511.0300000000007</v>
      </c>
      <c r="X136" s="108">
        <v>0</v>
      </c>
    </row>
    <row r="137" spans="1:24" s="92" customFormat="1" ht="38.25" x14ac:dyDescent="0.2">
      <c r="A137" s="137">
        <v>127</v>
      </c>
      <c r="B137" s="131" t="s">
        <v>713</v>
      </c>
      <c r="C137" s="131" t="s">
        <v>714</v>
      </c>
      <c r="D137" s="106">
        <f>388*4</f>
        <v>1552</v>
      </c>
      <c r="E137" s="107">
        <v>0</v>
      </c>
      <c r="F137" s="107">
        <v>0</v>
      </c>
      <c r="G137" s="107">
        <v>0</v>
      </c>
      <c r="H137" s="107">
        <v>0</v>
      </c>
      <c r="I137" s="107">
        <v>0</v>
      </c>
      <c r="J137" s="107">
        <v>0</v>
      </c>
      <c r="K137" s="107">
        <v>0</v>
      </c>
      <c r="L137" s="107">
        <v>0</v>
      </c>
      <c r="M137" s="107">
        <v>0</v>
      </c>
      <c r="N137" s="107">
        <v>2800</v>
      </c>
      <c r="O137" s="107">
        <v>0</v>
      </c>
      <c r="P137" s="107">
        <v>0</v>
      </c>
      <c r="Q137" s="108">
        <f t="shared" si="18"/>
        <v>4352</v>
      </c>
      <c r="R137" s="108">
        <f t="shared" ref="R137:R200" si="21">(D137+E137+F137+G137+H137+I137+J137+K137+O137)*3%</f>
        <v>46.56</v>
      </c>
      <c r="S137" s="108">
        <f t="shared" si="19"/>
        <v>170.72</v>
      </c>
      <c r="T137" s="108">
        <v>0</v>
      </c>
      <c r="U137" s="108">
        <v>0</v>
      </c>
      <c r="V137" s="108">
        <f t="shared" si="20"/>
        <v>217.28</v>
      </c>
      <c r="W137" s="108">
        <f t="shared" si="13"/>
        <v>4134.72</v>
      </c>
      <c r="X137" s="108">
        <v>0</v>
      </c>
    </row>
    <row r="138" spans="1:24" s="92" customFormat="1" x14ac:dyDescent="0.2">
      <c r="A138" s="137">
        <v>128</v>
      </c>
      <c r="B138" s="59" t="s">
        <v>715</v>
      </c>
      <c r="C138" s="59" t="s">
        <v>586</v>
      </c>
      <c r="D138" s="106">
        <v>1223</v>
      </c>
      <c r="E138" s="108">
        <v>2000</v>
      </c>
      <c r="F138" s="107">
        <v>0</v>
      </c>
      <c r="G138" s="107">
        <v>0</v>
      </c>
      <c r="H138" s="107">
        <v>1300</v>
      </c>
      <c r="I138" s="107">
        <v>3200</v>
      </c>
      <c r="J138" s="107">
        <v>0</v>
      </c>
      <c r="K138" s="107">
        <v>0</v>
      </c>
      <c r="L138" s="107">
        <v>0</v>
      </c>
      <c r="M138" s="107">
        <v>250</v>
      </c>
      <c r="N138" s="107">
        <v>2800</v>
      </c>
      <c r="O138" s="107">
        <v>0</v>
      </c>
      <c r="P138" s="107">
        <v>0</v>
      </c>
      <c r="Q138" s="108">
        <f t="shared" si="18"/>
        <v>10773</v>
      </c>
      <c r="R138" s="108">
        <f t="shared" si="21"/>
        <v>231.69</v>
      </c>
      <c r="S138" s="108">
        <f t="shared" si="19"/>
        <v>849.53</v>
      </c>
      <c r="T138" s="108">
        <v>140.85</v>
      </c>
      <c r="U138" s="108">
        <v>0</v>
      </c>
      <c r="V138" s="108">
        <f t="shared" si="20"/>
        <v>1222.07</v>
      </c>
      <c r="W138" s="108">
        <f t="shared" si="13"/>
        <v>9550.93</v>
      </c>
      <c r="X138" s="108">
        <v>0</v>
      </c>
    </row>
    <row r="139" spans="1:24" s="92" customFormat="1" ht="38.25" x14ac:dyDescent="0.2">
      <c r="A139" s="137">
        <v>129</v>
      </c>
      <c r="B139" s="59" t="s">
        <v>716</v>
      </c>
      <c r="C139" s="59" t="s">
        <v>717</v>
      </c>
      <c r="D139" s="106">
        <v>2425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107">
        <v>0</v>
      </c>
      <c r="K139" s="107">
        <v>0</v>
      </c>
      <c r="L139" s="107">
        <v>0</v>
      </c>
      <c r="M139" s="107">
        <v>0</v>
      </c>
      <c r="N139" s="107">
        <v>2800</v>
      </c>
      <c r="O139" s="107">
        <v>0</v>
      </c>
      <c r="P139" s="107">
        <v>0</v>
      </c>
      <c r="Q139" s="108">
        <f t="shared" si="18"/>
        <v>5225</v>
      </c>
      <c r="R139" s="108">
        <f t="shared" si="21"/>
        <v>72.75</v>
      </c>
      <c r="S139" s="108">
        <f t="shared" si="19"/>
        <v>266.75</v>
      </c>
      <c r="T139" s="108">
        <v>0</v>
      </c>
      <c r="U139" s="108">
        <v>0</v>
      </c>
      <c r="V139" s="108">
        <f t="shared" si="20"/>
        <v>339.5</v>
      </c>
      <c r="W139" s="108">
        <f t="shared" ref="W139:W202" si="22">Q139-V139</f>
        <v>4885.5</v>
      </c>
      <c r="X139" s="108">
        <v>0</v>
      </c>
    </row>
    <row r="140" spans="1:24" s="92" customFormat="1" ht="38.25" x14ac:dyDescent="0.2">
      <c r="A140" s="137">
        <v>130</v>
      </c>
      <c r="B140" s="59" t="s">
        <v>718</v>
      </c>
      <c r="C140" s="59" t="s">
        <v>719</v>
      </c>
      <c r="D140" s="106">
        <f>485*2</f>
        <v>970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  <c r="L140" s="107">
        <v>0</v>
      </c>
      <c r="M140" s="107">
        <v>0</v>
      </c>
      <c r="N140" s="107">
        <v>2800</v>
      </c>
      <c r="O140" s="107">
        <v>0</v>
      </c>
      <c r="P140" s="107">
        <v>0</v>
      </c>
      <c r="Q140" s="108">
        <f t="shared" si="18"/>
        <v>3770</v>
      </c>
      <c r="R140" s="108">
        <f t="shared" si="21"/>
        <v>29.1</v>
      </c>
      <c r="S140" s="108">
        <f t="shared" si="19"/>
        <v>106.7</v>
      </c>
      <c r="T140" s="108">
        <v>0</v>
      </c>
      <c r="U140" s="108">
        <v>0</v>
      </c>
      <c r="V140" s="108">
        <f t="shared" si="20"/>
        <v>135.80000000000001</v>
      </c>
      <c r="W140" s="108">
        <f t="shared" si="22"/>
        <v>3634.2</v>
      </c>
      <c r="X140" s="108">
        <v>0</v>
      </c>
    </row>
    <row r="141" spans="1:24" s="92" customFormat="1" ht="25.5" x14ac:dyDescent="0.2">
      <c r="A141" s="137">
        <v>131</v>
      </c>
      <c r="B141" s="59" t="s">
        <v>720</v>
      </c>
      <c r="C141" s="59" t="s">
        <v>571</v>
      </c>
      <c r="D141" s="106">
        <v>1074</v>
      </c>
      <c r="E141" s="107">
        <v>400</v>
      </c>
      <c r="F141" s="107">
        <v>0</v>
      </c>
      <c r="G141" s="107">
        <v>1000</v>
      </c>
      <c r="H141" s="107">
        <v>0</v>
      </c>
      <c r="I141" s="107">
        <v>0</v>
      </c>
      <c r="J141" s="107">
        <v>0</v>
      </c>
      <c r="K141" s="107">
        <v>50</v>
      </c>
      <c r="L141" s="107">
        <v>200</v>
      </c>
      <c r="M141" s="107">
        <v>250</v>
      </c>
      <c r="N141" s="107">
        <v>2800</v>
      </c>
      <c r="O141" s="107">
        <v>0</v>
      </c>
      <c r="P141" s="107">
        <v>0</v>
      </c>
      <c r="Q141" s="108">
        <f t="shared" si="18"/>
        <v>5774</v>
      </c>
      <c r="R141" s="108">
        <f t="shared" si="21"/>
        <v>75.72</v>
      </c>
      <c r="S141" s="108">
        <f t="shared" si="19"/>
        <v>277.64</v>
      </c>
      <c r="T141" s="108">
        <v>0</v>
      </c>
      <c r="U141" s="108">
        <v>0</v>
      </c>
      <c r="V141" s="108">
        <f t="shared" si="20"/>
        <v>353.36</v>
      </c>
      <c r="W141" s="108">
        <f t="shared" si="22"/>
        <v>5420.64</v>
      </c>
      <c r="X141" s="108">
        <v>0</v>
      </c>
    </row>
    <row r="142" spans="1:24" s="92" customFormat="1" ht="25.5" x14ac:dyDescent="0.2">
      <c r="A142" s="137">
        <v>132</v>
      </c>
      <c r="B142" s="59" t="s">
        <v>721</v>
      </c>
      <c r="C142" s="59" t="s">
        <v>606</v>
      </c>
      <c r="D142" s="106">
        <v>1168</v>
      </c>
      <c r="E142" s="107">
        <v>0</v>
      </c>
      <c r="F142" s="107">
        <v>0</v>
      </c>
      <c r="G142" s="107">
        <v>1000</v>
      </c>
      <c r="H142" s="107">
        <v>0</v>
      </c>
      <c r="I142" s="107">
        <v>0</v>
      </c>
      <c r="J142" s="107">
        <v>0</v>
      </c>
      <c r="K142" s="107">
        <v>75</v>
      </c>
      <c r="L142" s="107">
        <v>0</v>
      </c>
      <c r="M142" s="107">
        <v>250</v>
      </c>
      <c r="N142" s="107">
        <v>0</v>
      </c>
      <c r="O142" s="107">
        <v>0</v>
      </c>
      <c r="P142" s="107">
        <v>0</v>
      </c>
      <c r="Q142" s="108">
        <f t="shared" si="18"/>
        <v>2493</v>
      </c>
      <c r="R142" s="108">
        <f t="shared" si="21"/>
        <v>67.290000000000006</v>
      </c>
      <c r="S142" s="108">
        <f t="shared" si="19"/>
        <v>246.73</v>
      </c>
      <c r="T142" s="108">
        <v>0</v>
      </c>
      <c r="U142" s="108">
        <v>0</v>
      </c>
      <c r="V142" s="108">
        <f t="shared" si="20"/>
        <v>314.02</v>
      </c>
      <c r="W142" s="108">
        <f t="shared" si="22"/>
        <v>2178.98</v>
      </c>
      <c r="X142" s="108">
        <v>0</v>
      </c>
    </row>
    <row r="143" spans="1:24" s="92" customFormat="1" ht="25.5" x14ac:dyDescent="0.2">
      <c r="A143" s="137">
        <v>133</v>
      </c>
      <c r="B143" s="59" t="s">
        <v>722</v>
      </c>
      <c r="C143" s="59" t="s">
        <v>571</v>
      </c>
      <c r="D143" s="106">
        <v>1074</v>
      </c>
      <c r="E143" s="107">
        <v>400</v>
      </c>
      <c r="F143" s="107">
        <v>0</v>
      </c>
      <c r="G143" s="107">
        <v>1000</v>
      </c>
      <c r="H143" s="107">
        <v>0</v>
      </c>
      <c r="I143" s="107">
        <v>0</v>
      </c>
      <c r="J143" s="107">
        <v>0</v>
      </c>
      <c r="K143" s="107">
        <v>75</v>
      </c>
      <c r="L143" s="107">
        <v>200</v>
      </c>
      <c r="M143" s="107">
        <v>250</v>
      </c>
      <c r="N143" s="107">
        <v>2800</v>
      </c>
      <c r="O143" s="107">
        <v>0</v>
      </c>
      <c r="P143" s="107">
        <v>0</v>
      </c>
      <c r="Q143" s="108">
        <f t="shared" si="18"/>
        <v>5799</v>
      </c>
      <c r="R143" s="108">
        <f t="shared" si="21"/>
        <v>76.47</v>
      </c>
      <c r="S143" s="108">
        <f t="shared" si="19"/>
        <v>280.39</v>
      </c>
      <c r="T143" s="108">
        <v>0</v>
      </c>
      <c r="U143" s="108">
        <v>0</v>
      </c>
      <c r="V143" s="108">
        <f t="shared" si="20"/>
        <v>356.86</v>
      </c>
      <c r="W143" s="108">
        <f t="shared" si="22"/>
        <v>5442.14</v>
      </c>
      <c r="X143" s="108">
        <v>0</v>
      </c>
    </row>
    <row r="144" spans="1:24" s="92" customFormat="1" x14ac:dyDescent="0.2">
      <c r="A144" s="137">
        <v>134</v>
      </c>
      <c r="B144" s="59" t="s">
        <v>723</v>
      </c>
      <c r="C144" s="59" t="s">
        <v>575</v>
      </c>
      <c r="D144" s="106">
        <v>1350</v>
      </c>
      <c r="E144" s="107">
        <v>2000</v>
      </c>
      <c r="F144" s="107">
        <v>0</v>
      </c>
      <c r="G144" s="107">
        <v>0</v>
      </c>
      <c r="H144" s="107">
        <v>0</v>
      </c>
      <c r="I144" s="107">
        <v>4500</v>
      </c>
      <c r="J144" s="107">
        <v>0</v>
      </c>
      <c r="K144" s="107">
        <v>0</v>
      </c>
      <c r="L144" s="107">
        <v>0</v>
      </c>
      <c r="M144" s="107">
        <v>250</v>
      </c>
      <c r="N144" s="107">
        <v>2800</v>
      </c>
      <c r="O144" s="107">
        <v>0</v>
      </c>
      <c r="P144" s="107">
        <v>0</v>
      </c>
      <c r="Q144" s="108">
        <f t="shared" si="18"/>
        <v>10900</v>
      </c>
      <c r="R144" s="108">
        <f t="shared" si="21"/>
        <v>235.5</v>
      </c>
      <c r="S144" s="108">
        <f t="shared" si="19"/>
        <v>863.5</v>
      </c>
      <c r="T144" s="108">
        <v>143.03</v>
      </c>
      <c r="U144" s="108">
        <v>0</v>
      </c>
      <c r="V144" s="108">
        <f t="shared" si="20"/>
        <v>1242.03</v>
      </c>
      <c r="W144" s="108">
        <f t="shared" si="22"/>
        <v>9657.9699999999993</v>
      </c>
      <c r="X144" s="108">
        <v>0</v>
      </c>
    </row>
    <row r="145" spans="1:171" s="92" customFormat="1" ht="25.5" x14ac:dyDescent="0.2">
      <c r="A145" s="137">
        <v>135</v>
      </c>
      <c r="B145" s="59" t="s">
        <v>724</v>
      </c>
      <c r="C145" s="59" t="s">
        <v>595</v>
      </c>
      <c r="D145" s="106">
        <f>485*2</f>
        <v>970</v>
      </c>
      <c r="E145" s="107">
        <v>0</v>
      </c>
      <c r="F145" s="107">
        <f>363.75*2</f>
        <v>727.5</v>
      </c>
      <c r="G145" s="107">
        <v>0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2800</v>
      </c>
      <c r="O145" s="107">
        <v>0</v>
      </c>
      <c r="P145" s="107">
        <v>0</v>
      </c>
      <c r="Q145" s="108">
        <f t="shared" si="18"/>
        <v>4497.5</v>
      </c>
      <c r="R145" s="108">
        <f t="shared" si="21"/>
        <v>50.93</v>
      </c>
      <c r="S145" s="108">
        <f t="shared" si="19"/>
        <v>186.73</v>
      </c>
      <c r="T145" s="108">
        <v>0</v>
      </c>
      <c r="U145" s="108">
        <f>11.41*2</f>
        <v>22.82</v>
      </c>
      <c r="V145" s="108">
        <f t="shared" si="20"/>
        <v>260.48</v>
      </c>
      <c r="W145" s="108">
        <f t="shared" si="22"/>
        <v>4237.0200000000004</v>
      </c>
      <c r="X145" s="108">
        <v>0</v>
      </c>
    </row>
    <row r="146" spans="1:171" s="92" customFormat="1" ht="25.5" x14ac:dyDescent="0.2">
      <c r="A146" s="137">
        <v>136</v>
      </c>
      <c r="B146" s="130" t="s">
        <v>922</v>
      </c>
      <c r="C146" s="130" t="s">
        <v>923</v>
      </c>
      <c r="D146" s="106">
        <f>388*7</f>
        <v>2716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2800</v>
      </c>
      <c r="O146" s="107">
        <v>0</v>
      </c>
      <c r="P146" s="107">
        <v>0</v>
      </c>
      <c r="Q146" s="108">
        <f t="shared" si="18"/>
        <v>5516</v>
      </c>
      <c r="R146" s="108">
        <f t="shared" si="21"/>
        <v>81.48</v>
      </c>
      <c r="S146" s="108">
        <f t="shared" si="19"/>
        <v>298.76</v>
      </c>
      <c r="T146" s="108">
        <v>0</v>
      </c>
      <c r="U146" s="108">
        <v>0</v>
      </c>
      <c r="V146" s="108">
        <f t="shared" si="20"/>
        <v>380.24</v>
      </c>
      <c r="W146" s="108">
        <f t="shared" si="22"/>
        <v>5135.76</v>
      </c>
      <c r="X146" s="108">
        <v>0</v>
      </c>
    </row>
    <row r="147" spans="1:171" s="92" customFormat="1" ht="25.5" x14ac:dyDescent="0.2">
      <c r="A147" s="137">
        <v>137</v>
      </c>
      <c r="B147" s="59" t="s">
        <v>725</v>
      </c>
      <c r="C147" s="59" t="s">
        <v>954</v>
      </c>
      <c r="D147" s="106">
        <v>1476</v>
      </c>
      <c r="E147" s="107">
        <v>2000</v>
      </c>
      <c r="F147" s="107">
        <v>0</v>
      </c>
      <c r="G147" s="107">
        <v>0</v>
      </c>
      <c r="H147" s="107">
        <v>1900</v>
      </c>
      <c r="I147" s="107">
        <v>2600</v>
      </c>
      <c r="J147" s="107">
        <v>0</v>
      </c>
      <c r="K147" s="107">
        <v>50</v>
      </c>
      <c r="L147" s="107">
        <v>0</v>
      </c>
      <c r="M147" s="107">
        <v>250</v>
      </c>
      <c r="N147" s="107">
        <v>2800</v>
      </c>
      <c r="O147" s="107">
        <v>0</v>
      </c>
      <c r="P147" s="107">
        <v>0</v>
      </c>
      <c r="Q147" s="108">
        <f t="shared" si="18"/>
        <v>11076</v>
      </c>
      <c r="R147" s="108">
        <f t="shared" si="21"/>
        <v>240.78</v>
      </c>
      <c r="S147" s="108">
        <f t="shared" si="19"/>
        <v>882.86</v>
      </c>
      <c r="T147" s="108">
        <v>146.41</v>
      </c>
      <c r="U147" s="108">
        <v>0</v>
      </c>
      <c r="V147" s="108">
        <f t="shared" si="20"/>
        <v>1270.05</v>
      </c>
      <c r="W147" s="108">
        <f t="shared" si="22"/>
        <v>9805.9500000000007</v>
      </c>
      <c r="X147" s="108">
        <v>0</v>
      </c>
    </row>
    <row r="148" spans="1:171" s="93" customFormat="1" ht="25.5" x14ac:dyDescent="0.2">
      <c r="A148" s="137">
        <v>138</v>
      </c>
      <c r="B148" s="130" t="s">
        <v>726</v>
      </c>
      <c r="C148" s="130" t="s">
        <v>650</v>
      </c>
      <c r="D148" s="128">
        <v>2425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8">
        <f t="shared" si="18"/>
        <v>2425</v>
      </c>
      <c r="R148" s="108">
        <f t="shared" si="21"/>
        <v>72.75</v>
      </c>
      <c r="S148" s="108">
        <f t="shared" si="19"/>
        <v>266.75</v>
      </c>
      <c r="T148" s="108">
        <v>0</v>
      </c>
      <c r="U148" s="108">
        <v>0</v>
      </c>
      <c r="V148" s="108">
        <f t="shared" si="20"/>
        <v>339.5</v>
      </c>
      <c r="W148" s="108">
        <f t="shared" si="22"/>
        <v>2085.5</v>
      </c>
      <c r="X148" s="108">
        <v>0</v>
      </c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</row>
    <row r="149" spans="1:171" s="92" customFormat="1" ht="25.5" x14ac:dyDescent="0.2">
      <c r="A149" s="137">
        <v>139</v>
      </c>
      <c r="B149" s="59" t="s">
        <v>727</v>
      </c>
      <c r="C149" s="59" t="s">
        <v>614</v>
      </c>
      <c r="D149" s="106">
        <v>1302</v>
      </c>
      <c r="E149" s="107">
        <v>600</v>
      </c>
      <c r="F149" s="107">
        <v>0</v>
      </c>
      <c r="G149" s="107">
        <v>1000</v>
      </c>
      <c r="H149" s="107">
        <v>0</v>
      </c>
      <c r="I149" s="107">
        <v>0</v>
      </c>
      <c r="J149" s="107">
        <v>0</v>
      </c>
      <c r="K149" s="107">
        <v>50</v>
      </c>
      <c r="L149" s="107">
        <v>0</v>
      </c>
      <c r="M149" s="107">
        <v>250</v>
      </c>
      <c r="N149" s="107">
        <v>2800</v>
      </c>
      <c r="O149" s="107">
        <v>0</v>
      </c>
      <c r="P149" s="107">
        <v>0</v>
      </c>
      <c r="Q149" s="108">
        <f t="shared" si="18"/>
        <v>6002</v>
      </c>
      <c r="R149" s="108">
        <f t="shared" si="21"/>
        <v>88.56</v>
      </c>
      <c r="S149" s="108">
        <f t="shared" si="19"/>
        <v>324.72000000000003</v>
      </c>
      <c r="T149" s="108">
        <v>0</v>
      </c>
      <c r="U149" s="108">
        <v>0</v>
      </c>
      <c r="V149" s="108">
        <f t="shared" si="20"/>
        <v>413.28</v>
      </c>
      <c r="W149" s="108">
        <f t="shared" si="22"/>
        <v>5588.72</v>
      </c>
      <c r="X149" s="108">
        <v>0</v>
      </c>
    </row>
    <row r="150" spans="1:171" s="92" customFormat="1" ht="25.5" x14ac:dyDescent="0.2">
      <c r="A150" s="137">
        <v>140</v>
      </c>
      <c r="B150" s="59" t="s">
        <v>728</v>
      </c>
      <c r="C150" s="59" t="s">
        <v>568</v>
      </c>
      <c r="D150" s="106">
        <v>2885</v>
      </c>
      <c r="E150" s="107">
        <v>0</v>
      </c>
      <c r="F150" s="107">
        <v>3606.25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250</v>
      </c>
      <c r="N150" s="107">
        <v>2800</v>
      </c>
      <c r="O150" s="107">
        <v>0</v>
      </c>
      <c r="P150" s="107">
        <v>0</v>
      </c>
      <c r="Q150" s="108">
        <f t="shared" si="18"/>
        <v>9541.25</v>
      </c>
      <c r="R150" s="108">
        <f t="shared" si="21"/>
        <v>194.74</v>
      </c>
      <c r="S150" s="108">
        <f t="shared" si="19"/>
        <v>714.04</v>
      </c>
      <c r="T150" s="108">
        <v>73.47</v>
      </c>
      <c r="U150" s="108">
        <v>0</v>
      </c>
      <c r="V150" s="108">
        <f t="shared" si="20"/>
        <v>982.25</v>
      </c>
      <c r="W150" s="108">
        <f t="shared" si="22"/>
        <v>8559</v>
      </c>
      <c r="X150" s="108">
        <v>0</v>
      </c>
    </row>
    <row r="151" spans="1:171" s="92" customFormat="1" ht="25.5" x14ac:dyDescent="0.2">
      <c r="A151" s="137">
        <v>141</v>
      </c>
      <c r="B151" s="59" t="s">
        <v>729</v>
      </c>
      <c r="C151" s="59" t="s">
        <v>595</v>
      </c>
      <c r="D151" s="106">
        <f>485*5</f>
        <v>2425</v>
      </c>
      <c r="E151" s="107">
        <v>0</v>
      </c>
      <c r="F151" s="107">
        <f>363.75*5</f>
        <v>1818.75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2800</v>
      </c>
      <c r="O151" s="107">
        <v>0</v>
      </c>
      <c r="P151" s="107">
        <v>0</v>
      </c>
      <c r="Q151" s="108">
        <f t="shared" si="18"/>
        <v>7043.75</v>
      </c>
      <c r="R151" s="108">
        <f t="shared" si="21"/>
        <v>127.31</v>
      </c>
      <c r="S151" s="108">
        <f t="shared" si="19"/>
        <v>466.81</v>
      </c>
      <c r="T151" s="108">
        <v>0</v>
      </c>
      <c r="U151" s="108">
        <f>11.41*5</f>
        <v>57.05</v>
      </c>
      <c r="V151" s="108">
        <f t="shared" si="20"/>
        <v>651.16999999999996</v>
      </c>
      <c r="W151" s="108">
        <f t="shared" si="22"/>
        <v>6392.58</v>
      </c>
      <c r="X151" s="108">
        <v>0</v>
      </c>
    </row>
    <row r="152" spans="1:171" s="94" customFormat="1" ht="25.5" x14ac:dyDescent="0.2">
      <c r="A152" s="137">
        <v>142</v>
      </c>
      <c r="B152" s="131" t="s">
        <v>730</v>
      </c>
      <c r="C152" s="130" t="s">
        <v>573</v>
      </c>
      <c r="D152" s="106">
        <v>1350</v>
      </c>
      <c r="E152" s="107">
        <v>1500</v>
      </c>
      <c r="F152" s="107">
        <v>0</v>
      </c>
      <c r="G152" s="107">
        <v>0</v>
      </c>
      <c r="H152" s="107">
        <v>0</v>
      </c>
      <c r="I152" s="107">
        <v>4500</v>
      </c>
      <c r="J152" s="107">
        <v>0</v>
      </c>
      <c r="K152" s="107">
        <v>0</v>
      </c>
      <c r="L152" s="107">
        <v>0</v>
      </c>
      <c r="M152" s="107">
        <v>250</v>
      </c>
      <c r="N152" s="107">
        <v>2800</v>
      </c>
      <c r="O152" s="107">
        <v>0</v>
      </c>
      <c r="P152" s="107">
        <v>0</v>
      </c>
      <c r="Q152" s="108">
        <f t="shared" si="18"/>
        <v>10400</v>
      </c>
      <c r="R152" s="108">
        <f t="shared" si="21"/>
        <v>220.5</v>
      </c>
      <c r="S152" s="108">
        <f t="shared" si="19"/>
        <v>808.5</v>
      </c>
      <c r="T152" s="108">
        <v>0</v>
      </c>
      <c r="U152" s="108">
        <v>0</v>
      </c>
      <c r="V152" s="108">
        <f t="shared" si="20"/>
        <v>1029</v>
      </c>
      <c r="W152" s="108">
        <f t="shared" si="22"/>
        <v>9371</v>
      </c>
      <c r="X152" s="108">
        <v>0</v>
      </c>
    </row>
    <row r="153" spans="1:171" s="94" customFormat="1" ht="38.25" x14ac:dyDescent="0.2">
      <c r="A153" s="137">
        <v>143</v>
      </c>
      <c r="B153" s="59" t="s">
        <v>731</v>
      </c>
      <c r="C153" s="59" t="s">
        <v>701</v>
      </c>
      <c r="D153" s="106">
        <f>(485*3)+1350</f>
        <v>2805</v>
      </c>
      <c r="E153" s="107">
        <v>2000</v>
      </c>
      <c r="F153" s="107">
        <f>363.75*3</f>
        <v>1091.25</v>
      </c>
      <c r="G153" s="107">
        <v>0</v>
      </c>
      <c r="H153" s="107">
        <v>0</v>
      </c>
      <c r="I153" s="107">
        <v>4500</v>
      </c>
      <c r="J153" s="107">
        <v>0</v>
      </c>
      <c r="K153" s="107">
        <v>75</v>
      </c>
      <c r="L153" s="107">
        <v>0</v>
      </c>
      <c r="M153" s="107">
        <v>250</v>
      </c>
      <c r="N153" s="107">
        <v>2800</v>
      </c>
      <c r="O153" s="107">
        <v>0</v>
      </c>
      <c r="P153" s="107">
        <v>0</v>
      </c>
      <c r="Q153" s="108">
        <f t="shared" si="18"/>
        <v>13521.25</v>
      </c>
      <c r="R153" s="108">
        <f t="shared" si="21"/>
        <v>314.14</v>
      </c>
      <c r="S153" s="108">
        <f t="shared" si="19"/>
        <v>1151.8399999999999</v>
      </c>
      <c r="T153" s="108">
        <v>242.66</v>
      </c>
      <c r="U153" s="108">
        <v>0</v>
      </c>
      <c r="V153" s="108">
        <f t="shared" si="20"/>
        <v>1708.64</v>
      </c>
      <c r="W153" s="108">
        <f t="shared" si="22"/>
        <v>11812.61</v>
      </c>
      <c r="X153" s="108">
        <v>0</v>
      </c>
    </row>
    <row r="154" spans="1:171" s="94" customFormat="1" ht="76.5" x14ac:dyDescent="0.2">
      <c r="A154" s="137">
        <v>144</v>
      </c>
      <c r="B154" s="59" t="s">
        <v>732</v>
      </c>
      <c r="C154" s="59" t="s">
        <v>733</v>
      </c>
      <c r="D154" s="106">
        <v>2425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2800</v>
      </c>
      <c r="O154" s="107">
        <v>0</v>
      </c>
      <c r="P154" s="107">
        <v>0</v>
      </c>
      <c r="Q154" s="108">
        <f t="shared" si="18"/>
        <v>5225</v>
      </c>
      <c r="R154" s="108">
        <f t="shared" si="21"/>
        <v>72.75</v>
      </c>
      <c r="S154" s="108">
        <f t="shared" si="19"/>
        <v>266.75</v>
      </c>
      <c r="T154" s="108" t="s">
        <v>569</v>
      </c>
      <c r="U154" s="108">
        <v>0</v>
      </c>
      <c r="V154" s="108">
        <f t="shared" si="20"/>
        <v>339.5</v>
      </c>
      <c r="W154" s="108">
        <f t="shared" si="22"/>
        <v>4885.5</v>
      </c>
      <c r="X154" s="108">
        <v>0</v>
      </c>
    </row>
    <row r="155" spans="1:171" s="94" customFormat="1" x14ac:dyDescent="0.2">
      <c r="A155" s="137">
        <v>145</v>
      </c>
      <c r="B155" s="130" t="s">
        <v>921</v>
      </c>
      <c r="C155" s="59" t="s">
        <v>571</v>
      </c>
      <c r="D155" s="116">
        <v>1074</v>
      </c>
      <c r="E155" s="107">
        <v>1000</v>
      </c>
      <c r="F155" s="107">
        <v>0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0</v>
      </c>
      <c r="M155" s="107">
        <v>250</v>
      </c>
      <c r="N155" s="107">
        <v>0</v>
      </c>
      <c r="O155" s="107">
        <v>0</v>
      </c>
      <c r="P155" s="107">
        <v>0</v>
      </c>
      <c r="Q155" s="108">
        <f t="shared" si="18"/>
        <v>2324</v>
      </c>
      <c r="R155" s="108">
        <f t="shared" si="21"/>
        <v>62.22</v>
      </c>
      <c r="S155" s="108">
        <f t="shared" si="19"/>
        <v>228.14</v>
      </c>
      <c r="T155" s="108">
        <v>0</v>
      </c>
      <c r="U155" s="108">
        <v>0</v>
      </c>
      <c r="V155" s="108">
        <f t="shared" si="20"/>
        <v>290.36</v>
      </c>
      <c r="W155" s="108">
        <f t="shared" si="22"/>
        <v>2033.64</v>
      </c>
      <c r="X155" s="108">
        <v>0</v>
      </c>
    </row>
    <row r="156" spans="1:171" s="94" customFormat="1" x14ac:dyDescent="0.2">
      <c r="A156" s="137">
        <v>146</v>
      </c>
      <c r="B156" s="130" t="s">
        <v>938</v>
      </c>
      <c r="C156" s="130" t="s">
        <v>580</v>
      </c>
      <c r="D156" s="142">
        <v>1476</v>
      </c>
      <c r="E156" s="107">
        <v>0</v>
      </c>
      <c r="F156" s="107">
        <v>0</v>
      </c>
      <c r="G156" s="107">
        <v>0</v>
      </c>
      <c r="H156" s="107">
        <v>1900</v>
      </c>
      <c r="I156" s="142">
        <v>2600</v>
      </c>
      <c r="J156" s="107">
        <v>0</v>
      </c>
      <c r="K156" s="107">
        <v>0</v>
      </c>
      <c r="L156" s="107">
        <v>0</v>
      </c>
      <c r="M156" s="107">
        <v>250</v>
      </c>
      <c r="N156" s="107">
        <v>2800</v>
      </c>
      <c r="O156" s="107">
        <v>0</v>
      </c>
      <c r="P156" s="107">
        <v>0</v>
      </c>
      <c r="Q156" s="108">
        <f t="shared" si="18"/>
        <v>9026</v>
      </c>
      <c r="R156" s="108">
        <f t="shared" si="21"/>
        <v>179.28</v>
      </c>
      <c r="S156" s="108">
        <f t="shared" si="19"/>
        <v>657.36</v>
      </c>
      <c r="T156" s="108">
        <v>67.31</v>
      </c>
      <c r="U156" s="108">
        <v>0</v>
      </c>
      <c r="V156" s="108">
        <f t="shared" si="20"/>
        <v>903.95</v>
      </c>
      <c r="W156" s="108">
        <f t="shared" si="22"/>
        <v>8122.05</v>
      </c>
      <c r="X156" s="108">
        <v>0</v>
      </c>
    </row>
    <row r="157" spans="1:171" s="94" customFormat="1" ht="25.5" x14ac:dyDescent="0.2">
      <c r="A157" s="137">
        <v>147</v>
      </c>
      <c r="B157" s="59" t="s">
        <v>734</v>
      </c>
      <c r="C157" s="59" t="s">
        <v>595</v>
      </c>
      <c r="D157" s="106">
        <f>485*4</f>
        <v>1940</v>
      </c>
      <c r="E157" s="107">
        <v>0</v>
      </c>
      <c r="F157" s="107">
        <f>606.25*4</f>
        <v>2425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2800</v>
      </c>
      <c r="O157" s="107">
        <v>0</v>
      </c>
      <c r="P157" s="107">
        <v>0</v>
      </c>
      <c r="Q157" s="108">
        <f t="shared" si="18"/>
        <v>7165</v>
      </c>
      <c r="R157" s="108">
        <f t="shared" si="21"/>
        <v>130.94999999999999</v>
      </c>
      <c r="S157" s="108">
        <f t="shared" si="19"/>
        <v>480.15</v>
      </c>
      <c r="T157" s="108">
        <v>0</v>
      </c>
      <c r="U157" s="108">
        <v>0</v>
      </c>
      <c r="V157" s="108">
        <f t="shared" si="20"/>
        <v>611.1</v>
      </c>
      <c r="W157" s="108">
        <f t="shared" si="22"/>
        <v>6553.9</v>
      </c>
      <c r="X157" s="108">
        <v>0</v>
      </c>
    </row>
    <row r="158" spans="1:171" s="94" customFormat="1" x14ac:dyDescent="0.2">
      <c r="A158" s="137">
        <v>148</v>
      </c>
      <c r="B158" s="59" t="s">
        <v>735</v>
      </c>
      <c r="C158" s="59" t="s">
        <v>580</v>
      </c>
      <c r="D158" s="106">
        <v>1476</v>
      </c>
      <c r="E158" s="107">
        <v>2000</v>
      </c>
      <c r="F158" s="107">
        <v>0</v>
      </c>
      <c r="G158" s="107">
        <v>1900</v>
      </c>
      <c r="H158" s="107">
        <v>0</v>
      </c>
      <c r="I158" s="107">
        <v>2600</v>
      </c>
      <c r="J158" s="107">
        <v>0</v>
      </c>
      <c r="K158" s="107">
        <v>50</v>
      </c>
      <c r="L158" s="107">
        <v>0</v>
      </c>
      <c r="M158" s="107">
        <v>250</v>
      </c>
      <c r="N158" s="107">
        <v>2800</v>
      </c>
      <c r="O158" s="107">
        <v>0</v>
      </c>
      <c r="P158" s="107">
        <v>0</v>
      </c>
      <c r="Q158" s="108">
        <f t="shared" si="18"/>
        <v>11076</v>
      </c>
      <c r="R158" s="108">
        <f t="shared" si="21"/>
        <v>240.78</v>
      </c>
      <c r="S158" s="108">
        <f t="shared" si="19"/>
        <v>882.86</v>
      </c>
      <c r="T158" s="108">
        <v>148.33000000000001</v>
      </c>
      <c r="U158" s="108">
        <v>0</v>
      </c>
      <c r="V158" s="108">
        <f t="shared" si="20"/>
        <v>1271.97</v>
      </c>
      <c r="W158" s="108">
        <f t="shared" si="22"/>
        <v>9804.0300000000007</v>
      </c>
      <c r="X158" s="108">
        <v>902.65</v>
      </c>
    </row>
    <row r="159" spans="1:171" s="94" customFormat="1" ht="38.25" x14ac:dyDescent="0.2">
      <c r="A159" s="137">
        <v>149</v>
      </c>
      <c r="B159" s="59" t="s">
        <v>736</v>
      </c>
      <c r="C159" s="59" t="s">
        <v>719</v>
      </c>
      <c r="D159" s="106">
        <f>485*3</f>
        <v>1455</v>
      </c>
      <c r="E159" s="107">
        <v>0</v>
      </c>
      <c r="F159" s="107">
        <f>242.5*3</f>
        <v>727.5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2800</v>
      </c>
      <c r="O159" s="107">
        <v>0</v>
      </c>
      <c r="P159" s="107">
        <v>0</v>
      </c>
      <c r="Q159" s="108">
        <f t="shared" si="18"/>
        <v>4982.5</v>
      </c>
      <c r="R159" s="108">
        <f t="shared" si="21"/>
        <v>65.48</v>
      </c>
      <c r="S159" s="108">
        <f t="shared" si="19"/>
        <v>240.08</v>
      </c>
      <c r="T159" s="108">
        <v>0</v>
      </c>
      <c r="U159" s="108">
        <f>9.78*3</f>
        <v>29.34</v>
      </c>
      <c r="V159" s="108">
        <f t="shared" si="20"/>
        <v>334.9</v>
      </c>
      <c r="W159" s="108">
        <f t="shared" si="22"/>
        <v>4647.6000000000004</v>
      </c>
      <c r="X159" s="108">
        <v>0</v>
      </c>
    </row>
    <row r="160" spans="1:171" ht="25.5" x14ac:dyDescent="0.2">
      <c r="A160" s="137">
        <v>150</v>
      </c>
      <c r="B160" s="59" t="s">
        <v>737</v>
      </c>
      <c r="C160" s="59" t="s">
        <v>954</v>
      </c>
      <c r="D160" s="106">
        <v>1476</v>
      </c>
      <c r="E160" s="107">
        <v>2000</v>
      </c>
      <c r="F160" s="107">
        <v>0</v>
      </c>
      <c r="G160" s="107">
        <v>0</v>
      </c>
      <c r="H160" s="107">
        <v>1900</v>
      </c>
      <c r="I160" s="107">
        <v>2600</v>
      </c>
      <c r="J160" s="107">
        <v>0</v>
      </c>
      <c r="K160" s="107">
        <v>75</v>
      </c>
      <c r="L160" s="107">
        <v>0</v>
      </c>
      <c r="M160" s="107">
        <v>250</v>
      </c>
      <c r="N160" s="107">
        <v>2800</v>
      </c>
      <c r="O160" s="107">
        <v>0</v>
      </c>
      <c r="P160" s="107">
        <v>0</v>
      </c>
      <c r="Q160" s="108">
        <f t="shared" si="18"/>
        <v>11101</v>
      </c>
      <c r="R160" s="108">
        <f t="shared" si="21"/>
        <v>241.53</v>
      </c>
      <c r="S160" s="108">
        <f t="shared" si="19"/>
        <v>885.61</v>
      </c>
      <c r="T160" s="108">
        <v>147.44999999999999</v>
      </c>
      <c r="U160" s="108">
        <v>0</v>
      </c>
      <c r="V160" s="108">
        <f t="shared" si="20"/>
        <v>1274.5899999999999</v>
      </c>
      <c r="W160" s="108">
        <f t="shared" si="22"/>
        <v>9826.41</v>
      </c>
      <c r="X160" s="108">
        <v>0</v>
      </c>
    </row>
    <row r="161" spans="1:171" x14ac:dyDescent="0.2">
      <c r="A161" s="137">
        <v>151</v>
      </c>
      <c r="B161" s="59" t="s">
        <v>738</v>
      </c>
      <c r="C161" s="59" t="s">
        <v>586</v>
      </c>
      <c r="D161" s="106">
        <v>2885</v>
      </c>
      <c r="E161" s="107">
        <v>0</v>
      </c>
      <c r="F161" s="107">
        <v>2885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2800</v>
      </c>
      <c r="O161" s="107">
        <v>0</v>
      </c>
      <c r="P161" s="107">
        <v>0</v>
      </c>
      <c r="Q161" s="108">
        <f t="shared" si="18"/>
        <v>8570</v>
      </c>
      <c r="R161" s="108">
        <f t="shared" si="21"/>
        <v>173.1</v>
      </c>
      <c r="S161" s="108">
        <f t="shared" si="19"/>
        <v>634.70000000000005</v>
      </c>
      <c r="T161" s="108">
        <v>46.06</v>
      </c>
      <c r="U161" s="108">
        <v>0</v>
      </c>
      <c r="V161" s="108">
        <f t="shared" si="20"/>
        <v>853.86</v>
      </c>
      <c r="W161" s="108">
        <f t="shared" si="22"/>
        <v>7716.14</v>
      </c>
      <c r="X161" s="108">
        <v>0</v>
      </c>
    </row>
    <row r="162" spans="1:171" ht="38.25" x14ac:dyDescent="0.2">
      <c r="A162" s="137">
        <v>152</v>
      </c>
      <c r="B162" s="59" t="s">
        <v>739</v>
      </c>
      <c r="C162" s="59" t="s">
        <v>955</v>
      </c>
      <c r="D162" s="106">
        <v>1476</v>
      </c>
      <c r="E162" s="107">
        <v>1600</v>
      </c>
      <c r="F162" s="107">
        <v>0</v>
      </c>
      <c r="G162" s="107">
        <v>0</v>
      </c>
      <c r="H162" s="107">
        <v>1900</v>
      </c>
      <c r="I162" s="107">
        <v>0</v>
      </c>
      <c r="J162" s="107">
        <v>0</v>
      </c>
      <c r="K162" s="107">
        <v>50</v>
      </c>
      <c r="L162" s="107">
        <v>0</v>
      </c>
      <c r="M162" s="107">
        <v>250</v>
      </c>
      <c r="N162" s="107">
        <v>2800</v>
      </c>
      <c r="O162" s="107">
        <v>0</v>
      </c>
      <c r="P162" s="107">
        <v>0</v>
      </c>
      <c r="Q162" s="108">
        <f t="shared" ref="Q162:Q193" si="23">SUM(D162:O162)</f>
        <v>8076</v>
      </c>
      <c r="R162" s="108">
        <f t="shared" si="21"/>
        <v>150.78</v>
      </c>
      <c r="S162" s="108">
        <f t="shared" si="19"/>
        <v>552.86</v>
      </c>
      <c r="T162" s="108">
        <v>21.91</v>
      </c>
      <c r="U162" s="108">
        <v>0</v>
      </c>
      <c r="V162" s="108">
        <f t="shared" si="20"/>
        <v>725.55</v>
      </c>
      <c r="W162" s="108">
        <f t="shared" si="22"/>
        <v>7350.45</v>
      </c>
      <c r="X162" s="108">
        <v>0</v>
      </c>
    </row>
    <row r="163" spans="1:171" ht="25.5" x14ac:dyDescent="0.2">
      <c r="A163" s="137">
        <v>153</v>
      </c>
      <c r="B163" s="59" t="s">
        <v>740</v>
      </c>
      <c r="C163" s="130" t="s">
        <v>573</v>
      </c>
      <c r="D163" s="106">
        <v>1350</v>
      </c>
      <c r="E163" s="107">
        <v>2000</v>
      </c>
      <c r="F163" s="107">
        <v>0</v>
      </c>
      <c r="G163" s="107">
        <v>0</v>
      </c>
      <c r="H163" s="107">
        <v>1600</v>
      </c>
      <c r="I163" s="107">
        <f>2900</f>
        <v>2900</v>
      </c>
      <c r="J163" s="107">
        <v>0</v>
      </c>
      <c r="K163" s="107">
        <v>0</v>
      </c>
      <c r="L163" s="107">
        <v>0</v>
      </c>
      <c r="M163" s="107">
        <v>250</v>
      </c>
      <c r="N163" s="107">
        <v>2800</v>
      </c>
      <c r="O163" s="107">
        <v>0</v>
      </c>
      <c r="P163" s="107">
        <v>0</v>
      </c>
      <c r="Q163" s="108">
        <f t="shared" si="23"/>
        <v>10900</v>
      </c>
      <c r="R163" s="108">
        <f t="shared" si="21"/>
        <v>235.5</v>
      </c>
      <c r="S163" s="108">
        <f t="shared" si="19"/>
        <v>863.5</v>
      </c>
      <c r="T163" s="108">
        <v>146.18</v>
      </c>
      <c r="U163" s="108">
        <v>0</v>
      </c>
      <c r="V163" s="108">
        <f t="shared" si="20"/>
        <v>1245.18</v>
      </c>
      <c r="W163" s="108">
        <f t="shared" si="22"/>
        <v>9654.82</v>
      </c>
      <c r="X163" s="108">
        <v>0</v>
      </c>
    </row>
    <row r="164" spans="1:171" x14ac:dyDescent="0.2">
      <c r="A164" s="137">
        <v>154</v>
      </c>
      <c r="B164" s="59" t="s">
        <v>741</v>
      </c>
      <c r="C164" s="59" t="s">
        <v>575</v>
      </c>
      <c r="D164" s="106">
        <v>1350</v>
      </c>
      <c r="E164" s="107">
        <v>2000</v>
      </c>
      <c r="F164" s="107">
        <v>0</v>
      </c>
      <c r="G164" s="107">
        <v>0</v>
      </c>
      <c r="H164" s="107">
        <v>0</v>
      </c>
      <c r="I164" s="107">
        <v>4500</v>
      </c>
      <c r="J164" s="107">
        <v>0</v>
      </c>
      <c r="K164" s="107">
        <v>0</v>
      </c>
      <c r="L164" s="107">
        <v>0</v>
      </c>
      <c r="M164" s="107">
        <v>250</v>
      </c>
      <c r="N164" s="107">
        <v>2800</v>
      </c>
      <c r="O164" s="107">
        <v>0</v>
      </c>
      <c r="P164" s="107">
        <v>0</v>
      </c>
      <c r="Q164" s="108">
        <f t="shared" si="23"/>
        <v>10900</v>
      </c>
      <c r="R164" s="108">
        <f t="shared" si="21"/>
        <v>235.5</v>
      </c>
      <c r="S164" s="108">
        <f t="shared" si="19"/>
        <v>863.5</v>
      </c>
      <c r="T164" s="108">
        <v>143.03</v>
      </c>
      <c r="U164" s="108">
        <v>0</v>
      </c>
      <c r="V164" s="108">
        <f t="shared" si="20"/>
        <v>1242.03</v>
      </c>
      <c r="W164" s="108">
        <f t="shared" si="22"/>
        <v>9657.9699999999993</v>
      </c>
      <c r="X164" s="108">
        <v>0</v>
      </c>
    </row>
    <row r="165" spans="1:171" ht="25.5" x14ac:dyDescent="0.2">
      <c r="A165" s="137">
        <v>155</v>
      </c>
      <c r="B165" s="59" t="s">
        <v>742</v>
      </c>
      <c r="C165" s="59" t="s">
        <v>954</v>
      </c>
      <c r="D165" s="106">
        <v>1476</v>
      </c>
      <c r="E165" s="107">
        <v>2000</v>
      </c>
      <c r="F165" s="107">
        <v>0</v>
      </c>
      <c r="G165" s="107">
        <v>0</v>
      </c>
      <c r="H165" s="107">
        <v>1900</v>
      </c>
      <c r="I165" s="107">
        <v>2600</v>
      </c>
      <c r="J165" s="107">
        <v>0</v>
      </c>
      <c r="K165" s="107">
        <v>50</v>
      </c>
      <c r="L165" s="107">
        <v>0</v>
      </c>
      <c r="M165" s="107">
        <v>250</v>
      </c>
      <c r="N165" s="107">
        <v>2800</v>
      </c>
      <c r="O165" s="107">
        <v>0</v>
      </c>
      <c r="P165" s="107">
        <v>0</v>
      </c>
      <c r="Q165" s="108">
        <f t="shared" si="23"/>
        <v>11076</v>
      </c>
      <c r="R165" s="108">
        <f t="shared" si="21"/>
        <v>240.78</v>
      </c>
      <c r="S165" s="108">
        <f t="shared" si="19"/>
        <v>882.86</v>
      </c>
      <c r="T165" s="108">
        <v>20.420000000000002</v>
      </c>
      <c r="U165" s="108">
        <v>0</v>
      </c>
      <c r="V165" s="108">
        <f>SUM(R165:U165)</f>
        <v>1144.06</v>
      </c>
      <c r="W165" s="108">
        <f t="shared" si="22"/>
        <v>9931.94</v>
      </c>
      <c r="X165" s="108">
        <v>0</v>
      </c>
    </row>
    <row r="166" spans="1:171" x14ac:dyDescent="0.2">
      <c r="A166" s="137">
        <v>156</v>
      </c>
      <c r="B166" s="171" t="s">
        <v>971</v>
      </c>
      <c r="C166" s="171" t="s">
        <v>972</v>
      </c>
      <c r="D166" s="106">
        <v>10949</v>
      </c>
      <c r="E166" s="107">
        <v>0</v>
      </c>
      <c r="F166" s="107">
        <v>0</v>
      </c>
      <c r="G166" s="107">
        <v>5000</v>
      </c>
      <c r="H166" s="107">
        <v>0</v>
      </c>
      <c r="I166" s="107">
        <v>0</v>
      </c>
      <c r="J166" s="107">
        <v>375</v>
      </c>
      <c r="K166" s="107">
        <v>0</v>
      </c>
      <c r="L166" s="107">
        <v>0</v>
      </c>
      <c r="M166" s="107">
        <v>250</v>
      </c>
      <c r="N166" s="107">
        <v>0</v>
      </c>
      <c r="O166" s="107">
        <v>6000</v>
      </c>
      <c r="P166" s="107">
        <v>0</v>
      </c>
      <c r="Q166" s="108">
        <f t="shared" si="23"/>
        <v>22574</v>
      </c>
      <c r="R166" s="108">
        <f t="shared" si="21"/>
        <v>669.72</v>
      </c>
      <c r="S166" s="108">
        <f>(D166+E166+F166+G166+H166+I166+J166+K166+O166)*15%</f>
        <v>3348.6</v>
      </c>
      <c r="T166" s="108">
        <v>508.94</v>
      </c>
      <c r="U166" s="108">
        <v>214.35</v>
      </c>
      <c r="V166" s="108">
        <f>SUM(R166:U166)</f>
        <v>4741.6099999999997</v>
      </c>
      <c r="W166" s="108">
        <f t="shared" si="22"/>
        <v>17832.39</v>
      </c>
      <c r="X166" s="108">
        <v>0</v>
      </c>
    </row>
    <row r="167" spans="1:171" ht="25.5" x14ac:dyDescent="0.2">
      <c r="A167" s="137">
        <v>157</v>
      </c>
      <c r="B167" s="131" t="s">
        <v>743</v>
      </c>
      <c r="C167" s="59" t="s">
        <v>744</v>
      </c>
      <c r="D167" s="107">
        <v>1039</v>
      </c>
      <c r="E167" s="107">
        <v>400</v>
      </c>
      <c r="F167" s="107">
        <v>0</v>
      </c>
      <c r="G167" s="107">
        <v>1000</v>
      </c>
      <c r="H167" s="107">
        <v>0</v>
      </c>
      <c r="I167" s="107">
        <v>0</v>
      </c>
      <c r="J167" s="107">
        <v>0</v>
      </c>
      <c r="K167" s="107">
        <v>0</v>
      </c>
      <c r="L167" s="107">
        <v>200</v>
      </c>
      <c r="M167" s="107">
        <v>250</v>
      </c>
      <c r="N167" s="107">
        <v>2800</v>
      </c>
      <c r="O167" s="107">
        <v>0</v>
      </c>
      <c r="P167" s="107">
        <v>0</v>
      </c>
      <c r="Q167" s="108">
        <f t="shared" si="23"/>
        <v>5689</v>
      </c>
      <c r="R167" s="108">
        <f t="shared" si="21"/>
        <v>73.17</v>
      </c>
      <c r="S167" s="108">
        <f t="shared" ref="S167:S202" si="24">(D167+E167+F167+G167+H167+I167+J167+K167+O167)*11%</f>
        <v>268.29000000000002</v>
      </c>
      <c r="T167" s="108">
        <v>0</v>
      </c>
      <c r="U167" s="108">
        <v>0</v>
      </c>
      <c r="V167" s="108">
        <f t="shared" ref="V167:V198" si="25">SUM(R167:U167)</f>
        <v>341.46</v>
      </c>
      <c r="W167" s="108">
        <f t="shared" si="22"/>
        <v>5347.54</v>
      </c>
      <c r="X167" s="108">
        <v>0</v>
      </c>
    </row>
    <row r="168" spans="1:171" x14ac:dyDescent="0.2">
      <c r="A168" s="137">
        <v>158</v>
      </c>
      <c r="B168" s="133" t="s">
        <v>934</v>
      </c>
      <c r="C168" s="59" t="s">
        <v>659</v>
      </c>
      <c r="D168" s="107">
        <v>1575</v>
      </c>
      <c r="E168" s="107">
        <v>0</v>
      </c>
      <c r="F168" s="107">
        <v>0</v>
      </c>
      <c r="G168" s="107">
        <v>1000</v>
      </c>
      <c r="H168" s="107">
        <v>0</v>
      </c>
      <c r="I168" s="107">
        <v>0</v>
      </c>
      <c r="J168" s="107">
        <v>0</v>
      </c>
      <c r="K168" s="107">
        <v>0</v>
      </c>
      <c r="L168" s="107">
        <v>0</v>
      </c>
      <c r="M168" s="107">
        <v>250</v>
      </c>
      <c r="N168" s="107">
        <v>0</v>
      </c>
      <c r="O168" s="107">
        <v>0</v>
      </c>
      <c r="P168" s="107">
        <v>0</v>
      </c>
      <c r="Q168" s="108">
        <f t="shared" si="23"/>
        <v>2825</v>
      </c>
      <c r="R168" s="108">
        <f t="shared" si="21"/>
        <v>77.25</v>
      </c>
      <c r="S168" s="108">
        <f t="shared" si="24"/>
        <v>283.25</v>
      </c>
      <c r="T168" s="108">
        <v>0</v>
      </c>
      <c r="U168" s="108">
        <v>34.61</v>
      </c>
      <c r="V168" s="108">
        <f t="shared" si="25"/>
        <v>395.11</v>
      </c>
      <c r="W168" s="108">
        <f t="shared" si="22"/>
        <v>2429.89</v>
      </c>
      <c r="X168" s="108">
        <v>0</v>
      </c>
    </row>
    <row r="169" spans="1:171" ht="25.5" x14ac:dyDescent="0.2">
      <c r="A169" s="137">
        <v>159</v>
      </c>
      <c r="B169" s="59" t="s">
        <v>745</v>
      </c>
      <c r="C169" s="59" t="s">
        <v>954</v>
      </c>
      <c r="D169" s="106">
        <v>1476</v>
      </c>
      <c r="E169" s="107">
        <v>2000</v>
      </c>
      <c r="F169" s="107">
        <v>0</v>
      </c>
      <c r="G169" s="107">
        <v>0</v>
      </c>
      <c r="H169" s="107">
        <v>1900</v>
      </c>
      <c r="I169" s="107">
        <v>2600</v>
      </c>
      <c r="J169" s="107">
        <v>0</v>
      </c>
      <c r="K169" s="107">
        <v>0</v>
      </c>
      <c r="L169" s="107">
        <v>0</v>
      </c>
      <c r="M169" s="107">
        <v>250</v>
      </c>
      <c r="N169" s="107">
        <v>2800</v>
      </c>
      <c r="O169" s="107">
        <v>0</v>
      </c>
      <c r="P169" s="107">
        <v>0</v>
      </c>
      <c r="Q169" s="108">
        <f t="shared" si="23"/>
        <v>11026</v>
      </c>
      <c r="R169" s="108">
        <f t="shared" si="21"/>
        <v>239.28</v>
      </c>
      <c r="S169" s="108">
        <f t="shared" si="24"/>
        <v>877.36</v>
      </c>
      <c r="T169" s="108">
        <v>148.33000000000001</v>
      </c>
      <c r="U169" s="108">
        <v>0</v>
      </c>
      <c r="V169" s="108">
        <f t="shared" si="25"/>
        <v>1264.97</v>
      </c>
      <c r="W169" s="108">
        <f t="shared" si="22"/>
        <v>9761.0300000000007</v>
      </c>
      <c r="X169" s="108">
        <v>0</v>
      </c>
    </row>
    <row r="170" spans="1:171" x14ac:dyDescent="0.2">
      <c r="A170" s="137">
        <v>160</v>
      </c>
      <c r="B170" s="59" t="s">
        <v>746</v>
      </c>
      <c r="C170" s="59" t="s">
        <v>580</v>
      </c>
      <c r="D170" s="106">
        <v>1476</v>
      </c>
      <c r="E170" s="107">
        <v>2000</v>
      </c>
      <c r="F170" s="107">
        <v>0</v>
      </c>
      <c r="G170" s="107">
        <v>0</v>
      </c>
      <c r="H170" s="107">
        <v>0</v>
      </c>
      <c r="I170" s="107">
        <v>4500</v>
      </c>
      <c r="J170" s="107">
        <v>0</v>
      </c>
      <c r="K170" s="107">
        <v>0</v>
      </c>
      <c r="L170" s="107">
        <v>0</v>
      </c>
      <c r="M170" s="107">
        <v>250</v>
      </c>
      <c r="N170" s="107">
        <v>2800</v>
      </c>
      <c r="O170" s="107">
        <v>0</v>
      </c>
      <c r="P170" s="107">
        <v>0</v>
      </c>
      <c r="Q170" s="108">
        <f t="shared" si="23"/>
        <v>11026</v>
      </c>
      <c r="R170" s="108">
        <f t="shared" si="21"/>
        <v>239.28</v>
      </c>
      <c r="S170" s="108">
        <f t="shared" si="24"/>
        <v>877.36</v>
      </c>
      <c r="T170" s="108">
        <v>148.33000000000001</v>
      </c>
      <c r="U170" s="108">
        <v>0</v>
      </c>
      <c r="V170" s="108">
        <f t="shared" si="25"/>
        <v>1264.97</v>
      </c>
      <c r="W170" s="108">
        <f t="shared" si="22"/>
        <v>9761.0300000000007</v>
      </c>
      <c r="X170" s="108">
        <v>0</v>
      </c>
    </row>
    <row r="171" spans="1:171" s="95" customFormat="1" ht="25.5" x14ac:dyDescent="0.2">
      <c r="A171" s="137">
        <v>161</v>
      </c>
      <c r="B171" s="133" t="s">
        <v>747</v>
      </c>
      <c r="C171" s="59" t="s">
        <v>748</v>
      </c>
      <c r="D171" s="106">
        <v>3081</v>
      </c>
      <c r="E171" s="107">
        <v>1000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>
        <v>0</v>
      </c>
      <c r="M171" s="107">
        <v>250</v>
      </c>
      <c r="N171" s="107">
        <v>2800</v>
      </c>
      <c r="O171" s="107">
        <v>0</v>
      </c>
      <c r="P171" s="107">
        <v>0</v>
      </c>
      <c r="Q171" s="108">
        <f t="shared" si="23"/>
        <v>7131</v>
      </c>
      <c r="R171" s="108">
        <f t="shared" si="21"/>
        <v>122.43</v>
      </c>
      <c r="S171" s="108">
        <f t="shared" si="24"/>
        <v>448.91</v>
      </c>
      <c r="T171" s="108">
        <v>0</v>
      </c>
      <c r="U171" s="108">
        <v>0</v>
      </c>
      <c r="V171" s="108">
        <f t="shared" si="25"/>
        <v>571.34</v>
      </c>
      <c r="W171" s="108">
        <f t="shared" si="22"/>
        <v>6559.66</v>
      </c>
      <c r="X171" s="108">
        <v>0</v>
      </c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94"/>
      <c r="CR171" s="94"/>
      <c r="CS171" s="94"/>
      <c r="CT171" s="94"/>
      <c r="CU171" s="94"/>
      <c r="CV171" s="94"/>
      <c r="CW171" s="94"/>
      <c r="CX171" s="94"/>
      <c r="CY171" s="94"/>
      <c r="CZ171" s="94"/>
      <c r="DA171" s="94"/>
      <c r="DB171" s="94"/>
      <c r="DC171" s="94"/>
      <c r="DD171" s="94"/>
      <c r="DE171" s="94"/>
      <c r="DF171" s="94"/>
      <c r="DG171" s="94"/>
      <c r="DH171" s="94"/>
      <c r="DI171" s="94"/>
      <c r="DJ171" s="94"/>
      <c r="DK171" s="94"/>
      <c r="DL171" s="94"/>
      <c r="DM171" s="94"/>
      <c r="DN171" s="94"/>
      <c r="DO171" s="94"/>
      <c r="DP171" s="94"/>
      <c r="DQ171" s="94"/>
      <c r="DR171" s="94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94"/>
      <c r="FH171" s="94"/>
      <c r="FI171" s="94"/>
      <c r="FJ171" s="94"/>
      <c r="FK171" s="94"/>
      <c r="FL171" s="94"/>
      <c r="FM171" s="94"/>
      <c r="FN171" s="94"/>
      <c r="FO171" s="94"/>
    </row>
    <row r="172" spans="1:171" ht="25.5" x14ac:dyDescent="0.2">
      <c r="A172" s="137">
        <v>162</v>
      </c>
      <c r="B172" s="59" t="s">
        <v>749</v>
      </c>
      <c r="C172" s="59" t="s">
        <v>954</v>
      </c>
      <c r="D172" s="106">
        <v>1476</v>
      </c>
      <c r="E172" s="107">
        <v>2000</v>
      </c>
      <c r="F172" s="107">
        <v>0</v>
      </c>
      <c r="G172" s="107">
        <v>0</v>
      </c>
      <c r="H172" s="107">
        <v>1900</v>
      </c>
      <c r="I172" s="107">
        <v>2600</v>
      </c>
      <c r="J172" s="107">
        <v>0</v>
      </c>
      <c r="K172" s="107">
        <v>75</v>
      </c>
      <c r="L172" s="107">
        <v>0</v>
      </c>
      <c r="M172" s="107">
        <v>250</v>
      </c>
      <c r="N172" s="107">
        <v>2800</v>
      </c>
      <c r="O172" s="107">
        <v>0</v>
      </c>
      <c r="P172" s="107">
        <v>0</v>
      </c>
      <c r="Q172" s="108">
        <f t="shared" si="23"/>
        <v>11101</v>
      </c>
      <c r="R172" s="108">
        <f t="shared" si="21"/>
        <v>241.53</v>
      </c>
      <c r="S172" s="108">
        <f t="shared" si="24"/>
        <v>885.61</v>
      </c>
      <c r="T172" s="108">
        <v>146.41</v>
      </c>
      <c r="U172" s="108">
        <v>0</v>
      </c>
      <c r="V172" s="108">
        <f t="shared" si="25"/>
        <v>1273.55</v>
      </c>
      <c r="W172" s="108">
        <f t="shared" si="22"/>
        <v>9827.4500000000007</v>
      </c>
      <c r="X172" s="108">
        <v>1041.5</v>
      </c>
    </row>
    <row r="173" spans="1:171" x14ac:dyDescent="0.2">
      <c r="A173" s="137">
        <v>163</v>
      </c>
      <c r="B173" s="59" t="s">
        <v>750</v>
      </c>
      <c r="C173" s="59" t="s">
        <v>586</v>
      </c>
      <c r="D173" s="106">
        <v>1223</v>
      </c>
      <c r="E173" s="107">
        <v>650</v>
      </c>
      <c r="F173" s="107">
        <v>0</v>
      </c>
      <c r="G173" s="107">
        <v>1000</v>
      </c>
      <c r="H173" s="107">
        <v>0</v>
      </c>
      <c r="I173" s="107">
        <v>0</v>
      </c>
      <c r="J173" s="107">
        <v>0</v>
      </c>
      <c r="K173" s="107">
        <v>0</v>
      </c>
      <c r="L173" s="107">
        <v>0</v>
      </c>
      <c r="M173" s="107">
        <v>250</v>
      </c>
      <c r="N173" s="107">
        <v>2800</v>
      </c>
      <c r="O173" s="107">
        <v>0</v>
      </c>
      <c r="P173" s="107">
        <v>0</v>
      </c>
      <c r="Q173" s="108">
        <f t="shared" si="23"/>
        <v>5923</v>
      </c>
      <c r="R173" s="108">
        <f t="shared" si="21"/>
        <v>86.19</v>
      </c>
      <c r="S173" s="108">
        <f t="shared" si="24"/>
        <v>316.02999999999997</v>
      </c>
      <c r="T173" s="108">
        <v>0</v>
      </c>
      <c r="U173" s="108">
        <v>0</v>
      </c>
      <c r="V173" s="108">
        <f t="shared" si="25"/>
        <v>402.22</v>
      </c>
      <c r="W173" s="108">
        <f t="shared" si="22"/>
        <v>5520.78</v>
      </c>
      <c r="X173" s="108">
        <v>0</v>
      </c>
    </row>
    <row r="174" spans="1:171" ht="51" x14ac:dyDescent="0.2">
      <c r="A174" s="137">
        <v>164</v>
      </c>
      <c r="B174" s="59" t="s">
        <v>751</v>
      </c>
      <c r="C174" s="59" t="s">
        <v>752</v>
      </c>
      <c r="D174" s="106">
        <f>2425+388</f>
        <v>2813</v>
      </c>
      <c r="E174" s="107">
        <v>0</v>
      </c>
      <c r="F174" s="107">
        <v>2425</v>
      </c>
      <c r="G174" s="107">
        <v>0</v>
      </c>
      <c r="H174" s="107">
        <v>0</v>
      </c>
      <c r="I174" s="107">
        <v>0</v>
      </c>
      <c r="J174" s="107">
        <v>0</v>
      </c>
      <c r="K174" s="107">
        <v>0</v>
      </c>
      <c r="L174" s="107">
        <v>0</v>
      </c>
      <c r="M174" s="107">
        <v>0</v>
      </c>
      <c r="N174" s="107">
        <v>2800</v>
      </c>
      <c r="O174" s="107">
        <v>0</v>
      </c>
      <c r="P174" s="107">
        <v>0</v>
      </c>
      <c r="Q174" s="108">
        <f t="shared" si="23"/>
        <v>8038</v>
      </c>
      <c r="R174" s="108">
        <f t="shared" si="21"/>
        <v>157.13999999999999</v>
      </c>
      <c r="S174" s="108">
        <f t="shared" si="24"/>
        <v>576.17999999999995</v>
      </c>
      <c r="T174" s="108">
        <v>104.47</v>
      </c>
      <c r="U174" s="108">
        <v>0</v>
      </c>
      <c r="V174" s="108">
        <f t="shared" si="25"/>
        <v>837.79</v>
      </c>
      <c r="W174" s="108">
        <f t="shared" si="22"/>
        <v>7200.21</v>
      </c>
      <c r="X174" s="108">
        <v>0</v>
      </c>
    </row>
    <row r="175" spans="1:171" x14ac:dyDescent="0.2">
      <c r="A175" s="137">
        <v>165</v>
      </c>
      <c r="B175" s="59" t="s">
        <v>753</v>
      </c>
      <c r="C175" s="59" t="s">
        <v>591</v>
      </c>
      <c r="D175" s="106">
        <v>1105</v>
      </c>
      <c r="E175" s="107">
        <v>400</v>
      </c>
      <c r="F175" s="107">
        <v>0</v>
      </c>
      <c r="G175" s="107">
        <v>1000</v>
      </c>
      <c r="H175" s="107">
        <v>0</v>
      </c>
      <c r="I175" s="107">
        <v>0</v>
      </c>
      <c r="J175" s="107">
        <v>0</v>
      </c>
      <c r="K175" s="107">
        <v>50</v>
      </c>
      <c r="L175" s="107">
        <v>0</v>
      </c>
      <c r="M175" s="107">
        <v>250</v>
      </c>
      <c r="N175" s="107">
        <v>0</v>
      </c>
      <c r="O175" s="107">
        <v>0</v>
      </c>
      <c r="P175" s="107">
        <v>0</v>
      </c>
      <c r="Q175" s="108">
        <f t="shared" si="23"/>
        <v>2805</v>
      </c>
      <c r="R175" s="108">
        <f t="shared" si="21"/>
        <v>76.650000000000006</v>
      </c>
      <c r="S175" s="108">
        <f t="shared" si="24"/>
        <v>281.05</v>
      </c>
      <c r="T175" s="108">
        <v>0</v>
      </c>
      <c r="U175" s="108">
        <v>0</v>
      </c>
      <c r="V175" s="108">
        <f t="shared" si="25"/>
        <v>357.7</v>
      </c>
      <c r="W175" s="108">
        <f t="shared" si="22"/>
        <v>2447.3000000000002</v>
      </c>
      <c r="X175" s="108">
        <v>0</v>
      </c>
    </row>
    <row r="176" spans="1:171" ht="38.25" x14ac:dyDescent="0.2">
      <c r="A176" s="137">
        <v>166</v>
      </c>
      <c r="B176" s="59" t="s">
        <v>754</v>
      </c>
      <c r="C176" s="59" t="s">
        <v>755</v>
      </c>
      <c r="D176" s="106">
        <f>(485*3)+2656</f>
        <v>4111</v>
      </c>
      <c r="E176" s="107">
        <v>2400</v>
      </c>
      <c r="F176" s="107">
        <f>485*3</f>
        <v>1455</v>
      </c>
      <c r="G176" s="107">
        <v>0</v>
      </c>
      <c r="H176" s="107">
        <v>0</v>
      </c>
      <c r="I176" s="107">
        <v>5400</v>
      </c>
      <c r="J176" s="107">
        <v>0</v>
      </c>
      <c r="K176" s="107">
        <v>0</v>
      </c>
      <c r="L176" s="107">
        <v>0</v>
      </c>
      <c r="M176" s="107">
        <v>250</v>
      </c>
      <c r="N176" s="107">
        <v>2800</v>
      </c>
      <c r="O176" s="107">
        <v>0</v>
      </c>
      <c r="P176" s="107">
        <v>0</v>
      </c>
      <c r="Q176" s="108">
        <f t="shared" si="23"/>
        <v>16416</v>
      </c>
      <c r="R176" s="108">
        <f t="shared" si="21"/>
        <v>400.98</v>
      </c>
      <c r="S176" s="108">
        <f t="shared" si="24"/>
        <v>1470.26</v>
      </c>
      <c r="T176" s="108">
        <v>361.64</v>
      </c>
      <c r="U176" s="108">
        <v>140.53</v>
      </c>
      <c r="V176" s="108">
        <f t="shared" si="25"/>
        <v>2373.41</v>
      </c>
      <c r="W176" s="108">
        <f t="shared" si="22"/>
        <v>14042.59</v>
      </c>
      <c r="X176" s="108">
        <v>0</v>
      </c>
    </row>
    <row r="177" spans="1:24" x14ac:dyDescent="0.2">
      <c r="A177" s="137">
        <v>167</v>
      </c>
      <c r="B177" s="130" t="s">
        <v>929</v>
      </c>
      <c r="C177" s="130" t="s">
        <v>571</v>
      </c>
      <c r="D177" s="106">
        <v>1074</v>
      </c>
      <c r="E177" s="107">
        <v>0</v>
      </c>
      <c r="F177" s="107">
        <v>0</v>
      </c>
      <c r="G177" s="107">
        <v>1000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250</v>
      </c>
      <c r="N177" s="107">
        <v>0</v>
      </c>
      <c r="O177" s="107">
        <v>0</v>
      </c>
      <c r="P177" s="107">
        <v>0</v>
      </c>
      <c r="Q177" s="108">
        <f t="shared" si="23"/>
        <v>2324</v>
      </c>
      <c r="R177" s="108">
        <f t="shared" si="21"/>
        <v>62.22</v>
      </c>
      <c r="S177" s="108">
        <f t="shared" si="24"/>
        <v>228.14</v>
      </c>
      <c r="T177" s="108">
        <v>0</v>
      </c>
      <c r="U177" s="108">
        <v>0</v>
      </c>
      <c r="V177" s="108">
        <f t="shared" si="25"/>
        <v>290.36</v>
      </c>
      <c r="W177" s="108">
        <f t="shared" si="22"/>
        <v>2033.64</v>
      </c>
      <c r="X177" s="108">
        <v>0</v>
      </c>
    </row>
    <row r="178" spans="1:24" x14ac:dyDescent="0.2">
      <c r="A178" s="137">
        <v>168</v>
      </c>
      <c r="B178" s="59" t="s">
        <v>756</v>
      </c>
      <c r="C178" s="59" t="s">
        <v>586</v>
      </c>
      <c r="D178" s="106">
        <v>1223</v>
      </c>
      <c r="E178" s="107">
        <v>650</v>
      </c>
      <c r="F178" s="107">
        <v>0</v>
      </c>
      <c r="G178" s="107">
        <v>1000</v>
      </c>
      <c r="H178" s="107">
        <v>0</v>
      </c>
      <c r="I178" s="107">
        <v>0</v>
      </c>
      <c r="J178" s="107">
        <v>0</v>
      </c>
      <c r="K178" s="107">
        <v>75</v>
      </c>
      <c r="L178" s="107">
        <v>0</v>
      </c>
      <c r="M178" s="107">
        <v>250</v>
      </c>
      <c r="N178" s="107">
        <v>2800</v>
      </c>
      <c r="O178" s="107">
        <v>0</v>
      </c>
      <c r="P178" s="107">
        <v>0</v>
      </c>
      <c r="Q178" s="108">
        <f t="shared" si="23"/>
        <v>5998</v>
      </c>
      <c r="R178" s="108">
        <f t="shared" si="21"/>
        <v>88.44</v>
      </c>
      <c r="S178" s="108">
        <f t="shared" si="24"/>
        <v>324.27999999999997</v>
      </c>
      <c r="T178" s="108">
        <v>0</v>
      </c>
      <c r="U178" s="108">
        <v>0</v>
      </c>
      <c r="V178" s="108">
        <f t="shared" si="25"/>
        <v>412.72</v>
      </c>
      <c r="W178" s="108">
        <f t="shared" si="22"/>
        <v>5585.28</v>
      </c>
      <c r="X178" s="108">
        <v>0</v>
      </c>
    </row>
    <row r="179" spans="1:24" ht="25.5" x14ac:dyDescent="0.2">
      <c r="A179" s="137">
        <v>169</v>
      </c>
      <c r="B179" s="59" t="s">
        <v>757</v>
      </c>
      <c r="C179" s="130" t="s">
        <v>573</v>
      </c>
      <c r="D179" s="106">
        <v>1350</v>
      </c>
      <c r="E179" s="107">
        <v>2000</v>
      </c>
      <c r="F179" s="107">
        <v>0</v>
      </c>
      <c r="G179" s="107">
        <v>0</v>
      </c>
      <c r="H179" s="107">
        <v>1600</v>
      </c>
      <c r="I179" s="107">
        <v>2900</v>
      </c>
      <c r="J179" s="107">
        <v>0</v>
      </c>
      <c r="K179" s="107">
        <v>75</v>
      </c>
      <c r="L179" s="107">
        <v>0</v>
      </c>
      <c r="M179" s="107">
        <v>250</v>
      </c>
      <c r="N179" s="107">
        <v>2800</v>
      </c>
      <c r="O179" s="107">
        <v>0</v>
      </c>
      <c r="P179" s="107">
        <v>0</v>
      </c>
      <c r="Q179" s="108">
        <f t="shared" si="23"/>
        <v>10975</v>
      </c>
      <c r="R179" s="108">
        <f t="shared" si="21"/>
        <v>237.75</v>
      </c>
      <c r="S179" s="108">
        <f t="shared" si="24"/>
        <v>871.75</v>
      </c>
      <c r="T179" s="108">
        <v>146.18</v>
      </c>
      <c r="U179" s="108">
        <v>0</v>
      </c>
      <c r="V179" s="108">
        <f t="shared" si="25"/>
        <v>1255.68</v>
      </c>
      <c r="W179" s="108">
        <f t="shared" si="22"/>
        <v>9719.32</v>
      </c>
      <c r="X179" s="108">
        <v>8878.7999999999993</v>
      </c>
    </row>
    <row r="180" spans="1:24" ht="25.5" x14ac:dyDescent="0.2">
      <c r="A180" s="137">
        <v>170</v>
      </c>
      <c r="B180" s="59" t="s">
        <v>758</v>
      </c>
      <c r="C180" s="59" t="s">
        <v>575</v>
      </c>
      <c r="D180" s="106">
        <v>1350</v>
      </c>
      <c r="E180" s="107">
        <v>2000</v>
      </c>
      <c r="F180" s="107">
        <v>0</v>
      </c>
      <c r="G180" s="107">
        <v>0</v>
      </c>
      <c r="H180" s="107">
        <v>0</v>
      </c>
      <c r="I180" s="107">
        <v>4500</v>
      </c>
      <c r="J180" s="107">
        <v>0</v>
      </c>
      <c r="K180" s="107">
        <v>75</v>
      </c>
      <c r="L180" s="107">
        <v>0</v>
      </c>
      <c r="M180" s="107">
        <v>250</v>
      </c>
      <c r="N180" s="107">
        <v>2800</v>
      </c>
      <c r="O180" s="107">
        <v>0</v>
      </c>
      <c r="P180" s="107">
        <v>0</v>
      </c>
      <c r="Q180" s="108">
        <f t="shared" si="23"/>
        <v>10975</v>
      </c>
      <c r="R180" s="108">
        <f t="shared" si="21"/>
        <v>237.75</v>
      </c>
      <c r="S180" s="108">
        <f t="shared" si="24"/>
        <v>871.75</v>
      </c>
      <c r="T180" s="108">
        <v>146.18</v>
      </c>
      <c r="U180" s="108">
        <v>0</v>
      </c>
      <c r="V180" s="108">
        <f t="shared" si="25"/>
        <v>1255.68</v>
      </c>
      <c r="W180" s="108">
        <f t="shared" si="22"/>
        <v>9719.32</v>
      </c>
      <c r="X180" s="108">
        <v>0</v>
      </c>
    </row>
    <row r="181" spans="1:24" x14ac:dyDescent="0.2">
      <c r="A181" s="137">
        <v>171</v>
      </c>
      <c r="B181" s="59" t="s">
        <v>759</v>
      </c>
      <c r="C181" s="59" t="s">
        <v>665</v>
      </c>
      <c r="D181" s="106">
        <v>1039</v>
      </c>
      <c r="E181" s="107">
        <v>400</v>
      </c>
      <c r="F181" s="107">
        <v>0</v>
      </c>
      <c r="G181" s="107">
        <v>1000</v>
      </c>
      <c r="H181" s="107">
        <v>0</v>
      </c>
      <c r="I181" s="107">
        <v>0</v>
      </c>
      <c r="J181" s="107">
        <v>0</v>
      </c>
      <c r="K181" s="107">
        <v>50</v>
      </c>
      <c r="L181" s="107">
        <v>200</v>
      </c>
      <c r="M181" s="107">
        <v>250</v>
      </c>
      <c r="N181" s="107">
        <v>2800</v>
      </c>
      <c r="O181" s="107">
        <v>0</v>
      </c>
      <c r="P181" s="107">
        <v>0</v>
      </c>
      <c r="Q181" s="108">
        <f t="shared" si="23"/>
        <v>5739</v>
      </c>
      <c r="R181" s="108">
        <f t="shared" si="21"/>
        <v>74.67</v>
      </c>
      <c r="S181" s="108">
        <f t="shared" si="24"/>
        <v>273.79000000000002</v>
      </c>
      <c r="T181" s="108">
        <v>0</v>
      </c>
      <c r="U181" s="108">
        <v>0</v>
      </c>
      <c r="V181" s="108">
        <f t="shared" si="25"/>
        <v>348.46</v>
      </c>
      <c r="W181" s="108">
        <f t="shared" si="22"/>
        <v>5390.54</v>
      </c>
      <c r="X181" s="108">
        <v>0</v>
      </c>
    </row>
    <row r="182" spans="1:24" ht="38.25" x14ac:dyDescent="0.2">
      <c r="A182" s="137">
        <v>172</v>
      </c>
      <c r="B182" s="59" t="s">
        <v>760</v>
      </c>
      <c r="C182" s="59" t="s">
        <v>719</v>
      </c>
      <c r="D182" s="106">
        <f>485*3</f>
        <v>1455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2800</v>
      </c>
      <c r="O182" s="107">
        <v>0</v>
      </c>
      <c r="P182" s="107">
        <v>0</v>
      </c>
      <c r="Q182" s="108">
        <f t="shared" si="23"/>
        <v>4255</v>
      </c>
      <c r="R182" s="108">
        <f t="shared" si="21"/>
        <v>43.65</v>
      </c>
      <c r="S182" s="108">
        <f t="shared" si="24"/>
        <v>160.05000000000001</v>
      </c>
      <c r="T182" s="108">
        <v>0</v>
      </c>
      <c r="U182" s="108"/>
      <c r="V182" s="108">
        <f t="shared" si="25"/>
        <v>203.7</v>
      </c>
      <c r="W182" s="108">
        <f t="shared" si="22"/>
        <v>4051.3</v>
      </c>
      <c r="X182" s="108">
        <v>0</v>
      </c>
    </row>
    <row r="183" spans="1:24" x14ac:dyDescent="0.2">
      <c r="A183" s="137">
        <v>173</v>
      </c>
      <c r="B183" s="59" t="s">
        <v>761</v>
      </c>
      <c r="C183" s="59" t="s">
        <v>575</v>
      </c>
      <c r="D183" s="106">
        <v>1350</v>
      </c>
      <c r="E183" s="107">
        <v>2000</v>
      </c>
      <c r="F183" s="107">
        <v>0</v>
      </c>
      <c r="G183" s="107">
        <v>0</v>
      </c>
      <c r="H183" s="107">
        <v>0</v>
      </c>
      <c r="I183" s="107">
        <v>4500</v>
      </c>
      <c r="J183" s="107">
        <v>0</v>
      </c>
      <c r="K183" s="107">
        <v>0</v>
      </c>
      <c r="L183" s="107">
        <v>0</v>
      </c>
      <c r="M183" s="107">
        <v>250</v>
      </c>
      <c r="N183" s="107">
        <v>2800</v>
      </c>
      <c r="O183" s="107">
        <v>0</v>
      </c>
      <c r="P183" s="107">
        <v>0</v>
      </c>
      <c r="Q183" s="108">
        <f t="shared" si="23"/>
        <v>10900</v>
      </c>
      <c r="R183" s="108">
        <f t="shared" si="21"/>
        <v>235.5</v>
      </c>
      <c r="S183" s="108">
        <f t="shared" si="24"/>
        <v>863.5</v>
      </c>
      <c r="T183" s="108">
        <v>143.03</v>
      </c>
      <c r="U183" s="108">
        <v>0</v>
      </c>
      <c r="V183" s="108">
        <f t="shared" si="25"/>
        <v>1242.03</v>
      </c>
      <c r="W183" s="108">
        <f t="shared" si="22"/>
        <v>9657.9699999999993</v>
      </c>
      <c r="X183" s="108">
        <v>0</v>
      </c>
    </row>
    <row r="184" spans="1:24" ht="25.5" x14ac:dyDescent="0.2">
      <c r="A184" s="137">
        <v>174</v>
      </c>
      <c r="B184" s="130" t="s">
        <v>762</v>
      </c>
      <c r="C184" s="130" t="s">
        <v>954</v>
      </c>
      <c r="D184" s="107">
        <v>1476</v>
      </c>
      <c r="E184" s="107">
        <v>2000</v>
      </c>
      <c r="F184" s="107">
        <v>0</v>
      </c>
      <c r="G184" s="107">
        <v>0</v>
      </c>
      <c r="H184" s="107">
        <v>1900</v>
      </c>
      <c r="I184" s="107">
        <v>2600</v>
      </c>
      <c r="J184" s="107">
        <v>0</v>
      </c>
      <c r="K184" s="107">
        <v>75</v>
      </c>
      <c r="L184" s="107">
        <v>0</v>
      </c>
      <c r="M184" s="107">
        <v>250</v>
      </c>
      <c r="N184" s="107">
        <v>2800</v>
      </c>
      <c r="O184" s="107">
        <v>0</v>
      </c>
      <c r="P184" s="107">
        <v>0</v>
      </c>
      <c r="Q184" s="108">
        <f t="shared" si="23"/>
        <v>11101</v>
      </c>
      <c r="R184" s="108">
        <f t="shared" si="21"/>
        <v>241.53</v>
      </c>
      <c r="S184" s="108">
        <f t="shared" si="24"/>
        <v>885.61</v>
      </c>
      <c r="T184" s="108">
        <v>146.41</v>
      </c>
      <c r="U184" s="108">
        <v>0</v>
      </c>
      <c r="V184" s="108">
        <f t="shared" si="25"/>
        <v>1273.55</v>
      </c>
      <c r="W184" s="108">
        <f t="shared" si="22"/>
        <v>9827.4500000000007</v>
      </c>
      <c r="X184" s="108">
        <f>1015</f>
        <v>1015</v>
      </c>
    </row>
    <row r="185" spans="1:24" ht="25.5" x14ac:dyDescent="0.2">
      <c r="A185" s="137">
        <v>175</v>
      </c>
      <c r="B185" s="59" t="s">
        <v>763</v>
      </c>
      <c r="C185" s="59" t="s">
        <v>595</v>
      </c>
      <c r="D185" s="106">
        <f>485*4</f>
        <v>1940</v>
      </c>
      <c r="E185" s="107">
        <v>0</v>
      </c>
      <c r="F185" s="107">
        <f>606.25*2</f>
        <v>1212.5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2800</v>
      </c>
      <c r="O185" s="107">
        <v>0</v>
      </c>
      <c r="P185" s="107">
        <v>0</v>
      </c>
      <c r="Q185" s="108">
        <f t="shared" si="23"/>
        <v>5952.5</v>
      </c>
      <c r="R185" s="108">
        <f t="shared" si="21"/>
        <v>94.58</v>
      </c>
      <c r="S185" s="108">
        <f t="shared" si="24"/>
        <v>346.78</v>
      </c>
      <c r="T185" s="108">
        <v>0</v>
      </c>
      <c r="U185" s="108">
        <v>0</v>
      </c>
      <c r="V185" s="108">
        <f t="shared" si="25"/>
        <v>441.36</v>
      </c>
      <c r="W185" s="108">
        <f t="shared" si="22"/>
        <v>5511.14</v>
      </c>
      <c r="X185" s="108">
        <v>0</v>
      </c>
    </row>
    <row r="186" spans="1:24" x14ac:dyDescent="0.2">
      <c r="A186" s="137">
        <v>176</v>
      </c>
      <c r="B186" s="59" t="s">
        <v>764</v>
      </c>
      <c r="C186" s="59" t="s">
        <v>953</v>
      </c>
      <c r="D186" s="106">
        <v>1460</v>
      </c>
      <c r="E186" s="107">
        <v>650</v>
      </c>
      <c r="F186" s="107">
        <v>0</v>
      </c>
      <c r="G186" s="107">
        <v>1000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250</v>
      </c>
      <c r="N186" s="107">
        <v>2800</v>
      </c>
      <c r="O186" s="107">
        <v>0</v>
      </c>
      <c r="P186" s="107">
        <v>0</v>
      </c>
      <c r="Q186" s="108">
        <f t="shared" si="23"/>
        <v>6160</v>
      </c>
      <c r="R186" s="108">
        <f t="shared" si="21"/>
        <v>93.3</v>
      </c>
      <c r="S186" s="108">
        <f t="shared" si="24"/>
        <v>342.1</v>
      </c>
      <c r="T186" s="108">
        <v>0</v>
      </c>
      <c r="U186" s="108">
        <v>41.8</v>
      </c>
      <c r="V186" s="108">
        <f t="shared" si="25"/>
        <v>477.2</v>
      </c>
      <c r="W186" s="108">
        <f t="shared" si="22"/>
        <v>5682.8</v>
      </c>
      <c r="X186" s="108">
        <v>0</v>
      </c>
    </row>
    <row r="187" spans="1:24" ht="27" customHeight="1" x14ac:dyDescent="0.2">
      <c r="A187" s="137">
        <v>177</v>
      </c>
      <c r="B187" s="59" t="s">
        <v>765</v>
      </c>
      <c r="C187" s="130" t="s">
        <v>568</v>
      </c>
      <c r="D187" s="106">
        <v>1634</v>
      </c>
      <c r="E187" s="107">
        <v>2000</v>
      </c>
      <c r="F187" s="107">
        <v>0</v>
      </c>
      <c r="G187" s="107">
        <v>0</v>
      </c>
      <c r="H187" s="107">
        <v>2200</v>
      </c>
      <c r="I187" s="107">
        <v>3200</v>
      </c>
      <c r="J187" s="107">
        <v>0</v>
      </c>
      <c r="K187" s="107">
        <v>75</v>
      </c>
      <c r="L187" s="107">
        <v>0</v>
      </c>
      <c r="M187" s="107">
        <v>250</v>
      </c>
      <c r="N187" s="107">
        <v>2800</v>
      </c>
      <c r="O187" s="107">
        <v>0</v>
      </c>
      <c r="P187" s="107">
        <v>0</v>
      </c>
      <c r="Q187" s="108">
        <f t="shared" si="23"/>
        <v>12159</v>
      </c>
      <c r="R187" s="108">
        <f t="shared" si="21"/>
        <v>273.27</v>
      </c>
      <c r="S187" s="108">
        <f t="shared" si="24"/>
        <v>1001.99</v>
      </c>
      <c r="T187" s="108">
        <v>147.44999999999999</v>
      </c>
      <c r="U187" s="108">
        <v>0</v>
      </c>
      <c r="V187" s="108">
        <f t="shared" si="25"/>
        <v>1422.71</v>
      </c>
      <c r="W187" s="108">
        <f t="shared" si="22"/>
        <v>10736.29</v>
      </c>
      <c r="X187" s="108">
        <v>0</v>
      </c>
    </row>
    <row r="188" spans="1:24" x14ac:dyDescent="0.2">
      <c r="A188" s="137">
        <v>178</v>
      </c>
      <c r="B188" s="133" t="s">
        <v>939</v>
      </c>
      <c r="C188" s="130" t="s">
        <v>575</v>
      </c>
      <c r="D188" s="143">
        <v>1350</v>
      </c>
      <c r="E188" s="107">
        <v>0</v>
      </c>
      <c r="F188" s="144">
        <v>0</v>
      </c>
      <c r="G188" s="107">
        <v>0</v>
      </c>
      <c r="H188" s="107">
        <v>0</v>
      </c>
      <c r="I188" s="144">
        <v>4500</v>
      </c>
      <c r="J188" s="107">
        <v>0</v>
      </c>
      <c r="K188" s="107">
        <v>0</v>
      </c>
      <c r="L188" s="107">
        <v>0</v>
      </c>
      <c r="M188" s="107">
        <v>250</v>
      </c>
      <c r="N188" s="107">
        <v>0</v>
      </c>
      <c r="O188" s="107">
        <v>0</v>
      </c>
      <c r="P188" s="107">
        <v>0</v>
      </c>
      <c r="Q188" s="108">
        <f t="shared" si="23"/>
        <v>6100</v>
      </c>
      <c r="R188" s="108">
        <f t="shared" si="21"/>
        <v>175.5</v>
      </c>
      <c r="S188" s="108">
        <f t="shared" si="24"/>
        <v>643.5</v>
      </c>
      <c r="T188" s="108">
        <v>61.96</v>
      </c>
      <c r="U188" s="108">
        <v>0</v>
      </c>
      <c r="V188" s="108">
        <f t="shared" si="25"/>
        <v>880.96</v>
      </c>
      <c r="W188" s="108">
        <f t="shared" si="22"/>
        <v>5219.04</v>
      </c>
      <c r="X188" s="108">
        <v>0</v>
      </c>
    </row>
    <row r="189" spans="1:24" x14ac:dyDescent="0.2">
      <c r="A189" s="137">
        <v>179</v>
      </c>
      <c r="B189" s="59" t="s">
        <v>766</v>
      </c>
      <c r="C189" s="59" t="s">
        <v>568</v>
      </c>
      <c r="D189" s="106">
        <v>1634</v>
      </c>
      <c r="E189" s="107">
        <v>2400</v>
      </c>
      <c r="F189" s="107">
        <v>0</v>
      </c>
      <c r="G189" s="107">
        <v>0</v>
      </c>
      <c r="H189" s="107">
        <v>3000</v>
      </c>
      <c r="I189" s="107">
        <v>2400</v>
      </c>
      <c r="J189" s="107">
        <v>0</v>
      </c>
      <c r="K189" s="107">
        <v>0</v>
      </c>
      <c r="L189" s="107">
        <v>0</v>
      </c>
      <c r="M189" s="107">
        <v>250</v>
      </c>
      <c r="N189" s="107">
        <v>2800</v>
      </c>
      <c r="O189" s="107">
        <v>0</v>
      </c>
      <c r="P189" s="107">
        <v>0</v>
      </c>
      <c r="Q189" s="108">
        <f t="shared" si="23"/>
        <v>12484</v>
      </c>
      <c r="R189" s="108">
        <f t="shared" si="21"/>
        <v>283.02</v>
      </c>
      <c r="S189" s="108">
        <f t="shared" si="24"/>
        <v>1037.74</v>
      </c>
      <c r="T189" s="108">
        <v>284.3</v>
      </c>
      <c r="U189" s="108">
        <v>0</v>
      </c>
      <c r="V189" s="108">
        <f t="shared" si="25"/>
        <v>1605.06</v>
      </c>
      <c r="W189" s="108">
        <f t="shared" si="22"/>
        <v>10878.94</v>
      </c>
      <c r="X189" s="108">
        <v>0</v>
      </c>
    </row>
    <row r="190" spans="1:24" ht="25.5" x14ac:dyDescent="0.2">
      <c r="A190" s="137">
        <v>180</v>
      </c>
      <c r="B190" s="59" t="s">
        <v>767</v>
      </c>
      <c r="C190" s="59" t="s">
        <v>571</v>
      </c>
      <c r="D190" s="106">
        <v>1074</v>
      </c>
      <c r="E190" s="107">
        <v>0</v>
      </c>
      <c r="F190" s="107">
        <v>0</v>
      </c>
      <c r="G190" s="107">
        <v>1000</v>
      </c>
      <c r="H190" s="107">
        <v>0</v>
      </c>
      <c r="I190" s="107">
        <v>0</v>
      </c>
      <c r="J190" s="107">
        <v>0</v>
      </c>
      <c r="K190" s="107">
        <v>0</v>
      </c>
      <c r="L190" s="107">
        <v>600</v>
      </c>
      <c r="M190" s="107">
        <v>250</v>
      </c>
      <c r="N190" s="107">
        <v>2800</v>
      </c>
      <c r="O190" s="107">
        <v>0</v>
      </c>
      <c r="P190" s="107">
        <v>0</v>
      </c>
      <c r="Q190" s="108">
        <f t="shared" si="23"/>
        <v>5724</v>
      </c>
      <c r="R190" s="108">
        <f t="shared" si="21"/>
        <v>62.22</v>
      </c>
      <c r="S190" s="108">
        <f t="shared" si="24"/>
        <v>228.14</v>
      </c>
      <c r="T190" s="108">
        <v>0</v>
      </c>
      <c r="U190" s="108">
        <v>0</v>
      </c>
      <c r="V190" s="108">
        <f t="shared" si="25"/>
        <v>290.36</v>
      </c>
      <c r="W190" s="108">
        <f t="shared" si="22"/>
        <v>5433.64</v>
      </c>
      <c r="X190" s="108">
        <v>0</v>
      </c>
    </row>
    <row r="191" spans="1:24" ht="25.5" x14ac:dyDescent="0.2">
      <c r="A191" s="137">
        <v>181</v>
      </c>
      <c r="B191" s="59" t="s">
        <v>768</v>
      </c>
      <c r="C191" s="59" t="s">
        <v>733</v>
      </c>
      <c r="D191" s="106">
        <v>2425</v>
      </c>
      <c r="E191" s="107">
        <v>0</v>
      </c>
      <c r="F191" s="107">
        <v>3031.25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2800</v>
      </c>
      <c r="O191" s="107">
        <v>0</v>
      </c>
      <c r="P191" s="107">
        <v>0</v>
      </c>
      <c r="Q191" s="108">
        <f t="shared" si="23"/>
        <v>8256.25</v>
      </c>
      <c r="R191" s="108">
        <f t="shared" si="21"/>
        <v>163.69</v>
      </c>
      <c r="S191" s="108">
        <f t="shared" si="24"/>
        <v>600.19000000000005</v>
      </c>
      <c r="T191" s="108">
        <v>32.72</v>
      </c>
      <c r="U191" s="108">
        <v>0</v>
      </c>
      <c r="V191" s="108">
        <f t="shared" si="25"/>
        <v>796.6</v>
      </c>
      <c r="W191" s="108">
        <f t="shared" si="22"/>
        <v>7459.65</v>
      </c>
      <c r="X191" s="108">
        <v>0</v>
      </c>
    </row>
    <row r="192" spans="1:24" x14ac:dyDescent="0.2">
      <c r="A192" s="137">
        <v>182</v>
      </c>
      <c r="B192" s="59" t="s">
        <v>769</v>
      </c>
      <c r="C192" s="59" t="s">
        <v>575</v>
      </c>
      <c r="D192" s="106">
        <v>1350</v>
      </c>
      <c r="E192" s="107">
        <v>2000</v>
      </c>
      <c r="F192" s="107">
        <v>0</v>
      </c>
      <c r="G192" s="107">
        <v>0</v>
      </c>
      <c r="H192" s="107">
        <v>0</v>
      </c>
      <c r="I192" s="107">
        <v>4500</v>
      </c>
      <c r="J192" s="107">
        <v>0</v>
      </c>
      <c r="K192" s="107">
        <v>0</v>
      </c>
      <c r="L192" s="107">
        <v>0</v>
      </c>
      <c r="M192" s="107">
        <v>250</v>
      </c>
      <c r="N192" s="107">
        <v>2800</v>
      </c>
      <c r="O192" s="107">
        <v>0</v>
      </c>
      <c r="P192" s="107">
        <v>0</v>
      </c>
      <c r="Q192" s="108">
        <f t="shared" si="23"/>
        <v>10900</v>
      </c>
      <c r="R192" s="108">
        <f t="shared" si="21"/>
        <v>235.5</v>
      </c>
      <c r="S192" s="108">
        <f t="shared" si="24"/>
        <v>863.5</v>
      </c>
      <c r="T192" s="108">
        <v>143.03</v>
      </c>
      <c r="U192" s="108">
        <v>0</v>
      </c>
      <c r="V192" s="108">
        <f t="shared" si="25"/>
        <v>1242.03</v>
      </c>
      <c r="W192" s="108">
        <f t="shared" si="22"/>
        <v>9657.9699999999993</v>
      </c>
      <c r="X192" s="108">
        <v>0</v>
      </c>
    </row>
    <row r="193" spans="1:24" x14ac:dyDescent="0.2">
      <c r="A193" s="137">
        <v>183</v>
      </c>
      <c r="B193" s="59" t="s">
        <v>770</v>
      </c>
      <c r="C193" s="59" t="s">
        <v>586</v>
      </c>
      <c r="D193" s="106">
        <v>2885</v>
      </c>
      <c r="E193" s="107">
        <v>0</v>
      </c>
      <c r="F193" s="107">
        <v>7910.48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2800</v>
      </c>
      <c r="O193" s="107">
        <v>0</v>
      </c>
      <c r="P193" s="107">
        <v>0</v>
      </c>
      <c r="Q193" s="108">
        <f t="shared" si="23"/>
        <v>13595.48</v>
      </c>
      <c r="R193" s="108">
        <f t="shared" si="21"/>
        <v>323.86</v>
      </c>
      <c r="S193" s="108">
        <f t="shared" si="24"/>
        <v>1187.5</v>
      </c>
      <c r="T193" s="108">
        <v>138.78</v>
      </c>
      <c r="U193" s="108">
        <v>0</v>
      </c>
      <c r="V193" s="108">
        <f t="shared" si="25"/>
        <v>1650.14</v>
      </c>
      <c r="W193" s="108">
        <f t="shared" si="22"/>
        <v>11945.34</v>
      </c>
      <c r="X193" s="108">
        <v>0</v>
      </c>
    </row>
    <row r="194" spans="1:24" ht="25.5" x14ac:dyDescent="0.2">
      <c r="A194" s="137">
        <v>184</v>
      </c>
      <c r="B194" s="59" t="s">
        <v>771</v>
      </c>
      <c r="C194" s="59" t="s">
        <v>580</v>
      </c>
      <c r="D194" s="106">
        <v>1476</v>
      </c>
      <c r="E194" s="107">
        <v>2000</v>
      </c>
      <c r="F194" s="107">
        <v>0</v>
      </c>
      <c r="G194" s="107">
        <v>0</v>
      </c>
      <c r="H194" s="107">
        <v>0</v>
      </c>
      <c r="I194" s="107">
        <v>4500</v>
      </c>
      <c r="J194" s="107">
        <v>0</v>
      </c>
      <c r="K194" s="107">
        <v>75</v>
      </c>
      <c r="L194" s="107">
        <v>0</v>
      </c>
      <c r="M194" s="107">
        <v>250</v>
      </c>
      <c r="N194" s="107">
        <v>2800</v>
      </c>
      <c r="O194" s="107">
        <v>0</v>
      </c>
      <c r="P194" s="107">
        <v>0</v>
      </c>
      <c r="Q194" s="108">
        <f t="shared" ref="Q194:Q221" si="26">SUM(D194:O194)</f>
        <v>11101</v>
      </c>
      <c r="R194" s="108">
        <f t="shared" si="21"/>
        <v>241.53</v>
      </c>
      <c r="S194" s="108">
        <f t="shared" si="24"/>
        <v>885.61</v>
      </c>
      <c r="T194" s="108">
        <v>147.44999999999999</v>
      </c>
      <c r="U194" s="108">
        <v>0</v>
      </c>
      <c r="V194" s="108">
        <f t="shared" si="25"/>
        <v>1274.5899999999999</v>
      </c>
      <c r="W194" s="108">
        <f t="shared" si="22"/>
        <v>9826.41</v>
      </c>
      <c r="X194" s="108">
        <v>0</v>
      </c>
    </row>
    <row r="195" spans="1:24" ht="25.5" x14ac:dyDescent="0.2">
      <c r="A195" s="137">
        <v>185</v>
      </c>
      <c r="B195" s="59" t="s">
        <v>772</v>
      </c>
      <c r="C195" s="130" t="s">
        <v>573</v>
      </c>
      <c r="D195" s="106">
        <v>1350</v>
      </c>
      <c r="E195" s="107">
        <f>2000</f>
        <v>2000</v>
      </c>
      <c r="F195" s="107">
        <v>0</v>
      </c>
      <c r="G195" s="107">
        <v>0</v>
      </c>
      <c r="H195" s="107">
        <v>1600</v>
      </c>
      <c r="I195" s="107">
        <f>2900</f>
        <v>2900</v>
      </c>
      <c r="J195" s="107">
        <v>0</v>
      </c>
      <c r="K195" s="107">
        <v>50</v>
      </c>
      <c r="L195" s="107">
        <v>0</v>
      </c>
      <c r="M195" s="107">
        <v>250</v>
      </c>
      <c r="N195" s="107">
        <v>2800</v>
      </c>
      <c r="O195" s="107">
        <v>0</v>
      </c>
      <c r="P195" s="107">
        <v>0</v>
      </c>
      <c r="Q195" s="108">
        <f t="shared" si="26"/>
        <v>10950</v>
      </c>
      <c r="R195" s="108">
        <f t="shared" si="21"/>
        <v>237</v>
      </c>
      <c r="S195" s="108">
        <f t="shared" si="24"/>
        <v>869</v>
      </c>
      <c r="T195" s="108">
        <v>146.18</v>
      </c>
      <c r="U195" s="108">
        <v>0</v>
      </c>
      <c r="V195" s="108">
        <f t="shared" si="25"/>
        <v>1252.18</v>
      </c>
      <c r="W195" s="108">
        <f t="shared" si="22"/>
        <v>9697.82</v>
      </c>
      <c r="X195" s="108">
        <v>0</v>
      </c>
    </row>
    <row r="196" spans="1:24" ht="25.5" x14ac:dyDescent="0.2">
      <c r="A196" s="137">
        <v>186</v>
      </c>
      <c r="B196" s="59" t="s">
        <v>773</v>
      </c>
      <c r="C196" s="59" t="s">
        <v>568</v>
      </c>
      <c r="D196" s="106">
        <v>1634</v>
      </c>
      <c r="E196" s="107">
        <v>2400</v>
      </c>
      <c r="F196" s="107">
        <v>0</v>
      </c>
      <c r="G196" s="107">
        <v>0</v>
      </c>
      <c r="H196" s="107">
        <v>3000</v>
      </c>
      <c r="I196" s="107">
        <v>2400</v>
      </c>
      <c r="J196" s="107">
        <v>0</v>
      </c>
      <c r="K196" s="107">
        <v>0</v>
      </c>
      <c r="L196" s="107">
        <v>0</v>
      </c>
      <c r="M196" s="107">
        <v>250</v>
      </c>
      <c r="N196" s="107">
        <v>2800</v>
      </c>
      <c r="O196" s="107">
        <v>0</v>
      </c>
      <c r="P196" s="107">
        <v>0</v>
      </c>
      <c r="Q196" s="108">
        <f t="shared" si="26"/>
        <v>12484</v>
      </c>
      <c r="R196" s="108">
        <f t="shared" si="21"/>
        <v>283.02</v>
      </c>
      <c r="S196" s="108">
        <f t="shared" si="24"/>
        <v>1037.74</v>
      </c>
      <c r="T196" s="108">
        <v>207.96</v>
      </c>
      <c r="U196" s="108">
        <v>0</v>
      </c>
      <c r="V196" s="108">
        <f t="shared" si="25"/>
        <v>1528.72</v>
      </c>
      <c r="W196" s="108">
        <f t="shared" si="22"/>
        <v>10955.28</v>
      </c>
      <c r="X196" s="108">
        <v>0</v>
      </c>
    </row>
    <row r="197" spans="1:24" ht="25.5" x14ac:dyDescent="0.2">
      <c r="A197" s="137">
        <v>187</v>
      </c>
      <c r="B197" s="59" t="s">
        <v>774</v>
      </c>
      <c r="C197" s="59" t="s">
        <v>575</v>
      </c>
      <c r="D197" s="106">
        <v>1350</v>
      </c>
      <c r="E197" s="107">
        <v>2000</v>
      </c>
      <c r="F197" s="107">
        <v>0</v>
      </c>
      <c r="G197" s="107">
        <v>0</v>
      </c>
      <c r="H197" s="107">
        <v>0</v>
      </c>
      <c r="I197" s="107">
        <v>4500</v>
      </c>
      <c r="J197" s="107">
        <v>0</v>
      </c>
      <c r="K197" s="107">
        <v>0</v>
      </c>
      <c r="L197" s="107">
        <v>0</v>
      </c>
      <c r="M197" s="107">
        <v>250</v>
      </c>
      <c r="N197" s="107">
        <v>2800</v>
      </c>
      <c r="O197" s="107">
        <v>0</v>
      </c>
      <c r="P197" s="107">
        <v>0</v>
      </c>
      <c r="Q197" s="108">
        <f t="shared" si="26"/>
        <v>10900</v>
      </c>
      <c r="R197" s="108">
        <f t="shared" si="21"/>
        <v>235.5</v>
      </c>
      <c r="S197" s="108">
        <f t="shared" si="24"/>
        <v>863.5</v>
      </c>
      <c r="T197" s="108">
        <v>143.03</v>
      </c>
      <c r="U197" s="108">
        <v>0</v>
      </c>
      <c r="V197" s="108">
        <f t="shared" si="25"/>
        <v>1242.03</v>
      </c>
      <c r="W197" s="108">
        <f t="shared" si="22"/>
        <v>9657.9699999999993</v>
      </c>
      <c r="X197" s="108">
        <v>0</v>
      </c>
    </row>
    <row r="198" spans="1:24" ht="38.25" x14ac:dyDescent="0.2">
      <c r="A198" s="137">
        <v>188</v>
      </c>
      <c r="B198" s="59" t="s">
        <v>775</v>
      </c>
      <c r="C198" s="59" t="s">
        <v>719</v>
      </c>
      <c r="D198" s="106">
        <f>485*3</f>
        <v>1455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2800</v>
      </c>
      <c r="O198" s="107">
        <v>0</v>
      </c>
      <c r="P198" s="107">
        <v>0</v>
      </c>
      <c r="Q198" s="108">
        <f t="shared" si="26"/>
        <v>4255</v>
      </c>
      <c r="R198" s="108">
        <f t="shared" si="21"/>
        <v>43.65</v>
      </c>
      <c r="S198" s="108">
        <f t="shared" si="24"/>
        <v>160.05000000000001</v>
      </c>
      <c r="T198" s="108">
        <v>0</v>
      </c>
      <c r="U198" s="108">
        <v>0</v>
      </c>
      <c r="V198" s="108">
        <f t="shared" si="25"/>
        <v>203.7</v>
      </c>
      <c r="W198" s="108">
        <f t="shared" si="22"/>
        <v>4051.3</v>
      </c>
      <c r="X198" s="108">
        <v>0</v>
      </c>
    </row>
    <row r="199" spans="1:24" ht="25.5" x14ac:dyDescent="0.2">
      <c r="A199" s="137">
        <v>189</v>
      </c>
      <c r="B199" s="59" t="s">
        <v>776</v>
      </c>
      <c r="C199" s="59" t="s">
        <v>945</v>
      </c>
      <c r="D199" s="106">
        <v>2441</v>
      </c>
      <c r="E199" s="107">
        <v>1000</v>
      </c>
      <c r="F199" s="107">
        <v>0</v>
      </c>
      <c r="G199" s="107">
        <v>1000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250</v>
      </c>
      <c r="N199" s="107">
        <v>0</v>
      </c>
      <c r="O199" s="107">
        <v>0</v>
      </c>
      <c r="P199" s="107">
        <v>0</v>
      </c>
      <c r="Q199" s="108">
        <f t="shared" si="26"/>
        <v>4691</v>
      </c>
      <c r="R199" s="108">
        <f t="shared" si="21"/>
        <v>133.22999999999999</v>
      </c>
      <c r="S199" s="108">
        <f t="shared" si="24"/>
        <v>488.51</v>
      </c>
      <c r="T199" s="108">
        <v>0</v>
      </c>
      <c r="U199" s="108">
        <v>0</v>
      </c>
      <c r="V199" s="108">
        <f t="shared" ref="V199:V229" si="27">SUM(R199:U199)</f>
        <v>621.74</v>
      </c>
      <c r="W199" s="108">
        <f t="shared" si="22"/>
        <v>4069.26</v>
      </c>
      <c r="X199" s="108">
        <v>0</v>
      </c>
    </row>
    <row r="200" spans="1:24" ht="25.5" x14ac:dyDescent="0.2">
      <c r="A200" s="137">
        <v>190</v>
      </c>
      <c r="B200" s="59" t="s">
        <v>777</v>
      </c>
      <c r="C200" s="59" t="s">
        <v>956</v>
      </c>
      <c r="D200" s="106">
        <v>1555</v>
      </c>
      <c r="E200" s="107">
        <v>600</v>
      </c>
      <c r="F200" s="107">
        <v>0</v>
      </c>
      <c r="G200" s="107">
        <v>1000</v>
      </c>
      <c r="H200" s="107">
        <v>0</v>
      </c>
      <c r="I200" s="107">
        <v>0</v>
      </c>
      <c r="J200" s="107">
        <v>0</v>
      </c>
      <c r="K200" s="107">
        <v>50</v>
      </c>
      <c r="L200" s="107">
        <v>0</v>
      </c>
      <c r="M200" s="107">
        <v>250</v>
      </c>
      <c r="N200" s="107">
        <v>2800</v>
      </c>
      <c r="O200" s="107">
        <v>0</v>
      </c>
      <c r="P200" s="107">
        <v>0</v>
      </c>
      <c r="Q200" s="108">
        <f t="shared" si="26"/>
        <v>6255</v>
      </c>
      <c r="R200" s="108">
        <f t="shared" si="21"/>
        <v>96.15</v>
      </c>
      <c r="S200" s="108">
        <f t="shared" si="24"/>
        <v>352.55</v>
      </c>
      <c r="T200" s="108">
        <v>0</v>
      </c>
      <c r="U200" s="108">
        <v>0</v>
      </c>
      <c r="V200" s="108">
        <f t="shared" si="27"/>
        <v>448.7</v>
      </c>
      <c r="W200" s="108">
        <f t="shared" si="22"/>
        <v>5806.3</v>
      </c>
      <c r="X200" s="108">
        <v>0</v>
      </c>
    </row>
    <row r="201" spans="1:24" ht="25.5" x14ac:dyDescent="0.2">
      <c r="A201" s="137">
        <v>191</v>
      </c>
      <c r="B201" s="59" t="s">
        <v>778</v>
      </c>
      <c r="C201" s="130" t="s">
        <v>573</v>
      </c>
      <c r="D201" s="107">
        <v>1350</v>
      </c>
      <c r="E201" s="108">
        <f>2000</f>
        <v>2000</v>
      </c>
      <c r="F201" s="107">
        <v>0</v>
      </c>
      <c r="G201" s="107">
        <v>0</v>
      </c>
      <c r="H201" s="107">
        <v>1600</v>
      </c>
      <c r="I201" s="107">
        <v>2900</v>
      </c>
      <c r="J201" s="107">
        <v>0</v>
      </c>
      <c r="K201" s="107">
        <v>0</v>
      </c>
      <c r="L201" s="107">
        <v>0</v>
      </c>
      <c r="M201" s="107">
        <v>250</v>
      </c>
      <c r="N201" s="107">
        <v>2800</v>
      </c>
      <c r="O201" s="107">
        <v>0</v>
      </c>
      <c r="P201" s="107">
        <v>0</v>
      </c>
      <c r="Q201" s="108">
        <f t="shared" si="26"/>
        <v>10900</v>
      </c>
      <c r="R201" s="108">
        <f t="shared" ref="R201:R264" si="28">(D201+E201+F201+G201+H201+I201+J201+K201+O201)*3%</f>
        <v>235.5</v>
      </c>
      <c r="S201" s="108">
        <f t="shared" si="24"/>
        <v>863.5</v>
      </c>
      <c r="T201" s="108">
        <v>137.69</v>
      </c>
      <c r="U201" s="108">
        <v>0</v>
      </c>
      <c r="V201" s="108">
        <f t="shared" si="27"/>
        <v>1236.69</v>
      </c>
      <c r="W201" s="108">
        <f t="shared" si="22"/>
        <v>9663.31</v>
      </c>
      <c r="X201" s="108">
        <v>0</v>
      </c>
    </row>
    <row r="202" spans="1:24" ht="24.75" customHeight="1" x14ac:dyDescent="0.2">
      <c r="A202" s="137">
        <v>192</v>
      </c>
      <c r="B202" s="59" t="s">
        <v>779</v>
      </c>
      <c r="C202" s="59" t="s">
        <v>780</v>
      </c>
      <c r="D202" s="106">
        <v>1159</v>
      </c>
      <c r="E202" s="107">
        <v>550</v>
      </c>
      <c r="F202" s="107">
        <v>0</v>
      </c>
      <c r="G202" s="107">
        <v>1000</v>
      </c>
      <c r="H202" s="107">
        <v>0</v>
      </c>
      <c r="I202" s="107">
        <v>0</v>
      </c>
      <c r="J202" s="107">
        <v>0</v>
      </c>
      <c r="K202" s="107">
        <v>0</v>
      </c>
      <c r="L202" s="107">
        <v>0</v>
      </c>
      <c r="M202" s="107">
        <v>250</v>
      </c>
      <c r="N202" s="107">
        <v>2800</v>
      </c>
      <c r="O202" s="107">
        <v>0</v>
      </c>
      <c r="P202" s="107">
        <v>0</v>
      </c>
      <c r="Q202" s="108">
        <f t="shared" si="26"/>
        <v>5759</v>
      </c>
      <c r="R202" s="108">
        <f t="shared" si="28"/>
        <v>81.27</v>
      </c>
      <c r="S202" s="108">
        <f t="shared" si="24"/>
        <v>297.99</v>
      </c>
      <c r="T202" s="108">
        <v>0</v>
      </c>
      <c r="U202" s="108">
        <v>0</v>
      </c>
      <c r="V202" s="108">
        <f t="shared" si="27"/>
        <v>379.26</v>
      </c>
      <c r="W202" s="108">
        <f t="shared" si="22"/>
        <v>5379.74</v>
      </c>
      <c r="X202" s="108">
        <v>0</v>
      </c>
    </row>
    <row r="203" spans="1:24" s="94" customFormat="1" ht="25.5" x14ac:dyDescent="0.2">
      <c r="A203" s="137">
        <v>193</v>
      </c>
      <c r="B203" s="59" t="s">
        <v>781</v>
      </c>
      <c r="C203" s="130" t="s">
        <v>924</v>
      </c>
      <c r="D203" s="106">
        <v>6759</v>
      </c>
      <c r="E203" s="107">
        <v>1800</v>
      </c>
      <c r="F203" s="107">
        <v>0</v>
      </c>
      <c r="G203" s="107">
        <v>4000</v>
      </c>
      <c r="H203" s="107">
        <v>0</v>
      </c>
      <c r="I203" s="107">
        <v>0</v>
      </c>
      <c r="J203" s="107">
        <v>375</v>
      </c>
      <c r="K203" s="107">
        <v>0</v>
      </c>
      <c r="L203" s="107">
        <v>0</v>
      </c>
      <c r="M203" s="107">
        <v>250</v>
      </c>
      <c r="N203" s="107">
        <v>0</v>
      </c>
      <c r="O203" s="107">
        <v>0</v>
      </c>
      <c r="P203" s="107">
        <v>0</v>
      </c>
      <c r="Q203" s="108">
        <f t="shared" si="26"/>
        <v>13184</v>
      </c>
      <c r="R203" s="108">
        <f t="shared" si="28"/>
        <v>388.02</v>
      </c>
      <c r="S203" s="108">
        <f>(D203+E203+F203+G203+H203+I203+J203+K203+O203)*15%</f>
        <v>1940.1</v>
      </c>
      <c r="T203" s="108">
        <v>343.63</v>
      </c>
      <c r="U203" s="108">
        <v>0</v>
      </c>
      <c r="V203" s="108">
        <f t="shared" si="27"/>
        <v>2671.75</v>
      </c>
      <c r="W203" s="108">
        <f t="shared" ref="W203:W266" si="29">Q203-V203</f>
        <v>10512.25</v>
      </c>
      <c r="X203" s="108">
        <v>0</v>
      </c>
    </row>
    <row r="204" spans="1:24" ht="25.5" x14ac:dyDescent="0.2">
      <c r="A204" s="137">
        <v>194</v>
      </c>
      <c r="B204" s="59" t="s">
        <v>782</v>
      </c>
      <c r="C204" s="59" t="s">
        <v>788</v>
      </c>
      <c r="D204" s="106">
        <v>1350</v>
      </c>
      <c r="E204" s="107">
        <v>1500</v>
      </c>
      <c r="F204" s="107">
        <v>0</v>
      </c>
      <c r="G204" s="107">
        <v>0</v>
      </c>
      <c r="H204" s="107">
        <v>1600</v>
      </c>
      <c r="I204" s="107">
        <v>0</v>
      </c>
      <c r="J204" s="107">
        <v>0</v>
      </c>
      <c r="K204" s="107">
        <v>75</v>
      </c>
      <c r="L204" s="107">
        <v>0</v>
      </c>
      <c r="M204" s="107">
        <v>250</v>
      </c>
      <c r="N204" s="107">
        <v>2800</v>
      </c>
      <c r="O204" s="107">
        <v>0</v>
      </c>
      <c r="P204" s="107">
        <v>0</v>
      </c>
      <c r="Q204" s="108">
        <f t="shared" si="26"/>
        <v>7575</v>
      </c>
      <c r="R204" s="108">
        <f t="shared" si="28"/>
        <v>135.75</v>
      </c>
      <c r="S204" s="108">
        <f>(D204+E204+F204+G204+H204+I204+J204+K204+O204)*11%</f>
        <v>497.75</v>
      </c>
      <c r="T204" s="108">
        <v>5.65</v>
      </c>
      <c r="U204" s="108">
        <v>0</v>
      </c>
      <c r="V204" s="108">
        <f t="shared" si="27"/>
        <v>639.15</v>
      </c>
      <c r="W204" s="108">
        <f t="shared" si="29"/>
        <v>6935.85</v>
      </c>
      <c r="X204" s="108">
        <v>0</v>
      </c>
    </row>
    <row r="205" spans="1:24" ht="25.5" x14ac:dyDescent="0.2">
      <c r="A205" s="137">
        <v>195</v>
      </c>
      <c r="B205" s="59" t="s">
        <v>783</v>
      </c>
      <c r="C205" s="130" t="s">
        <v>573</v>
      </c>
      <c r="D205" s="106">
        <v>1350</v>
      </c>
      <c r="E205" s="107">
        <f>2000</f>
        <v>2000</v>
      </c>
      <c r="F205" s="107">
        <v>0</v>
      </c>
      <c r="G205" s="107">
        <v>0</v>
      </c>
      <c r="H205" s="107">
        <v>1600</v>
      </c>
      <c r="I205" s="107">
        <f>2900</f>
        <v>2900</v>
      </c>
      <c r="J205" s="107">
        <v>0</v>
      </c>
      <c r="K205" s="107">
        <v>50</v>
      </c>
      <c r="L205" s="107">
        <v>0</v>
      </c>
      <c r="M205" s="107">
        <v>250</v>
      </c>
      <c r="N205" s="107">
        <v>2800</v>
      </c>
      <c r="O205" s="107">
        <v>0</v>
      </c>
      <c r="P205" s="107">
        <v>0</v>
      </c>
      <c r="Q205" s="108">
        <f t="shared" si="26"/>
        <v>10950</v>
      </c>
      <c r="R205" s="108">
        <f t="shared" si="28"/>
        <v>237</v>
      </c>
      <c r="S205" s="108">
        <f>(D205+E205+F205+G205+H205+I205+J205+K205+O205)*11%</f>
        <v>869</v>
      </c>
      <c r="T205" s="108">
        <v>145.13</v>
      </c>
      <c r="U205" s="108">
        <v>0</v>
      </c>
      <c r="V205" s="108">
        <f t="shared" si="27"/>
        <v>1251.1300000000001</v>
      </c>
      <c r="W205" s="108">
        <f t="shared" si="29"/>
        <v>9698.8700000000008</v>
      </c>
      <c r="X205" s="108">
        <v>0</v>
      </c>
    </row>
    <row r="206" spans="1:24" ht="25.5" x14ac:dyDescent="0.2">
      <c r="A206" s="137">
        <v>196</v>
      </c>
      <c r="B206" s="56" t="s">
        <v>115</v>
      </c>
      <c r="C206" s="57" t="s">
        <v>196</v>
      </c>
      <c r="D206" s="58">
        <v>5835</v>
      </c>
      <c r="E206" s="107">
        <v>3000</v>
      </c>
      <c r="F206" s="107">
        <v>0</v>
      </c>
      <c r="G206" s="107">
        <v>3000</v>
      </c>
      <c r="H206" s="107">
        <v>0</v>
      </c>
      <c r="I206" s="107">
        <v>0</v>
      </c>
      <c r="J206" s="107">
        <v>375</v>
      </c>
      <c r="K206" s="107">
        <v>0</v>
      </c>
      <c r="L206" s="107">
        <v>0</v>
      </c>
      <c r="M206" s="107">
        <v>250</v>
      </c>
      <c r="N206" s="107">
        <v>0</v>
      </c>
      <c r="O206" s="107">
        <v>0</v>
      </c>
      <c r="P206" s="107">
        <v>0</v>
      </c>
      <c r="Q206" s="108">
        <f t="shared" si="26"/>
        <v>12460</v>
      </c>
      <c r="R206" s="108">
        <f t="shared" si="28"/>
        <v>366.3</v>
      </c>
      <c r="S206" s="108">
        <f>(D206+E206+F206+G206+H206+I206+J206+K206+O206)*11%</f>
        <v>1343.1</v>
      </c>
      <c r="T206" s="28">
        <v>313.94</v>
      </c>
      <c r="U206" s="108">
        <v>0</v>
      </c>
      <c r="V206" s="108">
        <f t="shared" si="27"/>
        <v>2023.34</v>
      </c>
      <c r="W206" s="108">
        <f t="shared" si="29"/>
        <v>10436.66</v>
      </c>
      <c r="X206" s="108">
        <v>0</v>
      </c>
    </row>
    <row r="207" spans="1:24" s="94" customFormat="1" ht="25.5" x14ac:dyDescent="0.2">
      <c r="A207" s="137">
        <v>197</v>
      </c>
      <c r="B207" s="59" t="s">
        <v>784</v>
      </c>
      <c r="C207" s="130" t="s">
        <v>573</v>
      </c>
      <c r="D207" s="106">
        <v>1350</v>
      </c>
      <c r="E207" s="107">
        <v>2000</v>
      </c>
      <c r="F207" s="107">
        <v>0</v>
      </c>
      <c r="G207" s="107">
        <v>0</v>
      </c>
      <c r="H207" s="107">
        <v>1600</v>
      </c>
      <c r="I207" s="107">
        <v>2900</v>
      </c>
      <c r="J207" s="107">
        <v>0</v>
      </c>
      <c r="K207" s="107">
        <v>50</v>
      </c>
      <c r="L207" s="107">
        <v>0</v>
      </c>
      <c r="M207" s="107">
        <v>250</v>
      </c>
      <c r="N207" s="107">
        <v>2800</v>
      </c>
      <c r="O207" s="107">
        <v>0</v>
      </c>
      <c r="P207" s="107">
        <v>0</v>
      </c>
      <c r="Q207" s="108">
        <f t="shared" si="26"/>
        <v>10950</v>
      </c>
      <c r="R207" s="108">
        <f t="shared" si="28"/>
        <v>237</v>
      </c>
      <c r="S207" s="108">
        <f>(D207+E207+F207+G207+H207+I207+J207+K207+O207)*13%</f>
        <v>1027</v>
      </c>
      <c r="T207" s="108">
        <v>157.63999999999999</v>
      </c>
      <c r="U207" s="108">
        <v>0</v>
      </c>
      <c r="V207" s="108">
        <f t="shared" si="27"/>
        <v>1421.64</v>
      </c>
      <c r="W207" s="108">
        <f t="shared" si="29"/>
        <v>9528.36</v>
      </c>
      <c r="X207" s="108">
        <v>9075.74</v>
      </c>
    </row>
    <row r="208" spans="1:24" ht="25.5" x14ac:dyDescent="0.2">
      <c r="A208" s="137">
        <v>198</v>
      </c>
      <c r="B208" s="59" t="s">
        <v>785</v>
      </c>
      <c r="C208" s="130" t="s">
        <v>573</v>
      </c>
      <c r="D208" s="106">
        <v>1350</v>
      </c>
      <c r="E208" s="107">
        <v>2000</v>
      </c>
      <c r="F208" s="107">
        <v>0</v>
      </c>
      <c r="G208" s="107">
        <v>0</v>
      </c>
      <c r="H208" s="107">
        <v>1600</v>
      </c>
      <c r="I208" s="107">
        <v>2900</v>
      </c>
      <c r="J208" s="107">
        <v>0</v>
      </c>
      <c r="K208" s="107">
        <v>75</v>
      </c>
      <c r="L208" s="107">
        <v>0</v>
      </c>
      <c r="M208" s="107">
        <v>250</v>
      </c>
      <c r="N208" s="107">
        <v>2800</v>
      </c>
      <c r="O208" s="107">
        <v>0</v>
      </c>
      <c r="P208" s="107">
        <v>0</v>
      </c>
      <c r="Q208" s="108">
        <f t="shared" si="26"/>
        <v>10975</v>
      </c>
      <c r="R208" s="108">
        <f t="shared" si="28"/>
        <v>237.75</v>
      </c>
      <c r="S208" s="108">
        <f t="shared" ref="S208:S239" si="30">(D208+E208+F208+G208+H208+I208+J208+K208+O208)*11%</f>
        <v>871.75</v>
      </c>
      <c r="T208" s="108">
        <v>146.18</v>
      </c>
      <c r="U208" s="108">
        <v>0</v>
      </c>
      <c r="V208" s="108">
        <f t="shared" si="27"/>
        <v>1255.68</v>
      </c>
      <c r="W208" s="108">
        <f t="shared" si="29"/>
        <v>9719.32</v>
      </c>
      <c r="X208" s="108">
        <v>0</v>
      </c>
    </row>
    <row r="209" spans="1:24" ht="25.5" x14ac:dyDescent="0.2">
      <c r="A209" s="137">
        <v>199</v>
      </c>
      <c r="B209" s="59" t="s">
        <v>786</v>
      </c>
      <c r="C209" s="59" t="s">
        <v>575</v>
      </c>
      <c r="D209" s="106">
        <v>1350</v>
      </c>
      <c r="E209" s="107">
        <v>2000</v>
      </c>
      <c r="F209" s="107">
        <v>0</v>
      </c>
      <c r="G209" s="107">
        <v>0</v>
      </c>
      <c r="H209" s="107">
        <v>0</v>
      </c>
      <c r="I209" s="107">
        <v>4500</v>
      </c>
      <c r="J209" s="107">
        <v>0</v>
      </c>
      <c r="K209" s="107">
        <v>0</v>
      </c>
      <c r="L209" s="107">
        <v>0</v>
      </c>
      <c r="M209" s="107">
        <v>250</v>
      </c>
      <c r="N209" s="107">
        <v>2800</v>
      </c>
      <c r="O209" s="107">
        <v>0</v>
      </c>
      <c r="P209" s="107">
        <v>0</v>
      </c>
      <c r="Q209" s="108">
        <f t="shared" si="26"/>
        <v>10900</v>
      </c>
      <c r="R209" s="108">
        <f t="shared" si="28"/>
        <v>235.5</v>
      </c>
      <c r="S209" s="108">
        <f t="shared" si="30"/>
        <v>863.5</v>
      </c>
      <c r="T209" s="108">
        <v>143.03</v>
      </c>
      <c r="U209" s="108">
        <v>0</v>
      </c>
      <c r="V209" s="108">
        <f t="shared" si="27"/>
        <v>1242.03</v>
      </c>
      <c r="W209" s="108">
        <f t="shared" si="29"/>
        <v>9657.9699999999993</v>
      </c>
      <c r="X209" s="108">
        <v>0</v>
      </c>
    </row>
    <row r="210" spans="1:24" ht="25.5" x14ac:dyDescent="0.2">
      <c r="A210" s="137">
        <v>200</v>
      </c>
      <c r="B210" s="59" t="s">
        <v>787</v>
      </c>
      <c r="C210" s="59" t="s">
        <v>788</v>
      </c>
      <c r="D210" s="106">
        <v>1350</v>
      </c>
      <c r="E210" s="107">
        <v>2000</v>
      </c>
      <c r="F210" s="107">
        <v>0</v>
      </c>
      <c r="G210" s="107">
        <v>0</v>
      </c>
      <c r="H210" s="107">
        <v>0</v>
      </c>
      <c r="I210" s="107">
        <v>4500</v>
      </c>
      <c r="J210" s="107">
        <v>0</v>
      </c>
      <c r="K210" s="107">
        <v>0</v>
      </c>
      <c r="L210" s="107">
        <v>0</v>
      </c>
      <c r="M210" s="107">
        <v>250</v>
      </c>
      <c r="N210" s="107">
        <v>2800</v>
      </c>
      <c r="O210" s="107">
        <v>0</v>
      </c>
      <c r="P210" s="107">
        <v>0</v>
      </c>
      <c r="Q210" s="108">
        <f t="shared" si="26"/>
        <v>10900</v>
      </c>
      <c r="R210" s="108">
        <f t="shared" si="28"/>
        <v>235.5</v>
      </c>
      <c r="S210" s="108">
        <f t="shared" si="30"/>
        <v>863.5</v>
      </c>
      <c r="T210" s="108">
        <v>143.03</v>
      </c>
      <c r="U210" s="108">
        <v>105.5</v>
      </c>
      <c r="V210" s="108">
        <f t="shared" si="27"/>
        <v>1347.53</v>
      </c>
      <c r="W210" s="108">
        <f t="shared" si="29"/>
        <v>9552.4699999999993</v>
      </c>
      <c r="X210" s="108">
        <v>0</v>
      </c>
    </row>
    <row r="211" spans="1:24" ht="25.5" x14ac:dyDescent="0.2">
      <c r="A211" s="137">
        <v>201</v>
      </c>
      <c r="B211" s="59" t="s">
        <v>789</v>
      </c>
      <c r="C211" s="59" t="s">
        <v>591</v>
      </c>
      <c r="D211" s="106">
        <v>1105</v>
      </c>
      <c r="E211" s="107">
        <v>400</v>
      </c>
      <c r="F211" s="107">
        <v>0</v>
      </c>
      <c r="G211" s="107">
        <v>1000</v>
      </c>
      <c r="H211" s="107">
        <v>0</v>
      </c>
      <c r="I211" s="107">
        <v>0</v>
      </c>
      <c r="J211" s="107">
        <v>0</v>
      </c>
      <c r="K211" s="107">
        <v>35</v>
      </c>
      <c r="L211" s="107">
        <v>200</v>
      </c>
      <c r="M211" s="107">
        <v>250</v>
      </c>
      <c r="N211" s="107">
        <v>2800</v>
      </c>
      <c r="O211" s="107">
        <v>0</v>
      </c>
      <c r="P211" s="107">
        <v>0</v>
      </c>
      <c r="Q211" s="108">
        <f t="shared" si="26"/>
        <v>5790</v>
      </c>
      <c r="R211" s="108">
        <f t="shared" si="28"/>
        <v>76.2</v>
      </c>
      <c r="S211" s="108">
        <f t="shared" si="30"/>
        <v>279.39999999999998</v>
      </c>
      <c r="T211" s="108">
        <v>0</v>
      </c>
      <c r="U211" s="108">
        <v>0</v>
      </c>
      <c r="V211" s="108">
        <f t="shared" si="27"/>
        <v>355.6</v>
      </c>
      <c r="W211" s="108">
        <f t="shared" si="29"/>
        <v>5434.4</v>
      </c>
      <c r="X211" s="108">
        <v>0</v>
      </c>
    </row>
    <row r="212" spans="1:24" ht="25.5" x14ac:dyDescent="0.2">
      <c r="A212" s="137">
        <v>202</v>
      </c>
      <c r="B212" s="59" t="s">
        <v>790</v>
      </c>
      <c r="C212" s="59" t="s">
        <v>949</v>
      </c>
      <c r="D212" s="106">
        <v>1381</v>
      </c>
      <c r="E212" s="107">
        <v>650</v>
      </c>
      <c r="F212" s="107">
        <v>0</v>
      </c>
      <c r="G212" s="107">
        <v>1000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250</v>
      </c>
      <c r="N212" s="107">
        <v>2800</v>
      </c>
      <c r="O212" s="107">
        <v>0</v>
      </c>
      <c r="P212" s="107">
        <v>0</v>
      </c>
      <c r="Q212" s="108">
        <f t="shared" si="26"/>
        <v>6081</v>
      </c>
      <c r="R212" s="108">
        <f t="shared" si="28"/>
        <v>90.93</v>
      </c>
      <c r="S212" s="108">
        <f t="shared" si="30"/>
        <v>333.41</v>
      </c>
      <c r="T212" s="108">
        <v>0</v>
      </c>
      <c r="U212" s="108">
        <v>0</v>
      </c>
      <c r="V212" s="108">
        <f t="shared" si="27"/>
        <v>424.34</v>
      </c>
      <c r="W212" s="108">
        <f t="shared" si="29"/>
        <v>5656.66</v>
      </c>
      <c r="X212" s="108">
        <v>0</v>
      </c>
    </row>
    <row r="213" spans="1:24" x14ac:dyDescent="0.2">
      <c r="A213" s="137">
        <v>203</v>
      </c>
      <c r="B213" s="59" t="s">
        <v>791</v>
      </c>
      <c r="C213" s="59" t="s">
        <v>604</v>
      </c>
      <c r="D213" s="106">
        <v>1792</v>
      </c>
      <c r="E213" s="107">
        <v>2500</v>
      </c>
      <c r="F213" s="107">
        <v>0</v>
      </c>
      <c r="G213" s="107">
        <v>0</v>
      </c>
      <c r="H213" s="107">
        <v>2500</v>
      </c>
      <c r="I213" s="107">
        <v>3000</v>
      </c>
      <c r="J213" s="107">
        <v>0</v>
      </c>
      <c r="K213" s="107">
        <v>50</v>
      </c>
      <c r="L213" s="107">
        <v>0</v>
      </c>
      <c r="M213" s="107">
        <v>250</v>
      </c>
      <c r="N213" s="107">
        <v>2800</v>
      </c>
      <c r="O213" s="107">
        <v>0</v>
      </c>
      <c r="P213" s="107">
        <v>0</v>
      </c>
      <c r="Q213" s="108">
        <f t="shared" si="26"/>
        <v>12892</v>
      </c>
      <c r="R213" s="108">
        <f t="shared" si="28"/>
        <v>295.26</v>
      </c>
      <c r="S213" s="108">
        <f t="shared" si="30"/>
        <v>1082.6199999999999</v>
      </c>
      <c r="T213" s="108">
        <v>221.78</v>
      </c>
      <c r="U213" s="108">
        <v>132.28</v>
      </c>
      <c r="V213" s="108">
        <f t="shared" si="27"/>
        <v>1731.94</v>
      </c>
      <c r="W213" s="108">
        <f t="shared" si="29"/>
        <v>11160.06</v>
      </c>
      <c r="X213" s="108">
        <v>0</v>
      </c>
    </row>
    <row r="214" spans="1:24" x14ac:dyDescent="0.2">
      <c r="A214" s="137">
        <v>204</v>
      </c>
      <c r="B214" s="59" t="s">
        <v>792</v>
      </c>
      <c r="C214" s="59" t="s">
        <v>580</v>
      </c>
      <c r="D214" s="106">
        <v>1476</v>
      </c>
      <c r="E214" s="107">
        <v>2000</v>
      </c>
      <c r="F214" s="107">
        <v>0</v>
      </c>
      <c r="G214" s="107">
        <v>0</v>
      </c>
      <c r="H214" s="107">
        <v>0</v>
      </c>
      <c r="I214" s="107">
        <v>4500</v>
      </c>
      <c r="J214" s="107">
        <v>0</v>
      </c>
      <c r="K214" s="107">
        <v>0</v>
      </c>
      <c r="L214" s="107">
        <v>0</v>
      </c>
      <c r="M214" s="107">
        <v>250</v>
      </c>
      <c r="N214" s="107">
        <v>2800</v>
      </c>
      <c r="O214" s="107">
        <v>0</v>
      </c>
      <c r="P214" s="107">
        <v>0</v>
      </c>
      <c r="Q214" s="108">
        <f t="shared" si="26"/>
        <v>11026</v>
      </c>
      <c r="R214" s="108">
        <f t="shared" si="28"/>
        <v>239.28</v>
      </c>
      <c r="S214" s="108">
        <f t="shared" si="30"/>
        <v>877.36</v>
      </c>
      <c r="T214" s="108">
        <v>148.33000000000001</v>
      </c>
      <c r="U214" s="108">
        <v>0</v>
      </c>
      <c r="V214" s="108">
        <f t="shared" si="27"/>
        <v>1264.97</v>
      </c>
      <c r="W214" s="108">
        <f t="shared" si="29"/>
        <v>9761.0300000000007</v>
      </c>
      <c r="X214" s="108">
        <v>0</v>
      </c>
    </row>
    <row r="215" spans="1:24" x14ac:dyDescent="0.2">
      <c r="A215" s="137">
        <v>205</v>
      </c>
      <c r="B215" s="59" t="s">
        <v>793</v>
      </c>
      <c r="C215" s="59" t="s">
        <v>586</v>
      </c>
      <c r="D215" s="106">
        <v>1223</v>
      </c>
      <c r="E215" s="108">
        <f>2000</f>
        <v>2000</v>
      </c>
      <c r="F215" s="107">
        <v>0</v>
      </c>
      <c r="G215" s="107">
        <v>0</v>
      </c>
      <c r="H215" s="107">
        <v>1300</v>
      </c>
      <c r="I215" s="107">
        <f>3200</f>
        <v>3200</v>
      </c>
      <c r="J215" s="107">
        <v>0</v>
      </c>
      <c r="K215" s="107">
        <v>0</v>
      </c>
      <c r="L215" s="107">
        <v>0</v>
      </c>
      <c r="M215" s="107">
        <v>250</v>
      </c>
      <c r="N215" s="107">
        <v>2800</v>
      </c>
      <c r="O215" s="107">
        <v>0</v>
      </c>
      <c r="P215" s="107">
        <v>0</v>
      </c>
      <c r="Q215" s="108">
        <f t="shared" si="26"/>
        <v>10773</v>
      </c>
      <c r="R215" s="108">
        <f t="shared" si="28"/>
        <v>231.69</v>
      </c>
      <c r="S215" s="108">
        <f t="shared" si="30"/>
        <v>849.53</v>
      </c>
      <c r="T215" s="108">
        <v>137.69</v>
      </c>
      <c r="U215" s="108">
        <v>0</v>
      </c>
      <c r="V215" s="108">
        <f t="shared" si="27"/>
        <v>1218.9100000000001</v>
      </c>
      <c r="W215" s="108">
        <f t="shared" si="29"/>
        <v>9554.09</v>
      </c>
      <c r="X215" s="108">
        <v>0</v>
      </c>
    </row>
    <row r="216" spans="1:24" ht="25.5" x14ac:dyDescent="0.2">
      <c r="A216" s="137">
        <v>206</v>
      </c>
      <c r="B216" s="59" t="s">
        <v>794</v>
      </c>
      <c r="C216" s="59" t="s">
        <v>733</v>
      </c>
      <c r="D216" s="106">
        <v>2425</v>
      </c>
      <c r="E216" s="107">
        <v>0</v>
      </c>
      <c r="F216" s="107">
        <v>1818.75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2800</v>
      </c>
      <c r="O216" s="107">
        <v>0</v>
      </c>
      <c r="P216" s="107">
        <v>0</v>
      </c>
      <c r="Q216" s="108">
        <f t="shared" si="26"/>
        <v>7043.75</v>
      </c>
      <c r="R216" s="108">
        <f t="shared" si="28"/>
        <v>127.31</v>
      </c>
      <c r="S216" s="108">
        <f t="shared" si="30"/>
        <v>466.81</v>
      </c>
      <c r="T216" s="108">
        <v>48.43</v>
      </c>
      <c r="U216" s="108">
        <v>0</v>
      </c>
      <c r="V216" s="108">
        <f t="shared" si="27"/>
        <v>642.54999999999995</v>
      </c>
      <c r="W216" s="108">
        <f t="shared" si="29"/>
        <v>6401.2</v>
      </c>
      <c r="X216" s="108">
        <v>0</v>
      </c>
    </row>
    <row r="217" spans="1:24" ht="25.5" x14ac:dyDescent="0.2">
      <c r="A217" s="137">
        <v>207</v>
      </c>
      <c r="B217" s="59" t="s">
        <v>795</v>
      </c>
      <c r="C217" s="59" t="s">
        <v>780</v>
      </c>
      <c r="D217" s="106">
        <v>1159</v>
      </c>
      <c r="E217" s="107">
        <v>550</v>
      </c>
      <c r="F217" s="107">
        <v>0</v>
      </c>
      <c r="G217" s="107">
        <v>1000</v>
      </c>
      <c r="H217" s="107">
        <v>0</v>
      </c>
      <c r="I217" s="107">
        <v>0</v>
      </c>
      <c r="J217" s="107">
        <v>0</v>
      </c>
      <c r="K217" s="107">
        <v>50</v>
      </c>
      <c r="L217" s="107">
        <v>200</v>
      </c>
      <c r="M217" s="107">
        <v>250</v>
      </c>
      <c r="N217" s="107">
        <v>2800</v>
      </c>
      <c r="O217" s="107">
        <v>0</v>
      </c>
      <c r="P217" s="107">
        <v>0</v>
      </c>
      <c r="Q217" s="108">
        <f t="shared" si="26"/>
        <v>6009</v>
      </c>
      <c r="R217" s="108">
        <f t="shared" si="28"/>
        <v>82.77</v>
      </c>
      <c r="S217" s="108">
        <f t="shared" si="30"/>
        <v>303.49</v>
      </c>
      <c r="T217" s="108">
        <v>0</v>
      </c>
      <c r="U217" s="108">
        <v>0</v>
      </c>
      <c r="V217" s="108">
        <f t="shared" si="27"/>
        <v>386.26</v>
      </c>
      <c r="W217" s="108">
        <f t="shared" si="29"/>
        <v>5622.74</v>
      </c>
      <c r="X217" s="108">
        <v>0</v>
      </c>
    </row>
    <row r="218" spans="1:24" s="94" customFormat="1" ht="25.5" x14ac:dyDescent="0.2">
      <c r="A218" s="137">
        <v>208</v>
      </c>
      <c r="B218" s="59" t="s">
        <v>796</v>
      </c>
      <c r="C218" s="59" t="s">
        <v>797</v>
      </c>
      <c r="D218" s="106">
        <v>1246</v>
      </c>
      <c r="E218" s="107">
        <v>500</v>
      </c>
      <c r="F218" s="107">
        <v>0</v>
      </c>
      <c r="G218" s="107">
        <v>1000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250</v>
      </c>
      <c r="N218" s="107">
        <v>2800</v>
      </c>
      <c r="O218" s="107">
        <v>0</v>
      </c>
      <c r="P218" s="107">
        <v>0</v>
      </c>
      <c r="Q218" s="108">
        <f t="shared" si="26"/>
        <v>5796</v>
      </c>
      <c r="R218" s="108">
        <f t="shared" si="28"/>
        <v>82.38</v>
      </c>
      <c r="S218" s="108">
        <f t="shared" si="30"/>
        <v>302.06</v>
      </c>
      <c r="T218" s="108">
        <v>0</v>
      </c>
      <c r="U218" s="108">
        <v>0</v>
      </c>
      <c r="V218" s="108">
        <f t="shared" si="27"/>
        <v>384.44</v>
      </c>
      <c r="W218" s="108">
        <f t="shared" si="29"/>
        <v>5411.56</v>
      </c>
      <c r="X218" s="108">
        <v>0</v>
      </c>
    </row>
    <row r="219" spans="1:24" ht="25.5" x14ac:dyDescent="0.2">
      <c r="A219" s="137">
        <v>209</v>
      </c>
      <c r="B219" s="59" t="s">
        <v>798</v>
      </c>
      <c r="C219" s="59" t="s">
        <v>568</v>
      </c>
      <c r="D219" s="106">
        <v>1634</v>
      </c>
      <c r="E219" s="107">
        <v>2400</v>
      </c>
      <c r="F219" s="107">
        <v>0</v>
      </c>
      <c r="G219" s="107">
        <v>0</v>
      </c>
      <c r="H219" s="107">
        <v>3000</v>
      </c>
      <c r="I219" s="107">
        <v>2400</v>
      </c>
      <c r="J219" s="107">
        <v>0</v>
      </c>
      <c r="K219" s="107">
        <v>75</v>
      </c>
      <c r="L219" s="107">
        <v>0</v>
      </c>
      <c r="M219" s="107">
        <v>250</v>
      </c>
      <c r="N219" s="107">
        <v>2800</v>
      </c>
      <c r="O219" s="107">
        <v>0</v>
      </c>
      <c r="P219" s="107">
        <v>0</v>
      </c>
      <c r="Q219" s="108">
        <f t="shared" si="26"/>
        <v>12559</v>
      </c>
      <c r="R219" s="108">
        <f t="shared" si="28"/>
        <v>285.27</v>
      </c>
      <c r="S219" s="108">
        <f t="shared" si="30"/>
        <v>1045.99</v>
      </c>
      <c r="T219" s="108">
        <v>207.96</v>
      </c>
      <c r="U219" s="108">
        <v>0</v>
      </c>
      <c r="V219" s="108">
        <f t="shared" si="27"/>
        <v>1539.22</v>
      </c>
      <c r="W219" s="108">
        <f t="shared" si="29"/>
        <v>11019.78</v>
      </c>
      <c r="X219" s="108">
        <v>0</v>
      </c>
    </row>
    <row r="220" spans="1:24" ht="25.5" x14ac:dyDescent="0.2">
      <c r="A220" s="137">
        <v>210</v>
      </c>
      <c r="B220" s="59" t="s">
        <v>799</v>
      </c>
      <c r="C220" s="59" t="s">
        <v>571</v>
      </c>
      <c r="D220" s="106">
        <v>1074</v>
      </c>
      <c r="E220" s="107">
        <v>400</v>
      </c>
      <c r="F220" s="107">
        <v>0</v>
      </c>
      <c r="G220" s="107">
        <v>1000</v>
      </c>
      <c r="H220" s="107">
        <v>0</v>
      </c>
      <c r="I220" s="107">
        <v>0</v>
      </c>
      <c r="J220" s="107">
        <v>0</v>
      </c>
      <c r="K220" s="107">
        <v>50</v>
      </c>
      <c r="L220" s="107">
        <v>200</v>
      </c>
      <c r="M220" s="107">
        <v>250</v>
      </c>
      <c r="N220" s="107">
        <v>2800</v>
      </c>
      <c r="O220" s="107">
        <v>0</v>
      </c>
      <c r="P220" s="107">
        <v>0</v>
      </c>
      <c r="Q220" s="108">
        <f t="shared" si="26"/>
        <v>5774</v>
      </c>
      <c r="R220" s="108">
        <f t="shared" si="28"/>
        <v>75.72</v>
      </c>
      <c r="S220" s="108">
        <f t="shared" si="30"/>
        <v>277.64</v>
      </c>
      <c r="T220" s="108">
        <v>0</v>
      </c>
      <c r="U220" s="108">
        <v>0</v>
      </c>
      <c r="V220" s="108">
        <f t="shared" si="27"/>
        <v>353.36</v>
      </c>
      <c r="W220" s="108">
        <f t="shared" si="29"/>
        <v>5420.64</v>
      </c>
      <c r="X220" s="108">
        <v>0</v>
      </c>
    </row>
    <row r="221" spans="1:24" ht="25.5" x14ac:dyDescent="0.2">
      <c r="A221" s="137">
        <v>211</v>
      </c>
      <c r="B221" s="59" t="s">
        <v>800</v>
      </c>
      <c r="C221" s="59" t="s">
        <v>650</v>
      </c>
      <c r="D221" s="106">
        <v>2425</v>
      </c>
      <c r="E221" s="107">
        <v>0</v>
      </c>
      <c r="F221" s="107">
        <v>3031.25</v>
      </c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2800</v>
      </c>
      <c r="O221" s="107">
        <v>0</v>
      </c>
      <c r="P221" s="107">
        <v>0</v>
      </c>
      <c r="Q221" s="108">
        <f t="shared" si="26"/>
        <v>8256.25</v>
      </c>
      <c r="R221" s="108">
        <f t="shared" si="28"/>
        <v>163.69</v>
      </c>
      <c r="S221" s="108">
        <f t="shared" si="30"/>
        <v>600.19000000000005</v>
      </c>
      <c r="T221" s="108">
        <v>6.13</v>
      </c>
      <c r="U221" s="108">
        <v>0</v>
      </c>
      <c r="V221" s="108">
        <f t="shared" si="27"/>
        <v>770.01</v>
      </c>
      <c r="W221" s="108">
        <f t="shared" si="29"/>
        <v>7486.24</v>
      </c>
      <c r="X221" s="108">
        <v>0</v>
      </c>
    </row>
    <row r="222" spans="1:24" ht="25.5" x14ac:dyDescent="0.2">
      <c r="A222" s="137">
        <v>212</v>
      </c>
      <c r="B222" s="59" t="s">
        <v>996</v>
      </c>
      <c r="C222" s="59" t="s">
        <v>27</v>
      </c>
      <c r="D222" s="106">
        <v>1074</v>
      </c>
      <c r="E222" s="107">
        <v>0</v>
      </c>
      <c r="F222" s="107">
        <v>0</v>
      </c>
      <c r="G222" s="107">
        <v>1000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250</v>
      </c>
      <c r="N222" s="107">
        <v>0</v>
      </c>
      <c r="O222" s="107">
        <v>0</v>
      </c>
      <c r="P222" s="107">
        <v>0</v>
      </c>
      <c r="Q222" s="108">
        <f>SUM(D222:P222)</f>
        <v>2324</v>
      </c>
      <c r="R222" s="108">
        <f t="shared" si="28"/>
        <v>62.22</v>
      </c>
      <c r="S222" s="108">
        <f t="shared" si="30"/>
        <v>228.14</v>
      </c>
      <c r="T222" s="108">
        <v>0</v>
      </c>
      <c r="U222" s="108">
        <v>0</v>
      </c>
      <c r="V222" s="108">
        <f t="shared" si="27"/>
        <v>290.36</v>
      </c>
      <c r="W222" s="108">
        <f t="shared" si="29"/>
        <v>2033.64</v>
      </c>
      <c r="X222" s="108">
        <v>0</v>
      </c>
    </row>
    <row r="223" spans="1:24" ht="25.5" x14ac:dyDescent="0.2">
      <c r="A223" s="137">
        <v>213</v>
      </c>
      <c r="B223" s="59" t="s">
        <v>801</v>
      </c>
      <c r="C223" s="59" t="s">
        <v>580</v>
      </c>
      <c r="D223" s="106">
        <v>1476</v>
      </c>
      <c r="E223" s="107">
        <v>2000</v>
      </c>
      <c r="F223" s="107">
        <v>0</v>
      </c>
      <c r="G223" s="107">
        <v>1900</v>
      </c>
      <c r="H223" s="107">
        <v>0</v>
      </c>
      <c r="I223" s="107">
        <v>2600</v>
      </c>
      <c r="J223" s="107">
        <v>0</v>
      </c>
      <c r="K223" s="107">
        <v>0</v>
      </c>
      <c r="L223" s="107">
        <v>0</v>
      </c>
      <c r="M223" s="107">
        <v>250</v>
      </c>
      <c r="N223" s="107">
        <v>2800</v>
      </c>
      <c r="O223" s="107">
        <v>0</v>
      </c>
      <c r="P223" s="107">
        <v>0</v>
      </c>
      <c r="Q223" s="108">
        <f t="shared" ref="Q223:Q254" si="31">SUM(D223:O223)</f>
        <v>11026</v>
      </c>
      <c r="R223" s="108">
        <f t="shared" si="28"/>
        <v>239.28</v>
      </c>
      <c r="S223" s="108">
        <f t="shared" si="30"/>
        <v>877.36</v>
      </c>
      <c r="T223" s="108">
        <v>148.33000000000001</v>
      </c>
      <c r="U223" s="108">
        <v>0</v>
      </c>
      <c r="V223" s="108">
        <f t="shared" si="27"/>
        <v>1264.97</v>
      </c>
      <c r="W223" s="108">
        <f t="shared" si="29"/>
        <v>9761.0300000000007</v>
      </c>
      <c r="X223" s="108">
        <v>0</v>
      </c>
    </row>
    <row r="224" spans="1:24" ht="25.5" x14ac:dyDescent="0.2">
      <c r="A224" s="137">
        <v>214</v>
      </c>
      <c r="B224" s="59" t="s">
        <v>802</v>
      </c>
      <c r="C224" s="59" t="s">
        <v>575</v>
      </c>
      <c r="D224" s="106">
        <v>1350</v>
      </c>
      <c r="E224" s="107">
        <v>2000</v>
      </c>
      <c r="F224" s="107">
        <v>0</v>
      </c>
      <c r="G224" s="107">
        <v>0</v>
      </c>
      <c r="H224" s="107">
        <v>0</v>
      </c>
      <c r="I224" s="107">
        <v>4500</v>
      </c>
      <c r="J224" s="107">
        <v>0</v>
      </c>
      <c r="K224" s="107">
        <v>75</v>
      </c>
      <c r="L224" s="107">
        <v>0</v>
      </c>
      <c r="M224" s="107">
        <v>250</v>
      </c>
      <c r="N224" s="107">
        <v>2800</v>
      </c>
      <c r="O224" s="107">
        <v>0</v>
      </c>
      <c r="P224" s="107">
        <v>0</v>
      </c>
      <c r="Q224" s="108">
        <f t="shared" si="31"/>
        <v>10975</v>
      </c>
      <c r="R224" s="108">
        <f t="shared" si="28"/>
        <v>237.75</v>
      </c>
      <c r="S224" s="108">
        <f t="shared" si="30"/>
        <v>871.75</v>
      </c>
      <c r="T224" s="108">
        <v>145.13</v>
      </c>
      <c r="U224" s="108">
        <v>0</v>
      </c>
      <c r="V224" s="108">
        <f t="shared" si="27"/>
        <v>1254.6300000000001</v>
      </c>
      <c r="W224" s="108">
        <f t="shared" si="29"/>
        <v>9720.3700000000008</v>
      </c>
      <c r="X224" s="108">
        <v>0</v>
      </c>
    </row>
    <row r="225" spans="1:24" ht="25.5" x14ac:dyDescent="0.2">
      <c r="A225" s="137">
        <v>215</v>
      </c>
      <c r="B225" s="59" t="s">
        <v>803</v>
      </c>
      <c r="C225" s="59" t="s">
        <v>788</v>
      </c>
      <c r="D225" s="106">
        <v>1350</v>
      </c>
      <c r="E225" s="107">
        <v>1500</v>
      </c>
      <c r="F225" s="107">
        <v>0</v>
      </c>
      <c r="G225" s="107">
        <v>0</v>
      </c>
      <c r="H225" s="107">
        <v>1600</v>
      </c>
      <c r="I225" s="107">
        <v>0</v>
      </c>
      <c r="J225" s="107">
        <v>0</v>
      </c>
      <c r="K225" s="107">
        <v>0</v>
      </c>
      <c r="L225" s="107">
        <v>0</v>
      </c>
      <c r="M225" s="107">
        <v>250</v>
      </c>
      <c r="N225" s="107">
        <v>2800</v>
      </c>
      <c r="O225" s="107">
        <v>0</v>
      </c>
      <c r="P225" s="107">
        <v>0</v>
      </c>
      <c r="Q225" s="108">
        <f t="shared" si="31"/>
        <v>7500</v>
      </c>
      <c r="R225" s="108">
        <f t="shared" si="28"/>
        <v>133.5</v>
      </c>
      <c r="S225" s="108">
        <f t="shared" si="30"/>
        <v>489.5</v>
      </c>
      <c r="T225" s="108">
        <v>2.46</v>
      </c>
      <c r="U225" s="108">
        <v>0</v>
      </c>
      <c r="V225" s="108">
        <f t="shared" si="27"/>
        <v>625.46</v>
      </c>
      <c r="W225" s="108">
        <f t="shared" si="29"/>
        <v>6874.54</v>
      </c>
      <c r="X225" s="108">
        <v>0</v>
      </c>
    </row>
    <row r="226" spans="1:24" ht="25.5" x14ac:dyDescent="0.2">
      <c r="A226" s="137">
        <v>216</v>
      </c>
      <c r="B226" s="59" t="s">
        <v>804</v>
      </c>
      <c r="C226" s="59" t="s">
        <v>586</v>
      </c>
      <c r="D226" s="106">
        <v>1223</v>
      </c>
      <c r="E226" s="108">
        <f>2000</f>
        <v>2000</v>
      </c>
      <c r="F226" s="107">
        <v>0</v>
      </c>
      <c r="G226" s="107">
        <v>0</v>
      </c>
      <c r="H226" s="107">
        <v>1300</v>
      </c>
      <c r="I226" s="107">
        <f>3200</f>
        <v>3200</v>
      </c>
      <c r="J226" s="107">
        <v>0</v>
      </c>
      <c r="K226" s="107">
        <v>0</v>
      </c>
      <c r="L226" s="107">
        <v>0</v>
      </c>
      <c r="M226" s="107">
        <v>250</v>
      </c>
      <c r="N226" s="107">
        <v>2800</v>
      </c>
      <c r="O226" s="107">
        <v>0</v>
      </c>
      <c r="P226" s="107">
        <v>0</v>
      </c>
      <c r="Q226" s="108">
        <f t="shared" si="31"/>
        <v>10773</v>
      </c>
      <c r="R226" s="108">
        <f t="shared" si="28"/>
        <v>231.69</v>
      </c>
      <c r="S226" s="108">
        <f t="shared" si="30"/>
        <v>849.53</v>
      </c>
      <c r="T226" s="108">
        <v>139.80000000000001</v>
      </c>
      <c r="U226" s="108">
        <v>0</v>
      </c>
      <c r="V226" s="108">
        <f t="shared" si="27"/>
        <v>1221.02</v>
      </c>
      <c r="W226" s="108">
        <f t="shared" si="29"/>
        <v>9551.98</v>
      </c>
      <c r="X226" s="108">
        <v>0</v>
      </c>
    </row>
    <row r="227" spans="1:24" ht="25.5" x14ac:dyDescent="0.2">
      <c r="A227" s="137">
        <v>217</v>
      </c>
      <c r="B227" s="59" t="s">
        <v>805</v>
      </c>
      <c r="C227" s="59" t="s">
        <v>595</v>
      </c>
      <c r="D227" s="106">
        <v>485</v>
      </c>
      <c r="E227" s="107">
        <v>0</v>
      </c>
      <c r="F227" s="107">
        <v>485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2800</v>
      </c>
      <c r="O227" s="107">
        <v>0</v>
      </c>
      <c r="P227" s="107">
        <v>0</v>
      </c>
      <c r="Q227" s="108">
        <f t="shared" si="31"/>
        <v>3770</v>
      </c>
      <c r="R227" s="108">
        <f t="shared" si="28"/>
        <v>29.1</v>
      </c>
      <c r="S227" s="108">
        <f t="shared" si="30"/>
        <v>106.7</v>
      </c>
      <c r="T227" s="108">
        <v>0</v>
      </c>
      <c r="U227" s="108">
        <v>0</v>
      </c>
      <c r="V227" s="108">
        <f t="shared" si="27"/>
        <v>135.80000000000001</v>
      </c>
      <c r="W227" s="108">
        <f t="shared" si="29"/>
        <v>3634.2</v>
      </c>
      <c r="X227" s="108">
        <v>0</v>
      </c>
    </row>
    <row r="228" spans="1:24" ht="25.5" x14ac:dyDescent="0.2">
      <c r="A228" s="137">
        <v>218</v>
      </c>
      <c r="B228" s="59" t="s">
        <v>806</v>
      </c>
      <c r="C228" s="59" t="s">
        <v>571</v>
      </c>
      <c r="D228" s="106">
        <v>1074</v>
      </c>
      <c r="E228" s="107">
        <v>400</v>
      </c>
      <c r="F228" s="107">
        <v>0</v>
      </c>
      <c r="G228" s="107">
        <v>1000</v>
      </c>
      <c r="H228" s="107">
        <v>0</v>
      </c>
      <c r="I228" s="107">
        <v>0</v>
      </c>
      <c r="J228" s="107">
        <v>0</v>
      </c>
      <c r="K228" s="107">
        <v>0</v>
      </c>
      <c r="L228" s="107">
        <v>200</v>
      </c>
      <c r="M228" s="107">
        <v>250</v>
      </c>
      <c r="N228" s="107">
        <v>2800</v>
      </c>
      <c r="O228" s="107">
        <v>0</v>
      </c>
      <c r="P228" s="107">
        <v>0</v>
      </c>
      <c r="Q228" s="108">
        <f t="shared" si="31"/>
        <v>5724</v>
      </c>
      <c r="R228" s="108">
        <f t="shared" si="28"/>
        <v>74.22</v>
      </c>
      <c r="S228" s="108">
        <f t="shared" si="30"/>
        <v>272.14</v>
      </c>
      <c r="T228" s="108">
        <v>0</v>
      </c>
      <c r="U228" s="108">
        <v>0</v>
      </c>
      <c r="V228" s="108">
        <f t="shared" si="27"/>
        <v>346.36</v>
      </c>
      <c r="W228" s="108">
        <f t="shared" si="29"/>
        <v>5377.64</v>
      </c>
      <c r="X228" s="108">
        <v>0</v>
      </c>
    </row>
    <row r="229" spans="1:24" ht="25.5" x14ac:dyDescent="0.2">
      <c r="A229" s="137">
        <v>219</v>
      </c>
      <c r="B229" s="59" t="s">
        <v>807</v>
      </c>
      <c r="C229" s="59" t="s">
        <v>575</v>
      </c>
      <c r="D229" s="106">
        <v>1350</v>
      </c>
      <c r="E229" s="107">
        <v>2000</v>
      </c>
      <c r="F229" s="107">
        <v>0</v>
      </c>
      <c r="G229" s="107">
        <v>0</v>
      </c>
      <c r="H229" s="107">
        <v>0</v>
      </c>
      <c r="I229" s="107">
        <v>4500</v>
      </c>
      <c r="J229" s="107">
        <v>0</v>
      </c>
      <c r="K229" s="107">
        <v>0</v>
      </c>
      <c r="L229" s="107">
        <v>0</v>
      </c>
      <c r="M229" s="107">
        <v>250</v>
      </c>
      <c r="N229" s="107">
        <v>2800</v>
      </c>
      <c r="O229" s="107">
        <v>0</v>
      </c>
      <c r="P229" s="107">
        <v>0</v>
      </c>
      <c r="Q229" s="108">
        <f t="shared" si="31"/>
        <v>10900</v>
      </c>
      <c r="R229" s="108">
        <f t="shared" si="28"/>
        <v>235.5</v>
      </c>
      <c r="S229" s="108">
        <f t="shared" si="30"/>
        <v>863.5</v>
      </c>
      <c r="T229" s="108">
        <v>143.03</v>
      </c>
      <c r="U229" s="108">
        <v>0</v>
      </c>
      <c r="V229" s="108">
        <f t="shared" si="27"/>
        <v>1242.03</v>
      </c>
      <c r="W229" s="108">
        <f t="shared" si="29"/>
        <v>9657.9699999999993</v>
      </c>
      <c r="X229" s="108">
        <v>0</v>
      </c>
    </row>
    <row r="230" spans="1:24" ht="25.5" x14ac:dyDescent="0.2">
      <c r="A230" s="137">
        <v>220</v>
      </c>
      <c r="B230" s="130" t="s">
        <v>925</v>
      </c>
      <c r="C230" s="130" t="s">
        <v>780</v>
      </c>
      <c r="D230" s="106">
        <v>1159</v>
      </c>
      <c r="E230" s="107">
        <v>0</v>
      </c>
      <c r="F230" s="107">
        <v>0</v>
      </c>
      <c r="G230" s="107">
        <v>1000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250</v>
      </c>
      <c r="N230" s="107">
        <v>0</v>
      </c>
      <c r="O230" s="107">
        <v>0</v>
      </c>
      <c r="P230" s="107">
        <v>0</v>
      </c>
      <c r="Q230" s="108">
        <f t="shared" si="31"/>
        <v>2409</v>
      </c>
      <c r="R230" s="108">
        <f t="shared" si="28"/>
        <v>64.77</v>
      </c>
      <c r="S230" s="108">
        <f t="shared" si="30"/>
        <v>237.49</v>
      </c>
      <c r="T230" s="108">
        <v>0</v>
      </c>
      <c r="U230" s="108">
        <v>0</v>
      </c>
      <c r="V230" s="108">
        <f t="shared" ref="V230:V241" si="32">SUM(R230:U230)</f>
        <v>302.26</v>
      </c>
      <c r="W230" s="108">
        <f t="shared" si="29"/>
        <v>2106.7399999999998</v>
      </c>
      <c r="X230" s="108">
        <v>0</v>
      </c>
    </row>
    <row r="231" spans="1:24" ht="25.5" x14ac:dyDescent="0.2">
      <c r="A231" s="137">
        <v>221</v>
      </c>
      <c r="B231" s="59" t="s">
        <v>808</v>
      </c>
      <c r="C231" s="59" t="s">
        <v>788</v>
      </c>
      <c r="D231" s="106">
        <v>1350</v>
      </c>
      <c r="E231" s="107">
        <v>1500</v>
      </c>
      <c r="F231" s="107">
        <v>0</v>
      </c>
      <c r="G231" s="107">
        <v>0</v>
      </c>
      <c r="H231" s="107">
        <v>1600</v>
      </c>
      <c r="I231" s="107">
        <v>0</v>
      </c>
      <c r="J231" s="107">
        <v>0</v>
      </c>
      <c r="K231" s="107">
        <v>75</v>
      </c>
      <c r="L231" s="107">
        <v>0</v>
      </c>
      <c r="M231" s="107">
        <v>250</v>
      </c>
      <c r="N231" s="107">
        <v>2800</v>
      </c>
      <c r="O231" s="107">
        <v>0</v>
      </c>
      <c r="P231" s="107">
        <v>0</v>
      </c>
      <c r="Q231" s="108">
        <f t="shared" si="31"/>
        <v>7575</v>
      </c>
      <c r="R231" s="108">
        <f t="shared" si="28"/>
        <v>135.75</v>
      </c>
      <c r="S231" s="108">
        <f t="shared" si="30"/>
        <v>497.75</v>
      </c>
      <c r="T231" s="108">
        <v>5.65</v>
      </c>
      <c r="U231" s="108">
        <v>0</v>
      </c>
      <c r="V231" s="108">
        <f t="shared" si="32"/>
        <v>639.15</v>
      </c>
      <c r="W231" s="108">
        <f t="shared" si="29"/>
        <v>6935.85</v>
      </c>
      <c r="X231" s="108">
        <v>0</v>
      </c>
    </row>
    <row r="232" spans="1:24" ht="25.5" x14ac:dyDescent="0.2">
      <c r="A232" s="137">
        <v>222</v>
      </c>
      <c r="B232" s="59" t="s">
        <v>809</v>
      </c>
      <c r="C232" s="59" t="s">
        <v>580</v>
      </c>
      <c r="D232" s="106">
        <v>1476</v>
      </c>
      <c r="E232" s="107">
        <v>2000</v>
      </c>
      <c r="F232" s="107">
        <v>0</v>
      </c>
      <c r="G232" s="107">
        <v>1900</v>
      </c>
      <c r="H232" s="107">
        <v>0</v>
      </c>
      <c r="I232" s="107">
        <v>2600</v>
      </c>
      <c r="J232" s="107">
        <v>0</v>
      </c>
      <c r="K232" s="107">
        <v>50</v>
      </c>
      <c r="L232" s="107">
        <v>0</v>
      </c>
      <c r="M232" s="107">
        <v>250</v>
      </c>
      <c r="N232" s="107">
        <v>2800</v>
      </c>
      <c r="O232" s="107">
        <v>0</v>
      </c>
      <c r="P232" s="107">
        <v>0</v>
      </c>
      <c r="Q232" s="108">
        <f t="shared" si="31"/>
        <v>11076</v>
      </c>
      <c r="R232" s="108">
        <f t="shared" si="28"/>
        <v>240.78</v>
      </c>
      <c r="S232" s="108">
        <f t="shared" si="30"/>
        <v>882.86</v>
      </c>
      <c r="T232" s="108">
        <v>146.11000000000001</v>
      </c>
      <c r="U232" s="108">
        <v>0</v>
      </c>
      <c r="V232" s="108">
        <f t="shared" si="32"/>
        <v>1269.75</v>
      </c>
      <c r="W232" s="108">
        <f t="shared" si="29"/>
        <v>9806.25</v>
      </c>
      <c r="X232" s="108">
        <v>0</v>
      </c>
    </row>
    <row r="233" spans="1:24" x14ac:dyDescent="0.2">
      <c r="A233" s="137">
        <v>223</v>
      </c>
      <c r="B233" s="59" t="s">
        <v>810</v>
      </c>
      <c r="C233" s="59" t="s">
        <v>665</v>
      </c>
      <c r="D233" s="106">
        <v>1039</v>
      </c>
      <c r="E233" s="107">
        <v>400</v>
      </c>
      <c r="F233" s="107">
        <v>0</v>
      </c>
      <c r="G233" s="107">
        <v>1000</v>
      </c>
      <c r="H233" s="107">
        <v>0</v>
      </c>
      <c r="I233" s="107">
        <v>0</v>
      </c>
      <c r="J233" s="107">
        <v>0</v>
      </c>
      <c r="K233" s="107">
        <v>50</v>
      </c>
      <c r="L233" s="107">
        <v>200</v>
      </c>
      <c r="M233" s="107">
        <v>250</v>
      </c>
      <c r="N233" s="107">
        <v>2800</v>
      </c>
      <c r="O233" s="107">
        <v>0</v>
      </c>
      <c r="P233" s="107">
        <v>0</v>
      </c>
      <c r="Q233" s="108">
        <f t="shared" si="31"/>
        <v>5739</v>
      </c>
      <c r="R233" s="108">
        <f t="shared" si="28"/>
        <v>74.67</v>
      </c>
      <c r="S233" s="108">
        <f t="shared" si="30"/>
        <v>273.79000000000002</v>
      </c>
      <c r="T233" s="108">
        <v>0</v>
      </c>
      <c r="U233" s="108">
        <v>0</v>
      </c>
      <c r="V233" s="108">
        <f t="shared" si="32"/>
        <v>348.46</v>
      </c>
      <c r="W233" s="108">
        <f t="shared" si="29"/>
        <v>5390.54</v>
      </c>
      <c r="X233" s="108">
        <v>0</v>
      </c>
    </row>
    <row r="234" spans="1:24" ht="25.5" x14ac:dyDescent="0.2">
      <c r="A234" s="137">
        <v>224</v>
      </c>
      <c r="B234" s="59" t="s">
        <v>811</v>
      </c>
      <c r="C234" s="130" t="s">
        <v>573</v>
      </c>
      <c r="D234" s="106">
        <v>1350</v>
      </c>
      <c r="E234" s="107">
        <v>2000</v>
      </c>
      <c r="F234" s="107">
        <v>0</v>
      </c>
      <c r="G234" s="107">
        <v>0</v>
      </c>
      <c r="H234" s="107">
        <v>1600</v>
      </c>
      <c r="I234" s="107">
        <v>2900</v>
      </c>
      <c r="J234" s="107">
        <v>0</v>
      </c>
      <c r="K234" s="107">
        <v>75</v>
      </c>
      <c r="L234" s="107">
        <v>0</v>
      </c>
      <c r="M234" s="107">
        <v>250</v>
      </c>
      <c r="N234" s="107">
        <v>2800</v>
      </c>
      <c r="O234" s="107">
        <v>0</v>
      </c>
      <c r="P234" s="107">
        <v>0</v>
      </c>
      <c r="Q234" s="108">
        <f t="shared" si="31"/>
        <v>10975</v>
      </c>
      <c r="R234" s="108">
        <f t="shared" si="28"/>
        <v>237.75</v>
      </c>
      <c r="S234" s="108">
        <f t="shared" si="30"/>
        <v>871.75</v>
      </c>
      <c r="T234" s="108">
        <v>146.18</v>
      </c>
      <c r="U234" s="108">
        <v>0</v>
      </c>
      <c r="V234" s="108">
        <f t="shared" si="32"/>
        <v>1255.68</v>
      </c>
      <c r="W234" s="108">
        <f t="shared" si="29"/>
        <v>9719.32</v>
      </c>
      <c r="X234" s="108">
        <v>0</v>
      </c>
    </row>
    <row r="235" spans="1:24" ht="25.5" x14ac:dyDescent="0.2">
      <c r="A235" s="137">
        <v>225</v>
      </c>
      <c r="B235" s="131" t="s">
        <v>812</v>
      </c>
      <c r="C235" s="59" t="s">
        <v>650</v>
      </c>
      <c r="D235" s="107">
        <v>2425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2800</v>
      </c>
      <c r="O235" s="107">
        <v>0</v>
      </c>
      <c r="P235" s="107">
        <v>0</v>
      </c>
      <c r="Q235" s="108">
        <f t="shared" si="31"/>
        <v>5225</v>
      </c>
      <c r="R235" s="108">
        <f t="shared" si="28"/>
        <v>72.75</v>
      </c>
      <c r="S235" s="108">
        <f t="shared" si="30"/>
        <v>266.75</v>
      </c>
      <c r="T235" s="108">
        <v>0</v>
      </c>
      <c r="U235" s="108">
        <v>0</v>
      </c>
      <c r="V235" s="108">
        <f t="shared" si="32"/>
        <v>339.5</v>
      </c>
      <c r="W235" s="108">
        <f t="shared" si="29"/>
        <v>4885.5</v>
      </c>
      <c r="X235" s="108">
        <v>0</v>
      </c>
    </row>
    <row r="236" spans="1:24" ht="25.5" x14ac:dyDescent="0.2">
      <c r="A236" s="137">
        <v>226</v>
      </c>
      <c r="B236" s="131" t="s">
        <v>813</v>
      </c>
      <c r="C236" s="59" t="s">
        <v>650</v>
      </c>
      <c r="D236" s="107">
        <v>2425</v>
      </c>
      <c r="E236" s="107">
        <v>0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0</v>
      </c>
      <c r="N236" s="107">
        <v>2800</v>
      </c>
      <c r="O236" s="107">
        <v>0</v>
      </c>
      <c r="P236" s="107">
        <v>0</v>
      </c>
      <c r="Q236" s="108">
        <f t="shared" si="31"/>
        <v>5225</v>
      </c>
      <c r="R236" s="108">
        <f t="shared" si="28"/>
        <v>72.75</v>
      </c>
      <c r="S236" s="108">
        <f t="shared" si="30"/>
        <v>266.75</v>
      </c>
      <c r="T236" s="108">
        <v>0</v>
      </c>
      <c r="U236" s="108">
        <v>0</v>
      </c>
      <c r="V236" s="108">
        <f t="shared" si="32"/>
        <v>339.5</v>
      </c>
      <c r="W236" s="108">
        <f t="shared" si="29"/>
        <v>4885.5</v>
      </c>
      <c r="X236" s="108">
        <v>0</v>
      </c>
    </row>
    <row r="237" spans="1:24" ht="25.5" x14ac:dyDescent="0.2">
      <c r="A237" s="137">
        <v>227</v>
      </c>
      <c r="B237" s="59" t="s">
        <v>814</v>
      </c>
      <c r="C237" s="59" t="s">
        <v>954</v>
      </c>
      <c r="D237" s="106">
        <v>1476</v>
      </c>
      <c r="E237" s="107">
        <v>2000</v>
      </c>
      <c r="F237" s="107">
        <v>0</v>
      </c>
      <c r="G237" s="107">
        <v>0</v>
      </c>
      <c r="H237" s="107">
        <v>1900</v>
      </c>
      <c r="I237" s="107">
        <v>2600</v>
      </c>
      <c r="J237" s="107">
        <v>0</v>
      </c>
      <c r="K237" s="107">
        <v>35</v>
      </c>
      <c r="L237" s="107">
        <v>0</v>
      </c>
      <c r="M237" s="107">
        <v>250</v>
      </c>
      <c r="N237" s="107">
        <v>2800</v>
      </c>
      <c r="O237" s="107">
        <v>0</v>
      </c>
      <c r="P237" s="107">
        <v>0</v>
      </c>
      <c r="Q237" s="108">
        <f t="shared" si="31"/>
        <v>11061</v>
      </c>
      <c r="R237" s="108">
        <f t="shared" si="28"/>
        <v>240.33</v>
      </c>
      <c r="S237" s="108">
        <f t="shared" si="30"/>
        <v>881.21</v>
      </c>
      <c r="T237" s="108">
        <v>145.79</v>
      </c>
      <c r="U237" s="108">
        <v>0</v>
      </c>
      <c r="V237" s="108">
        <f t="shared" si="32"/>
        <v>1267.33</v>
      </c>
      <c r="W237" s="108">
        <f t="shared" si="29"/>
        <v>9793.67</v>
      </c>
      <c r="X237" s="108">
        <v>0</v>
      </c>
    </row>
    <row r="238" spans="1:24" ht="25.5" x14ac:dyDescent="0.2">
      <c r="A238" s="137">
        <v>228</v>
      </c>
      <c r="B238" s="59" t="s">
        <v>815</v>
      </c>
      <c r="C238" s="130" t="s">
        <v>573</v>
      </c>
      <c r="D238" s="106">
        <v>1350</v>
      </c>
      <c r="E238" s="107">
        <v>2000</v>
      </c>
      <c r="F238" s="107">
        <v>0</v>
      </c>
      <c r="G238" s="107">
        <v>0</v>
      </c>
      <c r="H238" s="107">
        <v>1600</v>
      </c>
      <c r="I238" s="107">
        <v>2900</v>
      </c>
      <c r="J238" s="107">
        <v>0</v>
      </c>
      <c r="K238" s="107">
        <v>75</v>
      </c>
      <c r="L238" s="107">
        <v>0</v>
      </c>
      <c r="M238" s="107">
        <v>250</v>
      </c>
      <c r="N238" s="107">
        <v>2800</v>
      </c>
      <c r="O238" s="107">
        <v>0</v>
      </c>
      <c r="P238" s="107">
        <v>0</v>
      </c>
      <c r="Q238" s="108">
        <f t="shared" si="31"/>
        <v>10975</v>
      </c>
      <c r="R238" s="108">
        <f t="shared" si="28"/>
        <v>237.75</v>
      </c>
      <c r="S238" s="108">
        <f t="shared" si="30"/>
        <v>871.75</v>
      </c>
      <c r="T238" s="108">
        <v>146.18</v>
      </c>
      <c r="U238" s="108">
        <v>0</v>
      </c>
      <c r="V238" s="108">
        <f t="shared" si="32"/>
        <v>1255.68</v>
      </c>
      <c r="W238" s="108">
        <f t="shared" si="29"/>
        <v>9719.32</v>
      </c>
      <c r="X238" s="108">
        <v>0</v>
      </c>
    </row>
    <row r="239" spans="1:24" ht="25.5" x14ac:dyDescent="0.2">
      <c r="A239" s="137">
        <v>229</v>
      </c>
      <c r="B239" s="59" t="s">
        <v>816</v>
      </c>
      <c r="C239" s="59" t="s">
        <v>788</v>
      </c>
      <c r="D239" s="106">
        <v>1350</v>
      </c>
      <c r="E239" s="107">
        <v>2000</v>
      </c>
      <c r="F239" s="107">
        <v>0</v>
      </c>
      <c r="G239" s="107">
        <v>1600</v>
      </c>
      <c r="H239" s="107">
        <v>0</v>
      </c>
      <c r="I239" s="107">
        <v>2900</v>
      </c>
      <c r="J239" s="107">
        <v>0</v>
      </c>
      <c r="K239" s="107">
        <v>35</v>
      </c>
      <c r="L239" s="107">
        <v>0</v>
      </c>
      <c r="M239" s="107">
        <v>250</v>
      </c>
      <c r="N239" s="107">
        <v>2800</v>
      </c>
      <c r="O239" s="107">
        <v>0</v>
      </c>
      <c r="P239" s="107">
        <v>0</v>
      </c>
      <c r="Q239" s="108">
        <f t="shared" si="31"/>
        <v>10935</v>
      </c>
      <c r="R239" s="108">
        <f t="shared" si="28"/>
        <v>236.55</v>
      </c>
      <c r="S239" s="108">
        <f t="shared" si="30"/>
        <v>867.35</v>
      </c>
      <c r="T239" s="108">
        <v>639</v>
      </c>
      <c r="U239" s="108">
        <v>0</v>
      </c>
      <c r="V239" s="108">
        <f t="shared" si="32"/>
        <v>1742.9</v>
      </c>
      <c r="W239" s="108">
        <f t="shared" si="29"/>
        <v>9192.1</v>
      </c>
      <c r="X239" s="108">
        <v>0</v>
      </c>
    </row>
    <row r="240" spans="1:24" s="94" customFormat="1" ht="25.5" x14ac:dyDescent="0.2">
      <c r="A240" s="137">
        <v>230</v>
      </c>
      <c r="B240" s="130" t="s">
        <v>817</v>
      </c>
      <c r="C240" s="130" t="s">
        <v>595</v>
      </c>
      <c r="D240" s="107">
        <v>485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107">
        <v>0</v>
      </c>
      <c r="K240" s="107">
        <v>0</v>
      </c>
      <c r="L240" s="107">
        <v>0</v>
      </c>
      <c r="M240" s="107">
        <v>0</v>
      </c>
      <c r="N240" s="107">
        <v>2800</v>
      </c>
      <c r="O240" s="107">
        <v>0</v>
      </c>
      <c r="P240" s="107">
        <v>0</v>
      </c>
      <c r="Q240" s="108">
        <f t="shared" si="31"/>
        <v>3285</v>
      </c>
      <c r="R240" s="108">
        <f t="shared" si="28"/>
        <v>14.55</v>
      </c>
      <c r="S240" s="108">
        <f t="shared" ref="S240:S274" si="33">(D240+E240+F240+G240+H240+I240+J240+K240+O240)*11%</f>
        <v>53.35</v>
      </c>
      <c r="T240" s="108">
        <v>0</v>
      </c>
      <c r="U240" s="108">
        <v>0</v>
      </c>
      <c r="V240" s="108">
        <f t="shared" si="32"/>
        <v>67.900000000000006</v>
      </c>
      <c r="W240" s="108">
        <f t="shared" si="29"/>
        <v>3217.1</v>
      </c>
      <c r="X240" s="108">
        <v>0</v>
      </c>
    </row>
    <row r="241" spans="1:24" s="94" customFormat="1" x14ac:dyDescent="0.2">
      <c r="A241" s="137">
        <v>231</v>
      </c>
      <c r="B241" s="136" t="s">
        <v>965</v>
      </c>
      <c r="C241" s="168" t="s">
        <v>966</v>
      </c>
      <c r="D241" s="107">
        <v>1960</v>
      </c>
      <c r="E241" s="107">
        <v>0</v>
      </c>
      <c r="F241" s="107">
        <v>0</v>
      </c>
      <c r="G241" s="107">
        <v>1000</v>
      </c>
      <c r="H241" s="107">
        <v>0</v>
      </c>
      <c r="I241" s="107">
        <v>0</v>
      </c>
      <c r="J241" s="107">
        <v>0</v>
      </c>
      <c r="K241" s="107">
        <v>0</v>
      </c>
      <c r="L241" s="107">
        <v>0</v>
      </c>
      <c r="M241" s="107">
        <v>250</v>
      </c>
      <c r="N241" s="107">
        <v>0</v>
      </c>
      <c r="O241" s="107"/>
      <c r="P241" s="107">
        <v>0</v>
      </c>
      <c r="Q241" s="108">
        <f t="shared" si="31"/>
        <v>3210</v>
      </c>
      <c r="R241" s="108">
        <f t="shared" si="28"/>
        <v>88.8</v>
      </c>
      <c r="S241" s="108">
        <f t="shared" si="33"/>
        <v>325.60000000000002</v>
      </c>
      <c r="T241" s="108">
        <v>0</v>
      </c>
      <c r="U241" s="108">
        <v>0</v>
      </c>
      <c r="V241" s="108">
        <f t="shared" si="32"/>
        <v>414.4</v>
      </c>
      <c r="W241" s="108">
        <f t="shared" si="29"/>
        <v>2795.6</v>
      </c>
      <c r="X241" s="108">
        <v>0</v>
      </c>
    </row>
    <row r="242" spans="1:24" ht="25.5" x14ac:dyDescent="0.2">
      <c r="A242" s="137">
        <v>232</v>
      </c>
      <c r="B242" s="59" t="s">
        <v>818</v>
      </c>
      <c r="C242" s="59" t="s">
        <v>788</v>
      </c>
      <c r="D242" s="106">
        <v>1350</v>
      </c>
      <c r="E242" s="107">
        <v>1500</v>
      </c>
      <c r="F242" s="107">
        <v>0</v>
      </c>
      <c r="G242" s="107">
        <v>0</v>
      </c>
      <c r="H242" s="107">
        <v>1600</v>
      </c>
      <c r="I242" s="107">
        <v>0</v>
      </c>
      <c r="J242" s="107">
        <v>0</v>
      </c>
      <c r="K242" s="107">
        <v>75</v>
      </c>
      <c r="L242" s="107">
        <v>0</v>
      </c>
      <c r="M242" s="107">
        <v>250</v>
      </c>
      <c r="N242" s="107">
        <v>2800</v>
      </c>
      <c r="O242" s="107">
        <v>0</v>
      </c>
      <c r="P242" s="107">
        <v>0</v>
      </c>
      <c r="Q242" s="108">
        <f t="shared" si="31"/>
        <v>7575</v>
      </c>
      <c r="R242" s="108">
        <f t="shared" si="28"/>
        <v>135.75</v>
      </c>
      <c r="S242" s="108">
        <f t="shared" si="33"/>
        <v>497.75</v>
      </c>
      <c r="T242" s="108">
        <v>0</v>
      </c>
      <c r="U242" s="108">
        <v>0</v>
      </c>
      <c r="V242" s="108">
        <f>SUM(R242:U242)</f>
        <v>633.5</v>
      </c>
      <c r="W242" s="108">
        <f t="shared" si="29"/>
        <v>6941.5</v>
      </c>
      <c r="X242" s="108">
        <v>0</v>
      </c>
    </row>
    <row r="243" spans="1:24" ht="25.5" x14ac:dyDescent="0.2">
      <c r="A243" s="137">
        <v>233</v>
      </c>
      <c r="B243" s="59" t="s">
        <v>819</v>
      </c>
      <c r="C243" s="59" t="s">
        <v>954</v>
      </c>
      <c r="D243" s="106">
        <v>1476</v>
      </c>
      <c r="E243" s="107">
        <v>2000</v>
      </c>
      <c r="F243" s="107">
        <v>0</v>
      </c>
      <c r="G243" s="107">
        <v>0</v>
      </c>
      <c r="H243" s="107">
        <v>1900</v>
      </c>
      <c r="I243" s="107">
        <v>2600</v>
      </c>
      <c r="J243" s="107">
        <v>0</v>
      </c>
      <c r="K243" s="107">
        <v>75</v>
      </c>
      <c r="L243" s="107">
        <v>0</v>
      </c>
      <c r="M243" s="107">
        <v>250</v>
      </c>
      <c r="N243" s="107">
        <v>2800</v>
      </c>
      <c r="O243" s="107">
        <v>0</v>
      </c>
      <c r="P243" s="107">
        <v>0</v>
      </c>
      <c r="Q243" s="108">
        <f t="shared" si="31"/>
        <v>11101</v>
      </c>
      <c r="R243" s="108">
        <f t="shared" si="28"/>
        <v>241.53</v>
      </c>
      <c r="S243" s="108">
        <f t="shared" si="33"/>
        <v>885.61</v>
      </c>
      <c r="T243" s="108">
        <v>146.41</v>
      </c>
      <c r="U243" s="108">
        <v>0</v>
      </c>
      <c r="V243" s="108">
        <f>SUM(R243:U243)</f>
        <v>1273.55</v>
      </c>
      <c r="W243" s="108">
        <f t="shared" si="29"/>
        <v>9827.4500000000007</v>
      </c>
      <c r="X243" s="108">
        <f>829.95</f>
        <v>829.95</v>
      </c>
    </row>
    <row r="244" spans="1:24" ht="25.5" x14ac:dyDescent="0.2">
      <c r="A244" s="137">
        <v>234</v>
      </c>
      <c r="B244" s="168" t="s">
        <v>976</v>
      </c>
      <c r="C244" s="168" t="s">
        <v>977</v>
      </c>
      <c r="D244" s="106">
        <v>1012.5</v>
      </c>
      <c r="E244" s="107">
        <v>1200</v>
      </c>
      <c r="F244" s="107">
        <v>0</v>
      </c>
      <c r="G244" s="107">
        <v>0</v>
      </c>
      <c r="H244" s="107">
        <v>2175</v>
      </c>
      <c r="I244" s="107">
        <v>0</v>
      </c>
      <c r="J244" s="107">
        <v>0</v>
      </c>
      <c r="K244" s="107">
        <v>0</v>
      </c>
      <c r="L244" s="107">
        <v>0</v>
      </c>
      <c r="M244" s="107">
        <v>250</v>
      </c>
      <c r="N244" s="107">
        <v>0</v>
      </c>
      <c r="O244" s="107">
        <v>0</v>
      </c>
      <c r="P244" s="107">
        <v>0</v>
      </c>
      <c r="Q244" s="108">
        <f t="shared" si="31"/>
        <v>4637.5</v>
      </c>
      <c r="R244" s="108">
        <f t="shared" si="28"/>
        <v>131.63</v>
      </c>
      <c r="S244" s="108">
        <f t="shared" si="33"/>
        <v>482.63</v>
      </c>
      <c r="T244" s="108"/>
      <c r="U244" s="108"/>
      <c r="V244" s="108"/>
      <c r="W244" s="108">
        <f t="shared" si="29"/>
        <v>4637.5</v>
      </c>
      <c r="X244" s="108">
        <v>0</v>
      </c>
    </row>
    <row r="245" spans="1:24" ht="25.5" x14ac:dyDescent="0.2">
      <c r="A245" s="137">
        <v>235</v>
      </c>
      <c r="B245" s="59" t="s">
        <v>820</v>
      </c>
      <c r="C245" s="59" t="s">
        <v>568</v>
      </c>
      <c r="D245" s="106">
        <v>1634</v>
      </c>
      <c r="E245" s="107">
        <v>2400</v>
      </c>
      <c r="F245" s="107">
        <v>0</v>
      </c>
      <c r="G245" s="107">
        <v>0</v>
      </c>
      <c r="H245" s="107">
        <v>3000</v>
      </c>
      <c r="I245" s="107">
        <v>2400</v>
      </c>
      <c r="J245" s="107">
        <v>0</v>
      </c>
      <c r="K245" s="107">
        <v>75</v>
      </c>
      <c r="L245" s="107">
        <v>0</v>
      </c>
      <c r="M245" s="107">
        <v>250</v>
      </c>
      <c r="N245" s="107">
        <v>2800</v>
      </c>
      <c r="O245" s="107">
        <v>0</v>
      </c>
      <c r="P245" s="107">
        <v>0</v>
      </c>
      <c r="Q245" s="108">
        <f t="shared" si="31"/>
        <v>12559</v>
      </c>
      <c r="R245" s="108">
        <f t="shared" si="28"/>
        <v>285.27</v>
      </c>
      <c r="S245" s="108">
        <f t="shared" si="33"/>
        <v>1045.99</v>
      </c>
      <c r="T245" s="108">
        <v>203.2</v>
      </c>
      <c r="U245" s="108">
        <v>0</v>
      </c>
      <c r="V245" s="108">
        <f t="shared" ref="V245:V253" si="34">SUM(R245:U245)</f>
        <v>1534.46</v>
      </c>
      <c r="W245" s="108">
        <f t="shared" si="29"/>
        <v>11024.54</v>
      </c>
      <c r="X245" s="108">
        <v>0</v>
      </c>
    </row>
    <row r="246" spans="1:24" ht="25.5" x14ac:dyDescent="0.2">
      <c r="A246" s="137">
        <v>236</v>
      </c>
      <c r="B246" s="59" t="s">
        <v>821</v>
      </c>
      <c r="C246" s="59" t="s">
        <v>575</v>
      </c>
      <c r="D246" s="106">
        <v>1476</v>
      </c>
      <c r="E246" s="107">
        <v>2000</v>
      </c>
      <c r="F246" s="107">
        <v>0</v>
      </c>
      <c r="G246" s="107">
        <v>0</v>
      </c>
      <c r="H246" s="107">
        <v>1900</v>
      </c>
      <c r="I246" s="107">
        <v>2600</v>
      </c>
      <c r="J246" s="107">
        <v>0</v>
      </c>
      <c r="K246" s="107">
        <v>0</v>
      </c>
      <c r="L246" s="107">
        <v>0</v>
      </c>
      <c r="M246" s="107">
        <v>250</v>
      </c>
      <c r="N246" s="107">
        <v>2800</v>
      </c>
      <c r="O246" s="107">
        <v>0</v>
      </c>
      <c r="P246" s="107">
        <v>0</v>
      </c>
      <c r="Q246" s="108">
        <f t="shared" si="31"/>
        <v>11026</v>
      </c>
      <c r="R246" s="108">
        <f t="shared" si="28"/>
        <v>239.28</v>
      </c>
      <c r="S246" s="108">
        <f t="shared" si="33"/>
        <v>877.36</v>
      </c>
      <c r="T246" s="108">
        <v>148.33000000000001</v>
      </c>
      <c r="U246" s="108">
        <v>0</v>
      </c>
      <c r="V246" s="108">
        <f t="shared" si="34"/>
        <v>1264.97</v>
      </c>
      <c r="W246" s="108">
        <f t="shared" si="29"/>
        <v>9761.0300000000007</v>
      </c>
      <c r="X246" s="108">
        <v>0</v>
      </c>
    </row>
    <row r="247" spans="1:24" ht="25.5" x14ac:dyDescent="0.2">
      <c r="A247" s="137">
        <v>237</v>
      </c>
      <c r="B247" s="59" t="s">
        <v>822</v>
      </c>
      <c r="C247" s="59" t="s">
        <v>568</v>
      </c>
      <c r="D247" s="106">
        <v>1634</v>
      </c>
      <c r="E247" s="107">
        <v>2400</v>
      </c>
      <c r="F247" s="107">
        <v>0</v>
      </c>
      <c r="G247" s="107">
        <v>0</v>
      </c>
      <c r="H247" s="107">
        <v>3000</v>
      </c>
      <c r="I247" s="107">
        <v>2400</v>
      </c>
      <c r="J247" s="107">
        <v>0</v>
      </c>
      <c r="K247" s="107">
        <v>75</v>
      </c>
      <c r="L247" s="107">
        <v>0</v>
      </c>
      <c r="M247" s="107">
        <v>250</v>
      </c>
      <c r="N247" s="107">
        <v>2800</v>
      </c>
      <c r="O247" s="107">
        <v>0</v>
      </c>
      <c r="P247" s="107">
        <v>0</v>
      </c>
      <c r="Q247" s="108">
        <f t="shared" si="31"/>
        <v>12559</v>
      </c>
      <c r="R247" s="108">
        <f t="shared" si="28"/>
        <v>285.27</v>
      </c>
      <c r="S247" s="108">
        <f t="shared" si="33"/>
        <v>1045.99</v>
      </c>
      <c r="T247" s="108">
        <v>207.96</v>
      </c>
      <c r="U247" s="108">
        <v>0</v>
      </c>
      <c r="V247" s="108">
        <f t="shared" si="34"/>
        <v>1539.22</v>
      </c>
      <c r="W247" s="108">
        <f t="shared" si="29"/>
        <v>11019.78</v>
      </c>
      <c r="X247" s="108">
        <v>0</v>
      </c>
    </row>
    <row r="248" spans="1:24" ht="25.5" x14ac:dyDescent="0.2">
      <c r="A248" s="137">
        <v>238</v>
      </c>
      <c r="B248" s="59" t="s">
        <v>823</v>
      </c>
      <c r="C248" s="59" t="s">
        <v>954</v>
      </c>
      <c r="D248" s="106">
        <v>1476</v>
      </c>
      <c r="E248" s="107">
        <v>2000</v>
      </c>
      <c r="F248" s="107">
        <v>0</v>
      </c>
      <c r="G248" s="107">
        <v>0</v>
      </c>
      <c r="H248" s="107">
        <v>1900</v>
      </c>
      <c r="I248" s="107">
        <v>2600</v>
      </c>
      <c r="J248" s="107">
        <v>0</v>
      </c>
      <c r="K248" s="107">
        <v>75</v>
      </c>
      <c r="L248" s="107">
        <v>0</v>
      </c>
      <c r="M248" s="107">
        <v>250</v>
      </c>
      <c r="N248" s="107">
        <v>2800</v>
      </c>
      <c r="O248" s="107">
        <v>0</v>
      </c>
      <c r="P248" s="107">
        <v>0</v>
      </c>
      <c r="Q248" s="108">
        <f t="shared" si="31"/>
        <v>11101</v>
      </c>
      <c r="R248" s="108">
        <f t="shared" si="28"/>
        <v>241.53</v>
      </c>
      <c r="S248" s="108">
        <f t="shared" si="33"/>
        <v>885.61</v>
      </c>
      <c r="T248" s="108">
        <v>146.41</v>
      </c>
      <c r="U248" s="108">
        <v>0</v>
      </c>
      <c r="V248" s="108">
        <f t="shared" si="34"/>
        <v>1273.55</v>
      </c>
      <c r="W248" s="108">
        <f t="shared" si="29"/>
        <v>9827.4500000000007</v>
      </c>
      <c r="X248" s="108">
        <f>911.59</f>
        <v>911.59</v>
      </c>
    </row>
    <row r="249" spans="1:24" ht="25.5" x14ac:dyDescent="0.2">
      <c r="A249" s="137">
        <v>239</v>
      </c>
      <c r="B249" s="59" t="s">
        <v>824</v>
      </c>
      <c r="C249" s="59" t="s">
        <v>954</v>
      </c>
      <c r="D249" s="106">
        <v>1476</v>
      </c>
      <c r="E249" s="107">
        <v>2000</v>
      </c>
      <c r="F249" s="107">
        <v>0</v>
      </c>
      <c r="G249" s="107">
        <v>0</v>
      </c>
      <c r="H249" s="107">
        <v>1900</v>
      </c>
      <c r="I249" s="107">
        <v>2600</v>
      </c>
      <c r="J249" s="107">
        <v>0</v>
      </c>
      <c r="K249" s="107">
        <v>75</v>
      </c>
      <c r="L249" s="107">
        <v>0</v>
      </c>
      <c r="M249" s="107">
        <v>250</v>
      </c>
      <c r="N249" s="107">
        <v>2800</v>
      </c>
      <c r="O249" s="107">
        <v>0</v>
      </c>
      <c r="P249" s="107">
        <v>0</v>
      </c>
      <c r="Q249" s="108">
        <f t="shared" si="31"/>
        <v>11101</v>
      </c>
      <c r="R249" s="108">
        <f t="shared" si="28"/>
        <v>241.53</v>
      </c>
      <c r="S249" s="108">
        <f t="shared" si="33"/>
        <v>885.61</v>
      </c>
      <c r="T249" s="108">
        <v>146.41</v>
      </c>
      <c r="U249" s="108">
        <v>0</v>
      </c>
      <c r="V249" s="108">
        <f t="shared" si="34"/>
        <v>1273.55</v>
      </c>
      <c r="W249" s="108">
        <f t="shared" si="29"/>
        <v>9827.4500000000007</v>
      </c>
      <c r="X249" s="108">
        <f>972</f>
        <v>972</v>
      </c>
    </row>
    <row r="250" spans="1:24" ht="25.5" x14ac:dyDescent="0.2">
      <c r="A250" s="137">
        <v>240</v>
      </c>
      <c r="B250" s="59" t="s">
        <v>825</v>
      </c>
      <c r="C250" s="59" t="s">
        <v>954</v>
      </c>
      <c r="D250" s="106">
        <v>1476</v>
      </c>
      <c r="E250" s="107">
        <v>2000</v>
      </c>
      <c r="F250" s="107">
        <v>0</v>
      </c>
      <c r="G250" s="107">
        <v>0</v>
      </c>
      <c r="H250" s="107">
        <v>1900</v>
      </c>
      <c r="I250" s="107">
        <v>2600</v>
      </c>
      <c r="J250" s="107">
        <v>0</v>
      </c>
      <c r="K250" s="107">
        <v>75</v>
      </c>
      <c r="L250" s="107">
        <v>0</v>
      </c>
      <c r="M250" s="107">
        <v>250</v>
      </c>
      <c r="N250" s="107">
        <v>2800</v>
      </c>
      <c r="O250" s="107">
        <v>0</v>
      </c>
      <c r="P250" s="107">
        <v>0</v>
      </c>
      <c r="Q250" s="108">
        <f t="shared" si="31"/>
        <v>11101</v>
      </c>
      <c r="R250" s="108">
        <f t="shared" si="28"/>
        <v>241.53</v>
      </c>
      <c r="S250" s="108">
        <f t="shared" si="33"/>
        <v>885.61</v>
      </c>
      <c r="T250" s="108">
        <v>146.41</v>
      </c>
      <c r="U250" s="108">
        <v>0</v>
      </c>
      <c r="V250" s="108">
        <f t="shared" si="34"/>
        <v>1273.55</v>
      </c>
      <c r="W250" s="108">
        <f t="shared" si="29"/>
        <v>9827.4500000000007</v>
      </c>
      <c r="X250" s="108">
        <f>681</f>
        <v>681</v>
      </c>
    </row>
    <row r="251" spans="1:24" ht="30.75" customHeight="1" x14ac:dyDescent="0.2">
      <c r="A251" s="137">
        <v>241</v>
      </c>
      <c r="B251" s="59" t="s">
        <v>826</v>
      </c>
      <c r="C251" s="59" t="s">
        <v>571</v>
      </c>
      <c r="D251" s="106">
        <v>1074</v>
      </c>
      <c r="E251" s="107">
        <v>400</v>
      </c>
      <c r="F251" s="107">
        <v>0</v>
      </c>
      <c r="G251" s="107">
        <v>1000</v>
      </c>
      <c r="H251" s="107">
        <v>0</v>
      </c>
      <c r="I251" s="107">
        <v>0</v>
      </c>
      <c r="J251" s="107">
        <v>0</v>
      </c>
      <c r="K251" s="107">
        <v>0</v>
      </c>
      <c r="L251" s="107">
        <v>200</v>
      </c>
      <c r="M251" s="107">
        <v>250</v>
      </c>
      <c r="N251" s="107">
        <v>2800</v>
      </c>
      <c r="O251" s="107">
        <v>0</v>
      </c>
      <c r="P251" s="107">
        <v>0</v>
      </c>
      <c r="Q251" s="108">
        <f t="shared" si="31"/>
        <v>5724</v>
      </c>
      <c r="R251" s="108">
        <f t="shared" si="28"/>
        <v>74.22</v>
      </c>
      <c r="S251" s="108">
        <f t="shared" si="33"/>
        <v>272.14</v>
      </c>
      <c r="T251" s="108">
        <v>0</v>
      </c>
      <c r="U251" s="108">
        <v>0</v>
      </c>
      <c r="V251" s="108">
        <f t="shared" si="34"/>
        <v>346.36</v>
      </c>
      <c r="W251" s="108">
        <f t="shared" si="29"/>
        <v>5377.64</v>
      </c>
      <c r="X251" s="108">
        <v>0</v>
      </c>
    </row>
    <row r="252" spans="1:24" ht="25.5" x14ac:dyDescent="0.2">
      <c r="A252" s="137">
        <v>242</v>
      </c>
      <c r="B252" s="59" t="s">
        <v>827</v>
      </c>
      <c r="C252" s="59" t="s">
        <v>674</v>
      </c>
      <c r="D252" s="106">
        <v>1253</v>
      </c>
      <c r="E252" s="107">
        <v>550</v>
      </c>
      <c r="F252" s="107">
        <v>0</v>
      </c>
      <c r="G252" s="107">
        <v>1000</v>
      </c>
      <c r="H252" s="107">
        <v>0</v>
      </c>
      <c r="I252" s="107">
        <v>0</v>
      </c>
      <c r="J252" s="107">
        <v>0</v>
      </c>
      <c r="K252" s="107">
        <v>50</v>
      </c>
      <c r="L252" s="107">
        <v>0</v>
      </c>
      <c r="M252" s="107">
        <v>250</v>
      </c>
      <c r="N252" s="107">
        <v>2800</v>
      </c>
      <c r="O252" s="107">
        <v>0</v>
      </c>
      <c r="P252" s="107">
        <v>0</v>
      </c>
      <c r="Q252" s="108">
        <f t="shared" si="31"/>
        <v>5903</v>
      </c>
      <c r="R252" s="108">
        <f t="shared" si="28"/>
        <v>85.59</v>
      </c>
      <c r="S252" s="108">
        <f t="shared" si="33"/>
        <v>313.83</v>
      </c>
      <c r="T252" s="108">
        <v>0</v>
      </c>
      <c r="U252" s="108">
        <v>38.340000000000003</v>
      </c>
      <c r="V252" s="108">
        <f t="shared" si="34"/>
        <v>437.76</v>
      </c>
      <c r="W252" s="108">
        <f t="shared" si="29"/>
        <v>5465.24</v>
      </c>
      <c r="X252" s="108">
        <v>0</v>
      </c>
    </row>
    <row r="253" spans="1:24" ht="25.5" x14ac:dyDescent="0.2">
      <c r="A253" s="137">
        <v>243</v>
      </c>
      <c r="B253" s="59" t="s">
        <v>828</v>
      </c>
      <c r="C253" s="59" t="s">
        <v>665</v>
      </c>
      <c r="D253" s="106">
        <v>1039</v>
      </c>
      <c r="E253" s="107">
        <v>400</v>
      </c>
      <c r="F253" s="107">
        <v>0</v>
      </c>
      <c r="G253" s="107">
        <v>1000</v>
      </c>
      <c r="H253" s="107">
        <v>0</v>
      </c>
      <c r="I253" s="107">
        <v>0</v>
      </c>
      <c r="J253" s="107">
        <v>0</v>
      </c>
      <c r="K253" s="107">
        <v>50</v>
      </c>
      <c r="L253" s="107">
        <v>200</v>
      </c>
      <c r="M253" s="107">
        <v>250</v>
      </c>
      <c r="N253" s="107">
        <v>0</v>
      </c>
      <c r="O253" s="107">
        <v>0</v>
      </c>
      <c r="P253" s="107">
        <v>0</v>
      </c>
      <c r="Q253" s="108">
        <f t="shared" si="31"/>
        <v>2939</v>
      </c>
      <c r="R253" s="108">
        <f t="shared" si="28"/>
        <v>74.67</v>
      </c>
      <c r="S253" s="108">
        <f t="shared" si="33"/>
        <v>273.79000000000002</v>
      </c>
      <c r="T253" s="108">
        <v>0</v>
      </c>
      <c r="U253" s="108">
        <v>0</v>
      </c>
      <c r="V253" s="108">
        <f t="shared" si="34"/>
        <v>348.46</v>
      </c>
      <c r="W253" s="108">
        <f t="shared" si="29"/>
        <v>2590.54</v>
      </c>
      <c r="X253" s="108">
        <v>0</v>
      </c>
    </row>
    <row r="254" spans="1:24" ht="25.5" x14ac:dyDescent="0.2">
      <c r="A254" s="137">
        <v>244</v>
      </c>
      <c r="B254" s="59" t="s">
        <v>829</v>
      </c>
      <c r="C254" s="59" t="s">
        <v>595</v>
      </c>
      <c r="D254" s="106">
        <f>485*2</f>
        <v>970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0</v>
      </c>
      <c r="K254" s="107">
        <v>0</v>
      </c>
      <c r="L254" s="107">
        <v>0</v>
      </c>
      <c r="M254" s="107">
        <v>0</v>
      </c>
      <c r="N254" s="107">
        <v>2800</v>
      </c>
      <c r="O254" s="107">
        <v>0</v>
      </c>
      <c r="P254" s="107">
        <v>0</v>
      </c>
      <c r="Q254" s="108">
        <f t="shared" si="31"/>
        <v>3770</v>
      </c>
      <c r="R254" s="108">
        <f t="shared" si="28"/>
        <v>29.1</v>
      </c>
      <c r="S254" s="108">
        <f t="shared" si="33"/>
        <v>106.7</v>
      </c>
      <c r="T254" s="108">
        <v>9.64</v>
      </c>
      <c r="U254" s="108">
        <v>0</v>
      </c>
      <c r="V254" s="108">
        <f t="shared" ref="V254:V285" si="35">SUM(R254:U254)</f>
        <v>145.44</v>
      </c>
      <c r="W254" s="108">
        <f t="shared" si="29"/>
        <v>3624.56</v>
      </c>
      <c r="X254" s="108">
        <v>0</v>
      </c>
    </row>
    <row r="255" spans="1:24" ht="25.5" x14ac:dyDescent="0.2">
      <c r="A255" s="137">
        <v>245</v>
      </c>
      <c r="B255" s="59" t="s">
        <v>830</v>
      </c>
      <c r="C255" s="59" t="s">
        <v>665</v>
      </c>
      <c r="D255" s="106">
        <v>1039</v>
      </c>
      <c r="E255" s="107">
        <v>400</v>
      </c>
      <c r="F255" s="107">
        <v>0</v>
      </c>
      <c r="G255" s="107">
        <v>1000</v>
      </c>
      <c r="H255" s="107">
        <v>0</v>
      </c>
      <c r="I255" s="107">
        <v>0</v>
      </c>
      <c r="J255" s="107">
        <v>0</v>
      </c>
      <c r="K255" s="107">
        <v>50</v>
      </c>
      <c r="L255" s="107">
        <v>200</v>
      </c>
      <c r="M255" s="107">
        <v>250</v>
      </c>
      <c r="N255" s="107">
        <v>2800</v>
      </c>
      <c r="O255" s="107">
        <v>0</v>
      </c>
      <c r="P255" s="107">
        <v>0</v>
      </c>
      <c r="Q255" s="108">
        <f t="shared" ref="Q255:Q286" si="36">SUM(D255:O255)</f>
        <v>5739</v>
      </c>
      <c r="R255" s="108">
        <f t="shared" si="28"/>
        <v>74.67</v>
      </c>
      <c r="S255" s="108">
        <f t="shared" si="33"/>
        <v>273.79000000000002</v>
      </c>
      <c r="T255" s="108">
        <v>0</v>
      </c>
      <c r="U255" s="108">
        <v>0</v>
      </c>
      <c r="V255" s="108">
        <f t="shared" si="35"/>
        <v>348.46</v>
      </c>
      <c r="W255" s="108">
        <f t="shared" si="29"/>
        <v>5390.54</v>
      </c>
      <c r="X255" s="108">
        <v>0</v>
      </c>
    </row>
    <row r="256" spans="1:24" ht="25.5" x14ac:dyDescent="0.2">
      <c r="A256" s="137">
        <v>246</v>
      </c>
      <c r="B256" s="59" t="s">
        <v>831</v>
      </c>
      <c r="C256" s="59" t="s">
        <v>832</v>
      </c>
      <c r="D256" s="106">
        <v>1039</v>
      </c>
      <c r="E256" s="107">
        <v>400</v>
      </c>
      <c r="F256" s="107">
        <v>0</v>
      </c>
      <c r="G256" s="107">
        <v>1000</v>
      </c>
      <c r="H256" s="107">
        <v>0</v>
      </c>
      <c r="I256" s="107">
        <v>0</v>
      </c>
      <c r="J256" s="107">
        <v>0</v>
      </c>
      <c r="K256" s="107">
        <v>0</v>
      </c>
      <c r="L256" s="107">
        <v>200</v>
      </c>
      <c r="M256" s="107">
        <v>250</v>
      </c>
      <c r="N256" s="107">
        <v>2800</v>
      </c>
      <c r="O256" s="107">
        <v>0</v>
      </c>
      <c r="P256" s="107">
        <v>0</v>
      </c>
      <c r="Q256" s="108">
        <f t="shared" si="36"/>
        <v>5689</v>
      </c>
      <c r="R256" s="108">
        <f t="shared" si="28"/>
        <v>73.17</v>
      </c>
      <c r="S256" s="108">
        <f t="shared" si="33"/>
        <v>268.29000000000002</v>
      </c>
      <c r="T256" s="108">
        <v>0</v>
      </c>
      <c r="U256" s="108">
        <v>0</v>
      </c>
      <c r="V256" s="108">
        <f t="shared" si="35"/>
        <v>341.46</v>
      </c>
      <c r="W256" s="108">
        <f t="shared" si="29"/>
        <v>5347.54</v>
      </c>
      <c r="X256" s="108">
        <v>0</v>
      </c>
    </row>
    <row r="257" spans="1:24" ht="25.5" x14ac:dyDescent="0.2">
      <c r="A257" s="137">
        <v>247</v>
      </c>
      <c r="B257" s="59" t="s">
        <v>833</v>
      </c>
      <c r="C257" s="59" t="s">
        <v>950</v>
      </c>
      <c r="D257" s="106">
        <v>1381</v>
      </c>
      <c r="E257" s="107">
        <v>600</v>
      </c>
      <c r="F257" s="107">
        <v>0</v>
      </c>
      <c r="G257" s="107">
        <v>1000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250</v>
      </c>
      <c r="N257" s="107">
        <v>0</v>
      </c>
      <c r="O257" s="107">
        <v>0</v>
      </c>
      <c r="P257" s="107">
        <v>0</v>
      </c>
      <c r="Q257" s="108">
        <f t="shared" si="36"/>
        <v>3231</v>
      </c>
      <c r="R257" s="108">
        <f t="shared" si="28"/>
        <v>89.43</v>
      </c>
      <c r="S257" s="108">
        <f t="shared" si="33"/>
        <v>327.91</v>
      </c>
      <c r="T257" s="108">
        <v>0</v>
      </c>
      <c r="U257" s="108">
        <v>40.06</v>
      </c>
      <c r="V257" s="108">
        <f t="shared" si="35"/>
        <v>457.4</v>
      </c>
      <c r="W257" s="108">
        <f t="shared" si="29"/>
        <v>2773.6</v>
      </c>
      <c r="X257" s="108">
        <v>0</v>
      </c>
    </row>
    <row r="258" spans="1:24" ht="25.5" x14ac:dyDescent="0.2">
      <c r="A258" s="137">
        <v>248</v>
      </c>
      <c r="B258" s="59" t="s">
        <v>834</v>
      </c>
      <c r="C258" s="59" t="s">
        <v>958</v>
      </c>
      <c r="D258" s="106">
        <v>1575</v>
      </c>
      <c r="E258" s="107">
        <v>816</v>
      </c>
      <c r="F258" s="107">
        <v>0</v>
      </c>
      <c r="G258" s="107">
        <v>1000</v>
      </c>
      <c r="H258" s="107">
        <v>0</v>
      </c>
      <c r="I258" s="107">
        <v>0</v>
      </c>
      <c r="J258" s="107">
        <v>0</v>
      </c>
      <c r="K258" s="107">
        <v>75</v>
      </c>
      <c r="L258" s="107">
        <v>0</v>
      </c>
      <c r="M258" s="107">
        <v>250</v>
      </c>
      <c r="N258" s="107">
        <v>0</v>
      </c>
      <c r="O258" s="107">
        <v>0</v>
      </c>
      <c r="P258" s="107">
        <v>0</v>
      </c>
      <c r="Q258" s="108">
        <f t="shared" si="36"/>
        <v>3716</v>
      </c>
      <c r="R258" s="108">
        <f t="shared" si="28"/>
        <v>103.98</v>
      </c>
      <c r="S258" s="108">
        <f t="shared" si="33"/>
        <v>381.26</v>
      </c>
      <c r="T258" s="108">
        <v>0</v>
      </c>
      <c r="U258" s="108">
        <v>0</v>
      </c>
      <c r="V258" s="108">
        <f t="shared" si="35"/>
        <v>485.24</v>
      </c>
      <c r="W258" s="108">
        <f t="shared" si="29"/>
        <v>3230.76</v>
      </c>
      <c r="X258" s="108">
        <v>0</v>
      </c>
    </row>
    <row r="259" spans="1:24" ht="25.5" x14ac:dyDescent="0.2">
      <c r="A259" s="137">
        <v>249</v>
      </c>
      <c r="B259" s="59" t="s">
        <v>835</v>
      </c>
      <c r="C259" s="59" t="s">
        <v>788</v>
      </c>
      <c r="D259" s="106">
        <v>1350</v>
      </c>
      <c r="E259" s="107">
        <v>2000</v>
      </c>
      <c r="F259" s="107">
        <v>0</v>
      </c>
      <c r="G259" s="107">
        <v>1600</v>
      </c>
      <c r="H259" s="107">
        <v>0</v>
      </c>
      <c r="I259" s="107">
        <v>2900</v>
      </c>
      <c r="J259" s="107">
        <v>0</v>
      </c>
      <c r="K259" s="107">
        <v>35</v>
      </c>
      <c r="L259" s="107">
        <v>0</v>
      </c>
      <c r="M259" s="107">
        <v>250</v>
      </c>
      <c r="N259" s="107">
        <v>2800</v>
      </c>
      <c r="O259" s="107">
        <v>0</v>
      </c>
      <c r="P259" s="107">
        <v>0</v>
      </c>
      <c r="Q259" s="108">
        <f t="shared" si="36"/>
        <v>10935</v>
      </c>
      <c r="R259" s="108">
        <f t="shared" si="28"/>
        <v>236.55</v>
      </c>
      <c r="S259" s="108">
        <f t="shared" si="33"/>
        <v>867.35</v>
      </c>
      <c r="T259" s="108">
        <v>140.56</v>
      </c>
      <c r="U259" s="108">
        <v>0</v>
      </c>
      <c r="V259" s="108">
        <f t="shared" si="35"/>
        <v>1244.46</v>
      </c>
      <c r="W259" s="108">
        <f t="shared" si="29"/>
        <v>9690.5400000000009</v>
      </c>
      <c r="X259" s="108">
        <v>0</v>
      </c>
    </row>
    <row r="260" spans="1:24" ht="25.5" x14ac:dyDescent="0.2">
      <c r="A260" s="137">
        <v>250</v>
      </c>
      <c r="B260" s="59" t="s">
        <v>836</v>
      </c>
      <c r="C260" s="59" t="s">
        <v>580</v>
      </c>
      <c r="D260" s="106">
        <v>1476</v>
      </c>
      <c r="E260" s="107">
        <v>2000</v>
      </c>
      <c r="F260" s="107">
        <v>0</v>
      </c>
      <c r="G260" s="107">
        <v>1900</v>
      </c>
      <c r="H260" s="107">
        <v>0</v>
      </c>
      <c r="I260" s="107">
        <v>2600</v>
      </c>
      <c r="J260" s="107">
        <v>0</v>
      </c>
      <c r="K260" s="107">
        <v>50</v>
      </c>
      <c r="L260" s="107">
        <v>0</v>
      </c>
      <c r="M260" s="107">
        <v>250</v>
      </c>
      <c r="N260" s="107">
        <v>2800</v>
      </c>
      <c r="O260" s="107">
        <v>0</v>
      </c>
      <c r="P260" s="107">
        <v>0</v>
      </c>
      <c r="Q260" s="108">
        <f t="shared" si="36"/>
        <v>11076</v>
      </c>
      <c r="R260" s="108">
        <f t="shared" si="28"/>
        <v>240.78</v>
      </c>
      <c r="S260" s="108">
        <f t="shared" si="33"/>
        <v>882.86</v>
      </c>
      <c r="T260" s="108">
        <v>146.41</v>
      </c>
      <c r="U260" s="108">
        <v>0</v>
      </c>
      <c r="V260" s="108">
        <f t="shared" si="35"/>
        <v>1270.05</v>
      </c>
      <c r="W260" s="108">
        <f t="shared" si="29"/>
        <v>9805.9500000000007</v>
      </c>
      <c r="X260" s="108">
        <v>0</v>
      </c>
    </row>
    <row r="261" spans="1:24" ht="25.5" x14ac:dyDescent="0.2">
      <c r="A261" s="137">
        <v>251</v>
      </c>
      <c r="B261" s="59" t="s">
        <v>837</v>
      </c>
      <c r="C261" s="59" t="s">
        <v>595</v>
      </c>
      <c r="D261" s="106">
        <f>485*4</f>
        <v>1940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2800</v>
      </c>
      <c r="O261" s="107">
        <v>0</v>
      </c>
      <c r="P261" s="107">
        <v>0</v>
      </c>
      <c r="Q261" s="108">
        <f t="shared" si="36"/>
        <v>4740</v>
      </c>
      <c r="R261" s="108">
        <f t="shared" si="28"/>
        <v>58.2</v>
      </c>
      <c r="S261" s="108">
        <f t="shared" si="33"/>
        <v>213.4</v>
      </c>
      <c r="T261" s="108">
        <v>0</v>
      </c>
      <c r="U261" s="108">
        <v>0</v>
      </c>
      <c r="V261" s="108">
        <f t="shared" si="35"/>
        <v>271.60000000000002</v>
      </c>
      <c r="W261" s="108">
        <f t="shared" si="29"/>
        <v>4468.3999999999996</v>
      </c>
      <c r="X261" s="108">
        <v>0</v>
      </c>
    </row>
    <row r="262" spans="1:24" ht="25.5" x14ac:dyDescent="0.2">
      <c r="A262" s="137">
        <v>252</v>
      </c>
      <c r="B262" s="134" t="s">
        <v>838</v>
      </c>
      <c r="C262" s="59" t="s">
        <v>650</v>
      </c>
      <c r="D262" s="107">
        <v>2425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07">
        <v>0</v>
      </c>
      <c r="Q262" s="108">
        <f t="shared" si="36"/>
        <v>2425</v>
      </c>
      <c r="R262" s="108">
        <f t="shared" si="28"/>
        <v>72.75</v>
      </c>
      <c r="S262" s="108">
        <f t="shared" si="33"/>
        <v>266.75</v>
      </c>
      <c r="T262" s="108">
        <v>0</v>
      </c>
      <c r="U262" s="108">
        <v>0</v>
      </c>
      <c r="V262" s="108">
        <f t="shared" si="35"/>
        <v>339.5</v>
      </c>
      <c r="W262" s="108">
        <f t="shared" si="29"/>
        <v>2085.5</v>
      </c>
      <c r="X262" s="108">
        <v>0</v>
      </c>
    </row>
    <row r="263" spans="1:24" ht="25.5" x14ac:dyDescent="0.2">
      <c r="A263" s="137">
        <v>253</v>
      </c>
      <c r="B263" s="59" t="s">
        <v>839</v>
      </c>
      <c r="C263" s="59" t="s">
        <v>568</v>
      </c>
      <c r="D263" s="106">
        <v>1634</v>
      </c>
      <c r="E263" s="107">
        <v>2400</v>
      </c>
      <c r="F263" s="107">
        <v>0</v>
      </c>
      <c r="G263" s="107">
        <v>0</v>
      </c>
      <c r="H263" s="107">
        <v>3000</v>
      </c>
      <c r="I263" s="107">
        <v>2400</v>
      </c>
      <c r="J263" s="107">
        <v>0</v>
      </c>
      <c r="K263" s="107">
        <v>0</v>
      </c>
      <c r="L263" s="107">
        <v>0</v>
      </c>
      <c r="M263" s="107">
        <v>250</v>
      </c>
      <c r="N263" s="107">
        <v>2800</v>
      </c>
      <c r="O263" s="107">
        <v>0</v>
      </c>
      <c r="P263" s="107">
        <v>0</v>
      </c>
      <c r="Q263" s="108">
        <f t="shared" si="36"/>
        <v>12484</v>
      </c>
      <c r="R263" s="108">
        <f t="shared" si="28"/>
        <v>283.02</v>
      </c>
      <c r="S263" s="108">
        <f t="shared" si="33"/>
        <v>1037.74</v>
      </c>
      <c r="T263" s="108">
        <v>207.96</v>
      </c>
      <c r="U263" s="108">
        <v>0</v>
      </c>
      <c r="V263" s="108">
        <f t="shared" si="35"/>
        <v>1528.72</v>
      </c>
      <c r="W263" s="108">
        <f t="shared" si="29"/>
        <v>10955.28</v>
      </c>
      <c r="X263" s="108">
        <v>0</v>
      </c>
    </row>
    <row r="264" spans="1:24" ht="25.5" x14ac:dyDescent="0.2">
      <c r="A264" s="137">
        <v>254</v>
      </c>
      <c r="B264" s="59" t="s">
        <v>840</v>
      </c>
      <c r="C264" s="130" t="s">
        <v>573</v>
      </c>
      <c r="D264" s="106">
        <v>1350</v>
      </c>
      <c r="E264" s="107">
        <v>1500</v>
      </c>
      <c r="F264" s="107">
        <v>0</v>
      </c>
      <c r="G264" s="107">
        <v>0</v>
      </c>
      <c r="H264" s="107">
        <v>0</v>
      </c>
      <c r="I264" s="107">
        <v>4500</v>
      </c>
      <c r="J264" s="107">
        <v>0</v>
      </c>
      <c r="K264" s="107">
        <v>0</v>
      </c>
      <c r="L264" s="107">
        <v>0</v>
      </c>
      <c r="M264" s="107">
        <v>250</v>
      </c>
      <c r="N264" s="107">
        <v>2800</v>
      </c>
      <c r="O264" s="107">
        <v>0</v>
      </c>
      <c r="P264" s="107">
        <v>0</v>
      </c>
      <c r="Q264" s="108">
        <f t="shared" si="36"/>
        <v>10400</v>
      </c>
      <c r="R264" s="108">
        <f t="shared" si="28"/>
        <v>220.5</v>
      </c>
      <c r="S264" s="108">
        <f t="shared" si="33"/>
        <v>808.5</v>
      </c>
      <c r="T264" s="108">
        <v>122.03</v>
      </c>
      <c r="U264" s="108">
        <v>0</v>
      </c>
      <c r="V264" s="108">
        <f t="shared" si="35"/>
        <v>1151.03</v>
      </c>
      <c r="W264" s="108">
        <f t="shared" si="29"/>
        <v>9248.9699999999993</v>
      </c>
      <c r="X264" s="108">
        <v>0</v>
      </c>
    </row>
    <row r="265" spans="1:24" ht="25.5" x14ac:dyDescent="0.2">
      <c r="A265" s="137">
        <v>255</v>
      </c>
      <c r="B265" s="131" t="s">
        <v>841</v>
      </c>
      <c r="C265" s="130" t="s">
        <v>573</v>
      </c>
      <c r="D265" s="106">
        <v>1350</v>
      </c>
      <c r="E265" s="107">
        <v>2000</v>
      </c>
      <c r="F265" s="107">
        <v>0</v>
      </c>
      <c r="G265" s="107">
        <v>0</v>
      </c>
      <c r="H265" s="107">
        <v>1600</v>
      </c>
      <c r="I265" s="107">
        <v>2900</v>
      </c>
      <c r="J265" s="107">
        <v>0</v>
      </c>
      <c r="K265" s="107">
        <v>0</v>
      </c>
      <c r="L265" s="107">
        <v>0</v>
      </c>
      <c r="M265" s="107">
        <v>250</v>
      </c>
      <c r="N265" s="107">
        <v>2800</v>
      </c>
      <c r="O265" s="107">
        <v>0</v>
      </c>
      <c r="P265" s="107">
        <v>0</v>
      </c>
      <c r="Q265" s="108">
        <f t="shared" si="36"/>
        <v>10900</v>
      </c>
      <c r="R265" s="108">
        <f t="shared" ref="R265:R287" si="37">(D265+E265+F265+G265+H265+I265+J265+K265+O265)*3%</f>
        <v>235.5</v>
      </c>
      <c r="S265" s="108">
        <f t="shared" si="33"/>
        <v>863.5</v>
      </c>
      <c r="T265" s="108">
        <v>139.11000000000001</v>
      </c>
      <c r="U265" s="108">
        <v>0</v>
      </c>
      <c r="V265" s="108">
        <f t="shared" si="35"/>
        <v>1238.1099999999999</v>
      </c>
      <c r="W265" s="108">
        <f t="shared" si="29"/>
        <v>9661.89</v>
      </c>
      <c r="X265" s="108">
        <v>0</v>
      </c>
    </row>
    <row r="266" spans="1:24" x14ac:dyDescent="0.2">
      <c r="A266" s="137">
        <v>256</v>
      </c>
      <c r="B266" s="59" t="s">
        <v>842</v>
      </c>
      <c r="C266" s="59" t="s">
        <v>575</v>
      </c>
      <c r="D266" s="106">
        <v>1350</v>
      </c>
      <c r="E266" s="107">
        <v>2000</v>
      </c>
      <c r="F266" s="107">
        <v>0</v>
      </c>
      <c r="G266" s="107">
        <v>0</v>
      </c>
      <c r="H266" s="107">
        <v>0</v>
      </c>
      <c r="I266" s="107">
        <v>4500</v>
      </c>
      <c r="J266" s="107">
        <v>0</v>
      </c>
      <c r="K266" s="107">
        <v>75</v>
      </c>
      <c r="L266" s="107">
        <v>0</v>
      </c>
      <c r="M266" s="107">
        <v>250</v>
      </c>
      <c r="N266" s="107">
        <v>2800</v>
      </c>
      <c r="O266" s="107">
        <v>0</v>
      </c>
      <c r="P266" s="107">
        <v>0</v>
      </c>
      <c r="Q266" s="108">
        <f t="shared" si="36"/>
        <v>10975</v>
      </c>
      <c r="R266" s="108">
        <f t="shared" si="37"/>
        <v>237.75</v>
      </c>
      <c r="S266" s="108">
        <f t="shared" si="33"/>
        <v>871.75</v>
      </c>
      <c r="T266" s="108">
        <v>146.18</v>
      </c>
      <c r="U266" s="108">
        <v>0</v>
      </c>
      <c r="V266" s="108">
        <f t="shared" si="35"/>
        <v>1255.68</v>
      </c>
      <c r="W266" s="108">
        <f t="shared" si="29"/>
        <v>9719.32</v>
      </c>
      <c r="X266" s="108">
        <v>0</v>
      </c>
    </row>
    <row r="267" spans="1:24" ht="25.5" x14ac:dyDescent="0.2">
      <c r="A267" s="137">
        <v>257</v>
      </c>
      <c r="B267" s="59" t="s">
        <v>843</v>
      </c>
      <c r="C267" s="59" t="s">
        <v>952</v>
      </c>
      <c r="D267" s="106">
        <v>1460</v>
      </c>
      <c r="E267" s="107">
        <v>400</v>
      </c>
      <c r="F267" s="107">
        <v>0</v>
      </c>
      <c r="G267" s="107">
        <v>1000</v>
      </c>
      <c r="H267" s="107">
        <v>0</v>
      </c>
      <c r="I267" s="107">
        <v>0</v>
      </c>
      <c r="J267" s="107">
        <v>0</v>
      </c>
      <c r="K267" s="107">
        <v>50</v>
      </c>
      <c r="L267" s="107">
        <v>0</v>
      </c>
      <c r="M267" s="107">
        <v>250</v>
      </c>
      <c r="N267" s="107">
        <v>2800</v>
      </c>
      <c r="O267" s="107">
        <v>0</v>
      </c>
      <c r="P267" s="107">
        <v>0</v>
      </c>
      <c r="Q267" s="108">
        <f t="shared" si="36"/>
        <v>5960</v>
      </c>
      <c r="R267" s="108">
        <f t="shared" si="37"/>
        <v>87.3</v>
      </c>
      <c r="S267" s="108">
        <f t="shared" si="33"/>
        <v>320.10000000000002</v>
      </c>
      <c r="T267" s="108">
        <v>0</v>
      </c>
      <c r="U267" s="108">
        <v>0</v>
      </c>
      <c r="V267" s="108">
        <f t="shared" si="35"/>
        <v>407.4</v>
      </c>
      <c r="W267" s="108">
        <f t="shared" ref="W267:W330" si="38">Q267-V267</f>
        <v>5552.6</v>
      </c>
      <c r="X267" s="108">
        <v>0</v>
      </c>
    </row>
    <row r="268" spans="1:24" x14ac:dyDescent="0.2">
      <c r="A268" s="137">
        <v>258</v>
      </c>
      <c r="B268" s="59" t="s">
        <v>844</v>
      </c>
      <c r="C268" s="59" t="s">
        <v>571</v>
      </c>
      <c r="D268" s="106">
        <v>1074</v>
      </c>
      <c r="E268" s="107">
        <v>400</v>
      </c>
      <c r="F268" s="107">
        <v>0</v>
      </c>
      <c r="G268" s="107">
        <v>1000</v>
      </c>
      <c r="H268" s="107">
        <v>0</v>
      </c>
      <c r="I268" s="107">
        <v>0</v>
      </c>
      <c r="J268" s="107">
        <v>0</v>
      </c>
      <c r="K268" s="107">
        <v>0</v>
      </c>
      <c r="L268" s="107">
        <v>200</v>
      </c>
      <c r="M268" s="107">
        <v>250</v>
      </c>
      <c r="N268" s="107">
        <v>2800</v>
      </c>
      <c r="O268" s="107">
        <v>0</v>
      </c>
      <c r="P268" s="107">
        <v>0</v>
      </c>
      <c r="Q268" s="108">
        <f t="shared" si="36"/>
        <v>5724</v>
      </c>
      <c r="R268" s="108">
        <f t="shared" si="37"/>
        <v>74.22</v>
      </c>
      <c r="S268" s="108">
        <f t="shared" si="33"/>
        <v>272.14</v>
      </c>
      <c r="T268" s="108">
        <v>0</v>
      </c>
      <c r="U268" s="108">
        <v>0</v>
      </c>
      <c r="V268" s="108">
        <f t="shared" si="35"/>
        <v>346.36</v>
      </c>
      <c r="W268" s="108">
        <f t="shared" si="38"/>
        <v>5377.64</v>
      </c>
      <c r="X268" s="108">
        <v>0</v>
      </c>
    </row>
    <row r="269" spans="1:24" ht="38.25" x14ac:dyDescent="0.2">
      <c r="A269" s="137">
        <v>259</v>
      </c>
      <c r="B269" s="59" t="s">
        <v>845</v>
      </c>
      <c r="C269" s="59" t="s">
        <v>846</v>
      </c>
      <c r="D269" s="106">
        <v>1074</v>
      </c>
      <c r="E269" s="107">
        <v>0</v>
      </c>
      <c r="F269" s="107">
        <v>0</v>
      </c>
      <c r="G269" s="107">
        <v>1000</v>
      </c>
      <c r="H269" s="107">
        <v>0</v>
      </c>
      <c r="I269" s="107">
        <v>0</v>
      </c>
      <c r="J269" s="107">
        <v>0</v>
      </c>
      <c r="K269" s="107">
        <v>0</v>
      </c>
      <c r="L269" s="107">
        <v>200</v>
      </c>
      <c r="M269" s="107">
        <v>250</v>
      </c>
      <c r="N269" s="107">
        <v>2800</v>
      </c>
      <c r="O269" s="107">
        <v>0</v>
      </c>
      <c r="P269" s="107">
        <v>0</v>
      </c>
      <c r="Q269" s="108">
        <f t="shared" si="36"/>
        <v>5324</v>
      </c>
      <c r="R269" s="108">
        <f t="shared" si="37"/>
        <v>62.22</v>
      </c>
      <c r="S269" s="108">
        <f t="shared" si="33"/>
        <v>228.14</v>
      </c>
      <c r="T269" s="108">
        <v>0</v>
      </c>
      <c r="U269" s="108">
        <v>0</v>
      </c>
      <c r="V269" s="108">
        <f t="shared" si="35"/>
        <v>290.36</v>
      </c>
      <c r="W269" s="108">
        <f t="shared" si="38"/>
        <v>5033.6400000000003</v>
      </c>
      <c r="X269" s="108">
        <v>0</v>
      </c>
    </row>
    <row r="270" spans="1:24" ht="25.5" x14ac:dyDescent="0.2">
      <c r="A270" s="137">
        <v>260</v>
      </c>
      <c r="B270" s="59" t="s">
        <v>847</v>
      </c>
      <c r="C270" s="59" t="s">
        <v>848</v>
      </c>
      <c r="D270" s="106">
        <v>970</v>
      </c>
      <c r="E270" s="107">
        <v>0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2800</v>
      </c>
      <c r="O270" s="107">
        <v>0</v>
      </c>
      <c r="P270" s="107">
        <v>0</v>
      </c>
      <c r="Q270" s="108">
        <f t="shared" si="36"/>
        <v>3770</v>
      </c>
      <c r="R270" s="108">
        <f t="shared" si="37"/>
        <v>29.1</v>
      </c>
      <c r="S270" s="108">
        <f t="shared" si="33"/>
        <v>106.7</v>
      </c>
      <c r="T270" s="108">
        <v>0</v>
      </c>
      <c r="U270" s="108">
        <v>0</v>
      </c>
      <c r="V270" s="108">
        <f t="shared" si="35"/>
        <v>135.80000000000001</v>
      </c>
      <c r="W270" s="108">
        <f t="shared" si="38"/>
        <v>3634.2</v>
      </c>
      <c r="X270" s="108">
        <v>0</v>
      </c>
    </row>
    <row r="271" spans="1:24" ht="25.5" x14ac:dyDescent="0.2">
      <c r="A271" s="137">
        <v>261</v>
      </c>
      <c r="B271" s="59" t="s">
        <v>849</v>
      </c>
      <c r="C271" s="59" t="s">
        <v>571</v>
      </c>
      <c r="D271" s="106">
        <v>1074</v>
      </c>
      <c r="E271" s="107">
        <v>400</v>
      </c>
      <c r="F271" s="107">
        <v>0</v>
      </c>
      <c r="G271" s="107">
        <v>1000</v>
      </c>
      <c r="H271" s="107">
        <v>0</v>
      </c>
      <c r="I271" s="107">
        <v>0</v>
      </c>
      <c r="J271" s="107">
        <v>0</v>
      </c>
      <c r="K271" s="107">
        <v>50</v>
      </c>
      <c r="L271" s="107">
        <v>200</v>
      </c>
      <c r="M271" s="107">
        <v>250</v>
      </c>
      <c r="N271" s="107">
        <v>2800</v>
      </c>
      <c r="O271" s="107">
        <v>0</v>
      </c>
      <c r="P271" s="107">
        <v>0</v>
      </c>
      <c r="Q271" s="108">
        <f t="shared" si="36"/>
        <v>5774</v>
      </c>
      <c r="R271" s="108">
        <f t="shared" si="37"/>
        <v>75.72</v>
      </c>
      <c r="S271" s="108">
        <f t="shared" si="33"/>
        <v>277.64</v>
      </c>
      <c r="T271" s="108">
        <v>0</v>
      </c>
      <c r="U271" s="108">
        <v>0</v>
      </c>
      <c r="V271" s="108">
        <f t="shared" si="35"/>
        <v>353.36</v>
      </c>
      <c r="W271" s="108">
        <f t="shared" si="38"/>
        <v>5420.64</v>
      </c>
      <c r="X271" s="108">
        <v>0</v>
      </c>
    </row>
    <row r="272" spans="1:24" ht="25.5" x14ac:dyDescent="0.2">
      <c r="A272" s="137">
        <v>262</v>
      </c>
      <c r="B272" s="59" t="s">
        <v>850</v>
      </c>
      <c r="C272" s="59" t="s">
        <v>568</v>
      </c>
      <c r="D272" s="106">
        <v>1634</v>
      </c>
      <c r="E272" s="107">
        <v>2400</v>
      </c>
      <c r="F272" s="107">
        <v>0</v>
      </c>
      <c r="G272" s="107">
        <v>2200</v>
      </c>
      <c r="H272" s="107">
        <v>0</v>
      </c>
      <c r="I272" s="107">
        <v>3200</v>
      </c>
      <c r="J272" s="107">
        <v>0</v>
      </c>
      <c r="K272" s="107">
        <v>50</v>
      </c>
      <c r="L272" s="107">
        <v>0</v>
      </c>
      <c r="M272" s="107">
        <v>250</v>
      </c>
      <c r="N272" s="107">
        <v>2800</v>
      </c>
      <c r="O272" s="107">
        <v>0</v>
      </c>
      <c r="P272" s="107">
        <v>0</v>
      </c>
      <c r="Q272" s="108">
        <f t="shared" si="36"/>
        <v>12534</v>
      </c>
      <c r="R272" s="108">
        <f t="shared" si="37"/>
        <v>284.52</v>
      </c>
      <c r="S272" s="108">
        <f t="shared" si="33"/>
        <v>1043.24</v>
      </c>
      <c r="T272" s="108">
        <v>206.92</v>
      </c>
      <c r="U272" s="108">
        <v>0</v>
      </c>
      <c r="V272" s="108">
        <f t="shared" si="35"/>
        <v>1534.68</v>
      </c>
      <c r="W272" s="108">
        <f t="shared" si="38"/>
        <v>10999.32</v>
      </c>
      <c r="X272" s="108">
        <v>0</v>
      </c>
    </row>
    <row r="273" spans="1:24" x14ac:dyDescent="0.2">
      <c r="A273" s="137">
        <v>263</v>
      </c>
      <c r="B273" s="59" t="s">
        <v>851</v>
      </c>
      <c r="C273" s="59" t="s">
        <v>580</v>
      </c>
      <c r="D273" s="106">
        <v>1476</v>
      </c>
      <c r="E273" s="107">
        <v>2000</v>
      </c>
      <c r="F273" s="107">
        <v>0</v>
      </c>
      <c r="G273" s="107">
        <v>1900</v>
      </c>
      <c r="H273" s="107">
        <v>0</v>
      </c>
      <c r="I273" s="107">
        <v>2600</v>
      </c>
      <c r="J273" s="107">
        <v>0</v>
      </c>
      <c r="K273" s="107">
        <v>50</v>
      </c>
      <c r="L273" s="107">
        <v>0</v>
      </c>
      <c r="M273" s="107">
        <v>250</v>
      </c>
      <c r="N273" s="107">
        <v>2800</v>
      </c>
      <c r="O273" s="107">
        <v>0</v>
      </c>
      <c r="P273" s="107">
        <v>0</v>
      </c>
      <c r="Q273" s="108">
        <f t="shared" si="36"/>
        <v>11076</v>
      </c>
      <c r="R273" s="108">
        <f t="shared" si="37"/>
        <v>240.78</v>
      </c>
      <c r="S273" s="108">
        <f t="shared" si="33"/>
        <v>882.86</v>
      </c>
      <c r="T273" s="108">
        <v>146.41</v>
      </c>
      <c r="U273" s="108">
        <v>0</v>
      </c>
      <c r="V273" s="108">
        <f t="shared" si="35"/>
        <v>1270.05</v>
      </c>
      <c r="W273" s="108">
        <f t="shared" si="38"/>
        <v>9805.9500000000007</v>
      </c>
      <c r="X273" s="108">
        <v>0</v>
      </c>
    </row>
    <row r="274" spans="1:24" ht="25.5" x14ac:dyDescent="0.2">
      <c r="A274" s="137">
        <v>264</v>
      </c>
      <c r="B274" s="59" t="s">
        <v>852</v>
      </c>
      <c r="C274" s="59" t="s">
        <v>853</v>
      </c>
      <c r="D274" s="106">
        <v>1105</v>
      </c>
      <c r="E274" s="107">
        <v>500</v>
      </c>
      <c r="F274" s="107">
        <v>0</v>
      </c>
      <c r="G274" s="107">
        <v>1000</v>
      </c>
      <c r="H274" s="107">
        <v>0</v>
      </c>
      <c r="I274" s="107">
        <v>0</v>
      </c>
      <c r="J274" s="107">
        <v>0</v>
      </c>
      <c r="K274" s="107">
        <v>50</v>
      </c>
      <c r="L274" s="107">
        <v>200</v>
      </c>
      <c r="M274" s="107">
        <v>250</v>
      </c>
      <c r="N274" s="107">
        <v>2800</v>
      </c>
      <c r="O274" s="107">
        <v>0</v>
      </c>
      <c r="P274" s="107">
        <v>0</v>
      </c>
      <c r="Q274" s="108">
        <f t="shared" si="36"/>
        <v>5905</v>
      </c>
      <c r="R274" s="108">
        <f t="shared" si="37"/>
        <v>79.650000000000006</v>
      </c>
      <c r="S274" s="108">
        <f t="shared" si="33"/>
        <v>292.05</v>
      </c>
      <c r="T274" s="108">
        <v>0</v>
      </c>
      <c r="U274" s="108">
        <v>0</v>
      </c>
      <c r="V274" s="108">
        <f t="shared" si="35"/>
        <v>371.7</v>
      </c>
      <c r="W274" s="108">
        <f t="shared" si="38"/>
        <v>5533.3</v>
      </c>
      <c r="X274" s="108">
        <v>0</v>
      </c>
    </row>
    <row r="275" spans="1:24" s="94" customFormat="1" ht="25.5" x14ac:dyDescent="0.2">
      <c r="A275" s="137">
        <v>265</v>
      </c>
      <c r="B275" s="59" t="s">
        <v>854</v>
      </c>
      <c r="C275" s="59" t="s">
        <v>586</v>
      </c>
      <c r="D275" s="106">
        <v>2885</v>
      </c>
      <c r="E275" s="107">
        <v>0</v>
      </c>
      <c r="F275" s="107">
        <v>1442.5</v>
      </c>
      <c r="G275" s="107">
        <v>0</v>
      </c>
      <c r="H275" s="107">
        <v>0</v>
      </c>
      <c r="I275" s="107">
        <v>0</v>
      </c>
      <c r="J275" s="107">
        <v>0</v>
      </c>
      <c r="K275" s="107">
        <v>0</v>
      </c>
      <c r="L275" s="107">
        <v>0</v>
      </c>
      <c r="M275" s="107">
        <v>0</v>
      </c>
      <c r="N275" s="107">
        <v>2800</v>
      </c>
      <c r="O275" s="107">
        <v>0</v>
      </c>
      <c r="P275" s="107">
        <v>0</v>
      </c>
      <c r="Q275" s="108">
        <f t="shared" si="36"/>
        <v>7127.5</v>
      </c>
      <c r="R275" s="108">
        <f t="shared" si="37"/>
        <v>129.83000000000001</v>
      </c>
      <c r="S275" s="108">
        <f>(D275+E275+F275+G275+H275+I275+J275+K275+O275)*12%</f>
        <v>519.29999999999995</v>
      </c>
      <c r="T275" s="108">
        <v>0</v>
      </c>
      <c r="U275" s="108">
        <v>0</v>
      </c>
      <c r="V275" s="108">
        <f t="shared" si="35"/>
        <v>649.13</v>
      </c>
      <c r="W275" s="108">
        <f t="shared" si="38"/>
        <v>6478.37</v>
      </c>
      <c r="X275" s="108">
        <v>0</v>
      </c>
    </row>
    <row r="276" spans="1:24" ht="27" customHeight="1" x14ac:dyDescent="0.2">
      <c r="A276" s="137">
        <v>266</v>
      </c>
      <c r="B276" s="59" t="s">
        <v>855</v>
      </c>
      <c r="C276" s="59" t="s">
        <v>571</v>
      </c>
      <c r="D276" s="106">
        <v>1074</v>
      </c>
      <c r="E276" s="107">
        <v>0</v>
      </c>
      <c r="F276" s="107">
        <v>0</v>
      </c>
      <c r="G276" s="107">
        <v>1000</v>
      </c>
      <c r="H276" s="107">
        <v>0</v>
      </c>
      <c r="I276" s="107">
        <v>0</v>
      </c>
      <c r="J276" s="107">
        <v>0</v>
      </c>
      <c r="K276" s="107">
        <v>0</v>
      </c>
      <c r="L276" s="107">
        <v>200</v>
      </c>
      <c r="M276" s="107">
        <v>250</v>
      </c>
      <c r="N276" s="107">
        <v>2800</v>
      </c>
      <c r="O276" s="107">
        <v>0</v>
      </c>
      <c r="P276" s="107">
        <v>0</v>
      </c>
      <c r="Q276" s="108">
        <f t="shared" si="36"/>
        <v>5324</v>
      </c>
      <c r="R276" s="108">
        <f t="shared" si="37"/>
        <v>62.22</v>
      </c>
      <c r="S276" s="108">
        <f>(D276+E276+F276+G276+H276+I276+J276+K276+O276)*11%</f>
        <v>228.14</v>
      </c>
      <c r="T276" s="108">
        <v>0</v>
      </c>
      <c r="U276" s="108">
        <v>0</v>
      </c>
      <c r="V276" s="108">
        <f t="shared" si="35"/>
        <v>290.36</v>
      </c>
      <c r="W276" s="108">
        <f t="shared" si="38"/>
        <v>5033.6400000000003</v>
      </c>
      <c r="X276" s="108">
        <v>0</v>
      </c>
    </row>
    <row r="277" spans="1:24" x14ac:dyDescent="0.2">
      <c r="A277" s="137">
        <v>267</v>
      </c>
      <c r="B277" s="59" t="s">
        <v>856</v>
      </c>
      <c r="C277" s="59" t="s">
        <v>571</v>
      </c>
      <c r="D277" s="106">
        <v>1074</v>
      </c>
      <c r="E277" s="107">
        <v>0</v>
      </c>
      <c r="F277" s="107">
        <v>0</v>
      </c>
      <c r="G277" s="107">
        <v>1000</v>
      </c>
      <c r="H277" s="107">
        <v>0</v>
      </c>
      <c r="I277" s="107">
        <v>0</v>
      </c>
      <c r="J277" s="107">
        <v>0</v>
      </c>
      <c r="K277" s="107">
        <v>0</v>
      </c>
      <c r="L277" s="107">
        <v>0</v>
      </c>
      <c r="M277" s="107">
        <v>250</v>
      </c>
      <c r="N277" s="107">
        <v>2800</v>
      </c>
      <c r="O277" s="107">
        <v>0</v>
      </c>
      <c r="P277" s="107">
        <v>0</v>
      </c>
      <c r="Q277" s="108">
        <f t="shared" si="36"/>
        <v>5124</v>
      </c>
      <c r="R277" s="108">
        <f t="shared" si="37"/>
        <v>62.22</v>
      </c>
      <c r="S277" s="108">
        <f>(D277+E277+F277+G277+H277+I277+J277+K277+O277)*11%</f>
        <v>228.14</v>
      </c>
      <c r="T277" s="108">
        <v>0</v>
      </c>
      <c r="U277" s="108">
        <v>0</v>
      </c>
      <c r="V277" s="108">
        <f t="shared" si="35"/>
        <v>290.36</v>
      </c>
      <c r="W277" s="108">
        <f t="shared" si="38"/>
        <v>4833.6400000000003</v>
      </c>
      <c r="X277" s="108">
        <v>0</v>
      </c>
    </row>
    <row r="278" spans="1:24" s="94" customFormat="1" ht="25.5" x14ac:dyDescent="0.2">
      <c r="A278" s="137">
        <v>268</v>
      </c>
      <c r="B278" s="59" t="s">
        <v>857</v>
      </c>
      <c r="C278" s="130" t="s">
        <v>573</v>
      </c>
      <c r="D278" s="106">
        <v>1350</v>
      </c>
      <c r="E278" s="107">
        <v>2000</v>
      </c>
      <c r="F278" s="107">
        <v>0</v>
      </c>
      <c r="G278" s="107">
        <v>0</v>
      </c>
      <c r="H278" s="107">
        <v>1600</v>
      </c>
      <c r="I278" s="107">
        <v>2900</v>
      </c>
      <c r="J278" s="107">
        <v>0</v>
      </c>
      <c r="K278" s="107">
        <v>0</v>
      </c>
      <c r="L278" s="107">
        <v>0</v>
      </c>
      <c r="M278" s="107">
        <v>250</v>
      </c>
      <c r="N278" s="107">
        <v>2800</v>
      </c>
      <c r="O278" s="107">
        <v>0</v>
      </c>
      <c r="P278" s="107">
        <v>0</v>
      </c>
      <c r="Q278" s="108">
        <f t="shared" si="36"/>
        <v>10900</v>
      </c>
      <c r="R278" s="108">
        <f t="shared" si="37"/>
        <v>235.5</v>
      </c>
      <c r="S278" s="108">
        <f>(D278+E278+F278+G278+H278+I278+J278+K278+O278)*13%</f>
        <v>1020.5</v>
      </c>
      <c r="T278" s="108">
        <v>156.04</v>
      </c>
      <c r="U278" s="108">
        <v>0</v>
      </c>
      <c r="V278" s="108">
        <f t="shared" si="35"/>
        <v>1412.04</v>
      </c>
      <c r="W278" s="108">
        <f t="shared" si="38"/>
        <v>9487.9599999999991</v>
      </c>
      <c r="X278" s="108">
        <v>0</v>
      </c>
    </row>
    <row r="279" spans="1:24" ht="29.25" customHeight="1" x14ac:dyDescent="0.2">
      <c r="A279" s="137">
        <v>269</v>
      </c>
      <c r="B279" s="59" t="s">
        <v>858</v>
      </c>
      <c r="C279" s="59" t="s">
        <v>571</v>
      </c>
      <c r="D279" s="106">
        <v>1074</v>
      </c>
      <c r="E279" s="107">
        <v>0</v>
      </c>
      <c r="F279" s="107">
        <v>0</v>
      </c>
      <c r="G279" s="107">
        <v>1000</v>
      </c>
      <c r="H279" s="107">
        <v>0</v>
      </c>
      <c r="I279" s="107">
        <v>0</v>
      </c>
      <c r="J279" s="107">
        <v>0</v>
      </c>
      <c r="K279" s="107">
        <v>50</v>
      </c>
      <c r="L279" s="107">
        <v>0</v>
      </c>
      <c r="M279" s="107">
        <v>250</v>
      </c>
      <c r="N279" s="107">
        <v>2800</v>
      </c>
      <c r="O279" s="107">
        <v>0</v>
      </c>
      <c r="P279" s="107">
        <v>0</v>
      </c>
      <c r="Q279" s="108">
        <f t="shared" si="36"/>
        <v>5174</v>
      </c>
      <c r="R279" s="108">
        <f t="shared" si="37"/>
        <v>63.72</v>
      </c>
      <c r="S279" s="108">
        <f t="shared" ref="S279:S287" si="39">(D279+E279+F279+G279+H279+I279+J279+K279+O279)*11%</f>
        <v>233.64</v>
      </c>
      <c r="T279" s="108">
        <v>0</v>
      </c>
      <c r="U279" s="108">
        <v>0</v>
      </c>
      <c r="V279" s="108">
        <f t="shared" si="35"/>
        <v>297.36</v>
      </c>
      <c r="W279" s="108">
        <f t="shared" si="38"/>
        <v>4876.6400000000003</v>
      </c>
      <c r="X279" s="108">
        <v>0</v>
      </c>
    </row>
    <row r="280" spans="1:24" ht="25.5" x14ac:dyDescent="0.2">
      <c r="A280" s="137">
        <v>270</v>
      </c>
      <c r="B280" s="59" t="s">
        <v>859</v>
      </c>
      <c r="C280" s="59" t="s">
        <v>575</v>
      </c>
      <c r="D280" s="106">
        <v>1350</v>
      </c>
      <c r="E280" s="107">
        <v>2000</v>
      </c>
      <c r="F280" s="107">
        <v>0</v>
      </c>
      <c r="G280" s="107">
        <v>0</v>
      </c>
      <c r="H280" s="107">
        <v>0</v>
      </c>
      <c r="I280" s="107">
        <v>4500</v>
      </c>
      <c r="J280" s="107">
        <v>0</v>
      </c>
      <c r="K280" s="107">
        <v>75</v>
      </c>
      <c r="L280" s="107">
        <v>0</v>
      </c>
      <c r="M280" s="107">
        <v>250</v>
      </c>
      <c r="N280" s="107">
        <v>2800</v>
      </c>
      <c r="O280" s="107">
        <v>0</v>
      </c>
      <c r="P280" s="107">
        <v>0</v>
      </c>
      <c r="Q280" s="108">
        <f t="shared" si="36"/>
        <v>10975</v>
      </c>
      <c r="R280" s="108">
        <f t="shared" si="37"/>
        <v>237.75</v>
      </c>
      <c r="S280" s="108">
        <f t="shared" si="39"/>
        <v>871.75</v>
      </c>
      <c r="T280" s="108">
        <v>146.18</v>
      </c>
      <c r="U280" s="108">
        <v>0</v>
      </c>
      <c r="V280" s="108">
        <f t="shared" si="35"/>
        <v>1255.68</v>
      </c>
      <c r="W280" s="108">
        <f t="shared" si="38"/>
        <v>9719.32</v>
      </c>
      <c r="X280" s="108">
        <v>0</v>
      </c>
    </row>
    <row r="281" spans="1:24" x14ac:dyDescent="0.2">
      <c r="A281" s="137">
        <v>271</v>
      </c>
      <c r="B281" s="59" t="s">
        <v>860</v>
      </c>
      <c r="C281" s="59" t="s">
        <v>568</v>
      </c>
      <c r="D281" s="106">
        <v>1634</v>
      </c>
      <c r="E281" s="107">
        <v>2400</v>
      </c>
      <c r="F281" s="107">
        <v>0</v>
      </c>
      <c r="G281" s="107">
        <v>0</v>
      </c>
      <c r="H281" s="107">
        <v>3000</v>
      </c>
      <c r="I281" s="107">
        <v>2400</v>
      </c>
      <c r="J281" s="107">
        <v>0</v>
      </c>
      <c r="K281" s="107">
        <v>0</v>
      </c>
      <c r="L281" s="107">
        <v>0</v>
      </c>
      <c r="M281" s="107">
        <v>250</v>
      </c>
      <c r="N281" s="107">
        <v>2800</v>
      </c>
      <c r="O281" s="107">
        <v>0</v>
      </c>
      <c r="P281" s="107">
        <v>0</v>
      </c>
      <c r="Q281" s="108">
        <f t="shared" si="36"/>
        <v>12484</v>
      </c>
      <c r="R281" s="108">
        <f t="shared" si="37"/>
        <v>283.02</v>
      </c>
      <c r="S281" s="108">
        <f t="shared" si="39"/>
        <v>1037.74</v>
      </c>
      <c r="T281" s="108">
        <v>204.84</v>
      </c>
      <c r="U281" s="108">
        <v>0</v>
      </c>
      <c r="V281" s="108">
        <f t="shared" si="35"/>
        <v>1525.6</v>
      </c>
      <c r="W281" s="108">
        <f t="shared" si="38"/>
        <v>10958.4</v>
      </c>
      <c r="X281" s="108">
        <v>0</v>
      </c>
    </row>
    <row r="282" spans="1:24" ht="25.5" x14ac:dyDescent="0.2">
      <c r="A282" s="137">
        <v>272</v>
      </c>
      <c r="B282" s="59" t="s">
        <v>861</v>
      </c>
      <c r="C282" s="59" t="s">
        <v>862</v>
      </c>
      <c r="D282" s="106">
        <f>(362*2)+485</f>
        <v>1209</v>
      </c>
      <c r="E282" s="107">
        <v>0</v>
      </c>
      <c r="F282" s="107">
        <f>(181*2)+242.5</f>
        <v>604.5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2800</v>
      </c>
      <c r="O282" s="107">
        <v>0</v>
      </c>
      <c r="P282" s="107">
        <v>0</v>
      </c>
      <c r="Q282" s="108">
        <f t="shared" si="36"/>
        <v>4613.5</v>
      </c>
      <c r="R282" s="108">
        <f t="shared" si="37"/>
        <v>54.41</v>
      </c>
      <c r="S282" s="108">
        <f t="shared" si="39"/>
        <v>199.49</v>
      </c>
      <c r="T282" s="108">
        <v>0</v>
      </c>
      <c r="U282" s="108">
        <v>0</v>
      </c>
      <c r="V282" s="108">
        <f t="shared" si="35"/>
        <v>253.9</v>
      </c>
      <c r="W282" s="108">
        <f t="shared" si="38"/>
        <v>4359.6000000000004</v>
      </c>
      <c r="X282" s="108">
        <v>0</v>
      </c>
    </row>
    <row r="283" spans="1:24" ht="25.5" x14ac:dyDescent="0.2">
      <c r="A283" s="137">
        <v>273</v>
      </c>
      <c r="B283" s="59" t="s">
        <v>863</v>
      </c>
      <c r="C283" s="59" t="s">
        <v>631</v>
      </c>
      <c r="D283" s="106">
        <v>1135</v>
      </c>
      <c r="E283" s="107">
        <v>400</v>
      </c>
      <c r="F283" s="107">
        <v>0</v>
      </c>
      <c r="G283" s="107">
        <v>1000</v>
      </c>
      <c r="H283" s="107">
        <v>0</v>
      </c>
      <c r="I283" s="107">
        <v>0</v>
      </c>
      <c r="J283" s="107">
        <v>0</v>
      </c>
      <c r="K283" s="107">
        <v>75</v>
      </c>
      <c r="L283" s="107">
        <v>0</v>
      </c>
      <c r="M283" s="107">
        <v>250</v>
      </c>
      <c r="N283" s="107">
        <v>2800</v>
      </c>
      <c r="O283" s="107">
        <v>0</v>
      </c>
      <c r="P283" s="107">
        <v>0</v>
      </c>
      <c r="Q283" s="108">
        <f t="shared" si="36"/>
        <v>5660</v>
      </c>
      <c r="R283" s="108">
        <f t="shared" si="37"/>
        <v>78.3</v>
      </c>
      <c r="S283" s="108">
        <f t="shared" si="39"/>
        <v>287.10000000000002</v>
      </c>
      <c r="T283" s="108">
        <v>0</v>
      </c>
      <c r="U283" s="108">
        <v>0</v>
      </c>
      <c r="V283" s="108">
        <f t="shared" si="35"/>
        <v>365.4</v>
      </c>
      <c r="W283" s="108">
        <f t="shared" si="38"/>
        <v>5294.6</v>
      </c>
      <c r="X283" s="108">
        <v>0</v>
      </c>
    </row>
    <row r="284" spans="1:24" ht="25.5" x14ac:dyDescent="0.2">
      <c r="A284" s="137">
        <v>274</v>
      </c>
      <c r="B284" s="59" t="s">
        <v>864</v>
      </c>
      <c r="C284" s="59" t="s">
        <v>580</v>
      </c>
      <c r="D284" s="106">
        <v>1476</v>
      </c>
      <c r="E284" s="107">
        <v>2000</v>
      </c>
      <c r="F284" s="107">
        <v>0</v>
      </c>
      <c r="G284" s="107">
        <v>1900</v>
      </c>
      <c r="H284" s="107">
        <v>0</v>
      </c>
      <c r="I284" s="107">
        <v>2600</v>
      </c>
      <c r="J284" s="107">
        <v>0</v>
      </c>
      <c r="K284" s="107">
        <v>50</v>
      </c>
      <c r="L284" s="107">
        <v>0</v>
      </c>
      <c r="M284" s="107">
        <v>250</v>
      </c>
      <c r="N284" s="107">
        <v>2800</v>
      </c>
      <c r="O284" s="107">
        <v>0</v>
      </c>
      <c r="P284" s="107">
        <v>0</v>
      </c>
      <c r="Q284" s="108">
        <f t="shared" si="36"/>
        <v>11076</v>
      </c>
      <c r="R284" s="108">
        <f t="shared" si="37"/>
        <v>240.78</v>
      </c>
      <c r="S284" s="108">
        <f t="shared" si="39"/>
        <v>882.86</v>
      </c>
      <c r="T284" s="108">
        <v>146.41</v>
      </c>
      <c r="U284" s="108">
        <v>0</v>
      </c>
      <c r="V284" s="108">
        <f t="shared" si="35"/>
        <v>1270.05</v>
      </c>
      <c r="W284" s="108">
        <f t="shared" si="38"/>
        <v>9805.9500000000007</v>
      </c>
      <c r="X284" s="108">
        <v>0</v>
      </c>
    </row>
    <row r="285" spans="1:24" x14ac:dyDescent="0.2">
      <c r="A285" s="137">
        <v>275</v>
      </c>
      <c r="B285" s="59" t="s">
        <v>865</v>
      </c>
      <c r="C285" s="59" t="s">
        <v>575</v>
      </c>
      <c r="D285" s="106">
        <v>1350</v>
      </c>
      <c r="E285" s="107">
        <v>2000</v>
      </c>
      <c r="F285" s="107">
        <v>0</v>
      </c>
      <c r="G285" s="107">
        <v>0</v>
      </c>
      <c r="H285" s="107">
        <v>0</v>
      </c>
      <c r="I285" s="107">
        <v>4500</v>
      </c>
      <c r="J285" s="107">
        <v>0</v>
      </c>
      <c r="K285" s="107">
        <v>0</v>
      </c>
      <c r="L285" s="107">
        <v>0</v>
      </c>
      <c r="M285" s="107">
        <v>250</v>
      </c>
      <c r="N285" s="107">
        <v>2800</v>
      </c>
      <c r="O285" s="107">
        <v>0</v>
      </c>
      <c r="P285" s="107">
        <v>0</v>
      </c>
      <c r="Q285" s="108">
        <f t="shared" si="36"/>
        <v>10900</v>
      </c>
      <c r="R285" s="108">
        <f t="shared" si="37"/>
        <v>235.5</v>
      </c>
      <c r="S285" s="108">
        <f t="shared" si="39"/>
        <v>863.5</v>
      </c>
      <c r="T285" s="108">
        <v>146.96</v>
      </c>
      <c r="U285" s="108">
        <v>0</v>
      </c>
      <c r="V285" s="108">
        <f t="shared" si="35"/>
        <v>1245.96</v>
      </c>
      <c r="W285" s="108">
        <f t="shared" si="38"/>
        <v>9654.0400000000009</v>
      </c>
      <c r="X285" s="108">
        <v>0</v>
      </c>
    </row>
    <row r="286" spans="1:24" ht="25.5" x14ac:dyDescent="0.2">
      <c r="A286" s="137">
        <v>276</v>
      </c>
      <c r="B286" s="59" t="s">
        <v>866</v>
      </c>
      <c r="C286" s="59" t="s">
        <v>733</v>
      </c>
      <c r="D286" s="106">
        <v>2425</v>
      </c>
      <c r="E286" s="107">
        <v>0</v>
      </c>
      <c r="F286" s="107">
        <v>606.25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2800</v>
      </c>
      <c r="O286" s="107">
        <v>0</v>
      </c>
      <c r="P286" s="107">
        <v>0</v>
      </c>
      <c r="Q286" s="108">
        <f t="shared" si="36"/>
        <v>5831.25</v>
      </c>
      <c r="R286" s="108">
        <f t="shared" si="37"/>
        <v>90.94</v>
      </c>
      <c r="S286" s="108">
        <f t="shared" si="39"/>
        <v>333.44</v>
      </c>
      <c r="T286" s="108">
        <v>0</v>
      </c>
      <c r="U286" s="108">
        <v>0</v>
      </c>
      <c r="V286" s="108">
        <f t="shared" ref="V286:V310" si="40">SUM(R286:U286)</f>
        <v>424.38</v>
      </c>
      <c r="W286" s="108">
        <f t="shared" si="38"/>
        <v>5406.87</v>
      </c>
      <c r="X286" s="108">
        <v>0</v>
      </c>
    </row>
    <row r="287" spans="1:24" ht="25.5" x14ac:dyDescent="0.2">
      <c r="A287" s="137">
        <v>277</v>
      </c>
      <c r="B287" s="59" t="s">
        <v>867</v>
      </c>
      <c r="C287" s="59" t="s">
        <v>571</v>
      </c>
      <c r="D287" s="106">
        <v>1074</v>
      </c>
      <c r="E287" s="107">
        <v>400</v>
      </c>
      <c r="F287" s="107">
        <v>0</v>
      </c>
      <c r="G287" s="107">
        <v>1000</v>
      </c>
      <c r="H287" s="107">
        <v>0</v>
      </c>
      <c r="I287" s="107">
        <v>0</v>
      </c>
      <c r="J287" s="107">
        <v>0</v>
      </c>
      <c r="K287" s="107">
        <v>50</v>
      </c>
      <c r="L287" s="107">
        <v>200</v>
      </c>
      <c r="M287" s="107">
        <v>250</v>
      </c>
      <c r="N287" s="107">
        <v>2800</v>
      </c>
      <c r="O287" s="107">
        <v>0</v>
      </c>
      <c r="P287" s="107">
        <v>0</v>
      </c>
      <c r="Q287" s="108">
        <f t="shared" ref="Q287:Q318" si="41">SUM(D287:O287)</f>
        <v>5774</v>
      </c>
      <c r="R287" s="108">
        <f t="shared" si="37"/>
        <v>75.72</v>
      </c>
      <c r="S287" s="108">
        <f t="shared" si="39"/>
        <v>277.64</v>
      </c>
      <c r="T287" s="108">
        <v>0</v>
      </c>
      <c r="U287" s="108">
        <v>0</v>
      </c>
      <c r="V287" s="108">
        <f t="shared" si="40"/>
        <v>353.36</v>
      </c>
      <c r="W287" s="108">
        <f t="shared" si="38"/>
        <v>5420.64</v>
      </c>
      <c r="X287" s="108">
        <v>0</v>
      </c>
    </row>
    <row r="288" spans="1:24" s="94" customFormat="1" x14ac:dyDescent="0.2">
      <c r="A288" s="137">
        <v>278</v>
      </c>
      <c r="B288" s="59" t="s">
        <v>868</v>
      </c>
      <c r="C288" s="59" t="s">
        <v>571</v>
      </c>
      <c r="D288" s="106">
        <v>1074</v>
      </c>
      <c r="E288" s="107">
        <v>400</v>
      </c>
      <c r="F288" s="107">
        <v>0</v>
      </c>
      <c r="G288" s="107">
        <v>1000</v>
      </c>
      <c r="H288" s="107">
        <v>0</v>
      </c>
      <c r="I288" s="107">
        <v>0</v>
      </c>
      <c r="J288" s="107">
        <v>0</v>
      </c>
      <c r="K288" s="107">
        <v>50</v>
      </c>
      <c r="L288" s="107">
        <v>200</v>
      </c>
      <c r="M288" s="107">
        <v>250</v>
      </c>
      <c r="N288" s="107">
        <v>2800</v>
      </c>
      <c r="O288" s="107">
        <v>0</v>
      </c>
      <c r="P288" s="107">
        <v>0</v>
      </c>
      <c r="Q288" s="108">
        <f t="shared" si="41"/>
        <v>5774</v>
      </c>
      <c r="R288" s="108">
        <f>(D288+E288+F288+G288+H288+I288+J288+K288+L288+O288)*3%</f>
        <v>81.72</v>
      </c>
      <c r="S288" s="108">
        <f>(D288+E288+F288+G288+H288+I288+J288+K288+L288+O288)*11%</f>
        <v>299.64</v>
      </c>
      <c r="T288" s="108">
        <v>0</v>
      </c>
      <c r="U288" s="108">
        <v>0</v>
      </c>
      <c r="V288" s="108">
        <f t="shared" si="40"/>
        <v>381.36</v>
      </c>
      <c r="W288" s="108">
        <f t="shared" si="38"/>
        <v>5392.64</v>
      </c>
      <c r="X288" s="108">
        <v>0</v>
      </c>
    </row>
    <row r="289" spans="1:24" ht="25.5" x14ac:dyDescent="0.2">
      <c r="A289" s="137">
        <v>279</v>
      </c>
      <c r="B289" s="59" t="s">
        <v>869</v>
      </c>
      <c r="C289" s="59" t="s">
        <v>954</v>
      </c>
      <c r="D289" s="106">
        <v>1476</v>
      </c>
      <c r="E289" s="107">
        <v>1600</v>
      </c>
      <c r="F289" s="107">
        <v>0</v>
      </c>
      <c r="G289" s="107">
        <v>1900</v>
      </c>
      <c r="H289" s="107">
        <v>0</v>
      </c>
      <c r="I289" s="107">
        <v>0</v>
      </c>
      <c r="J289" s="107">
        <v>0</v>
      </c>
      <c r="K289" s="107">
        <v>50</v>
      </c>
      <c r="L289" s="107">
        <v>0</v>
      </c>
      <c r="M289" s="107">
        <v>250</v>
      </c>
      <c r="N289" s="107">
        <v>2800</v>
      </c>
      <c r="O289" s="107">
        <v>0</v>
      </c>
      <c r="P289" s="107">
        <v>0</v>
      </c>
      <c r="Q289" s="108">
        <f t="shared" si="41"/>
        <v>8076</v>
      </c>
      <c r="R289" s="108">
        <f t="shared" ref="R289:R320" si="42">(D289+E289+F289+G289+H289+I289+J289+K289+O289)*3%</f>
        <v>150.78</v>
      </c>
      <c r="S289" s="108">
        <f t="shared" ref="S289:S320" si="43">(D289+E289+F289+G289+H289+I289+J289+K289+O289)*11%</f>
        <v>552.86</v>
      </c>
      <c r="T289" s="108">
        <v>26.94</v>
      </c>
      <c r="U289" s="108">
        <v>0</v>
      </c>
      <c r="V289" s="108">
        <f t="shared" si="40"/>
        <v>730.58</v>
      </c>
      <c r="W289" s="108">
        <f t="shared" si="38"/>
        <v>7345.42</v>
      </c>
      <c r="X289" s="108">
        <v>0</v>
      </c>
    </row>
    <row r="290" spans="1:24" ht="25.5" x14ac:dyDescent="0.2">
      <c r="A290" s="137">
        <v>280</v>
      </c>
      <c r="B290" s="59" t="s">
        <v>870</v>
      </c>
      <c r="C290" s="59" t="s">
        <v>586</v>
      </c>
      <c r="D290" s="106">
        <v>1223</v>
      </c>
      <c r="E290" s="108">
        <f>2000</f>
        <v>2000</v>
      </c>
      <c r="F290" s="107">
        <v>0</v>
      </c>
      <c r="G290" s="107">
        <v>0</v>
      </c>
      <c r="H290" s="107">
        <v>1300</v>
      </c>
      <c r="I290" s="107">
        <f>3200</f>
        <v>3200</v>
      </c>
      <c r="J290" s="107">
        <v>0</v>
      </c>
      <c r="K290" s="107">
        <v>0</v>
      </c>
      <c r="L290" s="107">
        <v>0</v>
      </c>
      <c r="M290" s="107">
        <v>250</v>
      </c>
      <c r="N290" s="107">
        <v>2800</v>
      </c>
      <c r="O290" s="107">
        <v>0</v>
      </c>
      <c r="P290" s="107">
        <v>0</v>
      </c>
      <c r="Q290" s="108">
        <f t="shared" si="41"/>
        <v>10773</v>
      </c>
      <c r="R290" s="108">
        <f t="shared" si="42"/>
        <v>231.69</v>
      </c>
      <c r="S290" s="108">
        <f t="shared" si="43"/>
        <v>849.53</v>
      </c>
      <c r="T290" s="108">
        <v>139.80000000000001</v>
      </c>
      <c r="U290" s="108">
        <v>0</v>
      </c>
      <c r="V290" s="108">
        <f t="shared" si="40"/>
        <v>1221.02</v>
      </c>
      <c r="W290" s="108">
        <f t="shared" si="38"/>
        <v>9551.98</v>
      </c>
      <c r="X290" s="108">
        <v>0</v>
      </c>
    </row>
    <row r="291" spans="1:24" ht="38.25" x14ac:dyDescent="0.2">
      <c r="A291" s="137">
        <v>281</v>
      </c>
      <c r="B291" s="59" t="s">
        <v>871</v>
      </c>
      <c r="C291" s="59" t="s">
        <v>701</v>
      </c>
      <c r="D291" s="106">
        <f>(485*4)+1476</f>
        <v>3416</v>
      </c>
      <c r="E291" s="107">
        <v>2000</v>
      </c>
      <c r="F291" s="107">
        <f>606.25*4</f>
        <v>2425</v>
      </c>
      <c r="G291" s="107">
        <v>0</v>
      </c>
      <c r="H291" s="107">
        <v>0</v>
      </c>
      <c r="I291" s="107">
        <v>4500</v>
      </c>
      <c r="J291" s="107">
        <v>0</v>
      </c>
      <c r="K291" s="107">
        <v>0</v>
      </c>
      <c r="L291" s="107">
        <v>0</v>
      </c>
      <c r="M291" s="107">
        <v>250</v>
      </c>
      <c r="N291" s="107">
        <v>2800</v>
      </c>
      <c r="O291" s="107">
        <v>0</v>
      </c>
      <c r="P291" s="107">
        <v>0</v>
      </c>
      <c r="Q291" s="108">
        <f t="shared" si="41"/>
        <v>15391</v>
      </c>
      <c r="R291" s="108">
        <f t="shared" si="42"/>
        <v>370.23</v>
      </c>
      <c r="S291" s="108">
        <f t="shared" si="43"/>
        <v>1357.51</v>
      </c>
      <c r="T291" s="108">
        <v>319.31</v>
      </c>
      <c r="U291" s="108">
        <v>0</v>
      </c>
      <c r="V291" s="108">
        <f t="shared" si="40"/>
        <v>2047.05</v>
      </c>
      <c r="W291" s="108">
        <f t="shared" si="38"/>
        <v>13343.95</v>
      </c>
      <c r="X291" s="108">
        <v>0</v>
      </c>
    </row>
    <row r="292" spans="1:24" ht="25.5" x14ac:dyDescent="0.2">
      <c r="A292" s="137">
        <v>282</v>
      </c>
      <c r="B292" s="59" t="s">
        <v>872</v>
      </c>
      <c r="C292" s="130" t="s">
        <v>573</v>
      </c>
      <c r="D292" s="106">
        <v>1350</v>
      </c>
      <c r="E292" s="107">
        <v>2000</v>
      </c>
      <c r="F292" s="107">
        <v>0</v>
      </c>
      <c r="G292" s="107">
        <v>0</v>
      </c>
      <c r="H292" s="107">
        <v>1600</v>
      </c>
      <c r="I292" s="107">
        <v>2900</v>
      </c>
      <c r="J292" s="107">
        <v>0</v>
      </c>
      <c r="K292" s="107">
        <v>75</v>
      </c>
      <c r="L292" s="107">
        <v>0</v>
      </c>
      <c r="M292" s="107">
        <v>250</v>
      </c>
      <c r="N292" s="107">
        <v>2800</v>
      </c>
      <c r="O292" s="107">
        <v>0</v>
      </c>
      <c r="P292" s="107">
        <v>0</v>
      </c>
      <c r="Q292" s="108">
        <f t="shared" si="41"/>
        <v>10975</v>
      </c>
      <c r="R292" s="108">
        <f t="shared" si="42"/>
        <v>237.75</v>
      </c>
      <c r="S292" s="108">
        <f t="shared" si="43"/>
        <v>871.75</v>
      </c>
      <c r="T292" s="108">
        <v>146.18</v>
      </c>
      <c r="U292" s="108">
        <v>0</v>
      </c>
      <c r="V292" s="108">
        <f t="shared" si="40"/>
        <v>1255.68</v>
      </c>
      <c r="W292" s="108">
        <f t="shared" si="38"/>
        <v>9719.32</v>
      </c>
      <c r="X292" s="108">
        <v>0</v>
      </c>
    </row>
    <row r="293" spans="1:24" ht="25.5" x14ac:dyDescent="0.2">
      <c r="A293" s="137">
        <v>283</v>
      </c>
      <c r="B293" s="59" t="s">
        <v>873</v>
      </c>
      <c r="C293" s="59" t="s">
        <v>788</v>
      </c>
      <c r="D293" s="106">
        <v>1350</v>
      </c>
      <c r="E293" s="107">
        <v>1500</v>
      </c>
      <c r="F293" s="107">
        <v>0</v>
      </c>
      <c r="G293" s="107">
        <v>0</v>
      </c>
      <c r="H293" s="107">
        <v>1600</v>
      </c>
      <c r="I293" s="107">
        <v>0</v>
      </c>
      <c r="J293" s="107">
        <v>0</v>
      </c>
      <c r="K293" s="107">
        <v>0</v>
      </c>
      <c r="L293" s="107">
        <v>0</v>
      </c>
      <c r="M293" s="107">
        <v>250</v>
      </c>
      <c r="N293" s="107">
        <v>2800</v>
      </c>
      <c r="O293" s="107">
        <v>0</v>
      </c>
      <c r="P293" s="107">
        <v>0</v>
      </c>
      <c r="Q293" s="108">
        <f t="shared" si="41"/>
        <v>7500</v>
      </c>
      <c r="R293" s="108">
        <f t="shared" si="42"/>
        <v>133.5</v>
      </c>
      <c r="S293" s="108">
        <f t="shared" si="43"/>
        <v>489.5</v>
      </c>
      <c r="T293" s="108">
        <v>0.23</v>
      </c>
      <c r="U293" s="108">
        <v>0</v>
      </c>
      <c r="V293" s="108">
        <f t="shared" si="40"/>
        <v>623.23</v>
      </c>
      <c r="W293" s="108">
        <f t="shared" si="38"/>
        <v>6876.77</v>
      </c>
      <c r="X293" s="108">
        <v>9196.2099999999991</v>
      </c>
    </row>
    <row r="294" spans="1:24" ht="25.5" x14ac:dyDescent="0.2">
      <c r="A294" s="137">
        <v>284</v>
      </c>
      <c r="B294" s="59" t="s">
        <v>874</v>
      </c>
      <c r="C294" s="59" t="s">
        <v>744</v>
      </c>
      <c r="D294" s="106">
        <v>1039</v>
      </c>
      <c r="E294" s="107">
        <v>0</v>
      </c>
      <c r="F294" s="107">
        <v>0</v>
      </c>
      <c r="G294" s="107">
        <v>1000</v>
      </c>
      <c r="H294" s="107">
        <v>0</v>
      </c>
      <c r="I294" s="107">
        <v>0</v>
      </c>
      <c r="J294" s="107">
        <v>0</v>
      </c>
      <c r="K294" s="107">
        <v>0</v>
      </c>
      <c r="L294" s="107">
        <v>200</v>
      </c>
      <c r="M294" s="107">
        <v>250</v>
      </c>
      <c r="N294" s="107">
        <v>2800</v>
      </c>
      <c r="O294" s="107">
        <v>0</v>
      </c>
      <c r="P294" s="107">
        <v>0</v>
      </c>
      <c r="Q294" s="108">
        <f t="shared" si="41"/>
        <v>5289</v>
      </c>
      <c r="R294" s="108">
        <f t="shared" si="42"/>
        <v>61.17</v>
      </c>
      <c r="S294" s="108">
        <f t="shared" si="43"/>
        <v>224.29</v>
      </c>
      <c r="T294" s="108">
        <v>0</v>
      </c>
      <c r="U294" s="108">
        <v>0</v>
      </c>
      <c r="V294" s="108">
        <f t="shared" si="40"/>
        <v>285.45999999999998</v>
      </c>
      <c r="W294" s="108">
        <f t="shared" si="38"/>
        <v>5003.54</v>
      </c>
      <c r="X294" s="108">
        <v>0</v>
      </c>
    </row>
    <row r="295" spans="1:24" ht="25.5" x14ac:dyDescent="0.2">
      <c r="A295" s="137">
        <v>285</v>
      </c>
      <c r="B295" s="59" t="s">
        <v>875</v>
      </c>
      <c r="C295" s="59" t="s">
        <v>571</v>
      </c>
      <c r="D295" s="106">
        <v>1074</v>
      </c>
      <c r="E295" s="107">
        <v>400</v>
      </c>
      <c r="F295" s="107">
        <v>0</v>
      </c>
      <c r="G295" s="107">
        <v>600</v>
      </c>
      <c r="H295" s="107">
        <v>0</v>
      </c>
      <c r="I295" s="107">
        <v>1400</v>
      </c>
      <c r="J295" s="107">
        <v>0</v>
      </c>
      <c r="K295" s="107">
        <v>35</v>
      </c>
      <c r="L295" s="107">
        <v>0</v>
      </c>
      <c r="M295" s="107">
        <v>250</v>
      </c>
      <c r="N295" s="107">
        <v>2800</v>
      </c>
      <c r="O295" s="107">
        <v>0</v>
      </c>
      <c r="P295" s="107">
        <v>0</v>
      </c>
      <c r="Q295" s="108">
        <f t="shared" si="41"/>
        <v>6559</v>
      </c>
      <c r="R295" s="108">
        <f t="shared" si="42"/>
        <v>105.27</v>
      </c>
      <c r="S295" s="108">
        <f t="shared" si="43"/>
        <v>385.99</v>
      </c>
      <c r="T295" s="108">
        <v>0</v>
      </c>
      <c r="U295" s="108">
        <v>0</v>
      </c>
      <c r="V295" s="108">
        <f t="shared" si="40"/>
        <v>491.26</v>
      </c>
      <c r="W295" s="108">
        <f t="shared" si="38"/>
        <v>6067.74</v>
      </c>
      <c r="X295" s="108">
        <v>0</v>
      </c>
    </row>
    <row r="296" spans="1:24" ht="38.25" x14ac:dyDescent="0.2">
      <c r="A296" s="137">
        <v>286</v>
      </c>
      <c r="B296" s="59" t="s">
        <v>876</v>
      </c>
      <c r="C296" s="59" t="s">
        <v>877</v>
      </c>
      <c r="D296" s="106">
        <f>(485*2)+1476</f>
        <v>2446</v>
      </c>
      <c r="E296" s="107">
        <v>650</v>
      </c>
      <c r="F296" s="107">
        <f>606.25*2</f>
        <v>1212.5</v>
      </c>
      <c r="G296" s="107">
        <v>1000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250</v>
      </c>
      <c r="N296" s="107">
        <v>2800</v>
      </c>
      <c r="O296" s="107">
        <v>0</v>
      </c>
      <c r="P296" s="107">
        <v>0</v>
      </c>
      <c r="Q296" s="108">
        <f t="shared" si="41"/>
        <v>8358.5</v>
      </c>
      <c r="R296" s="108">
        <f t="shared" si="42"/>
        <v>159.26</v>
      </c>
      <c r="S296" s="108">
        <f t="shared" si="43"/>
        <v>583.94000000000005</v>
      </c>
      <c r="T296" s="108">
        <v>38.11</v>
      </c>
      <c r="U296" s="108">
        <f>14.67*2</f>
        <v>29.34</v>
      </c>
      <c r="V296" s="108">
        <f t="shared" si="40"/>
        <v>810.65</v>
      </c>
      <c r="W296" s="108">
        <f t="shared" si="38"/>
        <v>7547.85</v>
      </c>
      <c r="X296" s="108">
        <v>0</v>
      </c>
    </row>
    <row r="297" spans="1:24" ht="25.5" x14ac:dyDescent="0.2">
      <c r="A297" s="137">
        <v>287</v>
      </c>
      <c r="B297" s="59" t="s">
        <v>878</v>
      </c>
      <c r="C297" s="59" t="s">
        <v>568</v>
      </c>
      <c r="D297" s="106">
        <v>1634</v>
      </c>
      <c r="E297" s="107">
        <v>2400</v>
      </c>
      <c r="F297" s="107">
        <v>0</v>
      </c>
      <c r="G297" s="107">
        <v>0</v>
      </c>
      <c r="H297" s="107">
        <v>0</v>
      </c>
      <c r="I297" s="107">
        <v>5400</v>
      </c>
      <c r="J297" s="107">
        <v>0</v>
      </c>
      <c r="K297" s="107">
        <v>75</v>
      </c>
      <c r="L297" s="107">
        <v>0</v>
      </c>
      <c r="M297" s="107">
        <v>250</v>
      </c>
      <c r="N297" s="107">
        <v>2800</v>
      </c>
      <c r="O297" s="107">
        <v>0</v>
      </c>
      <c r="P297" s="107">
        <v>0</v>
      </c>
      <c r="Q297" s="108">
        <f t="shared" si="41"/>
        <v>12559</v>
      </c>
      <c r="R297" s="108">
        <f t="shared" si="42"/>
        <v>285.27</v>
      </c>
      <c r="S297" s="108">
        <f t="shared" si="43"/>
        <v>1045.99</v>
      </c>
      <c r="T297" s="108">
        <v>207.96</v>
      </c>
      <c r="U297" s="108">
        <v>0</v>
      </c>
      <c r="V297" s="108">
        <f t="shared" si="40"/>
        <v>1539.22</v>
      </c>
      <c r="W297" s="108">
        <f t="shared" si="38"/>
        <v>11019.78</v>
      </c>
      <c r="X297" s="108">
        <v>0</v>
      </c>
    </row>
    <row r="298" spans="1:24" ht="25.5" x14ac:dyDescent="0.2">
      <c r="A298" s="137">
        <v>288</v>
      </c>
      <c r="B298" s="59" t="s">
        <v>879</v>
      </c>
      <c r="C298" s="59" t="s">
        <v>959</v>
      </c>
      <c r="D298" s="110">
        <v>1575</v>
      </c>
      <c r="E298" s="107">
        <v>800</v>
      </c>
      <c r="F298" s="107">
        <v>0</v>
      </c>
      <c r="G298" s="107">
        <v>1000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250</v>
      </c>
      <c r="N298" s="107">
        <v>0</v>
      </c>
      <c r="O298" s="107">
        <v>0</v>
      </c>
      <c r="P298" s="107">
        <v>0</v>
      </c>
      <c r="Q298" s="108">
        <f t="shared" si="41"/>
        <v>3625</v>
      </c>
      <c r="R298" s="108">
        <f t="shared" si="42"/>
        <v>101.25</v>
      </c>
      <c r="S298" s="108">
        <f t="shared" si="43"/>
        <v>371.25</v>
      </c>
      <c r="T298" s="108">
        <v>0</v>
      </c>
      <c r="U298" s="108">
        <v>0</v>
      </c>
      <c r="V298" s="108">
        <f t="shared" si="40"/>
        <v>472.5</v>
      </c>
      <c r="W298" s="108">
        <f t="shared" si="38"/>
        <v>3152.5</v>
      </c>
      <c r="X298" s="108">
        <v>0</v>
      </c>
    </row>
    <row r="299" spans="1:24" ht="25.5" x14ac:dyDescent="0.2">
      <c r="A299" s="137">
        <v>289</v>
      </c>
      <c r="B299" s="59" t="s">
        <v>880</v>
      </c>
      <c r="C299" s="59" t="s">
        <v>733</v>
      </c>
      <c r="D299" s="106">
        <v>2425</v>
      </c>
      <c r="E299" s="107">
        <v>0</v>
      </c>
      <c r="F299" s="107">
        <v>3031.25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2800</v>
      </c>
      <c r="O299" s="107">
        <v>0</v>
      </c>
      <c r="P299" s="107">
        <v>0</v>
      </c>
      <c r="Q299" s="108">
        <f t="shared" si="41"/>
        <v>8256.25</v>
      </c>
      <c r="R299" s="108">
        <f t="shared" si="42"/>
        <v>163.69</v>
      </c>
      <c r="S299" s="108">
        <f t="shared" si="43"/>
        <v>600.19000000000005</v>
      </c>
      <c r="T299" s="108">
        <v>31.89</v>
      </c>
      <c r="U299" s="108">
        <v>0</v>
      </c>
      <c r="V299" s="108">
        <f t="shared" si="40"/>
        <v>795.77</v>
      </c>
      <c r="W299" s="108">
        <f t="shared" si="38"/>
        <v>7460.48</v>
      </c>
      <c r="X299" s="108">
        <v>0</v>
      </c>
    </row>
    <row r="300" spans="1:24" ht="25.5" x14ac:dyDescent="0.2">
      <c r="A300" s="137">
        <v>290</v>
      </c>
      <c r="B300" s="59" t="s">
        <v>881</v>
      </c>
      <c r="C300" s="59" t="s">
        <v>882</v>
      </c>
      <c r="D300" s="106">
        <v>1575</v>
      </c>
      <c r="E300" s="107">
        <v>550</v>
      </c>
      <c r="F300" s="107">
        <v>0</v>
      </c>
      <c r="G300" s="107">
        <v>1000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250</v>
      </c>
      <c r="N300" s="107">
        <v>0</v>
      </c>
      <c r="O300" s="107">
        <v>0</v>
      </c>
      <c r="P300" s="107">
        <v>0</v>
      </c>
      <c r="Q300" s="108">
        <f t="shared" si="41"/>
        <v>3375</v>
      </c>
      <c r="R300" s="108">
        <f t="shared" si="42"/>
        <v>93.75</v>
      </c>
      <c r="S300" s="108">
        <f t="shared" si="43"/>
        <v>343.75</v>
      </c>
      <c r="T300" s="108">
        <v>0</v>
      </c>
      <c r="U300" s="108">
        <v>42</v>
      </c>
      <c r="V300" s="108">
        <f t="shared" si="40"/>
        <v>479.5</v>
      </c>
      <c r="W300" s="108">
        <f t="shared" si="38"/>
        <v>2895.5</v>
      </c>
      <c r="X300" s="108">
        <v>0</v>
      </c>
    </row>
    <row r="301" spans="1:24" s="94" customFormat="1" ht="25.5" x14ac:dyDescent="0.2">
      <c r="A301" s="137">
        <v>291</v>
      </c>
      <c r="B301" s="130" t="s">
        <v>932</v>
      </c>
      <c r="C301" s="59" t="s">
        <v>692</v>
      </c>
      <c r="D301" s="106">
        <v>1128</v>
      </c>
      <c r="E301" s="107">
        <v>0</v>
      </c>
      <c r="F301" s="107">
        <v>0</v>
      </c>
      <c r="G301" s="107">
        <v>1000</v>
      </c>
      <c r="H301" s="107">
        <v>0</v>
      </c>
      <c r="I301" s="107">
        <v>0</v>
      </c>
      <c r="J301" s="107">
        <v>0</v>
      </c>
      <c r="K301" s="107">
        <v>0</v>
      </c>
      <c r="L301" s="107">
        <v>0</v>
      </c>
      <c r="M301" s="107">
        <v>250</v>
      </c>
      <c r="N301" s="107">
        <v>0</v>
      </c>
      <c r="O301" s="107">
        <v>0</v>
      </c>
      <c r="P301" s="107">
        <v>0</v>
      </c>
      <c r="Q301" s="108">
        <f t="shared" si="41"/>
        <v>2378</v>
      </c>
      <c r="R301" s="108">
        <f t="shared" si="42"/>
        <v>63.84</v>
      </c>
      <c r="S301" s="108">
        <f t="shared" si="43"/>
        <v>234.08</v>
      </c>
      <c r="T301" s="108">
        <v>0</v>
      </c>
      <c r="U301" s="108">
        <v>0</v>
      </c>
      <c r="V301" s="108">
        <f t="shared" si="40"/>
        <v>297.92</v>
      </c>
      <c r="W301" s="108">
        <f t="shared" si="38"/>
        <v>2080.08</v>
      </c>
      <c r="X301" s="108">
        <v>0</v>
      </c>
    </row>
    <row r="302" spans="1:24" ht="25.5" x14ac:dyDescent="0.2">
      <c r="A302" s="137">
        <v>292</v>
      </c>
      <c r="B302" s="59" t="s">
        <v>883</v>
      </c>
      <c r="C302" s="59" t="s">
        <v>595</v>
      </c>
      <c r="D302" s="106">
        <f>485*2</f>
        <v>970</v>
      </c>
      <c r="E302" s="107">
        <v>0</v>
      </c>
      <c r="F302" s="107">
        <v>0</v>
      </c>
      <c r="G302" s="107">
        <v>0</v>
      </c>
      <c r="H302" s="107">
        <v>0</v>
      </c>
      <c r="I302" s="107">
        <v>0</v>
      </c>
      <c r="J302" s="107">
        <v>0</v>
      </c>
      <c r="K302" s="107">
        <v>0</v>
      </c>
      <c r="L302" s="107">
        <v>0</v>
      </c>
      <c r="M302" s="107">
        <v>0</v>
      </c>
      <c r="N302" s="107">
        <v>2800</v>
      </c>
      <c r="O302" s="107">
        <v>0</v>
      </c>
      <c r="P302" s="107">
        <v>0</v>
      </c>
      <c r="Q302" s="108">
        <f t="shared" si="41"/>
        <v>3770</v>
      </c>
      <c r="R302" s="108">
        <f t="shared" si="42"/>
        <v>29.1</v>
      </c>
      <c r="S302" s="108">
        <f t="shared" si="43"/>
        <v>106.7</v>
      </c>
      <c r="T302" s="108">
        <v>0</v>
      </c>
      <c r="U302" s="108">
        <v>0</v>
      </c>
      <c r="V302" s="108">
        <f t="shared" si="40"/>
        <v>135.80000000000001</v>
      </c>
      <c r="W302" s="108">
        <f t="shared" si="38"/>
        <v>3634.2</v>
      </c>
      <c r="X302" s="108">
        <v>0</v>
      </c>
    </row>
    <row r="303" spans="1:24" x14ac:dyDescent="0.2">
      <c r="A303" s="137">
        <v>293</v>
      </c>
      <c r="B303" s="59" t="s">
        <v>884</v>
      </c>
      <c r="C303" s="59" t="s">
        <v>568</v>
      </c>
      <c r="D303" s="106">
        <v>1634</v>
      </c>
      <c r="E303" s="107">
        <v>2400</v>
      </c>
      <c r="F303" s="107">
        <v>0</v>
      </c>
      <c r="G303" s="107">
        <v>0</v>
      </c>
      <c r="H303" s="107">
        <v>0</v>
      </c>
      <c r="I303" s="107">
        <v>5400</v>
      </c>
      <c r="J303" s="107">
        <v>0</v>
      </c>
      <c r="K303" s="107">
        <v>0</v>
      </c>
      <c r="L303" s="107">
        <v>0</v>
      </c>
      <c r="M303" s="107">
        <v>250</v>
      </c>
      <c r="N303" s="107">
        <v>2800</v>
      </c>
      <c r="O303" s="107">
        <v>0</v>
      </c>
      <c r="P303" s="107">
        <v>0</v>
      </c>
      <c r="Q303" s="108">
        <f t="shared" si="41"/>
        <v>12484</v>
      </c>
      <c r="R303" s="108">
        <f t="shared" si="42"/>
        <v>283.02</v>
      </c>
      <c r="S303" s="108">
        <f t="shared" si="43"/>
        <v>1037.74</v>
      </c>
      <c r="T303" s="108">
        <v>204.84</v>
      </c>
      <c r="U303" s="108">
        <v>0</v>
      </c>
      <c r="V303" s="108">
        <f t="shared" si="40"/>
        <v>1525.6</v>
      </c>
      <c r="W303" s="108">
        <f t="shared" si="38"/>
        <v>10958.4</v>
      </c>
      <c r="X303" s="108">
        <v>0</v>
      </c>
    </row>
    <row r="304" spans="1:24" ht="29.25" customHeight="1" x14ac:dyDescent="0.2">
      <c r="A304" s="137">
        <v>294</v>
      </c>
      <c r="B304" s="59" t="s">
        <v>885</v>
      </c>
      <c r="C304" s="59" t="s">
        <v>575</v>
      </c>
      <c r="D304" s="106">
        <v>1350</v>
      </c>
      <c r="E304" s="107">
        <v>2000</v>
      </c>
      <c r="F304" s="107">
        <v>0</v>
      </c>
      <c r="G304" s="107">
        <v>0</v>
      </c>
      <c r="H304" s="107">
        <v>2500</v>
      </c>
      <c r="I304" s="107">
        <v>2000</v>
      </c>
      <c r="J304" s="107">
        <v>0</v>
      </c>
      <c r="K304" s="107">
        <v>75</v>
      </c>
      <c r="L304" s="107">
        <v>0</v>
      </c>
      <c r="M304" s="107">
        <v>250</v>
      </c>
      <c r="N304" s="107">
        <v>2800</v>
      </c>
      <c r="O304" s="107">
        <v>0</v>
      </c>
      <c r="P304" s="107">
        <v>0</v>
      </c>
      <c r="Q304" s="108">
        <f t="shared" si="41"/>
        <v>10975</v>
      </c>
      <c r="R304" s="108">
        <f t="shared" si="42"/>
        <v>237.75</v>
      </c>
      <c r="S304" s="108">
        <f t="shared" si="43"/>
        <v>871.75</v>
      </c>
      <c r="T304" s="108">
        <v>146.18</v>
      </c>
      <c r="U304" s="108">
        <v>0</v>
      </c>
      <c r="V304" s="108">
        <f t="shared" si="40"/>
        <v>1255.68</v>
      </c>
      <c r="W304" s="108">
        <f t="shared" si="38"/>
        <v>9719.32</v>
      </c>
      <c r="X304" s="108">
        <v>0</v>
      </c>
    </row>
    <row r="305" spans="1:171" ht="25.5" x14ac:dyDescent="0.2">
      <c r="A305" s="137">
        <v>295</v>
      </c>
      <c r="B305" s="59" t="s">
        <v>886</v>
      </c>
      <c r="C305" s="59" t="s">
        <v>575</v>
      </c>
      <c r="D305" s="106">
        <v>1350</v>
      </c>
      <c r="E305" s="107">
        <v>2000</v>
      </c>
      <c r="F305" s="107">
        <v>0</v>
      </c>
      <c r="G305" s="107">
        <v>0</v>
      </c>
      <c r="H305" s="107">
        <v>0</v>
      </c>
      <c r="I305" s="107">
        <v>4500</v>
      </c>
      <c r="J305" s="107">
        <v>0</v>
      </c>
      <c r="K305" s="107">
        <v>0</v>
      </c>
      <c r="L305" s="107">
        <v>0</v>
      </c>
      <c r="M305" s="107">
        <v>250</v>
      </c>
      <c r="N305" s="107">
        <v>2800</v>
      </c>
      <c r="O305" s="107">
        <v>0</v>
      </c>
      <c r="P305" s="107">
        <v>0</v>
      </c>
      <c r="Q305" s="108">
        <f t="shared" si="41"/>
        <v>10900</v>
      </c>
      <c r="R305" s="108">
        <f t="shared" si="42"/>
        <v>235.5</v>
      </c>
      <c r="S305" s="108">
        <f t="shared" si="43"/>
        <v>863.5</v>
      </c>
      <c r="T305" s="108">
        <v>143.03</v>
      </c>
      <c r="U305" s="108">
        <v>0</v>
      </c>
      <c r="V305" s="108">
        <f t="shared" si="40"/>
        <v>1242.03</v>
      </c>
      <c r="W305" s="108">
        <f t="shared" si="38"/>
        <v>9657.9699999999993</v>
      </c>
      <c r="X305" s="108">
        <v>0</v>
      </c>
    </row>
    <row r="306" spans="1:171" ht="25.5" x14ac:dyDescent="0.2">
      <c r="A306" s="137">
        <v>296</v>
      </c>
      <c r="B306" s="59" t="s">
        <v>887</v>
      </c>
      <c r="C306" s="59" t="s">
        <v>568</v>
      </c>
      <c r="D306" s="106">
        <v>1634</v>
      </c>
      <c r="E306" s="107">
        <v>2400</v>
      </c>
      <c r="F306" s="107">
        <v>0</v>
      </c>
      <c r="G306" s="107">
        <v>0</v>
      </c>
      <c r="H306" s="107">
        <v>3000</v>
      </c>
      <c r="I306" s="107">
        <v>2400</v>
      </c>
      <c r="J306" s="107">
        <v>0</v>
      </c>
      <c r="K306" s="107">
        <v>0</v>
      </c>
      <c r="L306" s="107">
        <v>0</v>
      </c>
      <c r="M306" s="107">
        <v>250</v>
      </c>
      <c r="N306" s="107">
        <v>2800</v>
      </c>
      <c r="O306" s="107">
        <v>0</v>
      </c>
      <c r="P306" s="107">
        <v>0</v>
      </c>
      <c r="Q306" s="108">
        <f t="shared" si="41"/>
        <v>12484</v>
      </c>
      <c r="R306" s="108">
        <f t="shared" si="42"/>
        <v>283.02</v>
      </c>
      <c r="S306" s="108">
        <f t="shared" si="43"/>
        <v>1037.74</v>
      </c>
      <c r="T306" s="108">
        <v>204.84</v>
      </c>
      <c r="U306" s="108">
        <v>0</v>
      </c>
      <c r="V306" s="108">
        <f t="shared" si="40"/>
        <v>1525.6</v>
      </c>
      <c r="W306" s="108">
        <f t="shared" si="38"/>
        <v>10958.4</v>
      </c>
      <c r="X306" s="108">
        <v>0</v>
      </c>
    </row>
    <row r="307" spans="1:171" ht="25.5" x14ac:dyDescent="0.2">
      <c r="A307" s="137">
        <v>297</v>
      </c>
      <c r="B307" s="59" t="s">
        <v>888</v>
      </c>
      <c r="C307" s="59" t="s">
        <v>568</v>
      </c>
      <c r="D307" s="106">
        <v>1634</v>
      </c>
      <c r="E307" s="107">
        <v>2400</v>
      </c>
      <c r="F307" s="107">
        <v>0</v>
      </c>
      <c r="G307" s="107">
        <v>0</v>
      </c>
      <c r="H307" s="107">
        <v>3000</v>
      </c>
      <c r="I307" s="107">
        <v>2400</v>
      </c>
      <c r="J307" s="107">
        <v>0</v>
      </c>
      <c r="K307" s="107">
        <v>0</v>
      </c>
      <c r="L307" s="107">
        <v>0</v>
      </c>
      <c r="M307" s="107">
        <v>250</v>
      </c>
      <c r="N307" s="107">
        <v>2800</v>
      </c>
      <c r="O307" s="107">
        <v>0</v>
      </c>
      <c r="P307" s="107">
        <v>0</v>
      </c>
      <c r="Q307" s="108">
        <f t="shared" si="41"/>
        <v>12484</v>
      </c>
      <c r="R307" s="108">
        <f t="shared" si="42"/>
        <v>283.02</v>
      </c>
      <c r="S307" s="108">
        <f t="shared" si="43"/>
        <v>1037.74</v>
      </c>
      <c r="T307" s="108">
        <v>0</v>
      </c>
      <c r="U307" s="108">
        <v>0</v>
      </c>
      <c r="V307" s="108">
        <f t="shared" si="40"/>
        <v>1320.76</v>
      </c>
      <c r="W307" s="108">
        <f t="shared" si="38"/>
        <v>11163.24</v>
      </c>
      <c r="X307" s="108">
        <v>0</v>
      </c>
    </row>
    <row r="308" spans="1:171" s="95" customFormat="1" ht="25.5" x14ac:dyDescent="0.2">
      <c r="A308" s="137">
        <v>298</v>
      </c>
      <c r="B308" s="130" t="s">
        <v>889</v>
      </c>
      <c r="C308" s="130" t="s">
        <v>890</v>
      </c>
      <c r="D308" s="135">
        <v>1155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107">
        <v>0</v>
      </c>
      <c r="K308" s="107">
        <v>0</v>
      </c>
      <c r="L308" s="107">
        <v>0</v>
      </c>
      <c r="M308" s="107">
        <v>0</v>
      </c>
      <c r="N308" s="107">
        <v>0</v>
      </c>
      <c r="O308" s="107">
        <v>0</v>
      </c>
      <c r="P308" s="107">
        <v>0</v>
      </c>
      <c r="Q308" s="108">
        <f t="shared" si="41"/>
        <v>1155</v>
      </c>
      <c r="R308" s="108">
        <f t="shared" si="42"/>
        <v>34.65</v>
      </c>
      <c r="S308" s="108">
        <f t="shared" si="43"/>
        <v>127.05</v>
      </c>
      <c r="T308" s="108">
        <v>0</v>
      </c>
      <c r="U308" s="108">
        <v>0</v>
      </c>
      <c r="V308" s="108">
        <f t="shared" si="40"/>
        <v>161.69999999999999</v>
      </c>
      <c r="W308" s="108">
        <f t="shared" si="38"/>
        <v>993.3</v>
      </c>
      <c r="X308" s="108">
        <v>0</v>
      </c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  <c r="BV308" s="94"/>
      <c r="BW308" s="94"/>
      <c r="BX308" s="94"/>
      <c r="BY308" s="94"/>
      <c r="BZ308" s="94"/>
      <c r="CA308" s="94"/>
      <c r="CB308" s="94"/>
      <c r="CC308" s="94"/>
      <c r="CD308" s="94"/>
      <c r="CE308" s="94"/>
      <c r="CF308" s="94"/>
      <c r="CG308" s="94"/>
      <c r="CH308" s="94"/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  <c r="CW308" s="94"/>
      <c r="CX308" s="94"/>
      <c r="CY308" s="94"/>
      <c r="CZ308" s="94"/>
      <c r="DA308" s="94"/>
      <c r="DB308" s="94"/>
      <c r="DC308" s="94"/>
      <c r="DD308" s="94"/>
      <c r="DE308" s="94"/>
      <c r="DF308" s="94"/>
      <c r="DG308" s="94"/>
      <c r="DH308" s="94"/>
      <c r="DI308" s="94"/>
      <c r="DJ308" s="94"/>
      <c r="DK308" s="94"/>
      <c r="DL308" s="94"/>
      <c r="DM308" s="94"/>
      <c r="DN308" s="94"/>
      <c r="DO308" s="94"/>
      <c r="DP308" s="94"/>
      <c r="DQ308" s="94"/>
      <c r="DR308" s="94"/>
      <c r="DS308" s="94"/>
      <c r="DT308" s="94"/>
      <c r="DU308" s="94"/>
      <c r="DV308" s="94"/>
      <c r="DW308" s="94"/>
      <c r="DX308" s="94"/>
      <c r="DY308" s="94"/>
      <c r="DZ308" s="94"/>
      <c r="EA308" s="94"/>
      <c r="EB308" s="94"/>
      <c r="EC308" s="94"/>
      <c r="ED308" s="94"/>
      <c r="EE308" s="94"/>
      <c r="EF308" s="94"/>
      <c r="EG308" s="94"/>
      <c r="EH308" s="94"/>
      <c r="EI308" s="94"/>
      <c r="EJ308" s="94"/>
      <c r="EK308" s="94"/>
      <c r="EL308" s="94"/>
      <c r="EM308" s="94"/>
      <c r="EN308" s="94"/>
      <c r="EO308" s="94"/>
      <c r="EP308" s="94"/>
      <c r="EQ308" s="94"/>
      <c r="ER308" s="94"/>
      <c r="ES308" s="94"/>
      <c r="ET308" s="94"/>
      <c r="EU308" s="94"/>
      <c r="EV308" s="94"/>
      <c r="EW308" s="94"/>
      <c r="EX308" s="94"/>
      <c r="EY308" s="94"/>
      <c r="EZ308" s="94"/>
      <c r="FA308" s="94"/>
      <c r="FB308" s="94"/>
      <c r="FC308" s="94"/>
      <c r="FD308" s="94"/>
      <c r="FE308" s="94"/>
      <c r="FF308" s="94"/>
      <c r="FG308" s="94"/>
      <c r="FH308" s="94"/>
      <c r="FI308" s="94"/>
      <c r="FJ308" s="94"/>
      <c r="FK308" s="94"/>
      <c r="FL308" s="94"/>
      <c r="FM308" s="94"/>
      <c r="FN308" s="94"/>
      <c r="FO308" s="94"/>
    </row>
    <row r="309" spans="1:171" ht="25.5" x14ac:dyDescent="0.2">
      <c r="A309" s="137">
        <v>299</v>
      </c>
      <c r="B309" s="59" t="s">
        <v>891</v>
      </c>
      <c r="C309" s="59" t="s">
        <v>954</v>
      </c>
      <c r="D309" s="107">
        <v>1476</v>
      </c>
      <c r="E309" s="107">
        <v>2000</v>
      </c>
      <c r="F309" s="107">
        <v>0</v>
      </c>
      <c r="G309" s="107">
        <v>0</v>
      </c>
      <c r="H309" s="107">
        <v>1900</v>
      </c>
      <c r="I309" s="107">
        <v>2600</v>
      </c>
      <c r="J309" s="107">
        <v>0</v>
      </c>
      <c r="K309" s="107">
        <v>0</v>
      </c>
      <c r="L309" s="107">
        <v>0</v>
      </c>
      <c r="M309" s="107">
        <v>250</v>
      </c>
      <c r="N309" s="107">
        <v>2800</v>
      </c>
      <c r="O309" s="107">
        <v>0</v>
      </c>
      <c r="P309" s="107">
        <v>0</v>
      </c>
      <c r="Q309" s="108">
        <f t="shared" si="41"/>
        <v>11026</v>
      </c>
      <c r="R309" s="108">
        <f t="shared" si="42"/>
        <v>239.28</v>
      </c>
      <c r="S309" s="108">
        <f t="shared" si="43"/>
        <v>877.36</v>
      </c>
      <c r="T309" s="108">
        <v>146.41</v>
      </c>
      <c r="U309" s="108">
        <v>0</v>
      </c>
      <c r="V309" s="108">
        <f t="shared" si="40"/>
        <v>1263.05</v>
      </c>
      <c r="W309" s="108">
        <f t="shared" si="38"/>
        <v>9762.9500000000007</v>
      </c>
      <c r="X309" s="108">
        <v>9196.66</v>
      </c>
    </row>
    <row r="310" spans="1:171" x14ac:dyDescent="0.2">
      <c r="A310" s="137">
        <v>300</v>
      </c>
      <c r="B310" s="168" t="s">
        <v>968</v>
      </c>
      <c r="C310" s="168" t="s">
        <v>575</v>
      </c>
      <c r="D310" s="107">
        <v>1350</v>
      </c>
      <c r="E310" s="107">
        <v>0</v>
      </c>
      <c r="F310" s="107">
        <v>0</v>
      </c>
      <c r="G310" s="107">
        <v>0</v>
      </c>
      <c r="H310" s="107">
        <v>0</v>
      </c>
      <c r="I310" s="107">
        <v>4500</v>
      </c>
      <c r="J310" s="107">
        <v>0</v>
      </c>
      <c r="K310" s="107">
        <v>0</v>
      </c>
      <c r="L310" s="107">
        <v>0</v>
      </c>
      <c r="M310" s="107">
        <v>250</v>
      </c>
      <c r="N310" s="107">
        <v>0</v>
      </c>
      <c r="O310" s="107">
        <v>0</v>
      </c>
      <c r="P310" s="107">
        <v>0</v>
      </c>
      <c r="Q310" s="108">
        <f t="shared" si="41"/>
        <v>6100</v>
      </c>
      <c r="R310" s="108">
        <f t="shared" si="42"/>
        <v>175.5</v>
      </c>
      <c r="S310" s="108">
        <f t="shared" si="43"/>
        <v>643.5</v>
      </c>
      <c r="T310" s="108">
        <v>48.15</v>
      </c>
      <c r="U310" s="108">
        <v>0</v>
      </c>
      <c r="V310" s="108">
        <f t="shared" si="40"/>
        <v>867.15</v>
      </c>
      <c r="W310" s="108">
        <f t="shared" si="38"/>
        <v>5232.8500000000004</v>
      </c>
      <c r="X310" s="108">
        <v>0</v>
      </c>
    </row>
    <row r="311" spans="1:171" ht="25.5" x14ac:dyDescent="0.2">
      <c r="A311" s="137">
        <v>301</v>
      </c>
      <c r="B311" s="59" t="s">
        <v>892</v>
      </c>
      <c r="C311" s="59" t="s">
        <v>580</v>
      </c>
      <c r="D311" s="106">
        <v>1377.6</v>
      </c>
      <c r="E311" s="107">
        <v>1866.67</v>
      </c>
      <c r="F311" s="107">
        <v>0</v>
      </c>
      <c r="G311" s="107">
        <v>1773.33</v>
      </c>
      <c r="H311" s="107">
        <v>0</v>
      </c>
      <c r="I311" s="107">
        <v>2426.67</v>
      </c>
      <c r="J311" s="107">
        <v>0</v>
      </c>
      <c r="K311" s="107">
        <v>46.67</v>
      </c>
      <c r="L311" s="107">
        <v>0</v>
      </c>
      <c r="M311" s="107">
        <v>233.33</v>
      </c>
      <c r="N311" s="107">
        <v>2800</v>
      </c>
      <c r="O311" s="107">
        <v>0</v>
      </c>
      <c r="P311" s="107">
        <v>0</v>
      </c>
      <c r="Q311" s="108">
        <f t="shared" si="41"/>
        <v>10524.27</v>
      </c>
      <c r="R311" s="108">
        <f t="shared" si="42"/>
        <v>224.73</v>
      </c>
      <c r="S311" s="108">
        <f t="shared" si="43"/>
        <v>824</v>
      </c>
      <c r="T311" s="108">
        <v>146.41</v>
      </c>
      <c r="U311" s="108">
        <v>0</v>
      </c>
      <c r="V311" s="108">
        <f t="shared" ref="V311:V338" si="44">SUM(R311:U311)</f>
        <v>1195.1400000000001</v>
      </c>
      <c r="W311" s="108">
        <f t="shared" si="38"/>
        <v>9329.1299999999992</v>
      </c>
      <c r="X311" s="108">
        <v>656</v>
      </c>
    </row>
    <row r="312" spans="1:171" ht="25.5" x14ac:dyDescent="0.2">
      <c r="A312" s="137">
        <v>302</v>
      </c>
      <c r="B312" s="59" t="s">
        <v>893</v>
      </c>
      <c r="C312" s="59" t="s">
        <v>580</v>
      </c>
      <c r="D312" s="106">
        <v>1476</v>
      </c>
      <c r="E312" s="107">
        <v>2000</v>
      </c>
      <c r="F312" s="107">
        <v>0</v>
      </c>
      <c r="G312" s="107">
        <v>1900</v>
      </c>
      <c r="H312" s="107">
        <v>0</v>
      </c>
      <c r="I312" s="107">
        <v>2600</v>
      </c>
      <c r="J312" s="107">
        <v>0</v>
      </c>
      <c r="K312" s="107">
        <v>50</v>
      </c>
      <c r="L312" s="107">
        <v>0</v>
      </c>
      <c r="M312" s="107">
        <v>250</v>
      </c>
      <c r="N312" s="107">
        <v>2800</v>
      </c>
      <c r="O312" s="107">
        <v>0</v>
      </c>
      <c r="P312" s="107">
        <v>0</v>
      </c>
      <c r="Q312" s="108">
        <f t="shared" si="41"/>
        <v>11076</v>
      </c>
      <c r="R312" s="108">
        <f t="shared" si="42"/>
        <v>240.78</v>
      </c>
      <c r="S312" s="108">
        <f t="shared" si="43"/>
        <v>882.86</v>
      </c>
      <c r="T312" s="108">
        <v>145.79</v>
      </c>
      <c r="U312" s="108">
        <v>0</v>
      </c>
      <c r="V312" s="108">
        <f t="shared" si="44"/>
        <v>1269.43</v>
      </c>
      <c r="W312" s="108">
        <f t="shared" si="38"/>
        <v>9806.57</v>
      </c>
      <c r="X312" s="108">
        <v>0</v>
      </c>
    </row>
    <row r="313" spans="1:171" ht="38.25" x14ac:dyDescent="0.2">
      <c r="A313" s="137">
        <v>303</v>
      </c>
      <c r="B313" s="59" t="s">
        <v>894</v>
      </c>
      <c r="C313" s="59" t="s">
        <v>755</v>
      </c>
      <c r="D313" s="106">
        <f>(485*6)+1634</f>
        <v>4544</v>
      </c>
      <c r="E313" s="107">
        <v>1800</v>
      </c>
      <c r="F313" s="107">
        <f>485*6</f>
        <v>2910</v>
      </c>
      <c r="G313" s="107">
        <v>0</v>
      </c>
      <c r="H313" s="107">
        <v>2200</v>
      </c>
      <c r="I313" s="107">
        <v>0</v>
      </c>
      <c r="J313" s="107">
        <v>0</v>
      </c>
      <c r="K313" s="107">
        <v>75</v>
      </c>
      <c r="L313" s="107">
        <v>0</v>
      </c>
      <c r="M313" s="107">
        <v>250</v>
      </c>
      <c r="N313" s="107">
        <v>2800</v>
      </c>
      <c r="O313" s="107">
        <v>0</v>
      </c>
      <c r="P313" s="107">
        <v>0</v>
      </c>
      <c r="Q313" s="108">
        <f t="shared" si="41"/>
        <v>14579</v>
      </c>
      <c r="R313" s="108">
        <f t="shared" si="42"/>
        <v>345.87</v>
      </c>
      <c r="S313" s="108">
        <f t="shared" si="43"/>
        <v>1268.19</v>
      </c>
      <c r="T313" s="108">
        <v>286.02</v>
      </c>
      <c r="U313" s="108">
        <v>76.73</v>
      </c>
      <c r="V313" s="108">
        <f t="shared" si="44"/>
        <v>1976.81</v>
      </c>
      <c r="W313" s="108">
        <f t="shared" si="38"/>
        <v>12602.19</v>
      </c>
      <c r="X313" s="108">
        <v>0</v>
      </c>
    </row>
    <row r="314" spans="1:171" ht="25.5" x14ac:dyDescent="0.2">
      <c r="A314" s="137">
        <v>304</v>
      </c>
      <c r="B314" s="59" t="s">
        <v>895</v>
      </c>
      <c r="C314" s="59" t="s">
        <v>788</v>
      </c>
      <c r="D314" s="106">
        <v>1350</v>
      </c>
      <c r="E314" s="107">
        <v>1500</v>
      </c>
      <c r="F314" s="107">
        <v>0</v>
      </c>
      <c r="G314" s="107">
        <v>0</v>
      </c>
      <c r="H314" s="107">
        <v>1600</v>
      </c>
      <c r="I314" s="107">
        <v>0</v>
      </c>
      <c r="J314" s="107">
        <v>0</v>
      </c>
      <c r="K314" s="107">
        <v>75</v>
      </c>
      <c r="L314" s="107">
        <v>0</v>
      </c>
      <c r="M314" s="107">
        <v>250</v>
      </c>
      <c r="N314" s="107">
        <v>2800</v>
      </c>
      <c r="O314" s="107">
        <v>0</v>
      </c>
      <c r="P314" s="107">
        <v>0</v>
      </c>
      <c r="Q314" s="108">
        <f t="shared" si="41"/>
        <v>7575</v>
      </c>
      <c r="R314" s="108">
        <f t="shared" si="42"/>
        <v>135.75</v>
      </c>
      <c r="S314" s="108">
        <f t="shared" si="43"/>
        <v>497.75</v>
      </c>
      <c r="T314" s="108">
        <v>5.65</v>
      </c>
      <c r="U314" s="108">
        <v>0</v>
      </c>
      <c r="V314" s="108">
        <f t="shared" si="44"/>
        <v>639.15</v>
      </c>
      <c r="W314" s="108">
        <f t="shared" si="38"/>
        <v>6935.85</v>
      </c>
      <c r="X314" s="108">
        <v>0</v>
      </c>
    </row>
    <row r="315" spans="1:171" ht="25.5" x14ac:dyDescent="0.2">
      <c r="A315" s="137">
        <v>305</v>
      </c>
      <c r="B315" s="59" t="s">
        <v>896</v>
      </c>
      <c r="C315" s="59" t="s">
        <v>897</v>
      </c>
      <c r="D315" s="106">
        <v>1634</v>
      </c>
      <c r="E315" s="107">
        <v>2000</v>
      </c>
      <c r="F315" s="107">
        <v>0</v>
      </c>
      <c r="G315" s="107">
        <v>0</v>
      </c>
      <c r="H315" s="107">
        <v>0</v>
      </c>
      <c r="I315" s="107">
        <v>5400</v>
      </c>
      <c r="J315" s="107">
        <v>0</v>
      </c>
      <c r="K315" s="107">
        <v>0</v>
      </c>
      <c r="L315" s="107">
        <v>0</v>
      </c>
      <c r="M315" s="107">
        <v>250</v>
      </c>
      <c r="N315" s="107">
        <v>2800</v>
      </c>
      <c r="O315" s="107">
        <v>0</v>
      </c>
      <c r="P315" s="107">
        <v>0</v>
      </c>
      <c r="Q315" s="108">
        <f t="shared" si="41"/>
        <v>12084</v>
      </c>
      <c r="R315" s="108">
        <f t="shared" si="42"/>
        <v>271.02</v>
      </c>
      <c r="S315" s="108">
        <f t="shared" si="43"/>
        <v>993.74</v>
      </c>
      <c r="T315" s="108">
        <v>0</v>
      </c>
      <c r="U315" s="108">
        <v>0</v>
      </c>
      <c r="V315" s="108">
        <f t="shared" si="44"/>
        <v>1264.76</v>
      </c>
      <c r="W315" s="108">
        <f t="shared" si="38"/>
        <v>10819.24</v>
      </c>
      <c r="X315" s="108">
        <v>0</v>
      </c>
    </row>
    <row r="316" spans="1:171" x14ac:dyDescent="0.2">
      <c r="A316" s="137">
        <v>306</v>
      </c>
      <c r="B316" s="59" t="s">
        <v>898</v>
      </c>
      <c r="C316" s="59" t="s">
        <v>665</v>
      </c>
      <c r="D316" s="106">
        <v>1039</v>
      </c>
      <c r="E316" s="107">
        <v>400</v>
      </c>
      <c r="F316" s="107">
        <v>0</v>
      </c>
      <c r="G316" s="107">
        <v>1000</v>
      </c>
      <c r="H316" s="107">
        <v>0</v>
      </c>
      <c r="I316" s="107">
        <v>0</v>
      </c>
      <c r="J316" s="107">
        <v>0</v>
      </c>
      <c r="K316" s="107">
        <v>75</v>
      </c>
      <c r="L316" s="107">
        <v>200</v>
      </c>
      <c r="M316" s="107">
        <v>250</v>
      </c>
      <c r="N316" s="107">
        <v>2800</v>
      </c>
      <c r="O316" s="107">
        <v>0</v>
      </c>
      <c r="P316" s="107">
        <v>0</v>
      </c>
      <c r="Q316" s="108">
        <f t="shared" si="41"/>
        <v>5764</v>
      </c>
      <c r="R316" s="108">
        <f t="shared" si="42"/>
        <v>75.42</v>
      </c>
      <c r="S316" s="108">
        <f t="shared" si="43"/>
        <v>276.54000000000002</v>
      </c>
      <c r="T316" s="108">
        <v>0</v>
      </c>
      <c r="U316" s="108">
        <v>0</v>
      </c>
      <c r="V316" s="108">
        <f t="shared" si="44"/>
        <v>351.96</v>
      </c>
      <c r="W316" s="108">
        <f t="shared" si="38"/>
        <v>5412.04</v>
      </c>
      <c r="X316" s="108">
        <v>0</v>
      </c>
    </row>
    <row r="317" spans="1:171" ht="25.5" x14ac:dyDescent="0.2">
      <c r="A317" s="137">
        <v>307</v>
      </c>
      <c r="B317" s="59" t="s">
        <v>899</v>
      </c>
      <c r="C317" s="59" t="s">
        <v>580</v>
      </c>
      <c r="D317" s="106">
        <v>1476</v>
      </c>
      <c r="E317" s="107">
        <v>2000</v>
      </c>
      <c r="F317" s="107">
        <v>0</v>
      </c>
      <c r="G317" s="107">
        <v>0</v>
      </c>
      <c r="H317" s="107">
        <v>1900</v>
      </c>
      <c r="I317" s="107">
        <v>2600</v>
      </c>
      <c r="J317" s="107">
        <v>0</v>
      </c>
      <c r="K317" s="107">
        <v>0</v>
      </c>
      <c r="L317" s="107">
        <v>0</v>
      </c>
      <c r="M317" s="107">
        <v>250</v>
      </c>
      <c r="N317" s="107">
        <v>2800</v>
      </c>
      <c r="O317" s="107">
        <v>0</v>
      </c>
      <c r="P317" s="107">
        <v>0</v>
      </c>
      <c r="Q317" s="108">
        <f t="shared" si="41"/>
        <v>11026</v>
      </c>
      <c r="R317" s="108">
        <f t="shared" si="42"/>
        <v>239.28</v>
      </c>
      <c r="S317" s="108">
        <f t="shared" si="43"/>
        <v>877.36</v>
      </c>
      <c r="T317" s="108">
        <v>148.33000000000001</v>
      </c>
      <c r="U317" s="108">
        <v>0</v>
      </c>
      <c r="V317" s="108">
        <f t="shared" si="44"/>
        <v>1264.97</v>
      </c>
      <c r="W317" s="108">
        <f t="shared" si="38"/>
        <v>9761.0300000000007</v>
      </c>
      <c r="X317" s="108">
        <v>0</v>
      </c>
    </row>
    <row r="318" spans="1:171" x14ac:dyDescent="0.2">
      <c r="A318" s="137">
        <v>308</v>
      </c>
      <c r="B318" s="59" t="s">
        <v>900</v>
      </c>
      <c r="C318" s="59" t="s">
        <v>659</v>
      </c>
      <c r="D318" s="106">
        <v>1575</v>
      </c>
      <c r="E318" s="107">
        <v>550</v>
      </c>
      <c r="F318" s="107">
        <v>0</v>
      </c>
      <c r="G318" s="107">
        <v>1000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250</v>
      </c>
      <c r="N318" s="107">
        <v>0</v>
      </c>
      <c r="O318" s="107">
        <v>0</v>
      </c>
      <c r="P318" s="107">
        <v>0</v>
      </c>
      <c r="Q318" s="108">
        <f t="shared" si="41"/>
        <v>3375</v>
      </c>
      <c r="R318" s="108">
        <f t="shared" si="42"/>
        <v>93.75</v>
      </c>
      <c r="S318" s="108">
        <f t="shared" si="43"/>
        <v>343.75</v>
      </c>
      <c r="T318" s="108">
        <v>0</v>
      </c>
      <c r="U318" s="108">
        <v>42</v>
      </c>
      <c r="V318" s="108">
        <f t="shared" si="44"/>
        <v>479.5</v>
      </c>
      <c r="W318" s="108">
        <f t="shared" si="38"/>
        <v>2895.5</v>
      </c>
      <c r="X318" s="108">
        <v>0</v>
      </c>
    </row>
    <row r="319" spans="1:171" x14ac:dyDescent="0.2">
      <c r="A319" s="137">
        <v>309</v>
      </c>
      <c r="B319" s="59" t="s">
        <v>901</v>
      </c>
      <c r="C319" s="59" t="s">
        <v>575</v>
      </c>
      <c r="D319" s="106">
        <v>1350</v>
      </c>
      <c r="E319" s="107">
        <v>2000</v>
      </c>
      <c r="F319" s="107">
        <v>0</v>
      </c>
      <c r="G319" s="107">
        <v>0</v>
      </c>
      <c r="H319" s="107">
        <v>0</v>
      </c>
      <c r="I319" s="107">
        <v>4500</v>
      </c>
      <c r="J319" s="107">
        <v>0</v>
      </c>
      <c r="K319" s="107">
        <v>75</v>
      </c>
      <c r="L319" s="107">
        <v>0</v>
      </c>
      <c r="M319" s="107">
        <v>250</v>
      </c>
      <c r="N319" s="107">
        <v>2800</v>
      </c>
      <c r="O319" s="107">
        <v>0</v>
      </c>
      <c r="P319" s="107">
        <v>0</v>
      </c>
      <c r="Q319" s="108">
        <f t="shared" ref="Q319:Q338" si="45">SUM(D319:O319)</f>
        <v>10975</v>
      </c>
      <c r="R319" s="108">
        <f t="shared" si="42"/>
        <v>237.75</v>
      </c>
      <c r="S319" s="108">
        <f t="shared" si="43"/>
        <v>871.75</v>
      </c>
      <c r="T319" s="108">
        <v>146.18</v>
      </c>
      <c r="U319" s="108">
        <v>0</v>
      </c>
      <c r="V319" s="108">
        <f t="shared" si="44"/>
        <v>1255.68</v>
      </c>
      <c r="W319" s="108">
        <f t="shared" si="38"/>
        <v>9719.32</v>
      </c>
      <c r="X319" s="108">
        <v>0</v>
      </c>
    </row>
    <row r="320" spans="1:171" x14ac:dyDescent="0.2">
      <c r="A320" s="137">
        <v>310</v>
      </c>
      <c r="B320" s="59" t="s">
        <v>902</v>
      </c>
      <c r="C320" s="59" t="s">
        <v>692</v>
      </c>
      <c r="D320" s="106">
        <v>1128</v>
      </c>
      <c r="E320" s="107">
        <v>400</v>
      </c>
      <c r="F320" s="107">
        <v>0</v>
      </c>
      <c r="G320" s="107">
        <v>1000</v>
      </c>
      <c r="H320" s="107">
        <v>0</v>
      </c>
      <c r="I320" s="107">
        <v>0</v>
      </c>
      <c r="J320" s="107">
        <v>0</v>
      </c>
      <c r="K320" s="107">
        <v>50</v>
      </c>
      <c r="L320" s="107">
        <v>0</v>
      </c>
      <c r="M320" s="107">
        <v>250</v>
      </c>
      <c r="N320" s="107">
        <v>2800</v>
      </c>
      <c r="O320" s="107">
        <v>0</v>
      </c>
      <c r="P320" s="107">
        <v>0</v>
      </c>
      <c r="Q320" s="108">
        <f t="shared" si="45"/>
        <v>5628</v>
      </c>
      <c r="R320" s="108">
        <f t="shared" si="42"/>
        <v>77.34</v>
      </c>
      <c r="S320" s="108">
        <f t="shared" si="43"/>
        <v>283.58</v>
      </c>
      <c r="T320" s="108">
        <v>0</v>
      </c>
      <c r="U320" s="108">
        <v>0</v>
      </c>
      <c r="V320" s="108">
        <f t="shared" si="44"/>
        <v>360.92</v>
      </c>
      <c r="W320" s="108">
        <f t="shared" si="38"/>
        <v>5267.08</v>
      </c>
      <c r="X320" s="108">
        <v>0</v>
      </c>
    </row>
    <row r="321" spans="1:24" x14ac:dyDescent="0.2">
      <c r="A321" s="137">
        <v>311</v>
      </c>
      <c r="B321" s="59" t="s">
        <v>903</v>
      </c>
      <c r="C321" s="59" t="s">
        <v>568</v>
      </c>
      <c r="D321" s="106">
        <f>362*6</f>
        <v>2172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2800</v>
      </c>
      <c r="O321" s="107">
        <v>0</v>
      </c>
      <c r="P321" s="107">
        <v>0</v>
      </c>
      <c r="Q321" s="108">
        <f t="shared" si="45"/>
        <v>4972</v>
      </c>
      <c r="R321" s="108">
        <f t="shared" ref="R321:R338" si="46">(D321+E321+F321+G321+H321+I321+J321+K321+O321)*3%</f>
        <v>65.16</v>
      </c>
      <c r="S321" s="108">
        <f t="shared" ref="S321:S337" si="47">(D321+E321+F321+G321+H321+I321+J321+K321+O321)*11%</f>
        <v>238.92</v>
      </c>
      <c r="T321" s="108">
        <v>0</v>
      </c>
      <c r="U321" s="108">
        <v>0</v>
      </c>
      <c r="V321" s="108">
        <f t="shared" si="44"/>
        <v>304.08</v>
      </c>
      <c r="W321" s="108">
        <f t="shared" si="38"/>
        <v>4667.92</v>
      </c>
      <c r="X321" s="108">
        <v>0</v>
      </c>
    </row>
    <row r="322" spans="1:24" ht="25.5" x14ac:dyDescent="0.2">
      <c r="A322" s="137">
        <v>312</v>
      </c>
      <c r="B322" s="131" t="s">
        <v>904</v>
      </c>
      <c r="C322" s="59" t="s">
        <v>744</v>
      </c>
      <c r="D322" s="107">
        <v>1039</v>
      </c>
      <c r="E322" s="107">
        <v>400</v>
      </c>
      <c r="F322" s="107">
        <v>0</v>
      </c>
      <c r="G322" s="107">
        <v>1000</v>
      </c>
      <c r="H322" s="107">
        <v>0</v>
      </c>
      <c r="I322" s="107">
        <v>0</v>
      </c>
      <c r="J322" s="107">
        <v>0</v>
      </c>
      <c r="K322" s="107">
        <v>0</v>
      </c>
      <c r="L322" s="107">
        <v>200</v>
      </c>
      <c r="M322" s="107">
        <v>250</v>
      </c>
      <c r="N322" s="107">
        <v>2800</v>
      </c>
      <c r="O322" s="107">
        <v>0</v>
      </c>
      <c r="P322" s="107">
        <v>0</v>
      </c>
      <c r="Q322" s="108">
        <f t="shared" si="45"/>
        <v>5689</v>
      </c>
      <c r="R322" s="108">
        <f t="shared" si="46"/>
        <v>73.17</v>
      </c>
      <c r="S322" s="108">
        <f t="shared" si="47"/>
        <v>268.29000000000002</v>
      </c>
      <c r="T322" s="108">
        <v>0</v>
      </c>
      <c r="U322" s="108">
        <v>0</v>
      </c>
      <c r="V322" s="108">
        <f t="shared" si="44"/>
        <v>341.46</v>
      </c>
      <c r="W322" s="108">
        <f t="shared" si="38"/>
        <v>5347.54</v>
      </c>
      <c r="X322" s="108">
        <v>0</v>
      </c>
    </row>
    <row r="323" spans="1:24" ht="25.5" x14ac:dyDescent="0.2">
      <c r="A323" s="137">
        <v>313</v>
      </c>
      <c r="B323" s="59" t="s">
        <v>905</v>
      </c>
      <c r="C323" s="59" t="s">
        <v>692</v>
      </c>
      <c r="D323" s="106">
        <v>1128</v>
      </c>
      <c r="E323" s="107">
        <v>550</v>
      </c>
      <c r="F323" s="107">
        <v>0</v>
      </c>
      <c r="G323" s="107">
        <v>1000</v>
      </c>
      <c r="H323" s="107">
        <v>0</v>
      </c>
      <c r="I323" s="107">
        <v>0</v>
      </c>
      <c r="J323" s="107">
        <v>0</v>
      </c>
      <c r="K323" s="107">
        <v>75</v>
      </c>
      <c r="L323" s="107">
        <v>0</v>
      </c>
      <c r="M323" s="107">
        <v>250</v>
      </c>
      <c r="N323" s="107">
        <v>0</v>
      </c>
      <c r="O323" s="107">
        <v>0</v>
      </c>
      <c r="P323" s="107">
        <v>0</v>
      </c>
      <c r="Q323" s="108">
        <f t="shared" si="45"/>
        <v>3003</v>
      </c>
      <c r="R323" s="108">
        <f t="shared" si="46"/>
        <v>82.59</v>
      </c>
      <c r="S323" s="108">
        <f t="shared" si="47"/>
        <v>302.83</v>
      </c>
      <c r="T323" s="108">
        <v>0</v>
      </c>
      <c r="U323" s="108">
        <v>0</v>
      </c>
      <c r="V323" s="108">
        <f t="shared" si="44"/>
        <v>385.42</v>
      </c>
      <c r="W323" s="108">
        <f t="shared" si="38"/>
        <v>2617.58</v>
      </c>
      <c r="X323" s="108">
        <v>0</v>
      </c>
    </row>
    <row r="324" spans="1:24" ht="25.5" x14ac:dyDescent="0.2">
      <c r="A324" s="137">
        <v>314</v>
      </c>
      <c r="B324" s="59" t="s">
        <v>906</v>
      </c>
      <c r="C324" s="59" t="s">
        <v>580</v>
      </c>
      <c r="D324" s="106">
        <v>1476</v>
      </c>
      <c r="E324" s="107">
        <v>2000</v>
      </c>
      <c r="F324" s="107">
        <v>0</v>
      </c>
      <c r="G324" s="107">
        <v>1900</v>
      </c>
      <c r="H324" s="107">
        <v>0</v>
      </c>
      <c r="I324" s="107">
        <v>2600</v>
      </c>
      <c r="J324" s="107">
        <v>0</v>
      </c>
      <c r="K324" s="107">
        <v>50</v>
      </c>
      <c r="L324" s="107">
        <v>0</v>
      </c>
      <c r="M324" s="107">
        <v>250</v>
      </c>
      <c r="N324" s="107">
        <v>2800</v>
      </c>
      <c r="O324" s="107">
        <v>0</v>
      </c>
      <c r="P324" s="107">
        <v>0</v>
      </c>
      <c r="Q324" s="108">
        <f t="shared" si="45"/>
        <v>11076</v>
      </c>
      <c r="R324" s="108">
        <f t="shared" si="46"/>
        <v>240.78</v>
      </c>
      <c r="S324" s="108">
        <f t="shared" si="47"/>
        <v>882.86</v>
      </c>
      <c r="T324" s="108">
        <v>146.41</v>
      </c>
      <c r="U324" s="108">
        <v>0</v>
      </c>
      <c r="V324" s="108">
        <f t="shared" si="44"/>
        <v>1270.05</v>
      </c>
      <c r="W324" s="108">
        <f t="shared" si="38"/>
        <v>9805.9500000000007</v>
      </c>
      <c r="X324" s="108">
        <v>0</v>
      </c>
    </row>
    <row r="325" spans="1:24" x14ac:dyDescent="0.2">
      <c r="A325" s="137">
        <v>315</v>
      </c>
      <c r="B325" s="59" t="s">
        <v>907</v>
      </c>
      <c r="C325" s="59" t="s">
        <v>580</v>
      </c>
      <c r="D325" s="106">
        <v>1476</v>
      </c>
      <c r="E325" s="107">
        <v>2000</v>
      </c>
      <c r="F325" s="107">
        <v>0</v>
      </c>
      <c r="G325" s="107">
        <v>1900</v>
      </c>
      <c r="H325" s="107">
        <v>0</v>
      </c>
      <c r="I325" s="107">
        <v>2600</v>
      </c>
      <c r="J325" s="107">
        <v>0</v>
      </c>
      <c r="K325" s="107">
        <v>50</v>
      </c>
      <c r="L325" s="107">
        <v>0</v>
      </c>
      <c r="M325" s="107">
        <v>250</v>
      </c>
      <c r="N325" s="107">
        <v>2800</v>
      </c>
      <c r="O325" s="107">
        <v>0</v>
      </c>
      <c r="P325" s="107">
        <v>0</v>
      </c>
      <c r="Q325" s="108">
        <f t="shared" si="45"/>
        <v>11076</v>
      </c>
      <c r="R325" s="108">
        <f t="shared" si="46"/>
        <v>240.78</v>
      </c>
      <c r="S325" s="108">
        <f t="shared" si="47"/>
        <v>882.86</v>
      </c>
      <c r="T325" s="108">
        <v>146.41</v>
      </c>
      <c r="U325" s="108">
        <v>0</v>
      </c>
      <c r="V325" s="108">
        <f t="shared" si="44"/>
        <v>1270.05</v>
      </c>
      <c r="W325" s="108">
        <f t="shared" si="38"/>
        <v>9805.9500000000007</v>
      </c>
      <c r="X325" s="108">
        <v>0</v>
      </c>
    </row>
    <row r="326" spans="1:24" ht="38.25" x14ac:dyDescent="0.2">
      <c r="A326" s="137">
        <v>316</v>
      </c>
      <c r="B326" s="59" t="s">
        <v>908</v>
      </c>
      <c r="C326" s="59" t="s">
        <v>719</v>
      </c>
      <c r="D326" s="106">
        <f>485*3</f>
        <v>1455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2800</v>
      </c>
      <c r="O326" s="107">
        <v>0</v>
      </c>
      <c r="P326" s="107">
        <v>0</v>
      </c>
      <c r="Q326" s="108">
        <f t="shared" si="45"/>
        <v>4255</v>
      </c>
      <c r="R326" s="108">
        <f t="shared" si="46"/>
        <v>43.65</v>
      </c>
      <c r="S326" s="108">
        <f t="shared" si="47"/>
        <v>160.05000000000001</v>
      </c>
      <c r="T326" s="108">
        <v>0</v>
      </c>
      <c r="U326" s="108">
        <v>0</v>
      </c>
      <c r="V326" s="108">
        <f t="shared" si="44"/>
        <v>203.7</v>
      </c>
      <c r="W326" s="108">
        <f t="shared" si="38"/>
        <v>4051.3</v>
      </c>
      <c r="X326" s="108">
        <v>0</v>
      </c>
    </row>
    <row r="327" spans="1:24" ht="25.5" x14ac:dyDescent="0.2">
      <c r="A327" s="137">
        <v>317</v>
      </c>
      <c r="B327" s="59" t="s">
        <v>909</v>
      </c>
      <c r="C327" s="59" t="s">
        <v>910</v>
      </c>
      <c r="D327" s="106">
        <v>1074</v>
      </c>
      <c r="E327" s="107">
        <v>0</v>
      </c>
      <c r="F327" s="107">
        <v>0</v>
      </c>
      <c r="G327" s="108">
        <v>1000</v>
      </c>
      <c r="H327" s="107">
        <v>0</v>
      </c>
      <c r="I327" s="107">
        <v>0</v>
      </c>
      <c r="J327" s="107">
        <v>0</v>
      </c>
      <c r="K327" s="107">
        <v>0</v>
      </c>
      <c r="L327" s="107">
        <v>600</v>
      </c>
      <c r="M327" s="107">
        <v>250</v>
      </c>
      <c r="N327" s="107">
        <v>2800</v>
      </c>
      <c r="O327" s="107">
        <v>0</v>
      </c>
      <c r="P327" s="107">
        <v>0</v>
      </c>
      <c r="Q327" s="108">
        <f t="shared" si="45"/>
        <v>5724</v>
      </c>
      <c r="R327" s="108">
        <f t="shared" si="46"/>
        <v>62.22</v>
      </c>
      <c r="S327" s="108">
        <f t="shared" si="47"/>
        <v>228.14</v>
      </c>
      <c r="T327" s="108">
        <v>0</v>
      </c>
      <c r="U327" s="108">
        <v>0</v>
      </c>
      <c r="V327" s="108">
        <f t="shared" si="44"/>
        <v>290.36</v>
      </c>
      <c r="W327" s="108">
        <f t="shared" si="38"/>
        <v>5433.64</v>
      </c>
      <c r="X327" s="108">
        <v>0</v>
      </c>
    </row>
    <row r="328" spans="1:24" ht="25.5" x14ac:dyDescent="0.2">
      <c r="A328" s="137">
        <v>318</v>
      </c>
      <c r="B328" s="130" t="s">
        <v>926</v>
      </c>
      <c r="C328" s="130" t="s">
        <v>575</v>
      </c>
      <c r="D328" s="106">
        <v>1350</v>
      </c>
      <c r="E328" s="107">
        <v>0</v>
      </c>
      <c r="F328" s="107">
        <v>0</v>
      </c>
      <c r="G328" s="108">
        <v>0</v>
      </c>
      <c r="H328" s="107">
        <v>0</v>
      </c>
      <c r="I328" s="107">
        <f>2000+2500</f>
        <v>4500</v>
      </c>
      <c r="J328" s="107">
        <v>0</v>
      </c>
      <c r="K328" s="107">
        <v>0</v>
      </c>
      <c r="L328" s="107">
        <v>0</v>
      </c>
      <c r="M328" s="107">
        <v>250</v>
      </c>
      <c r="N328" s="107">
        <v>0</v>
      </c>
      <c r="O328" s="107"/>
      <c r="P328" s="107">
        <v>0</v>
      </c>
      <c r="Q328" s="108">
        <f t="shared" si="45"/>
        <v>6100</v>
      </c>
      <c r="R328" s="108">
        <f t="shared" si="46"/>
        <v>175.5</v>
      </c>
      <c r="S328" s="108">
        <f t="shared" si="47"/>
        <v>643.5</v>
      </c>
      <c r="T328" s="108">
        <v>61.96</v>
      </c>
      <c r="U328" s="108"/>
      <c r="V328" s="108">
        <f t="shared" si="44"/>
        <v>880.96</v>
      </c>
      <c r="W328" s="108">
        <f t="shared" si="38"/>
        <v>5219.04</v>
      </c>
      <c r="X328" s="108">
        <v>0</v>
      </c>
    </row>
    <row r="329" spans="1:24" ht="25.5" x14ac:dyDescent="0.2">
      <c r="A329" s="137">
        <v>319</v>
      </c>
      <c r="B329" s="59" t="s">
        <v>911</v>
      </c>
      <c r="C329" s="130" t="s">
        <v>573</v>
      </c>
      <c r="D329" s="106">
        <v>1350</v>
      </c>
      <c r="E329" s="107">
        <v>2000</v>
      </c>
      <c r="F329" s="107">
        <v>0</v>
      </c>
      <c r="G329" s="107">
        <v>0</v>
      </c>
      <c r="H329" s="107">
        <v>1600</v>
      </c>
      <c r="I329" s="107">
        <v>2900</v>
      </c>
      <c r="J329" s="107">
        <v>0</v>
      </c>
      <c r="K329" s="107">
        <v>75</v>
      </c>
      <c r="L329" s="107">
        <v>0</v>
      </c>
      <c r="M329" s="107">
        <v>250</v>
      </c>
      <c r="N329" s="107">
        <v>2800</v>
      </c>
      <c r="O329" s="107">
        <v>0</v>
      </c>
      <c r="P329" s="107">
        <v>0</v>
      </c>
      <c r="Q329" s="108">
        <f t="shared" si="45"/>
        <v>10975</v>
      </c>
      <c r="R329" s="108">
        <f t="shared" si="46"/>
        <v>237.75</v>
      </c>
      <c r="S329" s="108">
        <f t="shared" si="47"/>
        <v>871.75</v>
      </c>
      <c r="T329" s="108">
        <v>143.03</v>
      </c>
      <c r="U329" s="108">
        <v>105.5</v>
      </c>
      <c r="V329" s="108">
        <f t="shared" si="44"/>
        <v>1358.03</v>
      </c>
      <c r="W329" s="108">
        <f t="shared" si="38"/>
        <v>9616.9699999999993</v>
      </c>
      <c r="X329" s="108">
        <v>0</v>
      </c>
    </row>
    <row r="330" spans="1:24" ht="25.5" x14ac:dyDescent="0.2">
      <c r="A330" s="137">
        <v>320</v>
      </c>
      <c r="B330" s="59" t="s">
        <v>911</v>
      </c>
      <c r="C330" s="59" t="s">
        <v>580</v>
      </c>
      <c r="D330" s="106">
        <v>1476</v>
      </c>
      <c r="E330" s="107">
        <v>2000</v>
      </c>
      <c r="F330" s="107">
        <v>0</v>
      </c>
      <c r="G330" s="107">
        <v>0</v>
      </c>
      <c r="H330" s="107">
        <v>0</v>
      </c>
      <c r="I330" s="107">
        <v>4500</v>
      </c>
      <c r="J330" s="107">
        <v>0</v>
      </c>
      <c r="K330" s="107">
        <v>0</v>
      </c>
      <c r="L330" s="107">
        <v>0</v>
      </c>
      <c r="M330" s="107">
        <v>250</v>
      </c>
      <c r="N330" s="107">
        <v>0</v>
      </c>
      <c r="O330" s="107">
        <v>0</v>
      </c>
      <c r="P330" s="107">
        <v>0</v>
      </c>
      <c r="Q330" s="108">
        <f t="shared" si="45"/>
        <v>8226</v>
      </c>
      <c r="R330" s="108">
        <f t="shared" si="46"/>
        <v>239.28</v>
      </c>
      <c r="S330" s="108">
        <f t="shared" si="47"/>
        <v>877.36</v>
      </c>
      <c r="T330" s="108">
        <v>148.33000000000001</v>
      </c>
      <c r="U330" s="108">
        <v>0</v>
      </c>
      <c r="V330" s="108">
        <f t="shared" si="44"/>
        <v>1264.97</v>
      </c>
      <c r="W330" s="108">
        <f t="shared" si="38"/>
        <v>6961.03</v>
      </c>
      <c r="X330" s="108">
        <v>0</v>
      </c>
    </row>
    <row r="331" spans="1:24" ht="25.5" x14ac:dyDescent="0.2">
      <c r="A331" s="137">
        <v>321</v>
      </c>
      <c r="B331" s="24" t="s">
        <v>942</v>
      </c>
      <c r="C331" s="24" t="s">
        <v>198</v>
      </c>
      <c r="D331" s="58">
        <v>9581</v>
      </c>
      <c r="E331" s="107">
        <v>4000</v>
      </c>
      <c r="F331" s="107">
        <v>0</v>
      </c>
      <c r="G331" s="107">
        <v>5000</v>
      </c>
      <c r="H331" s="107">
        <v>0</v>
      </c>
      <c r="I331" s="107">
        <v>0</v>
      </c>
      <c r="J331" s="107">
        <v>375</v>
      </c>
      <c r="K331" s="107">
        <v>0</v>
      </c>
      <c r="L331" s="107">
        <v>0</v>
      </c>
      <c r="M331" s="107">
        <v>250</v>
      </c>
      <c r="N331" s="107">
        <v>0</v>
      </c>
      <c r="O331" s="107">
        <v>0</v>
      </c>
      <c r="P331" s="107">
        <v>0</v>
      </c>
      <c r="Q331" s="108">
        <f t="shared" si="45"/>
        <v>19206</v>
      </c>
      <c r="R331" s="108">
        <f t="shared" si="46"/>
        <v>568.67999999999995</v>
      </c>
      <c r="S331" s="108">
        <f t="shared" si="47"/>
        <v>2085.16</v>
      </c>
      <c r="T331" s="28">
        <v>590.53</v>
      </c>
      <c r="U331" s="28">
        <v>254.77</v>
      </c>
      <c r="V331" s="108">
        <f t="shared" si="44"/>
        <v>3499.14</v>
      </c>
      <c r="W331" s="108">
        <f t="shared" ref="W331:W338" si="48">Q331-V331</f>
        <v>15706.86</v>
      </c>
      <c r="X331" s="108">
        <v>0</v>
      </c>
    </row>
    <row r="332" spans="1:24" ht="25.5" x14ac:dyDescent="0.2">
      <c r="A332" s="137">
        <v>322</v>
      </c>
      <c r="B332" s="59" t="s">
        <v>912</v>
      </c>
      <c r="C332" s="59" t="s">
        <v>571</v>
      </c>
      <c r="D332" s="106">
        <v>1074</v>
      </c>
      <c r="E332" s="107">
        <v>400</v>
      </c>
      <c r="F332" s="107">
        <v>0</v>
      </c>
      <c r="G332" s="107">
        <v>1000</v>
      </c>
      <c r="H332" s="107">
        <v>0</v>
      </c>
      <c r="I332" s="107">
        <v>0</v>
      </c>
      <c r="J332" s="107">
        <v>0</v>
      </c>
      <c r="K332" s="107">
        <v>50</v>
      </c>
      <c r="L332" s="107">
        <v>200</v>
      </c>
      <c r="M332" s="107">
        <v>250</v>
      </c>
      <c r="N332" s="107">
        <v>2800</v>
      </c>
      <c r="O332" s="107">
        <v>0</v>
      </c>
      <c r="P332" s="107">
        <v>0</v>
      </c>
      <c r="Q332" s="108">
        <f t="shared" si="45"/>
        <v>5774</v>
      </c>
      <c r="R332" s="108">
        <f t="shared" si="46"/>
        <v>75.72</v>
      </c>
      <c r="S332" s="108">
        <f t="shared" si="47"/>
        <v>277.64</v>
      </c>
      <c r="T332" s="108">
        <v>0</v>
      </c>
      <c r="U332" s="108">
        <v>0</v>
      </c>
      <c r="V332" s="108">
        <f t="shared" si="44"/>
        <v>353.36</v>
      </c>
      <c r="W332" s="108">
        <f t="shared" si="48"/>
        <v>5420.64</v>
      </c>
      <c r="X332" s="108">
        <v>0</v>
      </c>
    </row>
    <row r="333" spans="1:24" x14ac:dyDescent="0.2">
      <c r="A333" s="137">
        <v>323</v>
      </c>
      <c r="B333" s="59" t="s">
        <v>913</v>
      </c>
      <c r="C333" s="59" t="s">
        <v>571</v>
      </c>
      <c r="D333" s="106">
        <v>1074</v>
      </c>
      <c r="E333" s="107">
        <v>400</v>
      </c>
      <c r="F333" s="107">
        <v>0</v>
      </c>
      <c r="G333" s="107">
        <v>1000</v>
      </c>
      <c r="H333" s="107">
        <v>0</v>
      </c>
      <c r="I333" s="107">
        <v>0</v>
      </c>
      <c r="J333" s="107">
        <v>0</v>
      </c>
      <c r="K333" s="107">
        <v>50</v>
      </c>
      <c r="L333" s="107">
        <v>200</v>
      </c>
      <c r="M333" s="107">
        <v>250</v>
      </c>
      <c r="N333" s="107">
        <v>2800</v>
      </c>
      <c r="O333" s="107">
        <v>0</v>
      </c>
      <c r="P333" s="107">
        <v>0</v>
      </c>
      <c r="Q333" s="108">
        <f t="shared" si="45"/>
        <v>5774</v>
      </c>
      <c r="R333" s="108">
        <f t="shared" si="46"/>
        <v>75.72</v>
      </c>
      <c r="S333" s="108">
        <f t="shared" si="47"/>
        <v>277.64</v>
      </c>
      <c r="T333" s="108">
        <v>0</v>
      </c>
      <c r="U333" s="108">
        <v>0</v>
      </c>
      <c r="V333" s="108">
        <f t="shared" si="44"/>
        <v>353.36</v>
      </c>
      <c r="W333" s="108">
        <f t="shared" si="48"/>
        <v>5420.64</v>
      </c>
      <c r="X333" s="108">
        <v>0</v>
      </c>
    </row>
    <row r="334" spans="1:24" ht="25.5" x14ac:dyDescent="0.2">
      <c r="A334" s="137">
        <v>324</v>
      </c>
      <c r="B334" s="59" t="s">
        <v>914</v>
      </c>
      <c r="C334" s="130" t="s">
        <v>573</v>
      </c>
      <c r="D334" s="106">
        <v>1350</v>
      </c>
      <c r="E334" s="107">
        <v>2000</v>
      </c>
      <c r="F334" s="107">
        <v>0</v>
      </c>
      <c r="G334" s="107">
        <v>0</v>
      </c>
      <c r="H334" s="107">
        <v>1600</v>
      </c>
      <c r="I334" s="107">
        <v>2900</v>
      </c>
      <c r="J334" s="107">
        <v>0</v>
      </c>
      <c r="K334" s="107">
        <v>75</v>
      </c>
      <c r="L334" s="107">
        <v>0</v>
      </c>
      <c r="M334" s="107">
        <v>250</v>
      </c>
      <c r="N334" s="107">
        <v>2800</v>
      </c>
      <c r="O334" s="107">
        <v>0</v>
      </c>
      <c r="P334" s="107">
        <v>0</v>
      </c>
      <c r="Q334" s="108">
        <f t="shared" si="45"/>
        <v>10975</v>
      </c>
      <c r="R334" s="108">
        <f t="shared" si="46"/>
        <v>237.75</v>
      </c>
      <c r="S334" s="108">
        <f t="shared" si="47"/>
        <v>871.75</v>
      </c>
      <c r="T334" s="108">
        <v>143.03</v>
      </c>
      <c r="U334" s="108">
        <v>0</v>
      </c>
      <c r="V334" s="108">
        <f t="shared" si="44"/>
        <v>1252.53</v>
      </c>
      <c r="W334" s="108">
        <f t="shared" si="48"/>
        <v>9722.4699999999993</v>
      </c>
      <c r="X334" s="108">
        <v>9075.77</v>
      </c>
    </row>
    <row r="335" spans="1:24" ht="25.5" x14ac:dyDescent="0.2">
      <c r="A335" s="137">
        <v>325</v>
      </c>
      <c r="B335" s="59" t="s">
        <v>915</v>
      </c>
      <c r="C335" s="130" t="s">
        <v>573</v>
      </c>
      <c r="D335" s="106">
        <v>1350</v>
      </c>
      <c r="E335" s="107">
        <v>2000</v>
      </c>
      <c r="F335" s="107">
        <v>0</v>
      </c>
      <c r="G335" s="107">
        <v>0</v>
      </c>
      <c r="H335" s="107">
        <v>1600</v>
      </c>
      <c r="I335" s="107">
        <f>2900</f>
        <v>2900</v>
      </c>
      <c r="J335" s="107">
        <v>0</v>
      </c>
      <c r="K335" s="107">
        <v>0</v>
      </c>
      <c r="L335" s="107">
        <v>0</v>
      </c>
      <c r="M335" s="107">
        <v>250</v>
      </c>
      <c r="N335" s="107">
        <v>2800</v>
      </c>
      <c r="O335" s="107">
        <v>0</v>
      </c>
      <c r="P335" s="107">
        <v>0</v>
      </c>
      <c r="Q335" s="108">
        <f t="shared" si="45"/>
        <v>10900</v>
      </c>
      <c r="R335" s="108">
        <f t="shared" si="46"/>
        <v>235.5</v>
      </c>
      <c r="S335" s="108">
        <f t="shared" si="47"/>
        <v>863.5</v>
      </c>
      <c r="T335" s="108">
        <v>146.18</v>
      </c>
      <c r="U335" s="108">
        <v>0</v>
      </c>
      <c r="V335" s="108">
        <f t="shared" si="44"/>
        <v>1245.18</v>
      </c>
      <c r="W335" s="108">
        <f t="shared" si="48"/>
        <v>9654.82</v>
      </c>
      <c r="X335" s="108">
        <v>0</v>
      </c>
    </row>
    <row r="336" spans="1:24" ht="25.5" x14ac:dyDescent="0.2">
      <c r="A336" s="137">
        <v>326</v>
      </c>
      <c r="B336" s="59" t="s">
        <v>916</v>
      </c>
      <c r="C336" s="130" t="s">
        <v>573</v>
      </c>
      <c r="D336" s="106">
        <v>1350</v>
      </c>
      <c r="E336" s="107">
        <v>2000</v>
      </c>
      <c r="F336" s="107">
        <v>0</v>
      </c>
      <c r="G336" s="107">
        <v>0</v>
      </c>
      <c r="H336" s="107">
        <v>1600</v>
      </c>
      <c r="I336" s="107">
        <v>2900</v>
      </c>
      <c r="J336" s="107">
        <v>0</v>
      </c>
      <c r="K336" s="107">
        <v>75</v>
      </c>
      <c r="L336" s="107">
        <v>0</v>
      </c>
      <c r="M336" s="107">
        <v>250</v>
      </c>
      <c r="N336" s="107">
        <v>2800</v>
      </c>
      <c r="O336" s="107">
        <v>0</v>
      </c>
      <c r="P336" s="107">
        <v>0</v>
      </c>
      <c r="Q336" s="108">
        <f t="shared" si="45"/>
        <v>10975</v>
      </c>
      <c r="R336" s="108">
        <f t="shared" si="46"/>
        <v>237.75</v>
      </c>
      <c r="S336" s="108">
        <f t="shared" si="47"/>
        <v>871.75</v>
      </c>
      <c r="T336" s="108">
        <v>145.13</v>
      </c>
      <c r="U336" s="108">
        <v>0</v>
      </c>
      <c r="V336" s="108">
        <f t="shared" si="44"/>
        <v>1254.6300000000001</v>
      </c>
      <c r="W336" s="108">
        <f t="shared" si="48"/>
        <v>9720.3700000000008</v>
      </c>
      <c r="X336" s="108">
        <v>0</v>
      </c>
    </row>
    <row r="337" spans="1:24" ht="25.5" x14ac:dyDescent="0.2">
      <c r="A337" s="137">
        <v>327</v>
      </c>
      <c r="B337" s="59" t="s">
        <v>917</v>
      </c>
      <c r="C337" s="59" t="s">
        <v>631</v>
      </c>
      <c r="D337" s="106">
        <v>1192</v>
      </c>
      <c r="E337" s="107">
        <v>550</v>
      </c>
      <c r="F337" s="107">
        <v>0</v>
      </c>
      <c r="G337" s="107">
        <v>1000</v>
      </c>
      <c r="H337" s="107">
        <v>0</v>
      </c>
      <c r="I337" s="107">
        <v>0</v>
      </c>
      <c r="J337" s="107">
        <v>0</v>
      </c>
      <c r="K337" s="107">
        <v>50</v>
      </c>
      <c r="L337" s="107">
        <v>0</v>
      </c>
      <c r="M337" s="107">
        <v>250</v>
      </c>
      <c r="N337" s="107">
        <v>2800</v>
      </c>
      <c r="O337" s="107">
        <v>0</v>
      </c>
      <c r="P337" s="107">
        <v>0</v>
      </c>
      <c r="Q337" s="108">
        <f t="shared" si="45"/>
        <v>5842</v>
      </c>
      <c r="R337" s="108">
        <f t="shared" si="46"/>
        <v>83.76</v>
      </c>
      <c r="S337" s="108">
        <f t="shared" si="47"/>
        <v>307.12</v>
      </c>
      <c r="T337" s="108">
        <v>0</v>
      </c>
      <c r="U337" s="108">
        <v>0</v>
      </c>
      <c r="V337" s="108">
        <f t="shared" si="44"/>
        <v>390.88</v>
      </c>
      <c r="W337" s="108">
        <f t="shared" si="48"/>
        <v>5451.12</v>
      </c>
      <c r="X337" s="108">
        <v>0</v>
      </c>
    </row>
    <row r="338" spans="1:24" s="94" customFormat="1" ht="26.25" thickBot="1" x14ac:dyDescent="0.25">
      <c r="A338" s="137">
        <v>328</v>
      </c>
      <c r="B338" s="59" t="s">
        <v>918</v>
      </c>
      <c r="C338" s="130" t="s">
        <v>919</v>
      </c>
      <c r="D338" s="106">
        <v>1701</v>
      </c>
      <c r="E338" s="107">
        <v>1000</v>
      </c>
      <c r="F338" s="107">
        <v>0</v>
      </c>
      <c r="G338" s="107">
        <v>0</v>
      </c>
      <c r="H338" s="107">
        <v>0</v>
      </c>
      <c r="I338" s="107">
        <v>3000</v>
      </c>
      <c r="J338" s="107">
        <v>0</v>
      </c>
      <c r="K338" s="107">
        <v>0</v>
      </c>
      <c r="L338" s="107">
        <v>0</v>
      </c>
      <c r="M338" s="107">
        <v>250</v>
      </c>
      <c r="N338" s="107">
        <v>2800</v>
      </c>
      <c r="O338" s="107">
        <v>0</v>
      </c>
      <c r="P338" s="107">
        <v>0</v>
      </c>
      <c r="Q338" s="108">
        <f t="shared" si="45"/>
        <v>8751</v>
      </c>
      <c r="R338" s="108">
        <f t="shared" si="46"/>
        <v>171.03</v>
      </c>
      <c r="S338" s="108">
        <f>(D338+E338+F338+G338+H338+I338+J338+K338+O338)*12%</f>
        <v>684.12</v>
      </c>
      <c r="T338" s="108">
        <v>60.68</v>
      </c>
      <c r="U338" s="108">
        <v>76.62</v>
      </c>
      <c r="V338" s="108">
        <f t="shared" si="44"/>
        <v>992.45</v>
      </c>
      <c r="W338" s="108">
        <f t="shared" si="48"/>
        <v>7758.55</v>
      </c>
      <c r="X338" s="108">
        <v>0</v>
      </c>
    </row>
    <row r="339" spans="1:24" ht="13.5" thickBot="1" x14ac:dyDescent="0.25">
      <c r="A339" s="264" t="s">
        <v>465</v>
      </c>
      <c r="B339" s="265"/>
      <c r="C339" s="266"/>
      <c r="D339" s="111">
        <f t="shared" ref="D339:P339" si="49">SUM(D11:D338)</f>
        <v>557151.1</v>
      </c>
      <c r="E339" s="112">
        <f t="shared" si="49"/>
        <v>402119.67</v>
      </c>
      <c r="F339" s="112">
        <f t="shared" si="49"/>
        <v>69887.48</v>
      </c>
      <c r="G339" s="112">
        <f t="shared" si="49"/>
        <v>163473.32999999999</v>
      </c>
      <c r="H339" s="112">
        <f t="shared" si="49"/>
        <v>200675</v>
      </c>
      <c r="I339" s="112">
        <f t="shared" si="49"/>
        <v>544426.67000000004</v>
      </c>
      <c r="J339" s="112">
        <f t="shared" si="49"/>
        <v>3750</v>
      </c>
      <c r="K339" s="112">
        <f t="shared" si="49"/>
        <v>8456.67</v>
      </c>
      <c r="L339" s="112">
        <f t="shared" si="49"/>
        <v>10000</v>
      </c>
      <c r="M339" s="112">
        <f t="shared" si="49"/>
        <v>68733.33</v>
      </c>
      <c r="N339" s="112">
        <f>SUM(N11:N338)</f>
        <v>786800</v>
      </c>
      <c r="O339" s="112">
        <f t="shared" si="49"/>
        <v>6000</v>
      </c>
      <c r="P339" s="112">
        <f t="shared" si="49"/>
        <v>0</v>
      </c>
      <c r="Q339" s="112">
        <f t="shared" ref="Q339:W339" si="50">SUM(Q11:Q338)</f>
        <v>2821473.25</v>
      </c>
      <c r="R339" s="112">
        <f t="shared" si="50"/>
        <v>58684.26</v>
      </c>
      <c r="S339" s="112">
        <f t="shared" si="50"/>
        <v>217888.68</v>
      </c>
      <c r="T339" s="112">
        <f t="shared" si="50"/>
        <v>30716.62</v>
      </c>
      <c r="U339" s="112">
        <f t="shared" si="50"/>
        <v>3039.57</v>
      </c>
      <c r="V339" s="112">
        <f t="shared" si="50"/>
        <v>309714.87</v>
      </c>
      <c r="W339" s="113">
        <f t="shared" si="50"/>
        <v>2511758.38</v>
      </c>
      <c r="X339" s="114">
        <f>SUM(X11:X338)</f>
        <v>155125.1</v>
      </c>
    </row>
    <row r="340" spans="1:24" s="94" customFormat="1" x14ac:dyDescent="0.2">
      <c r="A340" s="96"/>
      <c r="B340" s="98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</row>
    <row r="341" spans="1:24" s="94" customFormat="1" x14ac:dyDescent="0.2">
      <c r="A341" s="96"/>
      <c r="B341" s="98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</row>
    <row r="342" spans="1:24" s="94" customFormat="1" x14ac:dyDescent="0.2">
      <c r="A342" s="96"/>
      <c r="B342" s="98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</row>
    <row r="343" spans="1:24" s="94" customFormat="1" x14ac:dyDescent="0.2">
      <c r="A343" s="96"/>
      <c r="B343" s="98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</row>
    <row r="344" spans="1:24" s="94" customFormat="1" x14ac:dyDescent="0.2">
      <c r="A344" s="96"/>
      <c r="B344" s="98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</row>
    <row r="345" spans="1:24" s="94" customFormat="1" x14ac:dyDescent="0.2">
      <c r="A345" s="96"/>
      <c r="B345" s="98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</row>
    <row r="346" spans="1:24" s="94" customFormat="1" x14ac:dyDescent="0.2">
      <c r="A346" s="96"/>
      <c r="B346" s="98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</row>
    <row r="347" spans="1:24" s="94" customFormat="1" x14ac:dyDescent="0.2">
      <c r="A347" s="96"/>
      <c r="B347" s="98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</row>
    <row r="348" spans="1:24" s="94" customFormat="1" x14ac:dyDescent="0.2">
      <c r="A348" s="96"/>
      <c r="B348" s="98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</row>
    <row r="349" spans="1:24" s="94" customFormat="1" x14ac:dyDescent="0.2">
      <c r="A349" s="96"/>
      <c r="B349" s="98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</row>
    <row r="350" spans="1:24" s="94" customFormat="1" x14ac:dyDescent="0.2">
      <c r="A350" s="96"/>
      <c r="B350" s="98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</row>
    <row r="351" spans="1:24" s="94" customFormat="1" x14ac:dyDescent="0.2">
      <c r="A351" s="96"/>
      <c r="B351" s="98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</row>
    <row r="352" spans="1:24" s="94" customFormat="1" x14ac:dyDescent="0.2">
      <c r="A352" s="96"/>
      <c r="B352" s="98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</row>
    <row r="353" spans="1:24" s="94" customFormat="1" x14ac:dyDescent="0.2">
      <c r="A353" s="96"/>
      <c r="B353" s="98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</row>
    <row r="354" spans="1:24" s="94" customFormat="1" x14ac:dyDescent="0.2">
      <c r="A354" s="96"/>
      <c r="B354" s="98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</row>
    <row r="355" spans="1:24" s="94" customFormat="1" x14ac:dyDescent="0.2">
      <c r="A355" s="96"/>
      <c r="B355" s="98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</row>
    <row r="356" spans="1:24" s="94" customFormat="1" x14ac:dyDescent="0.2">
      <c r="A356" s="96"/>
      <c r="B356" s="98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</row>
    <row r="357" spans="1:24" s="94" customFormat="1" x14ac:dyDescent="0.2">
      <c r="A357" s="96"/>
      <c r="B357" s="98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</row>
    <row r="358" spans="1:24" s="94" customFormat="1" x14ac:dyDescent="0.2">
      <c r="A358" s="96"/>
      <c r="B358" s="98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</row>
    <row r="359" spans="1:24" s="94" customFormat="1" x14ac:dyDescent="0.2">
      <c r="A359" s="96"/>
      <c r="B359" s="98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</row>
    <row r="360" spans="1:24" s="94" customFormat="1" x14ac:dyDescent="0.2">
      <c r="A360" s="96"/>
      <c r="B360" s="98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</row>
    <row r="361" spans="1:24" s="94" customFormat="1" x14ac:dyDescent="0.2">
      <c r="A361" s="96"/>
      <c r="B361" s="98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</row>
    <row r="362" spans="1:24" s="94" customFormat="1" x14ac:dyDescent="0.2">
      <c r="A362" s="96"/>
      <c r="B362" s="98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</row>
    <row r="363" spans="1:24" s="94" customFormat="1" x14ac:dyDescent="0.2">
      <c r="A363" s="96"/>
      <c r="B363" s="98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</row>
    <row r="364" spans="1:24" s="94" customFormat="1" x14ac:dyDescent="0.2">
      <c r="A364" s="96"/>
      <c r="B364" s="98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</row>
    <row r="365" spans="1:24" s="94" customFormat="1" x14ac:dyDescent="0.2">
      <c r="A365" s="96"/>
      <c r="B365" s="98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</row>
    <row r="366" spans="1:24" s="94" customFormat="1" x14ac:dyDescent="0.2">
      <c r="A366" s="96"/>
      <c r="B366" s="98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</row>
    <row r="367" spans="1:24" s="94" customFormat="1" x14ac:dyDescent="0.2">
      <c r="A367" s="96"/>
      <c r="B367" s="98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</row>
    <row r="368" spans="1:24" s="94" customFormat="1" x14ac:dyDescent="0.2">
      <c r="A368" s="96"/>
      <c r="B368" s="98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</row>
    <row r="369" spans="1:24" s="94" customFormat="1" x14ac:dyDescent="0.2">
      <c r="A369" s="96"/>
      <c r="B369" s="98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</row>
    <row r="370" spans="1:24" s="94" customFormat="1" x14ac:dyDescent="0.2">
      <c r="A370" s="96"/>
      <c r="B370" s="98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</row>
    <row r="371" spans="1:24" s="94" customFormat="1" x14ac:dyDescent="0.2">
      <c r="A371" s="96"/>
      <c r="B371" s="98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</row>
    <row r="372" spans="1:24" s="94" customFormat="1" x14ac:dyDescent="0.2">
      <c r="A372" s="96"/>
      <c r="B372" s="98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</row>
    <row r="373" spans="1:24" s="94" customFormat="1" x14ac:dyDescent="0.2">
      <c r="A373" s="96"/>
      <c r="B373" s="98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</row>
    <row r="374" spans="1:24" s="94" customFormat="1" x14ac:dyDescent="0.2">
      <c r="A374" s="96"/>
      <c r="B374" s="98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</row>
    <row r="375" spans="1:24" s="94" customFormat="1" x14ac:dyDescent="0.2">
      <c r="A375" s="96"/>
      <c r="B375" s="98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</row>
    <row r="376" spans="1:24" s="94" customFormat="1" x14ac:dyDescent="0.2">
      <c r="A376" s="96"/>
      <c r="B376" s="98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</row>
    <row r="377" spans="1:24" s="94" customFormat="1" x14ac:dyDescent="0.2">
      <c r="A377" s="96"/>
      <c r="B377" s="98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</row>
    <row r="378" spans="1:24" s="94" customFormat="1" x14ac:dyDescent="0.2">
      <c r="A378" s="96"/>
      <c r="B378" s="98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</row>
    <row r="379" spans="1:24" s="94" customFormat="1" x14ac:dyDescent="0.2">
      <c r="A379" s="96"/>
      <c r="B379" s="98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</row>
    <row r="380" spans="1:24" s="94" customFormat="1" x14ac:dyDescent="0.2">
      <c r="A380" s="96"/>
      <c r="B380" s="98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</row>
    <row r="381" spans="1:24" s="94" customFormat="1" x14ac:dyDescent="0.2">
      <c r="A381" s="96"/>
      <c r="B381" s="98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</row>
    <row r="382" spans="1:24" s="94" customFormat="1" x14ac:dyDescent="0.2">
      <c r="A382" s="96"/>
      <c r="B382" s="98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</row>
    <row r="383" spans="1:24" s="94" customFormat="1" x14ac:dyDescent="0.2">
      <c r="A383" s="96"/>
      <c r="B383" s="98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</row>
    <row r="384" spans="1:24" s="94" customFormat="1" x14ac:dyDescent="0.2">
      <c r="A384" s="96"/>
      <c r="B384" s="98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</row>
    <row r="385" spans="1:24" s="94" customFormat="1" x14ac:dyDescent="0.2">
      <c r="A385" s="96"/>
      <c r="B385" s="98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</row>
    <row r="386" spans="1:24" s="94" customFormat="1" x14ac:dyDescent="0.2">
      <c r="A386" s="96"/>
      <c r="B386" s="98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</row>
    <row r="387" spans="1:24" s="94" customFormat="1" x14ac:dyDescent="0.2">
      <c r="A387" s="96"/>
      <c r="B387" s="98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</row>
    <row r="388" spans="1:24" s="94" customFormat="1" x14ac:dyDescent="0.2">
      <c r="A388" s="96"/>
      <c r="B388" s="98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</row>
    <row r="389" spans="1:24" s="94" customFormat="1" x14ac:dyDescent="0.2">
      <c r="A389" s="96"/>
      <c r="B389" s="98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</row>
    <row r="390" spans="1:24" s="94" customFormat="1" x14ac:dyDescent="0.2">
      <c r="A390" s="96"/>
      <c r="B390" s="98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</row>
    <row r="391" spans="1:24" s="94" customFormat="1" x14ac:dyDescent="0.2">
      <c r="A391" s="96"/>
      <c r="B391" s="98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</row>
    <row r="392" spans="1:24" s="94" customFormat="1" x14ac:dyDescent="0.2">
      <c r="A392" s="96"/>
      <c r="B392" s="98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</row>
    <row r="393" spans="1:24" s="94" customFormat="1" x14ac:dyDescent="0.2">
      <c r="A393" s="96"/>
      <c r="B393" s="98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</row>
    <row r="394" spans="1:24" s="94" customFormat="1" x14ac:dyDescent="0.2">
      <c r="A394" s="96"/>
      <c r="B394" s="98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</row>
    <row r="395" spans="1:24" s="94" customFormat="1" x14ac:dyDescent="0.2">
      <c r="A395" s="96"/>
      <c r="B395" s="98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</row>
    <row r="396" spans="1:24" s="94" customFormat="1" x14ac:dyDescent="0.2">
      <c r="A396" s="96"/>
      <c r="B396" s="98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</row>
    <row r="397" spans="1:24" s="94" customFormat="1" x14ac:dyDescent="0.2">
      <c r="A397" s="96"/>
      <c r="B397" s="98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</row>
    <row r="398" spans="1:24" s="94" customFormat="1" x14ac:dyDescent="0.2">
      <c r="A398" s="96"/>
      <c r="B398" s="98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</row>
    <row r="399" spans="1:24" s="94" customFormat="1" x14ac:dyDescent="0.2">
      <c r="A399" s="96"/>
      <c r="B399" s="98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</row>
    <row r="400" spans="1:24" s="94" customFormat="1" x14ac:dyDescent="0.2">
      <c r="A400" s="96"/>
      <c r="B400" s="98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</row>
    <row r="401" spans="1:24" s="94" customFormat="1" x14ac:dyDescent="0.2">
      <c r="A401" s="96"/>
      <c r="B401" s="98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</row>
    <row r="402" spans="1:24" s="94" customFormat="1" x14ac:dyDescent="0.2">
      <c r="A402" s="96"/>
      <c r="B402" s="98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</row>
    <row r="403" spans="1:24" s="94" customFormat="1" x14ac:dyDescent="0.2">
      <c r="A403" s="96"/>
      <c r="B403" s="98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</row>
    <row r="404" spans="1:24" s="94" customFormat="1" x14ac:dyDescent="0.2">
      <c r="A404" s="96"/>
      <c r="B404" s="98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</row>
    <row r="405" spans="1:24" s="94" customFormat="1" x14ac:dyDescent="0.2">
      <c r="A405" s="96"/>
      <c r="B405" s="98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</row>
    <row r="406" spans="1:24" s="94" customFormat="1" x14ac:dyDescent="0.2">
      <c r="A406" s="96"/>
      <c r="B406" s="98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</row>
    <row r="407" spans="1:24" s="94" customFormat="1" x14ac:dyDescent="0.2">
      <c r="A407" s="96"/>
      <c r="B407" s="98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</row>
    <row r="408" spans="1:24" s="94" customFormat="1" x14ac:dyDescent="0.2">
      <c r="A408" s="96"/>
      <c r="B408" s="98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</row>
    <row r="409" spans="1:24" s="94" customFormat="1" x14ac:dyDescent="0.2">
      <c r="A409" s="96"/>
      <c r="B409" s="98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</row>
    <row r="410" spans="1:24" s="94" customFormat="1" x14ac:dyDescent="0.2">
      <c r="A410" s="96"/>
      <c r="B410" s="98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</row>
    <row r="411" spans="1:24" s="94" customFormat="1" x14ac:dyDescent="0.2">
      <c r="A411" s="96"/>
      <c r="B411" s="98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</row>
    <row r="412" spans="1:24" s="94" customFormat="1" x14ac:dyDescent="0.2">
      <c r="A412" s="96"/>
      <c r="B412" s="98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</row>
    <row r="413" spans="1:24" s="94" customFormat="1" x14ac:dyDescent="0.2">
      <c r="A413" s="96"/>
      <c r="B413" s="98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</row>
    <row r="414" spans="1:24" s="94" customFormat="1" x14ac:dyDescent="0.2">
      <c r="A414" s="96"/>
      <c r="B414" s="98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</row>
    <row r="415" spans="1:24" s="94" customFormat="1" x14ac:dyDescent="0.2">
      <c r="A415" s="96"/>
      <c r="B415" s="98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</row>
    <row r="416" spans="1:24" s="94" customFormat="1" x14ac:dyDescent="0.2">
      <c r="A416" s="96"/>
      <c r="B416" s="98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</row>
    <row r="417" spans="1:24" s="94" customFormat="1" x14ac:dyDescent="0.2">
      <c r="A417" s="96"/>
      <c r="B417" s="98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</row>
    <row r="418" spans="1:24" s="94" customFormat="1" x14ac:dyDescent="0.2">
      <c r="A418" s="96"/>
      <c r="B418" s="98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</row>
    <row r="419" spans="1:24" s="94" customFormat="1" x14ac:dyDescent="0.2">
      <c r="A419" s="96"/>
      <c r="B419" s="98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</row>
    <row r="420" spans="1:24" s="94" customFormat="1" x14ac:dyDescent="0.2">
      <c r="A420" s="96"/>
      <c r="B420" s="98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</row>
    <row r="421" spans="1:24" s="94" customFormat="1" x14ac:dyDescent="0.2">
      <c r="A421" s="96"/>
      <c r="B421" s="98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</row>
    <row r="422" spans="1:24" s="94" customFormat="1" x14ac:dyDescent="0.2">
      <c r="A422" s="96"/>
      <c r="B422" s="98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</row>
    <row r="423" spans="1:24" s="94" customFormat="1" x14ac:dyDescent="0.2">
      <c r="A423" s="96"/>
      <c r="B423" s="98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</row>
    <row r="424" spans="1:24" s="94" customFormat="1" x14ac:dyDescent="0.2">
      <c r="A424" s="96"/>
      <c r="B424" s="98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</row>
    <row r="425" spans="1:24" s="94" customFormat="1" x14ac:dyDescent="0.2">
      <c r="A425" s="96"/>
      <c r="B425" s="98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</row>
    <row r="426" spans="1:24" s="94" customFormat="1" x14ac:dyDescent="0.2">
      <c r="A426" s="96"/>
      <c r="B426" s="98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</row>
    <row r="427" spans="1:24" s="94" customFormat="1" x14ac:dyDescent="0.2">
      <c r="A427" s="96"/>
      <c r="B427" s="98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</row>
    <row r="428" spans="1:24" s="94" customFormat="1" x14ac:dyDescent="0.2">
      <c r="A428" s="96"/>
      <c r="B428" s="98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</row>
    <row r="429" spans="1:24" s="94" customFormat="1" x14ac:dyDescent="0.2">
      <c r="A429" s="96"/>
      <c r="B429" s="98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</row>
    <row r="430" spans="1:24" s="94" customFormat="1" x14ac:dyDescent="0.2">
      <c r="A430" s="96"/>
      <c r="B430" s="98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</row>
    <row r="431" spans="1:24" s="94" customFormat="1" x14ac:dyDescent="0.2">
      <c r="A431" s="96"/>
      <c r="B431" s="98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</row>
    <row r="432" spans="1:24" s="94" customFormat="1" x14ac:dyDescent="0.2">
      <c r="A432" s="96"/>
      <c r="B432" s="98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</row>
    <row r="433" spans="1:24" s="94" customFormat="1" x14ac:dyDescent="0.2">
      <c r="A433" s="96"/>
      <c r="B433" s="98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</row>
    <row r="434" spans="1:24" s="94" customFormat="1" x14ac:dyDescent="0.2">
      <c r="A434" s="96"/>
      <c r="B434" s="98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</row>
    <row r="435" spans="1:24" s="94" customFormat="1" x14ac:dyDescent="0.2">
      <c r="A435" s="96"/>
      <c r="B435" s="98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</row>
    <row r="436" spans="1:24" s="94" customFormat="1" x14ac:dyDescent="0.2">
      <c r="A436" s="96"/>
      <c r="B436" s="98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</row>
    <row r="437" spans="1:24" s="94" customFormat="1" x14ac:dyDescent="0.2">
      <c r="A437" s="96"/>
      <c r="B437" s="98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</row>
    <row r="438" spans="1:24" s="94" customFormat="1" x14ac:dyDescent="0.2">
      <c r="A438" s="96"/>
      <c r="B438" s="98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</row>
    <row r="439" spans="1:24" s="94" customFormat="1" x14ac:dyDescent="0.2">
      <c r="A439" s="96"/>
      <c r="B439" s="98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</row>
    <row r="440" spans="1:24" s="94" customFormat="1" x14ac:dyDescent="0.2">
      <c r="A440" s="96"/>
      <c r="B440" s="98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</row>
    <row r="441" spans="1:24" s="94" customFormat="1" x14ac:dyDescent="0.2">
      <c r="A441" s="96"/>
      <c r="B441" s="98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</row>
    <row r="442" spans="1:24" s="94" customFormat="1" x14ac:dyDescent="0.2">
      <c r="A442" s="96"/>
      <c r="B442" s="98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</row>
    <row r="443" spans="1:24" s="94" customFormat="1" x14ac:dyDescent="0.2">
      <c r="A443" s="96"/>
      <c r="B443" s="98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</row>
    <row r="444" spans="1:24" s="94" customFormat="1" x14ac:dyDescent="0.2">
      <c r="A444" s="96"/>
      <c r="B444" s="98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</row>
    <row r="445" spans="1:24" s="94" customFormat="1" x14ac:dyDescent="0.2">
      <c r="A445" s="96"/>
      <c r="B445" s="98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</row>
    <row r="446" spans="1:24" s="94" customFormat="1" x14ac:dyDescent="0.2">
      <c r="A446" s="96"/>
      <c r="B446" s="98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</row>
    <row r="447" spans="1:24" s="94" customFormat="1" x14ac:dyDescent="0.2">
      <c r="A447" s="96"/>
      <c r="B447" s="98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</row>
    <row r="448" spans="1:24" s="94" customFormat="1" x14ac:dyDescent="0.2">
      <c r="A448" s="96"/>
      <c r="B448" s="98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</row>
    <row r="449" spans="1:24" s="94" customFormat="1" x14ac:dyDescent="0.2">
      <c r="A449" s="96"/>
      <c r="B449" s="98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</row>
    <row r="450" spans="1:24" s="94" customFormat="1" x14ac:dyDescent="0.2">
      <c r="A450" s="96"/>
      <c r="B450" s="98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</row>
    <row r="451" spans="1:24" s="94" customFormat="1" x14ac:dyDescent="0.2">
      <c r="A451" s="96"/>
      <c r="B451" s="98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</row>
    <row r="452" spans="1:24" s="94" customFormat="1" x14ac:dyDescent="0.2">
      <c r="A452" s="96"/>
      <c r="B452" s="98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</row>
    <row r="453" spans="1:24" s="94" customFormat="1" x14ac:dyDescent="0.2">
      <c r="A453" s="96"/>
      <c r="B453" s="98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</row>
    <row r="454" spans="1:24" s="94" customFormat="1" x14ac:dyDescent="0.2">
      <c r="A454" s="96"/>
      <c r="B454" s="98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</row>
    <row r="455" spans="1:24" s="94" customFormat="1" x14ac:dyDescent="0.2">
      <c r="A455" s="96"/>
      <c r="B455" s="98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</row>
    <row r="456" spans="1:24" s="94" customFormat="1" x14ac:dyDescent="0.2">
      <c r="A456" s="96"/>
      <c r="B456" s="98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</row>
    <row r="457" spans="1:24" s="94" customFormat="1" x14ac:dyDescent="0.2">
      <c r="A457" s="96"/>
      <c r="B457" s="98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</row>
    <row r="458" spans="1:24" s="94" customFormat="1" x14ac:dyDescent="0.2">
      <c r="A458" s="96"/>
      <c r="B458" s="98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</row>
    <row r="459" spans="1:24" s="94" customFormat="1" x14ac:dyDescent="0.2">
      <c r="A459" s="96"/>
      <c r="B459" s="98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</row>
    <row r="460" spans="1:24" s="94" customFormat="1" x14ac:dyDescent="0.2">
      <c r="A460" s="96"/>
      <c r="B460" s="98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</row>
    <row r="461" spans="1:24" s="94" customFormat="1" x14ac:dyDescent="0.2">
      <c r="A461" s="96"/>
      <c r="B461" s="98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</row>
    <row r="462" spans="1:24" s="94" customFormat="1" x14ac:dyDescent="0.2">
      <c r="A462" s="96"/>
      <c r="B462" s="98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</row>
    <row r="463" spans="1:24" s="94" customFormat="1" x14ac:dyDescent="0.2">
      <c r="A463" s="96"/>
      <c r="B463" s="98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</row>
    <row r="464" spans="1:24" s="94" customFormat="1" x14ac:dyDescent="0.2">
      <c r="A464" s="96"/>
      <c r="B464" s="98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</row>
    <row r="465" spans="1:24" s="94" customFormat="1" x14ac:dyDescent="0.2">
      <c r="A465" s="96"/>
      <c r="B465" s="98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</row>
    <row r="466" spans="1:24" s="94" customFormat="1" x14ac:dyDescent="0.2">
      <c r="A466" s="96"/>
      <c r="B466" s="98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</row>
    <row r="467" spans="1:24" s="94" customFormat="1" x14ac:dyDescent="0.2">
      <c r="A467" s="96"/>
      <c r="B467" s="98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</row>
    <row r="468" spans="1:24" s="94" customFormat="1" x14ac:dyDescent="0.2">
      <c r="A468" s="96"/>
      <c r="B468" s="98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</row>
    <row r="469" spans="1:24" s="94" customFormat="1" x14ac:dyDescent="0.2">
      <c r="A469" s="96"/>
      <c r="B469" s="98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</row>
    <row r="470" spans="1:24" s="94" customFormat="1" x14ac:dyDescent="0.2">
      <c r="A470" s="96"/>
      <c r="B470" s="98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</row>
    <row r="471" spans="1:24" s="94" customFormat="1" x14ac:dyDescent="0.2">
      <c r="A471" s="96"/>
      <c r="B471" s="98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</row>
    <row r="472" spans="1:24" s="94" customFormat="1" x14ac:dyDescent="0.2">
      <c r="A472" s="96"/>
      <c r="B472" s="98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</row>
    <row r="473" spans="1:24" s="94" customFormat="1" x14ac:dyDescent="0.2">
      <c r="A473" s="96"/>
      <c r="B473" s="98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</row>
    <row r="474" spans="1:24" s="94" customFormat="1" x14ac:dyDescent="0.2">
      <c r="A474" s="96"/>
      <c r="B474" s="98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</row>
    <row r="475" spans="1:24" s="94" customFormat="1" x14ac:dyDescent="0.2">
      <c r="A475" s="96"/>
      <c r="B475" s="98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</row>
    <row r="476" spans="1:24" s="94" customFormat="1" x14ac:dyDescent="0.2">
      <c r="A476" s="96"/>
      <c r="B476" s="98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</row>
    <row r="477" spans="1:24" s="94" customFormat="1" x14ac:dyDescent="0.2">
      <c r="A477" s="96"/>
      <c r="B477" s="98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</row>
    <row r="478" spans="1:24" s="94" customFormat="1" x14ac:dyDescent="0.2">
      <c r="A478" s="96"/>
      <c r="B478" s="98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</row>
    <row r="479" spans="1:24" s="94" customFormat="1" x14ac:dyDescent="0.2">
      <c r="A479" s="96"/>
      <c r="B479" s="98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</row>
    <row r="480" spans="1:24" s="94" customFormat="1" x14ac:dyDescent="0.2">
      <c r="A480" s="96"/>
      <c r="B480" s="98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</row>
    <row r="481" spans="1:24" s="94" customFormat="1" x14ac:dyDescent="0.2">
      <c r="A481" s="96"/>
      <c r="B481" s="98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</row>
    <row r="482" spans="1:24" s="94" customFormat="1" x14ac:dyDescent="0.2">
      <c r="A482" s="96"/>
      <c r="B482" s="98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</row>
    <row r="483" spans="1:24" s="94" customFormat="1" x14ac:dyDescent="0.2">
      <c r="A483" s="96"/>
      <c r="B483" s="98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</row>
    <row r="484" spans="1:24" s="94" customFormat="1" x14ac:dyDescent="0.2">
      <c r="A484" s="96"/>
      <c r="B484" s="98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</row>
    <row r="485" spans="1:24" s="94" customFormat="1" x14ac:dyDescent="0.2">
      <c r="A485" s="96"/>
      <c r="B485" s="98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</row>
    <row r="486" spans="1:24" s="94" customFormat="1" x14ac:dyDescent="0.2">
      <c r="A486" s="96"/>
      <c r="B486" s="98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</row>
    <row r="487" spans="1:24" s="94" customFormat="1" x14ac:dyDescent="0.2">
      <c r="A487" s="96"/>
      <c r="B487" s="98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</row>
    <row r="488" spans="1:24" s="94" customFormat="1" x14ac:dyDescent="0.2">
      <c r="A488" s="96"/>
      <c r="B488" s="98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</row>
    <row r="489" spans="1:24" s="94" customFormat="1" x14ac:dyDescent="0.2">
      <c r="A489" s="96"/>
      <c r="B489" s="98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</row>
    <row r="490" spans="1:24" s="94" customFormat="1" x14ac:dyDescent="0.2">
      <c r="A490" s="96"/>
      <c r="B490" s="98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</row>
    <row r="491" spans="1:24" s="94" customFormat="1" x14ac:dyDescent="0.2">
      <c r="A491" s="96"/>
      <c r="B491" s="98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</row>
    <row r="492" spans="1:24" s="94" customFormat="1" x14ac:dyDescent="0.2">
      <c r="A492" s="96"/>
      <c r="B492" s="98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</row>
    <row r="493" spans="1:24" s="94" customFormat="1" x14ac:dyDescent="0.2">
      <c r="A493" s="96"/>
      <c r="B493" s="98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</row>
    <row r="494" spans="1:24" s="94" customFormat="1" x14ac:dyDescent="0.2">
      <c r="A494" s="96"/>
      <c r="B494" s="98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</row>
    <row r="495" spans="1:24" s="94" customFormat="1" x14ac:dyDescent="0.2">
      <c r="A495" s="96"/>
      <c r="B495" s="98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</row>
    <row r="496" spans="1:24" s="94" customFormat="1" x14ac:dyDescent="0.2">
      <c r="A496" s="96"/>
      <c r="B496" s="98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</row>
    <row r="497" spans="1:24" s="94" customFormat="1" x14ac:dyDescent="0.2">
      <c r="A497" s="96"/>
      <c r="B497" s="98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</row>
    <row r="498" spans="1:24" s="94" customFormat="1" x14ac:dyDescent="0.2">
      <c r="A498" s="96"/>
      <c r="B498" s="98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</row>
    <row r="499" spans="1:24" s="94" customFormat="1" x14ac:dyDescent="0.2">
      <c r="A499" s="96"/>
      <c r="B499" s="98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</row>
    <row r="500" spans="1:24" s="94" customFormat="1" x14ac:dyDescent="0.2">
      <c r="A500" s="96"/>
      <c r="B500" s="98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</row>
    <row r="501" spans="1:24" s="94" customFormat="1" x14ac:dyDescent="0.2">
      <c r="A501" s="96"/>
      <c r="B501" s="98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</row>
    <row r="502" spans="1:24" s="94" customFormat="1" x14ac:dyDescent="0.2">
      <c r="A502" s="96"/>
      <c r="B502" s="98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</row>
    <row r="503" spans="1:24" s="94" customFormat="1" x14ac:dyDescent="0.2">
      <c r="A503" s="96"/>
      <c r="B503" s="98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</row>
    <row r="504" spans="1:24" s="94" customFormat="1" x14ac:dyDescent="0.2">
      <c r="A504" s="96"/>
      <c r="B504" s="98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</row>
    <row r="505" spans="1:24" s="94" customFormat="1" x14ac:dyDescent="0.2">
      <c r="A505" s="96"/>
      <c r="B505" s="98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</row>
    <row r="506" spans="1:24" s="94" customFormat="1" x14ac:dyDescent="0.2">
      <c r="A506" s="96"/>
      <c r="B506" s="98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</row>
    <row r="507" spans="1:24" s="94" customFormat="1" x14ac:dyDescent="0.2">
      <c r="A507" s="96"/>
      <c r="B507" s="98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</row>
    <row r="508" spans="1:24" s="94" customFormat="1" x14ac:dyDescent="0.2">
      <c r="A508" s="96"/>
      <c r="B508" s="98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</row>
    <row r="509" spans="1:24" s="94" customFormat="1" x14ac:dyDescent="0.2">
      <c r="A509" s="96"/>
      <c r="B509" s="98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</row>
    <row r="510" spans="1:24" s="94" customFormat="1" x14ac:dyDescent="0.2">
      <c r="A510" s="96"/>
      <c r="B510" s="98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</row>
    <row r="511" spans="1:24" s="94" customFormat="1" x14ac:dyDescent="0.2">
      <c r="A511" s="96"/>
      <c r="B511" s="98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</row>
    <row r="512" spans="1:24" s="94" customFormat="1" x14ac:dyDescent="0.2">
      <c r="A512" s="96"/>
      <c r="B512" s="98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</row>
    <row r="513" spans="1:24" s="94" customFormat="1" x14ac:dyDescent="0.2">
      <c r="A513" s="96"/>
      <c r="B513" s="98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</row>
    <row r="514" spans="1:24" s="94" customFormat="1" x14ac:dyDescent="0.2">
      <c r="A514" s="96"/>
      <c r="B514" s="98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</row>
    <row r="515" spans="1:24" s="94" customFormat="1" x14ac:dyDescent="0.2">
      <c r="A515" s="96"/>
      <c r="B515" s="98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</row>
    <row r="516" spans="1:24" s="94" customFormat="1" x14ac:dyDescent="0.2">
      <c r="A516" s="96"/>
      <c r="B516" s="98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</row>
    <row r="517" spans="1:24" s="94" customFormat="1" x14ac:dyDescent="0.2">
      <c r="A517" s="96"/>
      <c r="B517" s="98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</row>
    <row r="518" spans="1:24" s="94" customFormat="1" x14ac:dyDescent="0.2">
      <c r="A518" s="96"/>
      <c r="B518" s="98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</row>
    <row r="519" spans="1:24" s="94" customFormat="1" x14ac:dyDescent="0.2">
      <c r="A519" s="96"/>
      <c r="B519" s="98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</row>
    <row r="520" spans="1:24" s="94" customFormat="1" x14ac:dyDescent="0.2">
      <c r="A520" s="96"/>
      <c r="B520" s="98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</row>
    <row r="521" spans="1:24" s="94" customFormat="1" x14ac:dyDescent="0.2">
      <c r="A521" s="96"/>
      <c r="B521" s="98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</row>
    <row r="522" spans="1:24" s="94" customFormat="1" x14ac:dyDescent="0.2">
      <c r="A522" s="96"/>
      <c r="B522" s="98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</row>
    <row r="523" spans="1:24" s="94" customFormat="1" x14ac:dyDescent="0.2">
      <c r="A523" s="96"/>
      <c r="B523" s="98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</row>
    <row r="524" spans="1:24" s="94" customFormat="1" x14ac:dyDescent="0.2">
      <c r="A524" s="96"/>
      <c r="B524" s="98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</row>
    <row r="525" spans="1:24" s="94" customFormat="1" x14ac:dyDescent="0.2">
      <c r="A525" s="96"/>
      <c r="B525" s="98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</row>
    <row r="526" spans="1:24" s="94" customFormat="1" x14ac:dyDescent="0.2">
      <c r="A526" s="96"/>
      <c r="B526" s="98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</row>
    <row r="527" spans="1:24" s="94" customFormat="1" x14ac:dyDescent="0.2">
      <c r="A527" s="96"/>
      <c r="B527" s="98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</row>
    <row r="528" spans="1:24" s="94" customFormat="1" x14ac:dyDescent="0.2">
      <c r="A528" s="96"/>
      <c r="B528" s="98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</row>
    <row r="529" spans="1:24" s="94" customFormat="1" x14ac:dyDescent="0.2">
      <c r="A529" s="96"/>
      <c r="B529" s="98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</row>
    <row r="530" spans="1:24" s="94" customFormat="1" x14ac:dyDescent="0.2">
      <c r="A530" s="96"/>
      <c r="B530" s="98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</row>
    <row r="531" spans="1:24" s="94" customFormat="1" x14ac:dyDescent="0.2">
      <c r="A531" s="96"/>
      <c r="B531" s="98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</row>
    <row r="532" spans="1:24" s="94" customFormat="1" x14ac:dyDescent="0.2">
      <c r="A532" s="96"/>
      <c r="B532" s="98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</row>
    <row r="533" spans="1:24" s="94" customFormat="1" x14ac:dyDescent="0.2">
      <c r="A533" s="96"/>
      <c r="B533" s="98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</row>
    <row r="534" spans="1:24" s="94" customFormat="1" x14ac:dyDescent="0.2">
      <c r="A534" s="96"/>
      <c r="B534" s="98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</row>
    <row r="535" spans="1:24" s="94" customFormat="1" x14ac:dyDescent="0.2">
      <c r="A535" s="96"/>
      <c r="B535" s="98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</row>
    <row r="536" spans="1:24" s="94" customFormat="1" x14ac:dyDescent="0.2">
      <c r="A536" s="96"/>
      <c r="B536" s="98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</row>
    <row r="537" spans="1:24" s="94" customFormat="1" x14ac:dyDescent="0.2">
      <c r="A537" s="96"/>
      <c r="B537" s="98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</row>
    <row r="538" spans="1:24" s="94" customFormat="1" x14ac:dyDescent="0.2">
      <c r="A538" s="96"/>
      <c r="B538" s="98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</row>
    <row r="539" spans="1:24" s="94" customFormat="1" x14ac:dyDescent="0.2">
      <c r="A539" s="96"/>
      <c r="B539" s="98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</row>
    <row r="540" spans="1:24" s="94" customFormat="1" x14ac:dyDescent="0.2">
      <c r="A540" s="96"/>
      <c r="B540" s="98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</row>
    <row r="541" spans="1:24" s="94" customFormat="1" x14ac:dyDescent="0.2">
      <c r="A541" s="96"/>
      <c r="B541" s="98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</row>
    <row r="542" spans="1:24" s="94" customFormat="1" x14ac:dyDescent="0.2">
      <c r="A542" s="96"/>
      <c r="B542" s="98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</row>
    <row r="543" spans="1:24" s="94" customFormat="1" x14ac:dyDescent="0.2">
      <c r="A543" s="96"/>
      <c r="B543" s="98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</row>
    <row r="544" spans="1:24" s="94" customFormat="1" x14ac:dyDescent="0.2">
      <c r="A544" s="96"/>
      <c r="B544" s="98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</row>
    <row r="545" spans="1:24" s="94" customFormat="1" x14ac:dyDescent="0.2">
      <c r="A545" s="96"/>
      <c r="B545" s="98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</row>
    <row r="546" spans="1:24" s="94" customFormat="1" x14ac:dyDescent="0.2">
      <c r="A546" s="96"/>
      <c r="B546" s="98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</row>
    <row r="547" spans="1:24" s="94" customFormat="1" x14ac:dyDescent="0.2">
      <c r="A547" s="96"/>
      <c r="B547" s="98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</row>
    <row r="548" spans="1:24" s="94" customFormat="1" x14ac:dyDescent="0.2">
      <c r="A548" s="96"/>
      <c r="B548" s="98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</row>
    <row r="549" spans="1:24" s="94" customFormat="1" x14ac:dyDescent="0.2">
      <c r="A549" s="96"/>
      <c r="B549" s="98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</row>
    <row r="550" spans="1:24" s="94" customFormat="1" x14ac:dyDescent="0.2">
      <c r="A550" s="96"/>
      <c r="B550" s="98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</row>
    <row r="551" spans="1:24" s="94" customFormat="1" x14ac:dyDescent="0.2">
      <c r="A551" s="96"/>
      <c r="B551" s="98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</row>
    <row r="552" spans="1:24" s="94" customFormat="1" x14ac:dyDescent="0.2">
      <c r="A552" s="96"/>
      <c r="B552" s="98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</row>
    <row r="553" spans="1:24" s="94" customFormat="1" x14ac:dyDescent="0.2">
      <c r="A553" s="96"/>
      <c r="B553" s="98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</row>
    <row r="554" spans="1:24" s="94" customFormat="1" x14ac:dyDescent="0.2">
      <c r="A554" s="96"/>
      <c r="B554" s="98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</row>
    <row r="555" spans="1:24" s="94" customFormat="1" x14ac:dyDescent="0.2">
      <c r="A555" s="96"/>
      <c r="B555" s="98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</row>
    <row r="556" spans="1:24" s="94" customFormat="1" x14ac:dyDescent="0.2">
      <c r="A556" s="96"/>
      <c r="B556" s="98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</row>
    <row r="557" spans="1:24" s="94" customFormat="1" x14ac:dyDescent="0.2">
      <c r="A557" s="96"/>
      <c r="B557" s="98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</row>
    <row r="558" spans="1:24" s="94" customFormat="1" x14ac:dyDescent="0.2">
      <c r="A558" s="96"/>
      <c r="B558" s="98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</row>
    <row r="559" spans="1:24" s="94" customFormat="1" x14ac:dyDescent="0.2">
      <c r="A559" s="96"/>
      <c r="B559" s="98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</row>
    <row r="560" spans="1:24" s="94" customFormat="1" x14ac:dyDescent="0.2">
      <c r="A560" s="96"/>
      <c r="B560" s="98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</row>
    <row r="561" spans="1:24" s="94" customFormat="1" x14ac:dyDescent="0.2">
      <c r="A561" s="96"/>
      <c r="B561" s="98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</row>
    <row r="562" spans="1:24" s="94" customFormat="1" x14ac:dyDescent="0.2">
      <c r="A562" s="96"/>
      <c r="B562" s="98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</row>
    <row r="563" spans="1:24" s="94" customFormat="1" x14ac:dyDescent="0.2">
      <c r="A563" s="96"/>
      <c r="B563" s="98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</row>
    <row r="564" spans="1:24" s="94" customFormat="1" x14ac:dyDescent="0.2">
      <c r="A564" s="96"/>
      <c r="B564" s="98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</row>
    <row r="565" spans="1:24" s="94" customFormat="1" x14ac:dyDescent="0.2">
      <c r="A565" s="96"/>
      <c r="B565" s="98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</row>
    <row r="566" spans="1:24" s="94" customFormat="1" x14ac:dyDescent="0.2">
      <c r="A566" s="96"/>
      <c r="B566" s="98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</row>
    <row r="567" spans="1:24" s="94" customFormat="1" x14ac:dyDescent="0.2">
      <c r="A567" s="96"/>
      <c r="B567" s="98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</row>
    <row r="568" spans="1:24" s="94" customFormat="1" x14ac:dyDescent="0.2">
      <c r="A568" s="96"/>
      <c r="B568" s="98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</row>
    <row r="569" spans="1:24" s="94" customFormat="1" x14ac:dyDescent="0.2">
      <c r="A569" s="96"/>
      <c r="B569" s="98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</row>
    <row r="570" spans="1:24" s="94" customFormat="1" x14ac:dyDescent="0.2">
      <c r="A570" s="96"/>
      <c r="B570" s="98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</row>
    <row r="571" spans="1:24" s="94" customFormat="1" x14ac:dyDescent="0.2">
      <c r="A571" s="96"/>
      <c r="B571" s="98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</row>
    <row r="572" spans="1:24" s="94" customFormat="1" x14ac:dyDescent="0.2">
      <c r="A572" s="96"/>
      <c r="B572" s="98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</row>
    <row r="573" spans="1:24" s="94" customFormat="1" x14ac:dyDescent="0.2">
      <c r="A573" s="96"/>
      <c r="B573" s="98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</row>
    <row r="574" spans="1:24" s="94" customFormat="1" x14ac:dyDescent="0.2">
      <c r="A574" s="96"/>
      <c r="B574" s="98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</row>
    <row r="575" spans="1:24" s="94" customFormat="1" x14ac:dyDescent="0.2">
      <c r="A575" s="96"/>
      <c r="B575" s="98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</row>
    <row r="576" spans="1:24" s="94" customFormat="1" x14ac:dyDescent="0.2">
      <c r="A576" s="96"/>
      <c r="B576" s="98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</row>
    <row r="577" spans="1:24" s="94" customFormat="1" x14ac:dyDescent="0.2">
      <c r="A577" s="96"/>
      <c r="B577" s="98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</row>
    <row r="578" spans="1:24" s="94" customFormat="1" x14ac:dyDescent="0.2">
      <c r="A578" s="96"/>
      <c r="B578" s="98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</row>
    <row r="579" spans="1:24" s="94" customFormat="1" x14ac:dyDescent="0.2">
      <c r="A579" s="96"/>
      <c r="B579" s="98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</row>
    <row r="580" spans="1:24" s="94" customFormat="1" x14ac:dyDescent="0.2">
      <c r="A580" s="96"/>
      <c r="B580" s="98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</row>
    <row r="581" spans="1:24" s="94" customFormat="1" x14ac:dyDescent="0.2">
      <c r="A581" s="96"/>
      <c r="B581" s="98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</row>
    <row r="582" spans="1:24" s="94" customFormat="1" x14ac:dyDescent="0.2">
      <c r="A582" s="96"/>
      <c r="B582" s="98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</row>
    <row r="583" spans="1:24" s="94" customFormat="1" x14ac:dyDescent="0.2">
      <c r="A583" s="96"/>
      <c r="B583" s="98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</row>
    <row r="584" spans="1:24" s="94" customFormat="1" x14ac:dyDescent="0.2">
      <c r="A584" s="96"/>
      <c r="B584" s="98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</row>
    <row r="585" spans="1:24" s="94" customFormat="1" x14ac:dyDescent="0.2">
      <c r="A585" s="96"/>
      <c r="B585" s="98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</row>
    <row r="586" spans="1:24" s="94" customFormat="1" x14ac:dyDescent="0.2">
      <c r="A586" s="96"/>
      <c r="B586" s="98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</row>
    <row r="587" spans="1:24" s="94" customFormat="1" x14ac:dyDescent="0.2">
      <c r="A587" s="96"/>
      <c r="B587" s="98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</row>
    <row r="588" spans="1:24" s="94" customFormat="1" x14ac:dyDescent="0.2">
      <c r="A588" s="96"/>
      <c r="B588" s="98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</row>
    <row r="589" spans="1:24" s="94" customFormat="1" x14ac:dyDescent="0.2">
      <c r="A589" s="96"/>
      <c r="B589" s="98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</row>
    <row r="590" spans="1:24" s="94" customFormat="1" x14ac:dyDescent="0.2">
      <c r="A590" s="96"/>
      <c r="B590" s="98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</row>
    <row r="591" spans="1:24" s="94" customFormat="1" x14ac:dyDescent="0.2">
      <c r="A591" s="96"/>
      <c r="B591" s="98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</row>
    <row r="592" spans="1:24" s="94" customFormat="1" x14ac:dyDescent="0.2">
      <c r="A592" s="96"/>
      <c r="B592" s="98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</row>
    <row r="593" spans="1:24" s="94" customFormat="1" x14ac:dyDescent="0.2">
      <c r="A593" s="96"/>
      <c r="B593" s="98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</row>
    <row r="594" spans="1:24" s="94" customFormat="1" x14ac:dyDescent="0.2">
      <c r="A594" s="96"/>
      <c r="B594" s="98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</row>
    <row r="595" spans="1:24" s="94" customFormat="1" x14ac:dyDescent="0.2">
      <c r="A595" s="96"/>
      <c r="B595" s="98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</row>
    <row r="596" spans="1:24" s="94" customFormat="1" x14ac:dyDescent="0.2">
      <c r="A596" s="96"/>
      <c r="B596" s="98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</row>
    <row r="597" spans="1:24" s="94" customFormat="1" x14ac:dyDescent="0.2">
      <c r="A597" s="96"/>
      <c r="B597" s="98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</row>
    <row r="598" spans="1:24" s="94" customFormat="1" x14ac:dyDescent="0.2">
      <c r="A598" s="96"/>
      <c r="B598" s="98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</row>
    <row r="599" spans="1:24" s="94" customFormat="1" x14ac:dyDescent="0.2">
      <c r="A599" s="96"/>
      <c r="B599" s="98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</row>
    <row r="600" spans="1:24" s="94" customFormat="1" x14ac:dyDescent="0.2">
      <c r="A600" s="96"/>
      <c r="B600" s="98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</row>
    <row r="601" spans="1:24" s="94" customFormat="1" x14ac:dyDescent="0.2">
      <c r="A601" s="96"/>
      <c r="B601" s="98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</row>
    <row r="602" spans="1:24" s="94" customFormat="1" x14ac:dyDescent="0.2">
      <c r="A602" s="96"/>
      <c r="B602" s="98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</row>
    <row r="603" spans="1:24" s="94" customFormat="1" x14ac:dyDescent="0.2">
      <c r="A603" s="96"/>
      <c r="B603" s="98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</row>
    <row r="604" spans="1:24" s="94" customFormat="1" x14ac:dyDescent="0.2">
      <c r="A604" s="96"/>
      <c r="B604" s="98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</row>
    <row r="605" spans="1:24" s="94" customFormat="1" x14ac:dyDescent="0.2">
      <c r="A605" s="96"/>
      <c r="B605" s="98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</row>
    <row r="606" spans="1:24" s="94" customFormat="1" x14ac:dyDescent="0.2">
      <c r="A606" s="96"/>
      <c r="B606" s="98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</row>
    <row r="607" spans="1:24" s="94" customFormat="1" x14ac:dyDescent="0.2">
      <c r="A607" s="96"/>
      <c r="B607" s="98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</row>
    <row r="608" spans="1:24" s="94" customFormat="1" x14ac:dyDescent="0.2">
      <c r="A608" s="96"/>
      <c r="B608" s="98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</row>
    <row r="609" spans="1:24" s="94" customFormat="1" x14ac:dyDescent="0.2">
      <c r="A609" s="96"/>
      <c r="B609" s="98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</row>
    <row r="610" spans="1:24" s="94" customFormat="1" x14ac:dyDescent="0.2">
      <c r="A610" s="96"/>
      <c r="B610" s="98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</row>
    <row r="611" spans="1:24" s="94" customFormat="1" x14ac:dyDescent="0.2">
      <c r="A611" s="96"/>
      <c r="B611" s="98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</row>
    <row r="612" spans="1:24" s="94" customFormat="1" x14ac:dyDescent="0.2">
      <c r="A612" s="96"/>
      <c r="B612" s="98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</row>
    <row r="613" spans="1:24" s="94" customFormat="1" x14ac:dyDescent="0.2">
      <c r="A613" s="96"/>
      <c r="B613" s="98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</row>
    <row r="614" spans="1:24" s="94" customFormat="1" x14ac:dyDescent="0.2">
      <c r="A614" s="96"/>
      <c r="B614" s="98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</row>
    <row r="615" spans="1:24" s="94" customFormat="1" x14ac:dyDescent="0.2">
      <c r="A615" s="96"/>
      <c r="B615" s="98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</row>
    <row r="616" spans="1:24" s="94" customFormat="1" x14ac:dyDescent="0.2">
      <c r="A616" s="96"/>
      <c r="B616" s="98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</row>
    <row r="617" spans="1:24" s="94" customFormat="1" x14ac:dyDescent="0.2">
      <c r="A617" s="96"/>
      <c r="B617" s="98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</row>
    <row r="618" spans="1:24" s="94" customFormat="1" x14ac:dyDescent="0.2">
      <c r="A618" s="96"/>
      <c r="B618" s="98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</row>
    <row r="619" spans="1:24" s="94" customFormat="1" x14ac:dyDescent="0.2">
      <c r="A619" s="96"/>
      <c r="B619" s="98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</row>
    <row r="620" spans="1:24" s="94" customFormat="1" x14ac:dyDescent="0.2">
      <c r="A620" s="96"/>
      <c r="B620" s="98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</row>
    <row r="621" spans="1:24" s="94" customFormat="1" x14ac:dyDescent="0.2">
      <c r="A621" s="96"/>
      <c r="B621" s="98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</row>
    <row r="622" spans="1:24" s="94" customFormat="1" x14ac:dyDescent="0.2">
      <c r="A622" s="96"/>
      <c r="B622" s="98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</row>
    <row r="623" spans="1:24" s="94" customFormat="1" x14ac:dyDescent="0.2">
      <c r="A623" s="96"/>
      <c r="B623" s="98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</row>
    <row r="624" spans="1:24" s="94" customFormat="1" x14ac:dyDescent="0.2">
      <c r="A624" s="96"/>
      <c r="B624" s="98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</row>
    <row r="625" spans="1:24" s="94" customFormat="1" x14ac:dyDescent="0.2">
      <c r="A625" s="96"/>
      <c r="B625" s="98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</row>
    <row r="626" spans="1:24" s="94" customFormat="1" x14ac:dyDescent="0.2">
      <c r="A626" s="96"/>
      <c r="B626" s="98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</row>
    <row r="627" spans="1:24" s="94" customFormat="1" x14ac:dyDescent="0.2">
      <c r="A627" s="96"/>
      <c r="B627" s="98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</row>
    <row r="628" spans="1:24" s="94" customFormat="1" x14ac:dyDescent="0.2">
      <c r="A628" s="96"/>
      <c r="B628" s="98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</row>
    <row r="629" spans="1:24" s="94" customFormat="1" x14ac:dyDescent="0.2">
      <c r="A629" s="96"/>
      <c r="B629" s="98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</row>
    <row r="630" spans="1:24" s="94" customFormat="1" x14ac:dyDescent="0.2">
      <c r="A630" s="96"/>
      <c r="B630" s="98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</row>
    <row r="631" spans="1:24" s="94" customFormat="1" x14ac:dyDescent="0.2">
      <c r="A631" s="96"/>
      <c r="B631" s="98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</row>
    <row r="632" spans="1:24" s="94" customFormat="1" x14ac:dyDescent="0.2">
      <c r="A632" s="96"/>
      <c r="B632" s="98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</row>
    <row r="633" spans="1:24" s="94" customFormat="1" x14ac:dyDescent="0.2">
      <c r="A633" s="96"/>
      <c r="B633" s="98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</row>
    <row r="634" spans="1:24" s="94" customFormat="1" x14ac:dyDescent="0.2">
      <c r="A634" s="96"/>
      <c r="B634" s="98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</row>
    <row r="635" spans="1:24" s="94" customFormat="1" x14ac:dyDescent="0.2">
      <c r="A635" s="96"/>
      <c r="B635" s="98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</row>
    <row r="636" spans="1:24" s="94" customFormat="1" x14ac:dyDescent="0.2">
      <c r="A636" s="96"/>
      <c r="B636" s="98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</row>
    <row r="637" spans="1:24" s="94" customFormat="1" x14ac:dyDescent="0.2">
      <c r="A637" s="96"/>
      <c r="B637" s="98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</row>
    <row r="638" spans="1:24" s="94" customFormat="1" x14ac:dyDescent="0.2">
      <c r="A638" s="96"/>
      <c r="B638" s="98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</row>
    <row r="639" spans="1:24" s="94" customFormat="1" x14ac:dyDescent="0.2">
      <c r="A639" s="96"/>
      <c r="B639" s="98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</row>
    <row r="640" spans="1:24" s="94" customFormat="1" x14ac:dyDescent="0.2">
      <c r="A640" s="96"/>
      <c r="B640" s="98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</row>
    <row r="641" spans="1:24" s="94" customFormat="1" x14ac:dyDescent="0.2">
      <c r="A641" s="96"/>
      <c r="B641" s="98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</row>
    <row r="642" spans="1:24" s="94" customFormat="1" x14ac:dyDescent="0.2">
      <c r="A642" s="96"/>
      <c r="B642" s="98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</row>
    <row r="643" spans="1:24" s="94" customFormat="1" x14ac:dyDescent="0.2">
      <c r="A643" s="96"/>
      <c r="B643" s="98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</row>
    <row r="644" spans="1:24" s="94" customFormat="1" x14ac:dyDescent="0.2">
      <c r="A644" s="96"/>
      <c r="B644" s="98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</row>
    <row r="645" spans="1:24" s="94" customFormat="1" x14ac:dyDescent="0.2">
      <c r="A645" s="96"/>
      <c r="B645" s="98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</row>
    <row r="646" spans="1:24" s="94" customFormat="1" x14ac:dyDescent="0.2">
      <c r="A646" s="96"/>
      <c r="B646" s="98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</row>
    <row r="647" spans="1:24" s="94" customFormat="1" x14ac:dyDescent="0.2">
      <c r="A647" s="96"/>
      <c r="B647" s="98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</row>
    <row r="648" spans="1:24" s="94" customFormat="1" x14ac:dyDescent="0.2">
      <c r="A648" s="96"/>
      <c r="B648" s="98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</row>
    <row r="649" spans="1:24" s="94" customFormat="1" x14ac:dyDescent="0.2">
      <c r="A649" s="96"/>
      <c r="B649" s="98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</row>
    <row r="650" spans="1:24" s="94" customFormat="1" x14ac:dyDescent="0.2">
      <c r="A650" s="96"/>
      <c r="B650" s="98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</row>
    <row r="651" spans="1:24" s="94" customFormat="1" x14ac:dyDescent="0.2">
      <c r="A651" s="96"/>
      <c r="B651" s="98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</row>
    <row r="652" spans="1:24" s="94" customFormat="1" x14ac:dyDescent="0.2">
      <c r="A652" s="96"/>
      <c r="B652" s="98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</row>
    <row r="653" spans="1:24" s="94" customFormat="1" x14ac:dyDescent="0.2">
      <c r="A653" s="96"/>
      <c r="B653" s="98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</row>
    <row r="654" spans="1:24" s="94" customFormat="1" x14ac:dyDescent="0.2">
      <c r="A654" s="96"/>
      <c r="B654" s="98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</row>
    <row r="655" spans="1:24" s="94" customFormat="1" x14ac:dyDescent="0.2">
      <c r="A655" s="96"/>
      <c r="B655" s="98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</row>
    <row r="656" spans="1:24" s="94" customFormat="1" x14ac:dyDescent="0.2">
      <c r="A656" s="96"/>
      <c r="B656" s="98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</row>
    <row r="657" spans="1:24" s="94" customFormat="1" x14ac:dyDescent="0.2">
      <c r="A657" s="96"/>
      <c r="B657" s="98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</row>
    <row r="658" spans="1:24" s="94" customFormat="1" x14ac:dyDescent="0.2">
      <c r="A658" s="96"/>
      <c r="B658" s="98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</row>
    <row r="659" spans="1:24" s="94" customFormat="1" x14ac:dyDescent="0.2">
      <c r="A659" s="96"/>
      <c r="B659" s="98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</row>
    <row r="660" spans="1:24" s="94" customFormat="1" x14ac:dyDescent="0.2">
      <c r="A660" s="96"/>
      <c r="B660" s="98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</row>
    <row r="661" spans="1:24" s="94" customFormat="1" x14ac:dyDescent="0.2">
      <c r="A661" s="96"/>
      <c r="B661" s="98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</row>
    <row r="662" spans="1:24" s="94" customFormat="1" x14ac:dyDescent="0.2">
      <c r="A662" s="96"/>
      <c r="B662" s="98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</row>
    <row r="663" spans="1:24" s="94" customFormat="1" x14ac:dyDescent="0.2">
      <c r="A663" s="96"/>
      <c r="B663" s="98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</row>
    <row r="664" spans="1:24" s="94" customFormat="1" x14ac:dyDescent="0.2">
      <c r="A664" s="96"/>
      <c r="B664" s="98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</row>
    <row r="665" spans="1:24" s="94" customFormat="1" x14ac:dyDescent="0.2">
      <c r="A665" s="96"/>
      <c r="B665" s="98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</row>
    <row r="666" spans="1:24" s="94" customFormat="1" x14ac:dyDescent="0.2">
      <c r="A666" s="96"/>
      <c r="B666" s="98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</row>
    <row r="667" spans="1:24" s="94" customFormat="1" x14ac:dyDescent="0.2">
      <c r="A667" s="96"/>
      <c r="B667" s="98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</row>
    <row r="668" spans="1:24" s="94" customFormat="1" x14ac:dyDescent="0.2">
      <c r="A668" s="96"/>
      <c r="B668" s="98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</row>
    <row r="669" spans="1:24" s="94" customFormat="1" x14ac:dyDescent="0.2">
      <c r="A669" s="96"/>
      <c r="B669" s="98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</row>
    <row r="670" spans="1:24" s="94" customFormat="1" x14ac:dyDescent="0.2">
      <c r="A670" s="96"/>
      <c r="B670" s="98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</row>
    <row r="671" spans="1:24" s="94" customFormat="1" x14ac:dyDescent="0.2">
      <c r="A671" s="96"/>
      <c r="B671" s="98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</row>
    <row r="672" spans="1:24" s="94" customFormat="1" x14ac:dyDescent="0.2">
      <c r="A672" s="96"/>
      <c r="B672" s="98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</row>
    <row r="673" spans="1:24" s="94" customFormat="1" x14ac:dyDescent="0.2">
      <c r="A673" s="96"/>
      <c r="B673" s="98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</row>
    <row r="674" spans="1:24" s="94" customFormat="1" x14ac:dyDescent="0.2">
      <c r="A674" s="96"/>
      <c r="B674" s="98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</row>
    <row r="675" spans="1:24" s="94" customFormat="1" x14ac:dyDescent="0.2">
      <c r="A675" s="96"/>
      <c r="B675" s="98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</row>
    <row r="676" spans="1:24" s="94" customFormat="1" x14ac:dyDescent="0.2">
      <c r="A676" s="96"/>
      <c r="B676" s="98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</row>
    <row r="677" spans="1:24" s="94" customFormat="1" x14ac:dyDescent="0.2">
      <c r="A677" s="96"/>
      <c r="B677" s="98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</row>
    <row r="678" spans="1:24" s="94" customFormat="1" x14ac:dyDescent="0.2">
      <c r="A678" s="96"/>
      <c r="B678" s="98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</row>
    <row r="679" spans="1:24" s="94" customFormat="1" x14ac:dyDescent="0.2">
      <c r="A679" s="96"/>
      <c r="B679" s="98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</row>
    <row r="680" spans="1:24" s="94" customFormat="1" x14ac:dyDescent="0.2">
      <c r="A680" s="96"/>
      <c r="B680" s="98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</row>
    <row r="681" spans="1:24" s="94" customFormat="1" x14ac:dyDescent="0.2">
      <c r="A681" s="96"/>
      <c r="B681" s="98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</row>
    <row r="682" spans="1:24" s="94" customFormat="1" x14ac:dyDescent="0.2">
      <c r="A682" s="96"/>
      <c r="B682" s="98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</row>
    <row r="683" spans="1:24" s="94" customFormat="1" x14ac:dyDescent="0.2">
      <c r="A683" s="96"/>
      <c r="B683" s="98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</row>
    <row r="684" spans="1:24" s="94" customFormat="1" x14ac:dyDescent="0.2">
      <c r="A684" s="96"/>
      <c r="B684" s="98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</row>
    <row r="685" spans="1:24" s="94" customFormat="1" x14ac:dyDescent="0.2">
      <c r="A685" s="96"/>
      <c r="B685" s="98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</row>
    <row r="686" spans="1:24" s="94" customFormat="1" x14ac:dyDescent="0.2">
      <c r="A686" s="96"/>
      <c r="B686" s="98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</row>
    <row r="687" spans="1:24" s="94" customFormat="1" x14ac:dyDescent="0.2">
      <c r="A687" s="96"/>
      <c r="B687" s="98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</row>
    <row r="688" spans="1:24" s="94" customFormat="1" x14ac:dyDescent="0.2">
      <c r="A688" s="96"/>
      <c r="B688" s="98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</row>
    <row r="689" spans="1:24" s="94" customFormat="1" x14ac:dyDescent="0.2">
      <c r="A689" s="96"/>
      <c r="B689" s="98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</row>
    <row r="690" spans="1:24" s="94" customFormat="1" x14ac:dyDescent="0.2">
      <c r="A690" s="96"/>
      <c r="B690" s="98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</row>
    <row r="691" spans="1:24" s="94" customFormat="1" x14ac:dyDescent="0.2">
      <c r="A691" s="96"/>
      <c r="B691" s="98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</row>
    <row r="692" spans="1:24" s="94" customFormat="1" x14ac:dyDescent="0.2">
      <c r="A692" s="96"/>
      <c r="B692" s="98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</row>
    <row r="693" spans="1:24" s="94" customFormat="1" x14ac:dyDescent="0.2">
      <c r="A693" s="96"/>
      <c r="B693" s="98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</row>
    <row r="694" spans="1:24" s="94" customFormat="1" x14ac:dyDescent="0.2">
      <c r="A694" s="96"/>
      <c r="B694" s="98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</row>
    <row r="695" spans="1:24" s="94" customFormat="1" x14ac:dyDescent="0.2">
      <c r="A695" s="96"/>
      <c r="B695" s="98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</row>
    <row r="696" spans="1:24" s="94" customFormat="1" x14ac:dyDescent="0.2">
      <c r="A696" s="96"/>
      <c r="B696" s="98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</row>
    <row r="697" spans="1:24" s="94" customFormat="1" x14ac:dyDescent="0.2">
      <c r="A697" s="96"/>
      <c r="B697" s="98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</row>
    <row r="698" spans="1:24" s="94" customFormat="1" x14ac:dyDescent="0.2">
      <c r="A698" s="96"/>
      <c r="B698" s="98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</row>
    <row r="699" spans="1:24" s="94" customFormat="1" x14ac:dyDescent="0.2">
      <c r="A699" s="96"/>
      <c r="B699" s="98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</row>
    <row r="700" spans="1:24" s="94" customFormat="1" x14ac:dyDescent="0.2">
      <c r="A700" s="96"/>
      <c r="B700" s="98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</row>
    <row r="701" spans="1:24" s="94" customFormat="1" x14ac:dyDescent="0.2">
      <c r="A701" s="96"/>
      <c r="B701" s="98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</row>
    <row r="702" spans="1:24" s="94" customFormat="1" x14ac:dyDescent="0.2">
      <c r="A702" s="96"/>
      <c r="B702" s="98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</row>
    <row r="703" spans="1:24" s="94" customFormat="1" x14ac:dyDescent="0.2">
      <c r="A703" s="96"/>
      <c r="B703" s="98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</row>
    <row r="704" spans="1:24" s="94" customFormat="1" x14ac:dyDescent="0.2">
      <c r="A704" s="96"/>
      <c r="B704" s="98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</row>
    <row r="705" spans="1:24" s="94" customFormat="1" x14ac:dyDescent="0.2">
      <c r="A705" s="96"/>
      <c r="B705" s="98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</row>
    <row r="706" spans="1:24" s="94" customFormat="1" x14ac:dyDescent="0.2">
      <c r="A706" s="96"/>
      <c r="B706" s="98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</row>
    <row r="707" spans="1:24" s="94" customFormat="1" x14ac:dyDescent="0.2">
      <c r="A707" s="96"/>
      <c r="B707" s="98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</row>
    <row r="708" spans="1:24" s="94" customFormat="1" x14ac:dyDescent="0.2">
      <c r="A708" s="96"/>
      <c r="B708" s="98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</row>
    <row r="709" spans="1:24" s="94" customFormat="1" x14ac:dyDescent="0.2">
      <c r="A709" s="96"/>
      <c r="B709" s="98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</row>
    <row r="710" spans="1:24" s="94" customFormat="1" x14ac:dyDescent="0.2">
      <c r="A710" s="96"/>
      <c r="B710" s="98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</row>
    <row r="711" spans="1:24" s="94" customFormat="1" x14ac:dyDescent="0.2">
      <c r="A711" s="96"/>
      <c r="B711" s="98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</row>
    <row r="712" spans="1:24" s="94" customFormat="1" x14ac:dyDescent="0.2">
      <c r="A712" s="96"/>
      <c r="B712" s="98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</row>
    <row r="713" spans="1:24" s="94" customFormat="1" x14ac:dyDescent="0.2">
      <c r="A713" s="96"/>
      <c r="B713" s="98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</row>
    <row r="714" spans="1:24" s="94" customFormat="1" x14ac:dyDescent="0.2">
      <c r="A714" s="96"/>
      <c r="B714" s="98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</row>
    <row r="715" spans="1:24" s="94" customFormat="1" x14ac:dyDescent="0.2">
      <c r="A715" s="96"/>
      <c r="B715" s="98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</row>
    <row r="716" spans="1:24" s="94" customFormat="1" x14ac:dyDescent="0.2">
      <c r="A716" s="96"/>
      <c r="B716" s="98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</row>
    <row r="717" spans="1:24" s="94" customFormat="1" x14ac:dyDescent="0.2">
      <c r="A717" s="96"/>
      <c r="B717" s="98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</row>
    <row r="718" spans="1:24" s="94" customFormat="1" x14ac:dyDescent="0.2">
      <c r="A718" s="96"/>
      <c r="B718" s="98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</row>
    <row r="719" spans="1:24" s="94" customFormat="1" x14ac:dyDescent="0.2">
      <c r="A719" s="96"/>
      <c r="B719" s="98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</row>
    <row r="720" spans="1:24" s="94" customFormat="1" x14ac:dyDescent="0.2">
      <c r="A720" s="96"/>
      <c r="B720" s="98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</row>
    <row r="721" spans="1:24" s="94" customFormat="1" x14ac:dyDescent="0.2">
      <c r="A721" s="96"/>
      <c r="B721" s="98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</row>
    <row r="722" spans="1:24" s="94" customFormat="1" x14ac:dyDescent="0.2">
      <c r="A722" s="96"/>
      <c r="B722" s="98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</row>
    <row r="723" spans="1:24" s="94" customFormat="1" x14ac:dyDescent="0.2">
      <c r="A723" s="96"/>
      <c r="B723" s="98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</row>
    <row r="724" spans="1:24" s="94" customFormat="1" x14ac:dyDescent="0.2">
      <c r="A724" s="96"/>
      <c r="B724" s="98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</row>
    <row r="725" spans="1:24" s="94" customFormat="1" x14ac:dyDescent="0.2">
      <c r="A725" s="96"/>
      <c r="B725" s="98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</row>
    <row r="726" spans="1:24" s="94" customFormat="1" x14ac:dyDescent="0.2">
      <c r="A726" s="96"/>
      <c r="B726" s="98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</row>
    <row r="727" spans="1:24" s="94" customFormat="1" x14ac:dyDescent="0.2">
      <c r="A727" s="96"/>
      <c r="B727" s="98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</row>
    <row r="728" spans="1:24" s="94" customFormat="1" x14ac:dyDescent="0.2">
      <c r="A728" s="96"/>
      <c r="B728" s="98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</row>
    <row r="729" spans="1:24" s="94" customFormat="1" x14ac:dyDescent="0.2">
      <c r="A729" s="96"/>
      <c r="B729" s="98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</row>
    <row r="730" spans="1:24" s="94" customFormat="1" x14ac:dyDescent="0.2">
      <c r="A730" s="96"/>
      <c r="B730" s="98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</row>
    <row r="731" spans="1:24" s="94" customFormat="1" x14ac:dyDescent="0.2">
      <c r="A731" s="96"/>
      <c r="B731" s="98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</row>
    <row r="732" spans="1:24" s="94" customFormat="1" x14ac:dyDescent="0.2">
      <c r="A732" s="96"/>
      <c r="B732" s="98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</row>
    <row r="733" spans="1:24" s="94" customFormat="1" x14ac:dyDescent="0.2">
      <c r="A733" s="96"/>
      <c r="B733" s="98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</row>
    <row r="734" spans="1:24" s="94" customFormat="1" x14ac:dyDescent="0.2">
      <c r="A734" s="96"/>
      <c r="B734" s="98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</row>
    <row r="735" spans="1:24" s="94" customFormat="1" x14ac:dyDescent="0.2">
      <c r="A735" s="96"/>
      <c r="B735" s="98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</row>
    <row r="736" spans="1:24" s="94" customFormat="1" x14ac:dyDescent="0.2">
      <c r="A736" s="96"/>
      <c r="B736" s="98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</row>
    <row r="737" spans="1:24" s="94" customFormat="1" x14ac:dyDescent="0.2">
      <c r="A737" s="96"/>
      <c r="B737" s="98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</row>
    <row r="738" spans="1:24" s="94" customFormat="1" x14ac:dyDescent="0.2">
      <c r="A738" s="96"/>
      <c r="B738" s="98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</row>
    <row r="739" spans="1:24" s="94" customFormat="1" x14ac:dyDescent="0.2">
      <c r="A739" s="96"/>
      <c r="B739" s="98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</row>
    <row r="740" spans="1:24" s="94" customFormat="1" x14ac:dyDescent="0.2">
      <c r="A740" s="96"/>
      <c r="B740" s="98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</row>
    <row r="741" spans="1:24" s="94" customFormat="1" x14ac:dyDescent="0.2">
      <c r="A741" s="96"/>
      <c r="B741" s="98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</row>
    <row r="742" spans="1:24" s="94" customFormat="1" x14ac:dyDescent="0.2">
      <c r="A742" s="96"/>
      <c r="B742" s="98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</row>
    <row r="743" spans="1:24" s="94" customFormat="1" x14ac:dyDescent="0.2">
      <c r="A743" s="96"/>
      <c r="B743" s="98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</row>
    <row r="744" spans="1:24" s="94" customFormat="1" x14ac:dyDescent="0.2">
      <c r="A744" s="96"/>
      <c r="B744" s="98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</row>
    <row r="745" spans="1:24" s="94" customFormat="1" x14ac:dyDescent="0.2">
      <c r="A745" s="96"/>
      <c r="B745" s="98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</row>
    <row r="746" spans="1:24" s="94" customFormat="1" x14ac:dyDescent="0.2">
      <c r="A746" s="96"/>
      <c r="B746" s="98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</row>
    <row r="747" spans="1:24" s="94" customFormat="1" x14ac:dyDescent="0.2">
      <c r="A747" s="96"/>
      <c r="B747" s="98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</row>
    <row r="748" spans="1:24" s="94" customFormat="1" x14ac:dyDescent="0.2">
      <c r="A748" s="96"/>
      <c r="B748" s="98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</row>
    <row r="749" spans="1:24" s="94" customFormat="1" x14ac:dyDescent="0.2">
      <c r="A749" s="96"/>
      <c r="B749" s="98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</row>
    <row r="750" spans="1:24" s="94" customFormat="1" x14ac:dyDescent="0.2">
      <c r="A750" s="96"/>
      <c r="B750" s="98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</row>
    <row r="751" spans="1:24" s="94" customFormat="1" x14ac:dyDescent="0.2">
      <c r="A751" s="96"/>
      <c r="B751" s="98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</row>
    <row r="752" spans="1:24" s="94" customFormat="1" x14ac:dyDescent="0.2">
      <c r="A752" s="96"/>
      <c r="B752" s="98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</row>
    <row r="753" spans="1:24" s="94" customFormat="1" x14ac:dyDescent="0.2">
      <c r="A753" s="96"/>
      <c r="B753" s="98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</row>
    <row r="754" spans="1:24" s="94" customFormat="1" x14ac:dyDescent="0.2">
      <c r="A754" s="96"/>
      <c r="B754" s="98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</row>
    <row r="755" spans="1:24" s="94" customFormat="1" x14ac:dyDescent="0.2">
      <c r="A755" s="96"/>
      <c r="B755" s="98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</row>
    <row r="756" spans="1:24" s="94" customFormat="1" x14ac:dyDescent="0.2">
      <c r="A756" s="96"/>
      <c r="B756" s="98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</row>
    <row r="757" spans="1:24" s="94" customFormat="1" x14ac:dyDescent="0.2">
      <c r="A757" s="96"/>
      <c r="B757" s="98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</row>
    <row r="758" spans="1:24" s="94" customFormat="1" x14ac:dyDescent="0.2">
      <c r="A758" s="96"/>
      <c r="B758" s="98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</row>
    <row r="759" spans="1:24" s="94" customFormat="1" x14ac:dyDescent="0.2">
      <c r="A759" s="96"/>
      <c r="B759" s="98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</row>
    <row r="760" spans="1:24" s="94" customFormat="1" x14ac:dyDescent="0.2">
      <c r="A760" s="96"/>
      <c r="B760" s="98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</row>
    <row r="761" spans="1:24" s="94" customFormat="1" x14ac:dyDescent="0.2">
      <c r="A761" s="96"/>
      <c r="B761" s="98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</row>
    <row r="762" spans="1:24" s="94" customFormat="1" x14ac:dyDescent="0.2">
      <c r="A762" s="96"/>
      <c r="B762" s="98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</row>
    <row r="763" spans="1:24" s="94" customFormat="1" x14ac:dyDescent="0.2">
      <c r="A763" s="96"/>
      <c r="B763" s="98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</row>
    <row r="764" spans="1:24" s="94" customFormat="1" x14ac:dyDescent="0.2">
      <c r="A764" s="96"/>
      <c r="B764" s="98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</row>
    <row r="765" spans="1:24" s="94" customFormat="1" x14ac:dyDescent="0.2">
      <c r="A765" s="96"/>
      <c r="B765" s="98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</row>
    <row r="766" spans="1:24" s="94" customFormat="1" x14ac:dyDescent="0.2">
      <c r="A766" s="96"/>
      <c r="B766" s="98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</row>
    <row r="767" spans="1:24" s="94" customFormat="1" x14ac:dyDescent="0.2">
      <c r="A767" s="96"/>
      <c r="B767" s="98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</row>
    <row r="768" spans="1:24" s="94" customFormat="1" x14ac:dyDescent="0.2">
      <c r="A768" s="96"/>
      <c r="B768" s="98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</row>
    <row r="769" spans="1:24" s="94" customFormat="1" x14ac:dyDescent="0.2">
      <c r="A769" s="96"/>
      <c r="B769" s="98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</row>
    <row r="770" spans="1:24" s="94" customFormat="1" x14ac:dyDescent="0.2">
      <c r="A770" s="96"/>
      <c r="B770" s="98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</row>
    <row r="771" spans="1:24" s="94" customFormat="1" x14ac:dyDescent="0.2">
      <c r="A771" s="96"/>
      <c r="B771" s="98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</row>
    <row r="772" spans="1:24" s="94" customFormat="1" x14ac:dyDescent="0.2">
      <c r="A772" s="96"/>
      <c r="B772" s="98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</row>
    <row r="773" spans="1:24" s="94" customFormat="1" x14ac:dyDescent="0.2">
      <c r="A773" s="96"/>
      <c r="B773" s="98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</row>
    <row r="774" spans="1:24" s="94" customFormat="1" x14ac:dyDescent="0.2">
      <c r="A774" s="96"/>
      <c r="B774" s="98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</row>
    <row r="775" spans="1:24" s="94" customFormat="1" x14ac:dyDescent="0.2">
      <c r="A775" s="96"/>
      <c r="B775" s="98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</row>
    <row r="776" spans="1:24" s="94" customFormat="1" x14ac:dyDescent="0.2">
      <c r="A776" s="96"/>
      <c r="B776" s="98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</row>
    <row r="777" spans="1:24" s="94" customFormat="1" x14ac:dyDescent="0.2">
      <c r="A777" s="96"/>
      <c r="B777" s="98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</row>
    <row r="778" spans="1:24" s="94" customFormat="1" x14ac:dyDescent="0.2">
      <c r="A778" s="96"/>
      <c r="B778" s="98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</row>
    <row r="779" spans="1:24" s="94" customFormat="1" x14ac:dyDescent="0.2">
      <c r="A779" s="96"/>
      <c r="B779" s="98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</row>
    <row r="780" spans="1:24" s="94" customFormat="1" x14ac:dyDescent="0.2">
      <c r="A780" s="96"/>
      <c r="B780" s="98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</row>
    <row r="781" spans="1:24" s="94" customFormat="1" x14ac:dyDescent="0.2">
      <c r="A781" s="96"/>
      <c r="B781" s="98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</row>
    <row r="782" spans="1:24" s="94" customFormat="1" x14ac:dyDescent="0.2">
      <c r="A782" s="96"/>
      <c r="B782" s="98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</row>
    <row r="783" spans="1:24" s="94" customFormat="1" x14ac:dyDescent="0.2">
      <c r="A783" s="96"/>
      <c r="B783" s="98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</row>
    <row r="784" spans="1:24" s="94" customFormat="1" x14ac:dyDescent="0.2">
      <c r="A784" s="96"/>
      <c r="B784" s="98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</row>
    <row r="785" spans="1:24" s="94" customFormat="1" x14ac:dyDescent="0.2">
      <c r="A785" s="96"/>
      <c r="B785" s="98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</row>
    <row r="786" spans="1:24" s="94" customFormat="1" x14ac:dyDescent="0.2">
      <c r="A786" s="96"/>
      <c r="B786" s="98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</row>
    <row r="787" spans="1:24" s="94" customFormat="1" x14ac:dyDescent="0.2">
      <c r="A787" s="96"/>
      <c r="B787" s="98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</row>
    <row r="788" spans="1:24" s="94" customFormat="1" x14ac:dyDescent="0.2">
      <c r="A788" s="96"/>
      <c r="B788" s="98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</row>
    <row r="789" spans="1:24" s="94" customFormat="1" x14ac:dyDescent="0.2">
      <c r="A789" s="96"/>
      <c r="B789" s="98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</row>
    <row r="790" spans="1:24" s="94" customFormat="1" x14ac:dyDescent="0.2">
      <c r="A790" s="96"/>
      <c r="B790" s="98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</row>
    <row r="791" spans="1:24" s="94" customFormat="1" x14ac:dyDescent="0.2">
      <c r="A791" s="96"/>
      <c r="B791" s="98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</row>
    <row r="792" spans="1:24" s="94" customFormat="1" x14ac:dyDescent="0.2">
      <c r="A792" s="96"/>
      <c r="B792" s="98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</row>
    <row r="793" spans="1:24" s="94" customFormat="1" x14ac:dyDescent="0.2">
      <c r="A793" s="96"/>
      <c r="B793" s="98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</row>
    <row r="794" spans="1:24" s="94" customFormat="1" x14ac:dyDescent="0.2">
      <c r="A794" s="96"/>
      <c r="B794" s="98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</row>
    <row r="795" spans="1:24" s="94" customFormat="1" x14ac:dyDescent="0.2">
      <c r="A795" s="96"/>
      <c r="B795" s="98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</row>
    <row r="796" spans="1:24" s="94" customFormat="1" x14ac:dyDescent="0.2">
      <c r="A796" s="96"/>
      <c r="B796" s="98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</row>
    <row r="797" spans="1:24" s="94" customFormat="1" x14ac:dyDescent="0.2">
      <c r="A797" s="96"/>
      <c r="B797" s="98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</row>
    <row r="798" spans="1:24" s="94" customFormat="1" x14ac:dyDescent="0.2">
      <c r="A798" s="96"/>
      <c r="B798" s="98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</row>
    <row r="799" spans="1:24" s="94" customFormat="1" x14ac:dyDescent="0.2">
      <c r="A799" s="96"/>
      <c r="B799" s="98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</row>
    <row r="800" spans="1:24" s="94" customFormat="1" x14ac:dyDescent="0.2">
      <c r="A800" s="96"/>
      <c r="B800" s="98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</row>
    <row r="801" spans="1:24" s="94" customFormat="1" x14ac:dyDescent="0.2">
      <c r="A801" s="96"/>
      <c r="B801" s="98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</row>
    <row r="802" spans="1:24" s="94" customFormat="1" x14ac:dyDescent="0.2">
      <c r="A802" s="96"/>
      <c r="B802" s="98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</row>
    <row r="803" spans="1:24" s="94" customFormat="1" x14ac:dyDescent="0.2">
      <c r="A803" s="96"/>
      <c r="B803" s="98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</row>
    <row r="804" spans="1:24" s="94" customFormat="1" x14ac:dyDescent="0.2">
      <c r="A804" s="96"/>
      <c r="B804" s="98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</row>
    <row r="805" spans="1:24" s="94" customFormat="1" x14ac:dyDescent="0.2">
      <c r="A805" s="96"/>
      <c r="B805" s="98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</row>
    <row r="806" spans="1:24" s="94" customFormat="1" x14ac:dyDescent="0.2">
      <c r="A806" s="96"/>
      <c r="B806" s="98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</row>
    <row r="807" spans="1:24" s="94" customFormat="1" x14ac:dyDescent="0.2">
      <c r="A807" s="96"/>
      <c r="B807" s="98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</row>
    <row r="808" spans="1:24" s="94" customFormat="1" x14ac:dyDescent="0.2">
      <c r="A808" s="96"/>
      <c r="B808" s="98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</row>
    <row r="809" spans="1:24" s="94" customFormat="1" x14ac:dyDescent="0.2">
      <c r="A809" s="96"/>
      <c r="B809" s="98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</row>
    <row r="810" spans="1:24" s="94" customFormat="1" x14ac:dyDescent="0.2">
      <c r="A810" s="96"/>
      <c r="B810" s="98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</row>
    <row r="811" spans="1:24" s="94" customFormat="1" x14ac:dyDescent="0.2">
      <c r="A811" s="96"/>
      <c r="B811" s="98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</row>
    <row r="812" spans="1:24" s="94" customFormat="1" x14ac:dyDescent="0.2">
      <c r="A812" s="96"/>
      <c r="B812" s="98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</row>
    <row r="813" spans="1:24" s="94" customFormat="1" x14ac:dyDescent="0.2">
      <c r="A813" s="96"/>
      <c r="B813" s="98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</row>
    <row r="814" spans="1:24" s="94" customFormat="1" x14ac:dyDescent="0.2">
      <c r="A814" s="96"/>
      <c r="B814" s="98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</row>
    <row r="815" spans="1:24" s="94" customFormat="1" x14ac:dyDescent="0.2">
      <c r="A815" s="96"/>
      <c r="B815" s="98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</row>
    <row r="816" spans="1:24" s="94" customFormat="1" x14ac:dyDescent="0.2">
      <c r="A816" s="96"/>
      <c r="B816" s="98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</row>
    <row r="817" spans="1:24" s="94" customFormat="1" x14ac:dyDescent="0.2">
      <c r="A817" s="96"/>
      <c r="B817" s="98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</row>
    <row r="818" spans="1:24" s="94" customFormat="1" x14ac:dyDescent="0.2">
      <c r="A818" s="96"/>
      <c r="B818" s="98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</row>
    <row r="819" spans="1:24" s="94" customFormat="1" x14ac:dyDescent="0.2">
      <c r="A819" s="96"/>
      <c r="B819" s="98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</row>
    <row r="820" spans="1:24" s="94" customFormat="1" x14ac:dyDescent="0.2">
      <c r="A820" s="96"/>
      <c r="B820" s="98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</row>
    <row r="821" spans="1:24" s="94" customFormat="1" x14ac:dyDescent="0.2">
      <c r="A821" s="96"/>
      <c r="B821" s="98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</row>
    <row r="822" spans="1:24" s="94" customFormat="1" x14ac:dyDescent="0.2">
      <c r="A822" s="96"/>
      <c r="B822" s="98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</row>
    <row r="823" spans="1:24" s="94" customFormat="1" x14ac:dyDescent="0.2">
      <c r="A823" s="96"/>
      <c r="B823" s="98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</row>
    <row r="824" spans="1:24" s="94" customFormat="1" x14ac:dyDescent="0.2">
      <c r="A824" s="96"/>
      <c r="B824" s="98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</row>
    <row r="825" spans="1:24" s="94" customFormat="1" x14ac:dyDescent="0.2">
      <c r="A825" s="96"/>
      <c r="B825" s="98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</row>
    <row r="826" spans="1:24" s="94" customFormat="1" x14ac:dyDescent="0.2">
      <c r="A826" s="96"/>
      <c r="B826" s="98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</row>
    <row r="827" spans="1:24" s="94" customFormat="1" x14ac:dyDescent="0.2">
      <c r="A827" s="96"/>
      <c r="B827" s="98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</row>
  </sheetData>
  <protectedRanges>
    <protectedRange sqref="B48" name="Rango1_7_5_2_1_1_1_2_1_2"/>
  </protectedRanges>
  <mergeCells count="9">
    <mergeCell ref="E9:Q9"/>
    <mergeCell ref="R9:V9"/>
    <mergeCell ref="W9:W10"/>
    <mergeCell ref="A339:C339"/>
    <mergeCell ref="A9:A10"/>
    <mergeCell ref="X9:X10"/>
    <mergeCell ref="B9:B10"/>
    <mergeCell ref="C9:C10"/>
    <mergeCell ref="D9:D10"/>
  </mergeCells>
  <printOptions horizontalCentered="1" verticalCentered="1"/>
  <pageMargins left="0.55118110236220474" right="0.55118110236220474" top="1.1811023622047245" bottom="1.3779527559055118" header="0.78740157480314965" footer="0"/>
  <pageSetup paperSize="5" scale="45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2:Y1036"/>
  <sheetViews>
    <sheetView showGridLines="0" zoomScale="110" zoomScaleNormal="110" workbookViewId="0">
      <selection activeCell="B14" sqref="B14"/>
    </sheetView>
  </sheetViews>
  <sheetFormatPr baseColWidth="10" defaultColWidth="11.5703125" defaultRowHeight="12.75" x14ac:dyDescent="0.2"/>
  <cols>
    <col min="1" max="1" width="6.5703125" style="4" customWidth="1"/>
    <col min="2" max="2" width="40.85546875" style="4" customWidth="1"/>
    <col min="3" max="3" width="35.140625" style="4" customWidth="1"/>
    <col min="4" max="4" width="17.5703125" style="4" customWidth="1"/>
    <col min="5" max="5" width="15.28515625" style="4" customWidth="1"/>
    <col min="6" max="6" width="12.7109375" style="4" customWidth="1"/>
    <col min="7" max="9" width="14.42578125" style="4" customWidth="1"/>
    <col min="10" max="10" width="18.85546875" style="4" customWidth="1"/>
    <col min="11" max="11" width="14.7109375" style="4" hidden="1" customWidth="1"/>
    <col min="12" max="12" width="14.28515625" style="4" hidden="1" customWidth="1"/>
    <col min="13" max="13" width="11" style="4" hidden="1" customWidth="1"/>
    <col min="14" max="14" width="11.28515625" style="4" hidden="1" customWidth="1"/>
    <col min="15" max="15" width="17" style="4" customWidth="1"/>
    <col min="16" max="16" width="17.140625" style="4" customWidth="1"/>
    <col min="17" max="17" width="14.42578125" style="4" customWidth="1"/>
    <col min="18" max="18" width="11.5703125" style="4"/>
    <col min="19" max="19" width="13.7109375" style="4" customWidth="1"/>
    <col min="20" max="20" width="11.5703125" style="4"/>
    <col min="21" max="21" width="13.5703125" style="4" customWidth="1"/>
    <col min="22" max="23" width="11.5703125" style="4" customWidth="1"/>
    <col min="24" max="16384" width="11.5703125" style="4"/>
  </cols>
  <sheetData>
    <row r="2" spans="1:25" x14ac:dyDescent="0.2">
      <c r="A2" s="275" t="s">
        <v>1043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25" x14ac:dyDescent="0.2">
      <c r="A3" s="273" t="s">
        <v>1046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25" ht="19.5" customHeight="1" x14ac:dyDescent="0.2">
      <c r="A4" s="275" t="s">
        <v>1044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4"/>
    </row>
    <row r="5" spans="1:25" x14ac:dyDescent="0.2">
      <c r="A5" s="273" t="s">
        <v>1045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</row>
    <row r="6" spans="1:25" ht="14.25" customHeight="1" x14ac:dyDescent="0.2">
      <c r="A6" s="273" t="s">
        <v>1048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</row>
    <row r="7" spans="1:25" ht="14.25" customHeight="1" x14ac:dyDescent="0.2">
      <c r="A7" s="292" t="s">
        <v>1047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74"/>
    </row>
    <row r="8" spans="1:25" ht="13.5" thickBo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7"/>
    </row>
    <row r="9" spans="1:25" ht="26.25" customHeight="1" x14ac:dyDescent="0.2">
      <c r="A9" s="286" t="s">
        <v>5</v>
      </c>
      <c r="B9" s="288" t="s">
        <v>11</v>
      </c>
      <c r="C9" s="288"/>
      <c r="D9" s="288" t="s">
        <v>1004</v>
      </c>
      <c r="E9" s="283" t="s">
        <v>1</v>
      </c>
      <c r="F9" s="290"/>
      <c r="G9" s="290"/>
      <c r="H9" s="290"/>
      <c r="I9" s="290"/>
      <c r="J9" s="291"/>
      <c r="K9" s="283" t="s">
        <v>23</v>
      </c>
      <c r="L9" s="284"/>
      <c r="M9" s="284"/>
      <c r="N9" s="284"/>
      <c r="O9" s="285"/>
      <c r="P9" s="288" t="s">
        <v>325</v>
      </c>
      <c r="Q9" s="277" t="s">
        <v>960</v>
      </c>
    </row>
    <row r="10" spans="1:25" ht="57.75" customHeight="1" x14ac:dyDescent="0.2">
      <c r="A10" s="287"/>
      <c r="B10" s="289"/>
      <c r="C10" s="289"/>
      <c r="D10" s="289"/>
      <c r="E10" s="163" t="s">
        <v>162</v>
      </c>
      <c r="F10" s="163" t="s">
        <v>15</v>
      </c>
      <c r="G10" s="163" t="s">
        <v>17</v>
      </c>
      <c r="H10" s="237" t="s">
        <v>1041</v>
      </c>
      <c r="I10" s="213" t="s">
        <v>988</v>
      </c>
      <c r="J10" s="163" t="s">
        <v>6</v>
      </c>
      <c r="K10" s="50" t="s">
        <v>18</v>
      </c>
      <c r="L10" s="50" t="s">
        <v>326</v>
      </c>
      <c r="M10" s="50" t="s">
        <v>20</v>
      </c>
      <c r="N10" s="50" t="s">
        <v>150</v>
      </c>
      <c r="O10" s="163" t="s">
        <v>21</v>
      </c>
      <c r="P10" s="289"/>
      <c r="Q10" s="278"/>
    </row>
    <row r="11" spans="1:25" ht="26.25" customHeight="1" x14ac:dyDescent="0.2">
      <c r="A11" s="139">
        <v>1</v>
      </c>
      <c r="B11" s="24" t="s">
        <v>381</v>
      </c>
      <c r="C11" s="24" t="s">
        <v>327</v>
      </c>
      <c r="D11" s="29">
        <v>2425</v>
      </c>
      <c r="E11" s="175">
        <v>0</v>
      </c>
      <c r="F11" s="27">
        <v>0</v>
      </c>
      <c r="G11" s="176">
        <v>0</v>
      </c>
      <c r="H11" s="176">
        <v>2792.33</v>
      </c>
      <c r="I11" s="176">
        <v>0</v>
      </c>
      <c r="J11" s="28">
        <f t="shared" ref="J11:J70" si="0">SUM(D11:G11)</f>
        <v>2425</v>
      </c>
      <c r="K11" s="28">
        <f t="shared" ref="K11:K72" si="1">(D11+E11+F11)*3%</f>
        <v>72.75</v>
      </c>
      <c r="L11" s="28">
        <f>D11*11%</f>
        <v>266.75</v>
      </c>
      <c r="M11" s="28">
        <v>0</v>
      </c>
      <c r="N11" s="28">
        <v>0</v>
      </c>
      <c r="O11" s="28">
        <f t="shared" ref="O11:O75" si="2">K11+L11+M11+N11</f>
        <v>339.5</v>
      </c>
      <c r="P11" s="28">
        <f t="shared" ref="P11:P42" si="3">J11-O11</f>
        <v>2085.5</v>
      </c>
      <c r="Q11" s="73">
        <v>0</v>
      </c>
      <c r="R11" s="8"/>
      <c r="S11" s="8"/>
      <c r="T11" s="8"/>
      <c r="U11" s="8"/>
      <c r="V11" s="8"/>
      <c r="W11" s="8"/>
      <c r="X11" s="9"/>
      <c r="Y11" s="9"/>
    </row>
    <row r="12" spans="1:25" s="6" customFormat="1" ht="27" customHeight="1" x14ac:dyDescent="0.2">
      <c r="A12" s="139">
        <v>2</v>
      </c>
      <c r="B12" s="24" t="s">
        <v>431</v>
      </c>
      <c r="C12" s="24" t="s">
        <v>330</v>
      </c>
      <c r="D12" s="177">
        <v>1940</v>
      </c>
      <c r="E12" s="175">
        <v>0</v>
      </c>
      <c r="F12" s="27">
        <v>0</v>
      </c>
      <c r="G12" s="176">
        <v>0</v>
      </c>
      <c r="H12" s="176">
        <v>2792.33</v>
      </c>
      <c r="I12" s="176">
        <v>0</v>
      </c>
      <c r="J12" s="28">
        <f t="shared" si="0"/>
        <v>1940</v>
      </c>
      <c r="K12" s="28">
        <f t="shared" si="1"/>
        <v>58.2</v>
      </c>
      <c r="L12" s="28">
        <f>D12*10%</f>
        <v>194</v>
      </c>
      <c r="M12" s="28">
        <v>0</v>
      </c>
      <c r="N12" s="28">
        <v>0</v>
      </c>
      <c r="O12" s="28">
        <f t="shared" si="2"/>
        <v>252.2</v>
      </c>
      <c r="P12" s="28">
        <f t="shared" si="3"/>
        <v>1687.8</v>
      </c>
      <c r="Q12" s="73">
        <v>0</v>
      </c>
      <c r="R12" s="11"/>
      <c r="S12" s="11"/>
      <c r="T12" s="11"/>
      <c r="U12" s="11"/>
      <c r="V12" s="11"/>
      <c r="W12" s="11"/>
      <c r="X12" s="12"/>
      <c r="Y12" s="12"/>
    </row>
    <row r="13" spans="1:25" s="6" customFormat="1" ht="27" customHeight="1" x14ac:dyDescent="0.2">
      <c r="A13" s="139">
        <v>3</v>
      </c>
      <c r="B13" s="24" t="s">
        <v>228</v>
      </c>
      <c r="C13" s="24" t="s">
        <v>327</v>
      </c>
      <c r="D13" s="177">
        <v>2425</v>
      </c>
      <c r="E13" s="175">
        <v>0</v>
      </c>
      <c r="F13" s="27">
        <v>0</v>
      </c>
      <c r="G13" s="176">
        <v>0</v>
      </c>
      <c r="H13" s="176">
        <v>2792.33</v>
      </c>
      <c r="I13" s="176">
        <v>0</v>
      </c>
      <c r="J13" s="28">
        <f t="shared" si="0"/>
        <v>2425</v>
      </c>
      <c r="K13" s="28">
        <f t="shared" si="1"/>
        <v>72.75</v>
      </c>
      <c r="L13" s="28">
        <f>D13*11%</f>
        <v>266.75</v>
      </c>
      <c r="M13" s="28">
        <v>0</v>
      </c>
      <c r="N13" s="28">
        <v>0</v>
      </c>
      <c r="O13" s="28">
        <f t="shared" si="2"/>
        <v>339.5</v>
      </c>
      <c r="P13" s="28">
        <f t="shared" si="3"/>
        <v>2085.5</v>
      </c>
      <c r="Q13" s="73">
        <v>0</v>
      </c>
      <c r="R13" s="11"/>
      <c r="S13" s="11"/>
      <c r="T13" s="11"/>
      <c r="U13" s="11"/>
      <c r="V13" s="11"/>
      <c r="W13" s="11"/>
      <c r="X13" s="12"/>
      <c r="Y13" s="12"/>
    </row>
    <row r="14" spans="1:25" s="6" customFormat="1" ht="27" customHeight="1" x14ac:dyDescent="0.2">
      <c r="A14" s="139">
        <v>4</v>
      </c>
      <c r="B14" s="178" t="s">
        <v>516</v>
      </c>
      <c r="C14" s="23" t="s">
        <v>517</v>
      </c>
      <c r="D14" s="177">
        <v>2392</v>
      </c>
      <c r="E14" s="175">
        <v>1900</v>
      </c>
      <c r="F14" s="27">
        <v>0</v>
      </c>
      <c r="G14" s="176">
        <v>250</v>
      </c>
      <c r="H14" s="176">
        <v>0</v>
      </c>
      <c r="I14" s="176">
        <v>0</v>
      </c>
      <c r="J14" s="28">
        <f t="shared" si="0"/>
        <v>4542</v>
      </c>
      <c r="K14" s="28">
        <f t="shared" si="1"/>
        <v>128.76</v>
      </c>
      <c r="L14" s="28">
        <f>(D14+E14)*12%</f>
        <v>515.04</v>
      </c>
      <c r="M14" s="28">
        <v>0</v>
      </c>
      <c r="N14" s="28">
        <v>0</v>
      </c>
      <c r="O14" s="28">
        <f t="shared" si="2"/>
        <v>643.79999999999995</v>
      </c>
      <c r="P14" s="28">
        <f t="shared" si="3"/>
        <v>3898.2</v>
      </c>
      <c r="Q14" s="73">
        <v>0</v>
      </c>
      <c r="R14" s="11"/>
      <c r="S14" s="11"/>
      <c r="T14" s="11"/>
      <c r="U14" s="11"/>
      <c r="V14" s="11"/>
      <c r="W14" s="11"/>
      <c r="X14" s="12"/>
      <c r="Y14" s="12"/>
    </row>
    <row r="15" spans="1:25" s="6" customFormat="1" ht="27" customHeight="1" x14ac:dyDescent="0.2">
      <c r="A15" s="139">
        <v>5</v>
      </c>
      <c r="B15" s="24" t="s">
        <v>382</v>
      </c>
      <c r="C15" s="24" t="s">
        <v>286</v>
      </c>
      <c r="D15" s="28">
        <v>2249</v>
      </c>
      <c r="E15" s="28">
        <v>1000</v>
      </c>
      <c r="F15" s="27">
        <v>0</v>
      </c>
      <c r="G15" s="176">
        <v>250</v>
      </c>
      <c r="H15" s="176">
        <v>2792.33</v>
      </c>
      <c r="I15" s="176">
        <v>0</v>
      </c>
      <c r="J15" s="28">
        <f t="shared" si="0"/>
        <v>3499</v>
      </c>
      <c r="K15" s="28">
        <f t="shared" si="1"/>
        <v>97.47</v>
      </c>
      <c r="L15" s="28">
        <f>(D15+E15)*11%</f>
        <v>357.39</v>
      </c>
      <c r="M15" s="28">
        <v>0</v>
      </c>
      <c r="N15" s="28">
        <v>0</v>
      </c>
      <c r="O15" s="28">
        <f t="shared" si="2"/>
        <v>454.86</v>
      </c>
      <c r="P15" s="28">
        <f t="shared" si="3"/>
        <v>3044.14</v>
      </c>
      <c r="Q15" s="73">
        <v>0</v>
      </c>
      <c r="R15" s="11"/>
      <c r="S15" s="11"/>
      <c r="T15" s="11"/>
      <c r="U15" s="11"/>
      <c r="V15" s="11"/>
      <c r="W15" s="11"/>
      <c r="X15" s="12"/>
      <c r="Y15" s="12"/>
    </row>
    <row r="16" spans="1:25" s="6" customFormat="1" ht="27" customHeight="1" x14ac:dyDescent="0.2">
      <c r="A16" s="139">
        <v>6</v>
      </c>
      <c r="B16" s="25" t="s">
        <v>44</v>
      </c>
      <c r="C16" s="24" t="s">
        <v>286</v>
      </c>
      <c r="D16" s="27">
        <v>2249</v>
      </c>
      <c r="E16" s="27">
        <v>1000</v>
      </c>
      <c r="F16" s="27">
        <v>0</v>
      </c>
      <c r="G16" s="27">
        <v>250</v>
      </c>
      <c r="H16" s="176">
        <v>2792.33</v>
      </c>
      <c r="I16" s="176">
        <v>0</v>
      </c>
      <c r="J16" s="28">
        <f t="shared" si="0"/>
        <v>3499</v>
      </c>
      <c r="K16" s="28">
        <f t="shared" si="1"/>
        <v>97.47</v>
      </c>
      <c r="L16" s="28">
        <f>(D16+E16)*11%</f>
        <v>357.39</v>
      </c>
      <c r="M16" s="28">
        <v>0</v>
      </c>
      <c r="N16" s="28">
        <v>0</v>
      </c>
      <c r="O16" s="28">
        <f t="shared" si="2"/>
        <v>454.86</v>
      </c>
      <c r="P16" s="28">
        <f t="shared" si="3"/>
        <v>3044.14</v>
      </c>
      <c r="Q16" s="73">
        <v>0</v>
      </c>
      <c r="R16" s="11"/>
      <c r="S16" s="11"/>
      <c r="T16" s="11"/>
      <c r="U16" s="11"/>
      <c r="V16" s="11"/>
      <c r="W16" s="11"/>
      <c r="X16" s="12"/>
      <c r="Y16" s="12"/>
    </row>
    <row r="17" spans="1:25" s="6" customFormat="1" ht="27" customHeight="1" x14ac:dyDescent="0.2">
      <c r="A17" s="139">
        <v>7</v>
      </c>
      <c r="B17" s="24" t="s">
        <v>328</v>
      </c>
      <c r="C17" s="24" t="s">
        <v>330</v>
      </c>
      <c r="D17" s="177">
        <v>1940</v>
      </c>
      <c r="E17" s="175">
        <v>0</v>
      </c>
      <c r="F17" s="27">
        <v>0</v>
      </c>
      <c r="G17" s="176">
        <v>0</v>
      </c>
      <c r="H17" s="176">
        <v>2792.33</v>
      </c>
      <c r="I17" s="176">
        <v>0</v>
      </c>
      <c r="J17" s="28">
        <f t="shared" si="0"/>
        <v>1940</v>
      </c>
      <c r="K17" s="28">
        <f t="shared" si="1"/>
        <v>58.2</v>
      </c>
      <c r="L17" s="28">
        <f>D17*10%</f>
        <v>194</v>
      </c>
      <c r="M17" s="28">
        <v>0</v>
      </c>
      <c r="N17" s="28">
        <v>0</v>
      </c>
      <c r="O17" s="28">
        <f t="shared" si="2"/>
        <v>252.2</v>
      </c>
      <c r="P17" s="28">
        <f t="shared" si="3"/>
        <v>1687.8</v>
      </c>
      <c r="Q17" s="73">
        <v>0</v>
      </c>
      <c r="R17" s="11"/>
      <c r="S17" s="11"/>
      <c r="T17" s="11"/>
      <c r="U17" s="11"/>
      <c r="V17" s="11"/>
      <c r="W17" s="11"/>
      <c r="X17" s="12"/>
      <c r="Y17" s="12"/>
    </row>
    <row r="18" spans="1:25" s="6" customFormat="1" ht="27" customHeight="1" x14ac:dyDescent="0.2">
      <c r="A18" s="139">
        <v>8</v>
      </c>
      <c r="B18" s="24" t="s">
        <v>144</v>
      </c>
      <c r="C18" s="24" t="s">
        <v>493</v>
      </c>
      <c r="D18" s="177">
        <v>2375</v>
      </c>
      <c r="E18" s="29">
        <v>1000</v>
      </c>
      <c r="F18" s="27">
        <v>0</v>
      </c>
      <c r="G18" s="176">
        <v>250</v>
      </c>
      <c r="H18" s="176">
        <v>0</v>
      </c>
      <c r="I18" s="176">
        <v>0</v>
      </c>
      <c r="J18" s="28">
        <f t="shared" si="0"/>
        <v>3625</v>
      </c>
      <c r="K18" s="28">
        <f t="shared" si="1"/>
        <v>101.25</v>
      </c>
      <c r="L18" s="28">
        <f>(D18+E18)*11%</f>
        <v>371.25</v>
      </c>
      <c r="M18" s="28">
        <v>0</v>
      </c>
      <c r="N18" s="28">
        <v>0</v>
      </c>
      <c r="O18" s="28">
        <f t="shared" si="2"/>
        <v>472.5</v>
      </c>
      <c r="P18" s="28">
        <f t="shared" si="3"/>
        <v>3152.5</v>
      </c>
      <c r="Q18" s="73">
        <v>0</v>
      </c>
      <c r="R18" s="11"/>
      <c r="S18" s="11"/>
      <c r="T18" s="11"/>
      <c r="U18" s="11"/>
      <c r="V18" s="11"/>
      <c r="W18" s="11"/>
      <c r="X18" s="12"/>
      <c r="Y18" s="12"/>
    </row>
    <row r="19" spans="1:25" s="6" customFormat="1" ht="27" customHeight="1" x14ac:dyDescent="0.2">
      <c r="A19" s="139">
        <v>9</v>
      </c>
      <c r="B19" s="22" t="s">
        <v>383</v>
      </c>
      <c r="C19" s="22" t="s">
        <v>491</v>
      </c>
      <c r="D19" s="29">
        <v>2760</v>
      </c>
      <c r="E19" s="175">
        <v>1000</v>
      </c>
      <c r="F19" s="27">
        <v>0</v>
      </c>
      <c r="G19" s="176">
        <v>250</v>
      </c>
      <c r="H19" s="176">
        <v>0</v>
      </c>
      <c r="I19" s="176">
        <v>0</v>
      </c>
      <c r="J19" s="28">
        <f t="shared" si="0"/>
        <v>4010</v>
      </c>
      <c r="K19" s="28">
        <f t="shared" si="1"/>
        <v>112.8</v>
      </c>
      <c r="L19" s="28">
        <f>(D19+E19)*11%</f>
        <v>413.6</v>
      </c>
      <c r="M19" s="28">
        <v>0</v>
      </c>
      <c r="N19" s="28">
        <v>0</v>
      </c>
      <c r="O19" s="28">
        <f t="shared" si="2"/>
        <v>526.4</v>
      </c>
      <c r="P19" s="28">
        <f t="shared" si="3"/>
        <v>3483.6</v>
      </c>
      <c r="Q19" s="73">
        <v>0</v>
      </c>
      <c r="R19" s="11"/>
      <c r="S19" s="11"/>
      <c r="T19" s="11"/>
      <c r="U19" s="11"/>
      <c r="V19" s="11"/>
      <c r="W19" s="11"/>
      <c r="X19" s="12"/>
      <c r="Y19" s="12"/>
    </row>
    <row r="20" spans="1:25" s="6" customFormat="1" ht="27" customHeight="1" x14ac:dyDescent="0.2">
      <c r="A20" s="139">
        <v>10</v>
      </c>
      <c r="B20" s="24" t="s">
        <v>329</v>
      </c>
      <c r="C20" s="24" t="s">
        <v>330</v>
      </c>
      <c r="D20" s="177">
        <v>1940</v>
      </c>
      <c r="E20" s="175">
        <v>0</v>
      </c>
      <c r="F20" s="27">
        <v>0</v>
      </c>
      <c r="G20" s="176">
        <v>0</v>
      </c>
      <c r="H20" s="176">
        <v>2792.33</v>
      </c>
      <c r="I20" s="176">
        <v>0</v>
      </c>
      <c r="J20" s="28">
        <f t="shared" si="0"/>
        <v>1940</v>
      </c>
      <c r="K20" s="28">
        <f t="shared" si="1"/>
        <v>58.2</v>
      </c>
      <c r="L20" s="28">
        <f>D20*10%</f>
        <v>194</v>
      </c>
      <c r="M20" s="28">
        <v>0</v>
      </c>
      <c r="N20" s="28">
        <v>0</v>
      </c>
      <c r="O20" s="28">
        <f t="shared" si="2"/>
        <v>252.2</v>
      </c>
      <c r="P20" s="28">
        <f t="shared" si="3"/>
        <v>1687.8</v>
      </c>
      <c r="Q20" s="73">
        <v>0</v>
      </c>
      <c r="R20" s="11"/>
      <c r="S20" s="11"/>
      <c r="T20" s="11"/>
      <c r="U20" s="11"/>
      <c r="V20" s="11"/>
      <c r="W20" s="11"/>
      <c r="X20" s="12"/>
      <c r="Y20" s="12"/>
    </row>
    <row r="21" spans="1:25" s="6" customFormat="1" ht="27" customHeight="1" x14ac:dyDescent="0.2">
      <c r="A21" s="139">
        <v>11</v>
      </c>
      <c r="B21" s="32" t="s">
        <v>467</v>
      </c>
      <c r="C21" s="26" t="s">
        <v>155</v>
      </c>
      <c r="D21" s="179">
        <v>6759</v>
      </c>
      <c r="E21" s="180">
        <f>4000+4000</f>
        <v>8000</v>
      </c>
      <c r="F21" s="181">
        <v>375</v>
      </c>
      <c r="G21" s="182">
        <v>250</v>
      </c>
      <c r="H21" s="176">
        <v>0</v>
      </c>
      <c r="I21" s="176">
        <v>0</v>
      </c>
      <c r="J21" s="28">
        <f t="shared" si="0"/>
        <v>15384</v>
      </c>
      <c r="K21" s="28">
        <f t="shared" si="1"/>
        <v>454.02</v>
      </c>
      <c r="L21" s="28">
        <f>(D21+E21+F21)*15%</f>
        <v>2270.1</v>
      </c>
      <c r="M21" s="28">
        <v>433.83</v>
      </c>
      <c r="N21" s="28">
        <v>203.4</v>
      </c>
      <c r="O21" s="28">
        <f t="shared" si="2"/>
        <v>3361.35</v>
      </c>
      <c r="P21" s="28">
        <f t="shared" si="3"/>
        <v>12022.65</v>
      </c>
      <c r="Q21" s="73">
        <v>0</v>
      </c>
      <c r="R21" s="11"/>
      <c r="S21" s="11"/>
      <c r="T21" s="11"/>
      <c r="U21" s="11"/>
      <c r="V21" s="11"/>
      <c r="W21" s="11"/>
      <c r="X21" s="12"/>
      <c r="Y21" s="12"/>
    </row>
    <row r="22" spans="1:25" s="6" customFormat="1" ht="27" customHeight="1" x14ac:dyDescent="0.2">
      <c r="A22" s="139">
        <v>12</v>
      </c>
      <c r="B22" s="30" t="s">
        <v>462</v>
      </c>
      <c r="C22" s="24" t="s">
        <v>109</v>
      </c>
      <c r="D22" s="183">
        <v>1902</v>
      </c>
      <c r="E22" s="175">
        <v>1000</v>
      </c>
      <c r="F22" s="27">
        <v>0</v>
      </c>
      <c r="G22" s="176">
        <v>250</v>
      </c>
      <c r="H22" s="176">
        <v>2792.33</v>
      </c>
      <c r="I22" s="176">
        <v>0</v>
      </c>
      <c r="J22" s="28">
        <f t="shared" si="0"/>
        <v>3152</v>
      </c>
      <c r="K22" s="28">
        <f t="shared" si="1"/>
        <v>87.06</v>
      </c>
      <c r="L22" s="28">
        <v>319.22000000000003</v>
      </c>
      <c r="M22" s="28">
        <v>0</v>
      </c>
      <c r="N22" s="28">
        <v>39</v>
      </c>
      <c r="O22" s="28">
        <f t="shared" si="2"/>
        <v>445.28</v>
      </c>
      <c r="P22" s="28">
        <f t="shared" si="3"/>
        <v>2706.72</v>
      </c>
      <c r="Q22" s="73">
        <v>0</v>
      </c>
      <c r="R22" s="11"/>
      <c r="S22" s="11"/>
      <c r="T22" s="11"/>
      <c r="U22" s="11"/>
      <c r="V22" s="11"/>
      <c r="W22" s="11"/>
      <c r="X22" s="12"/>
      <c r="Y22" s="12"/>
    </row>
    <row r="23" spans="1:25" s="6" customFormat="1" ht="27" customHeight="1" x14ac:dyDescent="0.2">
      <c r="A23" s="139">
        <v>13</v>
      </c>
      <c r="B23" s="24" t="s">
        <v>94</v>
      </c>
      <c r="C23" s="24" t="s">
        <v>327</v>
      </c>
      <c r="D23" s="177">
        <v>2425</v>
      </c>
      <c r="E23" s="175">
        <v>0</v>
      </c>
      <c r="F23" s="27">
        <v>0</v>
      </c>
      <c r="G23" s="176">
        <v>0</v>
      </c>
      <c r="H23" s="176">
        <v>2792.33</v>
      </c>
      <c r="I23" s="176">
        <v>0</v>
      </c>
      <c r="J23" s="28">
        <f t="shared" si="0"/>
        <v>2425</v>
      </c>
      <c r="K23" s="28">
        <f t="shared" si="1"/>
        <v>72.75</v>
      </c>
      <c r="L23" s="28">
        <f>D23*11%</f>
        <v>266.75</v>
      </c>
      <c r="M23" s="28">
        <v>0</v>
      </c>
      <c r="N23" s="28">
        <v>0</v>
      </c>
      <c r="O23" s="28">
        <f t="shared" si="2"/>
        <v>339.5</v>
      </c>
      <c r="P23" s="28">
        <f t="shared" si="3"/>
        <v>2085.5</v>
      </c>
      <c r="Q23" s="73">
        <v>0</v>
      </c>
      <c r="R23" s="11"/>
      <c r="S23" s="11"/>
      <c r="T23" s="11"/>
      <c r="U23" s="11"/>
      <c r="V23" s="11"/>
      <c r="W23" s="11"/>
      <c r="X23" s="12"/>
      <c r="Y23" s="12"/>
    </row>
    <row r="24" spans="1:25" s="6" customFormat="1" ht="27" customHeight="1" x14ac:dyDescent="0.2">
      <c r="A24" s="139">
        <v>14</v>
      </c>
      <c r="B24" s="24" t="s">
        <v>103</v>
      </c>
      <c r="C24" s="24" t="s">
        <v>330</v>
      </c>
      <c r="D24" s="29">
        <v>1940</v>
      </c>
      <c r="E24" s="175">
        <v>0</v>
      </c>
      <c r="F24" s="27">
        <v>0</v>
      </c>
      <c r="G24" s="176">
        <v>0</v>
      </c>
      <c r="H24" s="176">
        <v>0</v>
      </c>
      <c r="I24" s="176">
        <v>0</v>
      </c>
      <c r="J24" s="28">
        <f t="shared" si="0"/>
        <v>1940</v>
      </c>
      <c r="K24" s="28">
        <f t="shared" si="1"/>
        <v>58.2</v>
      </c>
      <c r="L24" s="28">
        <f>D24*10%</f>
        <v>194</v>
      </c>
      <c r="M24" s="28">
        <v>0</v>
      </c>
      <c r="N24" s="28">
        <v>0</v>
      </c>
      <c r="O24" s="28">
        <f t="shared" si="2"/>
        <v>252.2</v>
      </c>
      <c r="P24" s="28">
        <f t="shared" si="3"/>
        <v>1687.8</v>
      </c>
      <c r="Q24" s="73">
        <v>0</v>
      </c>
      <c r="R24" s="11"/>
      <c r="S24" s="11"/>
      <c r="T24" s="11"/>
      <c r="U24" s="11"/>
      <c r="V24" s="11"/>
      <c r="W24" s="11"/>
      <c r="X24" s="12"/>
      <c r="Y24" s="12"/>
    </row>
    <row r="25" spans="1:25" s="6" customFormat="1" ht="27" customHeight="1" x14ac:dyDescent="0.2">
      <c r="A25" s="139">
        <v>15</v>
      </c>
      <c r="B25" s="24" t="s">
        <v>226</v>
      </c>
      <c r="C25" s="24" t="s">
        <v>327</v>
      </c>
      <c r="D25" s="177">
        <v>2425</v>
      </c>
      <c r="E25" s="175">
        <v>0</v>
      </c>
      <c r="F25" s="27">
        <v>0</v>
      </c>
      <c r="G25" s="176">
        <v>0</v>
      </c>
      <c r="H25" s="176">
        <v>2792.33</v>
      </c>
      <c r="I25" s="176">
        <v>0</v>
      </c>
      <c r="J25" s="28">
        <f t="shared" si="0"/>
        <v>2425</v>
      </c>
      <c r="K25" s="28">
        <f t="shared" si="1"/>
        <v>72.75</v>
      </c>
      <c r="L25" s="28">
        <f>D25*11%</f>
        <v>266.75</v>
      </c>
      <c r="M25" s="28">
        <v>0</v>
      </c>
      <c r="N25" s="28">
        <v>0</v>
      </c>
      <c r="O25" s="28">
        <f t="shared" si="2"/>
        <v>339.5</v>
      </c>
      <c r="P25" s="28">
        <f t="shared" si="3"/>
        <v>2085.5</v>
      </c>
      <c r="Q25" s="73">
        <v>0</v>
      </c>
      <c r="R25" s="11"/>
      <c r="S25" s="11"/>
      <c r="T25" s="11"/>
      <c r="U25" s="11"/>
      <c r="V25" s="11"/>
      <c r="W25" s="11"/>
      <c r="X25" s="12"/>
      <c r="Y25" s="12"/>
    </row>
    <row r="26" spans="1:25" s="6" customFormat="1" ht="27" customHeight="1" x14ac:dyDescent="0.2">
      <c r="A26" s="139">
        <v>16</v>
      </c>
      <c r="B26" s="32" t="s">
        <v>285</v>
      </c>
      <c r="C26" s="24" t="s">
        <v>321</v>
      </c>
      <c r="D26" s="184">
        <v>5835</v>
      </c>
      <c r="E26" s="29">
        <v>3000</v>
      </c>
      <c r="F26" s="27">
        <v>0</v>
      </c>
      <c r="G26" s="176">
        <v>250</v>
      </c>
      <c r="H26" s="176">
        <v>0</v>
      </c>
      <c r="I26" s="176">
        <v>0</v>
      </c>
      <c r="J26" s="28">
        <f t="shared" si="0"/>
        <v>9085</v>
      </c>
      <c r="K26" s="28">
        <f t="shared" si="1"/>
        <v>265.05</v>
      </c>
      <c r="L26" s="28">
        <f>(D26+E26)*14%</f>
        <v>1236.9000000000001</v>
      </c>
      <c r="M26" s="28">
        <v>195.55</v>
      </c>
      <c r="N26" s="28">
        <v>123.78</v>
      </c>
      <c r="O26" s="28">
        <f t="shared" si="2"/>
        <v>1821.28</v>
      </c>
      <c r="P26" s="28">
        <f t="shared" si="3"/>
        <v>7263.72</v>
      </c>
      <c r="Q26" s="73">
        <v>0</v>
      </c>
      <c r="R26" s="11"/>
      <c r="S26" s="11"/>
      <c r="T26" s="11"/>
      <c r="U26" s="11"/>
      <c r="V26" s="11"/>
      <c r="W26" s="11"/>
      <c r="X26" s="12"/>
      <c r="Y26" s="12"/>
    </row>
    <row r="27" spans="1:25" s="6" customFormat="1" ht="27" customHeight="1" x14ac:dyDescent="0.2">
      <c r="A27" s="139">
        <v>17</v>
      </c>
      <c r="B27" s="34" t="s">
        <v>37</v>
      </c>
      <c r="C27" s="26" t="s">
        <v>505</v>
      </c>
      <c r="D27" s="27">
        <v>5373</v>
      </c>
      <c r="E27" s="27">
        <v>3000</v>
      </c>
      <c r="F27" s="27">
        <v>0</v>
      </c>
      <c r="G27" s="27">
        <v>250</v>
      </c>
      <c r="H27" s="176">
        <v>0</v>
      </c>
      <c r="I27" s="176">
        <v>0</v>
      </c>
      <c r="J27" s="28">
        <f t="shared" si="0"/>
        <v>8623</v>
      </c>
      <c r="K27" s="28">
        <f t="shared" si="1"/>
        <v>251.19</v>
      </c>
      <c r="L27" s="28">
        <f>(D27+E27)*14%</f>
        <v>1172.22</v>
      </c>
      <c r="M27" s="28">
        <v>160.81</v>
      </c>
      <c r="N27" s="28">
        <v>112.53</v>
      </c>
      <c r="O27" s="28">
        <f t="shared" si="2"/>
        <v>1696.75</v>
      </c>
      <c r="P27" s="28">
        <f t="shared" si="3"/>
        <v>6926.25</v>
      </c>
      <c r="Q27" s="73">
        <v>0</v>
      </c>
      <c r="R27" s="11"/>
      <c r="S27" s="11"/>
      <c r="T27" s="11"/>
      <c r="U27" s="11"/>
      <c r="V27" s="11"/>
      <c r="W27" s="11"/>
      <c r="X27" s="12"/>
      <c r="Y27" s="12"/>
    </row>
    <row r="28" spans="1:25" s="6" customFormat="1" ht="27" customHeight="1" x14ac:dyDescent="0.2">
      <c r="A28" s="139">
        <v>18</v>
      </c>
      <c r="B28" s="22" t="s">
        <v>84</v>
      </c>
      <c r="C28" s="223" t="s">
        <v>105</v>
      </c>
      <c r="D28" s="29">
        <v>2760</v>
      </c>
      <c r="E28" s="175">
        <v>1000</v>
      </c>
      <c r="F28" s="27">
        <v>0</v>
      </c>
      <c r="G28" s="176">
        <v>250</v>
      </c>
      <c r="H28" s="176">
        <v>0</v>
      </c>
      <c r="I28" s="176">
        <v>0</v>
      </c>
      <c r="J28" s="28">
        <f t="shared" si="0"/>
        <v>4010</v>
      </c>
      <c r="K28" s="28">
        <f t="shared" si="1"/>
        <v>112.8</v>
      </c>
      <c r="L28" s="28">
        <f>(D28+E28)*11%</f>
        <v>413.6</v>
      </c>
      <c r="M28" s="28">
        <v>0</v>
      </c>
      <c r="N28" s="28">
        <v>0</v>
      </c>
      <c r="O28" s="28">
        <f t="shared" si="2"/>
        <v>526.4</v>
      </c>
      <c r="P28" s="28">
        <f t="shared" si="3"/>
        <v>3483.6</v>
      </c>
      <c r="Q28" s="73">
        <v>0</v>
      </c>
      <c r="R28" s="11"/>
      <c r="S28" s="11"/>
      <c r="T28" s="11"/>
      <c r="U28" s="11"/>
      <c r="V28" s="11"/>
      <c r="W28" s="11"/>
      <c r="X28" s="12"/>
      <c r="Y28" s="12"/>
    </row>
    <row r="29" spans="1:25" s="6" customFormat="1" ht="27" customHeight="1" x14ac:dyDescent="0.2">
      <c r="A29" s="139">
        <v>19</v>
      </c>
      <c r="B29" s="222" t="s">
        <v>478</v>
      </c>
      <c r="C29" s="224" t="s">
        <v>1006</v>
      </c>
      <c r="D29" s="225">
        <v>5835</v>
      </c>
      <c r="E29" s="175">
        <v>3000</v>
      </c>
      <c r="F29" s="27">
        <v>0</v>
      </c>
      <c r="G29" s="176">
        <v>250</v>
      </c>
      <c r="H29" s="176">
        <v>0</v>
      </c>
      <c r="I29" s="176">
        <v>0</v>
      </c>
      <c r="J29" s="28">
        <f t="shared" si="0"/>
        <v>9085</v>
      </c>
      <c r="K29" s="28">
        <f t="shared" si="1"/>
        <v>265.05</v>
      </c>
      <c r="L29" s="28">
        <f>(D29+E29)*14%</f>
        <v>1236.9000000000001</v>
      </c>
      <c r="M29" s="28">
        <v>179.99</v>
      </c>
      <c r="N29" s="28">
        <v>118.74</v>
      </c>
      <c r="O29" s="28">
        <f>K29+L29+M29+N29</f>
        <v>1800.68</v>
      </c>
      <c r="P29" s="28">
        <f>J29-O29</f>
        <v>7284.32</v>
      </c>
      <c r="Q29" s="73">
        <v>0</v>
      </c>
      <c r="R29" s="11"/>
      <c r="S29" s="11"/>
      <c r="T29" s="11"/>
      <c r="U29" s="11"/>
      <c r="V29" s="11"/>
      <c r="W29" s="11"/>
      <c r="X29" s="12"/>
      <c r="Y29" s="12"/>
    </row>
    <row r="30" spans="1:25" s="6" customFormat="1" ht="27" customHeight="1" x14ac:dyDescent="0.2">
      <c r="A30" s="139">
        <v>20</v>
      </c>
      <c r="B30" s="24" t="s">
        <v>432</v>
      </c>
      <c r="C30" s="33" t="s">
        <v>495</v>
      </c>
      <c r="D30" s="177">
        <v>2328</v>
      </c>
      <c r="E30" s="175">
        <v>0</v>
      </c>
      <c r="F30" s="27">
        <v>0</v>
      </c>
      <c r="G30" s="176">
        <v>0</v>
      </c>
      <c r="H30" s="176">
        <v>2792.33</v>
      </c>
      <c r="I30" s="176">
        <v>0</v>
      </c>
      <c r="J30" s="28">
        <f t="shared" si="0"/>
        <v>2328</v>
      </c>
      <c r="K30" s="28">
        <f t="shared" si="1"/>
        <v>69.84</v>
      </c>
      <c r="L30" s="28">
        <f>D30*11%</f>
        <v>256.08</v>
      </c>
      <c r="M30" s="28">
        <v>0</v>
      </c>
      <c r="N30" s="28">
        <v>0</v>
      </c>
      <c r="O30" s="28">
        <f t="shared" si="2"/>
        <v>325.92</v>
      </c>
      <c r="P30" s="28">
        <f t="shared" si="3"/>
        <v>2002.08</v>
      </c>
      <c r="Q30" s="73">
        <v>0</v>
      </c>
      <c r="R30" s="11"/>
      <c r="S30" s="11"/>
      <c r="T30" s="11"/>
      <c r="U30" s="11"/>
      <c r="V30" s="11"/>
      <c r="W30" s="11"/>
      <c r="X30" s="12"/>
      <c r="Y30" s="12"/>
    </row>
    <row r="31" spans="1:25" s="6" customFormat="1" ht="27" customHeight="1" x14ac:dyDescent="0.2">
      <c r="A31" s="139">
        <v>21</v>
      </c>
      <c r="B31" s="235" t="s">
        <v>1019</v>
      </c>
      <c r="C31" s="226" t="s">
        <v>155</v>
      </c>
      <c r="D31" s="236">
        <v>6759</v>
      </c>
      <c r="E31" s="175">
        <v>4000</v>
      </c>
      <c r="F31" s="27">
        <v>375</v>
      </c>
      <c r="G31" s="176">
        <v>250</v>
      </c>
      <c r="H31" s="176">
        <v>0</v>
      </c>
      <c r="I31" s="176">
        <v>0</v>
      </c>
      <c r="J31" s="28">
        <f t="shared" si="0"/>
        <v>11384</v>
      </c>
      <c r="K31" s="28">
        <f t="shared" si="1"/>
        <v>334.02</v>
      </c>
      <c r="L31" s="28">
        <f>(D31+E31+F31)*15%</f>
        <v>1670.1</v>
      </c>
      <c r="M31" s="28">
        <v>269.83</v>
      </c>
      <c r="N31" s="28">
        <v>149.63999999999999</v>
      </c>
      <c r="O31" s="28">
        <f>K31+L31+M31+N31</f>
        <v>2423.59</v>
      </c>
      <c r="P31" s="28">
        <f t="shared" si="3"/>
        <v>8960.41</v>
      </c>
      <c r="Q31" s="73">
        <v>0</v>
      </c>
      <c r="R31" s="11"/>
      <c r="S31" s="11"/>
      <c r="T31" s="11"/>
      <c r="U31" s="11"/>
      <c r="V31" s="11"/>
      <c r="W31" s="11"/>
      <c r="X31" s="12"/>
      <c r="Y31" s="12"/>
    </row>
    <row r="32" spans="1:25" s="6" customFormat="1" ht="27" customHeight="1" x14ac:dyDescent="0.2">
      <c r="A32" s="139">
        <v>22</v>
      </c>
      <c r="B32" s="22" t="s">
        <v>331</v>
      </c>
      <c r="C32" s="24" t="s">
        <v>345</v>
      </c>
      <c r="D32" s="29">
        <v>2037</v>
      </c>
      <c r="E32" s="175">
        <v>0</v>
      </c>
      <c r="F32" s="27">
        <v>0</v>
      </c>
      <c r="G32" s="176">
        <v>0</v>
      </c>
      <c r="H32" s="176">
        <v>2792.33</v>
      </c>
      <c r="I32" s="176">
        <v>0</v>
      </c>
      <c r="J32" s="28">
        <f t="shared" si="0"/>
        <v>2037</v>
      </c>
      <c r="K32" s="28">
        <f t="shared" si="1"/>
        <v>61.11</v>
      </c>
      <c r="L32" s="28">
        <f>D32*11%</f>
        <v>224.07</v>
      </c>
      <c r="M32" s="28">
        <v>0</v>
      </c>
      <c r="N32" s="28">
        <v>0</v>
      </c>
      <c r="O32" s="28">
        <f t="shared" si="2"/>
        <v>285.18</v>
      </c>
      <c r="P32" s="28">
        <f t="shared" si="3"/>
        <v>1751.82</v>
      </c>
      <c r="Q32" s="73">
        <v>0</v>
      </c>
      <c r="R32" s="11"/>
      <c r="S32" s="11"/>
      <c r="T32" s="11"/>
      <c r="U32" s="11"/>
      <c r="V32" s="11"/>
      <c r="W32" s="11"/>
      <c r="X32" s="12"/>
      <c r="Y32" s="12"/>
    </row>
    <row r="33" spans="1:25" s="6" customFormat="1" ht="27" customHeight="1" x14ac:dyDescent="0.2">
      <c r="A33" s="139">
        <v>23</v>
      </c>
      <c r="B33" s="24" t="s">
        <v>332</v>
      </c>
      <c r="C33" s="24" t="s">
        <v>330</v>
      </c>
      <c r="D33" s="177">
        <v>1940</v>
      </c>
      <c r="E33" s="175">
        <v>0</v>
      </c>
      <c r="F33" s="27">
        <v>0</v>
      </c>
      <c r="G33" s="176">
        <v>0</v>
      </c>
      <c r="H33" s="176">
        <v>2792.33</v>
      </c>
      <c r="I33" s="176">
        <v>0</v>
      </c>
      <c r="J33" s="28">
        <f t="shared" si="0"/>
        <v>1940</v>
      </c>
      <c r="K33" s="28">
        <f t="shared" si="1"/>
        <v>58.2</v>
      </c>
      <c r="L33" s="28">
        <f>D33*10%</f>
        <v>194</v>
      </c>
      <c r="M33" s="28">
        <v>0</v>
      </c>
      <c r="N33" s="28">
        <v>0</v>
      </c>
      <c r="O33" s="28">
        <f t="shared" si="2"/>
        <v>252.2</v>
      </c>
      <c r="P33" s="28">
        <f t="shared" si="3"/>
        <v>1687.8</v>
      </c>
      <c r="Q33" s="73">
        <v>0</v>
      </c>
      <c r="R33" s="11"/>
      <c r="S33" s="11"/>
      <c r="T33" s="11"/>
      <c r="U33" s="11"/>
      <c r="V33" s="11"/>
      <c r="W33" s="11"/>
      <c r="X33" s="12"/>
      <c r="Y33" s="12"/>
    </row>
    <row r="34" spans="1:25" s="6" customFormat="1" ht="27" customHeight="1" x14ac:dyDescent="0.2">
      <c r="A34" s="139">
        <v>24</v>
      </c>
      <c r="B34" s="25" t="s">
        <v>31</v>
      </c>
      <c r="C34" s="26" t="s">
        <v>507</v>
      </c>
      <c r="D34" s="27">
        <v>2375</v>
      </c>
      <c r="E34" s="27">
        <f>2000</f>
        <v>2000</v>
      </c>
      <c r="F34" s="27">
        <v>0</v>
      </c>
      <c r="G34" s="27">
        <v>250</v>
      </c>
      <c r="H34" s="176">
        <v>0</v>
      </c>
      <c r="I34" s="176">
        <v>0</v>
      </c>
      <c r="J34" s="28">
        <f t="shared" si="0"/>
        <v>4625</v>
      </c>
      <c r="K34" s="28">
        <f t="shared" si="1"/>
        <v>131.25</v>
      </c>
      <c r="L34" s="28">
        <f>(D34+E34)*11%</f>
        <v>481.25</v>
      </c>
      <c r="M34" s="28">
        <v>0</v>
      </c>
      <c r="N34" s="28">
        <v>45.36</v>
      </c>
      <c r="O34" s="28">
        <f t="shared" si="2"/>
        <v>657.86</v>
      </c>
      <c r="P34" s="28">
        <f t="shared" si="3"/>
        <v>3967.14</v>
      </c>
      <c r="Q34" s="73">
        <v>0</v>
      </c>
      <c r="R34" s="11"/>
      <c r="S34" s="11"/>
      <c r="T34" s="11"/>
      <c r="U34" s="11"/>
      <c r="V34" s="11"/>
      <c r="W34" s="11"/>
      <c r="X34" s="12"/>
      <c r="Y34" s="12"/>
    </row>
    <row r="35" spans="1:25" s="6" customFormat="1" ht="27" customHeight="1" x14ac:dyDescent="0.2">
      <c r="A35" s="139">
        <v>25</v>
      </c>
      <c r="B35" s="32" t="s">
        <v>250</v>
      </c>
      <c r="C35" s="24" t="s">
        <v>498</v>
      </c>
      <c r="D35" s="185">
        <v>2234</v>
      </c>
      <c r="E35" s="186">
        <v>1900</v>
      </c>
      <c r="F35" s="27">
        <v>0</v>
      </c>
      <c r="G35" s="27">
        <v>250</v>
      </c>
      <c r="H35" s="176">
        <v>2792.33</v>
      </c>
      <c r="I35" s="176">
        <v>0</v>
      </c>
      <c r="J35" s="28">
        <f t="shared" si="0"/>
        <v>4384</v>
      </c>
      <c r="K35" s="28">
        <f t="shared" si="1"/>
        <v>124.02</v>
      </c>
      <c r="L35" s="28">
        <f>(D35+E35+F35)*12%</f>
        <v>496.08</v>
      </c>
      <c r="M35" s="28">
        <v>0</v>
      </c>
      <c r="N35" s="28">
        <v>55.56</v>
      </c>
      <c r="O35" s="28">
        <f t="shared" si="2"/>
        <v>675.66</v>
      </c>
      <c r="P35" s="28">
        <f t="shared" si="3"/>
        <v>3708.34</v>
      </c>
      <c r="Q35" s="73">
        <v>0</v>
      </c>
      <c r="R35" s="11"/>
      <c r="S35" s="11"/>
      <c r="T35" s="11"/>
      <c r="U35" s="11"/>
      <c r="V35" s="11"/>
      <c r="W35" s="11"/>
      <c r="X35" s="12"/>
      <c r="Y35" s="12"/>
    </row>
    <row r="36" spans="1:25" s="6" customFormat="1" ht="27" customHeight="1" x14ac:dyDescent="0.2">
      <c r="A36" s="139">
        <v>26</v>
      </c>
      <c r="B36" s="25" t="s">
        <v>333</v>
      </c>
      <c r="C36" s="26" t="s">
        <v>488</v>
      </c>
      <c r="D36" s="27">
        <v>3241</v>
      </c>
      <c r="E36" s="27">
        <v>1000</v>
      </c>
      <c r="F36" s="27">
        <v>0</v>
      </c>
      <c r="G36" s="27">
        <v>250</v>
      </c>
      <c r="H36" s="176">
        <v>2792.33</v>
      </c>
      <c r="I36" s="176">
        <v>0</v>
      </c>
      <c r="J36" s="28">
        <f t="shared" si="0"/>
        <v>4491</v>
      </c>
      <c r="K36" s="28">
        <f t="shared" si="1"/>
        <v>127.23</v>
      </c>
      <c r="L36" s="28">
        <f>(D36+E36)*12%</f>
        <v>508.92</v>
      </c>
      <c r="M36" s="28">
        <v>0</v>
      </c>
      <c r="N36" s="28">
        <v>0</v>
      </c>
      <c r="O36" s="28">
        <f t="shared" si="2"/>
        <v>636.15</v>
      </c>
      <c r="P36" s="28">
        <f t="shared" si="3"/>
        <v>3854.85</v>
      </c>
      <c r="Q36" s="73">
        <v>0</v>
      </c>
      <c r="R36" s="11"/>
      <c r="S36" s="11"/>
      <c r="T36" s="11"/>
      <c r="U36" s="11"/>
      <c r="V36" s="11"/>
      <c r="W36" s="11"/>
      <c r="X36" s="12"/>
      <c r="Y36" s="12"/>
    </row>
    <row r="37" spans="1:25" s="6" customFormat="1" ht="27" customHeight="1" x14ac:dyDescent="0.2">
      <c r="A37" s="139">
        <v>27</v>
      </c>
      <c r="B37" s="24" t="s">
        <v>70</v>
      </c>
      <c r="C37" s="24" t="s">
        <v>111</v>
      </c>
      <c r="D37" s="29">
        <v>1668</v>
      </c>
      <c r="E37" s="29">
        <v>1000</v>
      </c>
      <c r="F37" s="27">
        <v>0</v>
      </c>
      <c r="G37" s="176">
        <v>250</v>
      </c>
      <c r="H37" s="176">
        <v>2792.33</v>
      </c>
      <c r="I37" s="176">
        <v>0</v>
      </c>
      <c r="J37" s="28">
        <f t="shared" si="0"/>
        <v>2918</v>
      </c>
      <c r="K37" s="28">
        <f t="shared" si="1"/>
        <v>80.040000000000006</v>
      </c>
      <c r="L37" s="28">
        <f>(D37+E37)*11%</f>
        <v>293.48</v>
      </c>
      <c r="M37" s="28">
        <v>0</v>
      </c>
      <c r="N37" s="28">
        <v>0</v>
      </c>
      <c r="O37" s="28">
        <f t="shared" si="2"/>
        <v>373.52</v>
      </c>
      <c r="P37" s="28">
        <f t="shared" si="3"/>
        <v>2544.48</v>
      </c>
      <c r="Q37" s="73">
        <v>0</v>
      </c>
      <c r="R37" s="11"/>
      <c r="S37" s="11"/>
      <c r="T37" s="11"/>
      <c r="U37" s="11"/>
      <c r="V37" s="11"/>
      <c r="W37" s="11"/>
      <c r="X37" s="12"/>
      <c r="Y37" s="12"/>
    </row>
    <row r="38" spans="1:25" s="6" customFormat="1" ht="27" customHeight="1" x14ac:dyDescent="0.2">
      <c r="A38" s="139">
        <v>28</v>
      </c>
      <c r="B38" s="24" t="s">
        <v>384</v>
      </c>
      <c r="C38" s="24" t="s">
        <v>327</v>
      </c>
      <c r="D38" s="177">
        <v>2425</v>
      </c>
      <c r="E38" s="175">
        <v>2000</v>
      </c>
      <c r="F38" s="27">
        <v>0</v>
      </c>
      <c r="G38" s="176">
        <v>0</v>
      </c>
      <c r="H38" s="176">
        <v>2792.33</v>
      </c>
      <c r="I38" s="176">
        <v>0</v>
      </c>
      <c r="J38" s="28">
        <f t="shared" si="0"/>
        <v>4425</v>
      </c>
      <c r="K38" s="28">
        <f t="shared" si="1"/>
        <v>132.75</v>
      </c>
      <c r="L38" s="28">
        <f>D38*11%</f>
        <v>266.75</v>
      </c>
      <c r="M38" s="28">
        <v>0</v>
      </c>
      <c r="N38" s="28">
        <v>0</v>
      </c>
      <c r="O38" s="28">
        <f t="shared" si="2"/>
        <v>399.5</v>
      </c>
      <c r="P38" s="28">
        <f t="shared" si="3"/>
        <v>4025.5</v>
      </c>
      <c r="Q38" s="73">
        <v>0</v>
      </c>
      <c r="R38" s="11"/>
      <c r="S38" s="11"/>
      <c r="T38" s="11"/>
      <c r="U38" s="11"/>
      <c r="V38" s="11"/>
      <c r="W38" s="11"/>
      <c r="X38" s="12"/>
      <c r="Y38" s="12"/>
    </row>
    <row r="39" spans="1:25" s="6" customFormat="1" ht="27" customHeight="1" x14ac:dyDescent="0.2">
      <c r="A39" s="139">
        <v>29</v>
      </c>
      <c r="B39" s="24" t="s">
        <v>182</v>
      </c>
      <c r="C39" s="24" t="s">
        <v>287</v>
      </c>
      <c r="D39" s="29">
        <v>1831</v>
      </c>
      <c r="E39" s="175">
        <v>1000</v>
      </c>
      <c r="F39" s="27">
        <v>0</v>
      </c>
      <c r="G39" s="176">
        <v>250</v>
      </c>
      <c r="H39" s="176">
        <v>2792.33</v>
      </c>
      <c r="I39" s="176">
        <v>0</v>
      </c>
      <c r="J39" s="28">
        <f t="shared" si="0"/>
        <v>3081</v>
      </c>
      <c r="K39" s="28">
        <f t="shared" si="1"/>
        <v>84.93</v>
      </c>
      <c r="L39" s="28">
        <f>(D39+E39)*11%</f>
        <v>311.41000000000003</v>
      </c>
      <c r="M39" s="28">
        <v>0</v>
      </c>
      <c r="N39" s="28">
        <v>0</v>
      </c>
      <c r="O39" s="28">
        <f t="shared" si="2"/>
        <v>396.34</v>
      </c>
      <c r="P39" s="28">
        <f t="shared" si="3"/>
        <v>2684.66</v>
      </c>
      <c r="Q39" s="73">
        <v>0</v>
      </c>
      <c r="R39" s="11"/>
      <c r="S39" s="11"/>
      <c r="T39" s="11"/>
      <c r="U39" s="11"/>
      <c r="V39" s="11"/>
      <c r="W39" s="11"/>
      <c r="X39" s="12"/>
      <c r="Y39" s="12"/>
    </row>
    <row r="40" spans="1:25" s="6" customFormat="1" ht="27" customHeight="1" x14ac:dyDescent="0.2">
      <c r="A40" s="139">
        <v>30</v>
      </c>
      <c r="B40" s="24" t="s">
        <v>334</v>
      </c>
      <c r="C40" s="33" t="s">
        <v>495</v>
      </c>
      <c r="D40" s="177">
        <v>2328</v>
      </c>
      <c r="E40" s="175">
        <v>0</v>
      </c>
      <c r="F40" s="27">
        <v>0</v>
      </c>
      <c r="G40" s="176">
        <v>0</v>
      </c>
      <c r="H40" s="176">
        <v>2792.33</v>
      </c>
      <c r="I40" s="176">
        <v>0</v>
      </c>
      <c r="J40" s="28">
        <f t="shared" si="0"/>
        <v>2328</v>
      </c>
      <c r="K40" s="28">
        <f t="shared" si="1"/>
        <v>69.84</v>
      </c>
      <c r="L40" s="28">
        <f>D40*11%</f>
        <v>256.08</v>
      </c>
      <c r="M40" s="28">
        <v>0</v>
      </c>
      <c r="N40" s="28">
        <v>0</v>
      </c>
      <c r="O40" s="28">
        <f t="shared" si="2"/>
        <v>325.92</v>
      </c>
      <c r="P40" s="28">
        <f t="shared" si="3"/>
        <v>2002.08</v>
      </c>
      <c r="Q40" s="73">
        <v>0</v>
      </c>
      <c r="R40" s="11"/>
      <c r="S40" s="11"/>
      <c r="T40" s="11"/>
      <c r="U40" s="11"/>
      <c r="V40" s="11"/>
      <c r="W40" s="11"/>
      <c r="X40" s="12"/>
      <c r="Y40" s="12"/>
    </row>
    <row r="41" spans="1:25" s="6" customFormat="1" ht="27" customHeight="1" x14ac:dyDescent="0.2">
      <c r="A41" s="139">
        <v>31</v>
      </c>
      <c r="B41" s="25" t="s">
        <v>251</v>
      </c>
      <c r="C41" s="26" t="s">
        <v>486</v>
      </c>
      <c r="D41" s="27">
        <v>3081</v>
      </c>
      <c r="E41" s="27">
        <v>1000</v>
      </c>
      <c r="F41" s="27">
        <v>0</v>
      </c>
      <c r="G41" s="27">
        <v>250</v>
      </c>
      <c r="H41" s="176">
        <v>0</v>
      </c>
      <c r="I41" s="176">
        <v>0</v>
      </c>
      <c r="J41" s="28">
        <f t="shared" si="0"/>
        <v>4331</v>
      </c>
      <c r="K41" s="28">
        <f t="shared" si="1"/>
        <v>122.43</v>
      </c>
      <c r="L41" s="28">
        <f>(D41+E41+F41)*12%</f>
        <v>489.72</v>
      </c>
      <c r="M41" s="28">
        <v>0</v>
      </c>
      <c r="N41" s="28">
        <v>0</v>
      </c>
      <c r="O41" s="28">
        <f t="shared" si="2"/>
        <v>612.15</v>
      </c>
      <c r="P41" s="28">
        <f t="shared" si="3"/>
        <v>3718.85</v>
      </c>
      <c r="Q41" s="73">
        <v>0</v>
      </c>
      <c r="R41" s="11"/>
      <c r="S41" s="11"/>
      <c r="T41" s="11"/>
      <c r="U41" s="11"/>
      <c r="V41" s="11"/>
      <c r="W41" s="11"/>
      <c r="X41" s="12"/>
      <c r="Y41" s="12"/>
    </row>
    <row r="42" spans="1:25" s="6" customFormat="1" ht="27" customHeight="1" x14ac:dyDescent="0.2">
      <c r="A42" s="139">
        <v>32</v>
      </c>
      <c r="B42" s="24" t="s">
        <v>252</v>
      </c>
      <c r="C42" s="24" t="s">
        <v>470</v>
      </c>
      <c r="D42" s="29">
        <v>3241</v>
      </c>
      <c r="E42" s="29">
        <v>1000</v>
      </c>
      <c r="F42" s="176">
        <v>0</v>
      </c>
      <c r="G42" s="176">
        <v>250</v>
      </c>
      <c r="H42" s="176">
        <v>0</v>
      </c>
      <c r="I42" s="176">
        <v>0</v>
      </c>
      <c r="J42" s="28">
        <f t="shared" si="0"/>
        <v>4491</v>
      </c>
      <c r="K42" s="28">
        <f t="shared" si="1"/>
        <v>127.23</v>
      </c>
      <c r="L42" s="28">
        <f>(D42+E42+F42)*12%</f>
        <v>508.92</v>
      </c>
      <c r="M42" s="28">
        <v>0</v>
      </c>
      <c r="N42" s="28">
        <v>0</v>
      </c>
      <c r="O42" s="28">
        <f t="shared" si="2"/>
        <v>636.15</v>
      </c>
      <c r="P42" s="28">
        <f t="shared" si="3"/>
        <v>3854.85</v>
      </c>
      <c r="Q42" s="73">
        <v>0</v>
      </c>
      <c r="R42" s="11"/>
      <c r="S42" s="11"/>
      <c r="T42" s="11"/>
      <c r="U42" s="11"/>
      <c r="V42" s="11"/>
      <c r="W42" s="11"/>
      <c r="X42" s="12"/>
      <c r="Y42" s="12"/>
    </row>
    <row r="43" spans="1:25" s="6" customFormat="1" ht="27" customHeight="1" x14ac:dyDescent="0.2">
      <c r="A43" s="139">
        <v>33</v>
      </c>
      <c r="B43" s="24" t="s">
        <v>253</v>
      </c>
      <c r="C43" s="24" t="s">
        <v>111</v>
      </c>
      <c r="D43" s="29">
        <v>1668</v>
      </c>
      <c r="E43" s="29">
        <v>1000</v>
      </c>
      <c r="F43" s="27">
        <v>0</v>
      </c>
      <c r="G43" s="176">
        <v>250</v>
      </c>
      <c r="H43" s="176">
        <v>2792.33</v>
      </c>
      <c r="I43" s="176">
        <v>0</v>
      </c>
      <c r="J43" s="28">
        <f t="shared" si="0"/>
        <v>2918</v>
      </c>
      <c r="K43" s="28">
        <f t="shared" si="1"/>
        <v>80.040000000000006</v>
      </c>
      <c r="L43" s="28">
        <f>(D43+E43)*11%</f>
        <v>293.48</v>
      </c>
      <c r="M43" s="28">
        <v>0</v>
      </c>
      <c r="N43" s="28">
        <v>0</v>
      </c>
      <c r="O43" s="28">
        <f t="shared" si="2"/>
        <v>373.52</v>
      </c>
      <c r="P43" s="28">
        <f t="shared" ref="P43:P74" si="4">J43-O43</f>
        <v>2544.48</v>
      </c>
      <c r="Q43" s="73">
        <v>0</v>
      </c>
      <c r="R43" s="11"/>
      <c r="S43" s="11"/>
      <c r="T43" s="11"/>
      <c r="U43" s="11"/>
      <c r="V43" s="11"/>
      <c r="W43" s="11"/>
      <c r="X43" s="12"/>
      <c r="Y43" s="12"/>
    </row>
    <row r="44" spans="1:25" s="6" customFormat="1" ht="27" customHeight="1" x14ac:dyDescent="0.2">
      <c r="A44" s="139">
        <v>34</v>
      </c>
      <c r="B44" s="23" t="s">
        <v>112</v>
      </c>
      <c r="C44" s="24" t="s">
        <v>345</v>
      </c>
      <c r="D44" s="29">
        <v>2037</v>
      </c>
      <c r="E44" s="175">
        <v>0</v>
      </c>
      <c r="F44" s="27">
        <v>0</v>
      </c>
      <c r="G44" s="176">
        <v>0</v>
      </c>
      <c r="H44" s="176">
        <v>2792.33</v>
      </c>
      <c r="I44" s="176">
        <v>0</v>
      </c>
      <c r="J44" s="28">
        <f t="shared" si="0"/>
        <v>2037</v>
      </c>
      <c r="K44" s="28">
        <f t="shared" si="1"/>
        <v>61.11</v>
      </c>
      <c r="L44" s="28">
        <f>D44*11%</f>
        <v>224.07</v>
      </c>
      <c r="M44" s="28">
        <v>0</v>
      </c>
      <c r="N44" s="28">
        <v>0</v>
      </c>
      <c r="O44" s="28">
        <f t="shared" si="2"/>
        <v>285.18</v>
      </c>
      <c r="P44" s="28">
        <f t="shared" si="4"/>
        <v>1751.82</v>
      </c>
      <c r="Q44" s="73">
        <v>0</v>
      </c>
      <c r="R44" s="11"/>
      <c r="S44" s="11"/>
      <c r="T44" s="11"/>
      <c r="U44" s="11"/>
      <c r="V44" s="11"/>
      <c r="W44" s="11"/>
      <c r="X44" s="12"/>
      <c r="Y44" s="12"/>
    </row>
    <row r="45" spans="1:25" s="6" customFormat="1" ht="27" customHeight="1" x14ac:dyDescent="0.2">
      <c r="A45" s="139">
        <v>35</v>
      </c>
      <c r="B45" s="220" t="s">
        <v>1007</v>
      </c>
      <c r="C45" s="24" t="s">
        <v>494</v>
      </c>
      <c r="D45" s="221">
        <v>2392</v>
      </c>
      <c r="E45" s="175">
        <v>1900</v>
      </c>
      <c r="F45" s="27">
        <v>0</v>
      </c>
      <c r="G45" s="176">
        <v>250</v>
      </c>
      <c r="H45" s="176">
        <v>0</v>
      </c>
      <c r="I45" s="176">
        <v>0</v>
      </c>
      <c r="J45" s="28">
        <f t="shared" si="0"/>
        <v>4542</v>
      </c>
      <c r="K45" s="28">
        <f t="shared" si="1"/>
        <v>128.76</v>
      </c>
      <c r="L45" s="28">
        <f>(D45+E45+F45)*12%</f>
        <v>515.04</v>
      </c>
      <c r="M45" s="28">
        <v>0</v>
      </c>
      <c r="N45" s="28">
        <v>0</v>
      </c>
      <c r="O45" s="28">
        <f t="shared" si="2"/>
        <v>643.79999999999995</v>
      </c>
      <c r="P45" s="28">
        <f t="shared" si="4"/>
        <v>3898.2</v>
      </c>
      <c r="Q45" s="73">
        <v>0</v>
      </c>
      <c r="R45" s="11"/>
      <c r="S45" s="11"/>
      <c r="T45" s="11"/>
      <c r="U45" s="11"/>
      <c r="V45" s="11"/>
      <c r="W45" s="11"/>
      <c r="X45" s="12"/>
      <c r="Y45" s="12"/>
    </row>
    <row r="46" spans="1:25" s="6" customFormat="1" ht="27" customHeight="1" x14ac:dyDescent="0.2">
      <c r="A46" s="139">
        <v>36</v>
      </c>
      <c r="B46" s="23" t="s">
        <v>234</v>
      </c>
      <c r="C46" s="33" t="s">
        <v>113</v>
      </c>
      <c r="D46" s="29">
        <v>1902</v>
      </c>
      <c r="E46" s="175">
        <v>1000</v>
      </c>
      <c r="F46" s="27">
        <v>0</v>
      </c>
      <c r="G46" s="176">
        <v>250</v>
      </c>
      <c r="H46" s="176">
        <v>2792.33</v>
      </c>
      <c r="I46" s="176">
        <v>0</v>
      </c>
      <c r="J46" s="28">
        <f t="shared" si="0"/>
        <v>3152</v>
      </c>
      <c r="K46" s="28">
        <f t="shared" si="1"/>
        <v>87.06</v>
      </c>
      <c r="L46" s="28">
        <f>(D46+E46)*11%</f>
        <v>319.22000000000003</v>
      </c>
      <c r="M46" s="28">
        <v>0</v>
      </c>
      <c r="N46" s="28">
        <v>0</v>
      </c>
      <c r="O46" s="28">
        <f t="shared" si="2"/>
        <v>406.28</v>
      </c>
      <c r="P46" s="28">
        <f t="shared" si="4"/>
        <v>2745.72</v>
      </c>
      <c r="Q46" s="73">
        <v>0</v>
      </c>
      <c r="R46" s="11"/>
      <c r="S46" s="11"/>
      <c r="T46" s="11"/>
      <c r="U46" s="11"/>
      <c r="V46" s="11"/>
      <c r="W46" s="11"/>
      <c r="X46" s="12"/>
      <c r="Y46" s="12"/>
    </row>
    <row r="47" spans="1:25" s="6" customFormat="1" ht="27" customHeight="1" x14ac:dyDescent="0.2">
      <c r="A47" s="139">
        <v>37</v>
      </c>
      <c r="B47" s="24" t="s">
        <v>385</v>
      </c>
      <c r="C47" s="24" t="s">
        <v>327</v>
      </c>
      <c r="D47" s="29">
        <v>2425</v>
      </c>
      <c r="E47" s="175">
        <v>0</v>
      </c>
      <c r="F47" s="27">
        <v>0</v>
      </c>
      <c r="G47" s="176">
        <v>0</v>
      </c>
      <c r="H47" s="176">
        <v>2792.33</v>
      </c>
      <c r="I47" s="176">
        <v>0</v>
      </c>
      <c r="J47" s="28">
        <f t="shared" si="0"/>
        <v>2425</v>
      </c>
      <c r="K47" s="28">
        <f t="shared" si="1"/>
        <v>72.75</v>
      </c>
      <c r="L47" s="28">
        <f>D47*11%</f>
        <v>266.75</v>
      </c>
      <c r="M47" s="28">
        <v>0</v>
      </c>
      <c r="N47" s="28">
        <v>0</v>
      </c>
      <c r="O47" s="28">
        <f t="shared" si="2"/>
        <v>339.5</v>
      </c>
      <c r="P47" s="28">
        <f t="shared" si="4"/>
        <v>2085.5</v>
      </c>
      <c r="Q47" s="73">
        <v>0</v>
      </c>
      <c r="R47" s="12"/>
      <c r="S47" s="12"/>
      <c r="T47" s="12"/>
      <c r="U47" s="12"/>
      <c r="V47" s="12"/>
      <c r="W47" s="12"/>
      <c r="X47" s="12"/>
      <c r="Y47" s="12"/>
    </row>
    <row r="48" spans="1:25" s="6" customFormat="1" ht="27" customHeight="1" x14ac:dyDescent="0.2">
      <c r="A48" s="139">
        <v>38</v>
      </c>
      <c r="B48" s="24" t="s">
        <v>183</v>
      </c>
      <c r="C48" s="24" t="s">
        <v>330</v>
      </c>
      <c r="D48" s="29">
        <v>1940</v>
      </c>
      <c r="E48" s="175">
        <v>0</v>
      </c>
      <c r="F48" s="27">
        <v>0</v>
      </c>
      <c r="G48" s="176">
        <v>250</v>
      </c>
      <c r="H48" s="176">
        <v>2792.33</v>
      </c>
      <c r="I48" s="176">
        <v>0</v>
      </c>
      <c r="J48" s="28">
        <f t="shared" si="0"/>
        <v>2190</v>
      </c>
      <c r="K48" s="28">
        <f t="shared" si="1"/>
        <v>58.2</v>
      </c>
      <c r="L48" s="28">
        <f>D48*10%</f>
        <v>194</v>
      </c>
      <c r="M48" s="28">
        <v>0</v>
      </c>
      <c r="N48" s="28">
        <v>0</v>
      </c>
      <c r="O48" s="28">
        <f t="shared" si="2"/>
        <v>252.2</v>
      </c>
      <c r="P48" s="28">
        <f t="shared" si="4"/>
        <v>1937.8</v>
      </c>
      <c r="Q48" s="73">
        <v>0</v>
      </c>
      <c r="R48" s="12"/>
      <c r="S48" s="12"/>
      <c r="T48" s="12"/>
      <c r="U48" s="12"/>
      <c r="V48" s="12"/>
      <c r="W48" s="12"/>
      <c r="X48" s="12"/>
      <c r="Y48" s="12"/>
    </row>
    <row r="49" spans="1:25" s="6" customFormat="1" ht="27" customHeight="1" x14ac:dyDescent="0.2">
      <c r="A49" s="139">
        <v>39</v>
      </c>
      <c r="B49" s="24" t="s">
        <v>254</v>
      </c>
      <c r="C49" s="24" t="s">
        <v>109</v>
      </c>
      <c r="D49" s="29">
        <v>1902</v>
      </c>
      <c r="E49" s="29">
        <v>1000</v>
      </c>
      <c r="F49" s="27">
        <v>0</v>
      </c>
      <c r="G49" s="176">
        <v>250</v>
      </c>
      <c r="H49" s="176">
        <v>2792.33</v>
      </c>
      <c r="I49" s="176">
        <v>0</v>
      </c>
      <c r="J49" s="28">
        <f t="shared" si="0"/>
        <v>3152</v>
      </c>
      <c r="K49" s="28">
        <f t="shared" si="1"/>
        <v>87.06</v>
      </c>
      <c r="L49" s="28">
        <f>(D49+E49)*11%</f>
        <v>319.22000000000003</v>
      </c>
      <c r="M49" s="28">
        <v>0</v>
      </c>
      <c r="N49" s="28">
        <v>0</v>
      </c>
      <c r="O49" s="28">
        <f t="shared" si="2"/>
        <v>406.28</v>
      </c>
      <c r="P49" s="28">
        <f t="shared" si="4"/>
        <v>2745.72</v>
      </c>
      <c r="Q49" s="73">
        <v>0</v>
      </c>
      <c r="R49" s="12"/>
      <c r="S49" s="12"/>
      <c r="T49" s="12"/>
      <c r="U49" s="12"/>
      <c r="V49" s="12"/>
      <c r="W49" s="12"/>
      <c r="X49" s="12"/>
      <c r="Y49" s="12"/>
    </row>
    <row r="50" spans="1:25" s="6" customFormat="1" ht="27" customHeight="1" x14ac:dyDescent="0.2">
      <c r="A50" s="139">
        <v>40</v>
      </c>
      <c r="B50" s="33" t="s">
        <v>50</v>
      </c>
      <c r="C50" s="24" t="s">
        <v>335</v>
      </c>
      <c r="D50" s="28">
        <v>3081</v>
      </c>
      <c r="E50" s="28">
        <v>1000</v>
      </c>
      <c r="F50" s="27">
        <v>0</v>
      </c>
      <c r="G50" s="176">
        <v>250</v>
      </c>
      <c r="H50" s="176">
        <v>2792.33</v>
      </c>
      <c r="I50" s="176">
        <v>0</v>
      </c>
      <c r="J50" s="28">
        <f t="shared" si="0"/>
        <v>4331</v>
      </c>
      <c r="K50" s="28">
        <f t="shared" si="1"/>
        <v>122.43</v>
      </c>
      <c r="L50" s="28">
        <f>(D50+E50)*12%</f>
        <v>489.72</v>
      </c>
      <c r="M50" s="28">
        <v>0</v>
      </c>
      <c r="N50" s="28">
        <v>0</v>
      </c>
      <c r="O50" s="28">
        <f t="shared" si="2"/>
        <v>612.15</v>
      </c>
      <c r="P50" s="28">
        <f t="shared" si="4"/>
        <v>3718.85</v>
      </c>
      <c r="Q50" s="73">
        <v>0</v>
      </c>
      <c r="R50" s="12"/>
      <c r="S50" s="12"/>
      <c r="T50" s="12"/>
      <c r="U50" s="12"/>
      <c r="V50" s="12"/>
      <c r="W50" s="12"/>
      <c r="X50" s="12"/>
      <c r="Y50" s="12"/>
    </row>
    <row r="51" spans="1:25" s="6" customFormat="1" ht="27" customHeight="1" x14ac:dyDescent="0.2">
      <c r="A51" s="139">
        <v>41</v>
      </c>
      <c r="B51" s="24" t="s">
        <v>386</v>
      </c>
      <c r="C51" s="24" t="s">
        <v>327</v>
      </c>
      <c r="D51" s="29">
        <v>2425</v>
      </c>
      <c r="E51" s="175">
        <v>0</v>
      </c>
      <c r="F51" s="27">
        <v>0</v>
      </c>
      <c r="G51" s="176">
        <v>0</v>
      </c>
      <c r="H51" s="176">
        <v>2792.33</v>
      </c>
      <c r="I51" s="176">
        <v>0</v>
      </c>
      <c r="J51" s="28">
        <f t="shared" si="0"/>
        <v>2425</v>
      </c>
      <c r="K51" s="28">
        <f t="shared" si="1"/>
        <v>72.75</v>
      </c>
      <c r="L51" s="28">
        <f>D51*11%</f>
        <v>266.75</v>
      </c>
      <c r="M51" s="28">
        <v>0</v>
      </c>
      <c r="N51" s="28">
        <v>0</v>
      </c>
      <c r="O51" s="28">
        <f t="shared" si="2"/>
        <v>339.5</v>
      </c>
      <c r="P51" s="28">
        <f t="shared" si="4"/>
        <v>2085.5</v>
      </c>
      <c r="Q51" s="73">
        <v>0</v>
      </c>
      <c r="R51" s="12"/>
      <c r="S51" s="12"/>
      <c r="T51" s="12"/>
      <c r="U51" s="126"/>
      <c r="V51" s="12"/>
      <c r="W51" s="12"/>
      <c r="X51" s="12"/>
      <c r="Y51" s="12"/>
    </row>
    <row r="52" spans="1:25" s="6" customFormat="1" ht="27" customHeight="1" x14ac:dyDescent="0.2">
      <c r="A52" s="139">
        <v>42</v>
      </c>
      <c r="B52" s="24" t="s">
        <v>433</v>
      </c>
      <c r="C52" s="24" t="s">
        <v>330</v>
      </c>
      <c r="D52" s="177">
        <v>1940</v>
      </c>
      <c r="E52" s="175">
        <v>0</v>
      </c>
      <c r="F52" s="27">
        <v>0</v>
      </c>
      <c r="G52" s="176">
        <v>0</v>
      </c>
      <c r="H52" s="176">
        <v>2792.33</v>
      </c>
      <c r="I52" s="176">
        <v>0</v>
      </c>
      <c r="J52" s="28">
        <f t="shared" si="0"/>
        <v>1940</v>
      </c>
      <c r="K52" s="28">
        <f t="shared" si="1"/>
        <v>58.2</v>
      </c>
      <c r="L52" s="28">
        <f>D52*10%</f>
        <v>194</v>
      </c>
      <c r="M52" s="28">
        <v>0</v>
      </c>
      <c r="N52" s="28">
        <v>0</v>
      </c>
      <c r="O52" s="28">
        <f t="shared" si="2"/>
        <v>252.2</v>
      </c>
      <c r="P52" s="28">
        <f t="shared" si="4"/>
        <v>1687.8</v>
      </c>
      <c r="Q52" s="73">
        <v>0</v>
      </c>
      <c r="R52" s="12"/>
      <c r="S52" s="12"/>
      <c r="T52" s="12"/>
      <c r="U52" s="12"/>
      <c r="V52" s="12"/>
      <c r="W52" s="12"/>
      <c r="X52" s="12"/>
      <c r="Y52" s="12"/>
    </row>
    <row r="53" spans="1:25" s="6" customFormat="1" ht="27" customHeight="1" x14ac:dyDescent="0.2">
      <c r="A53" s="139">
        <v>43</v>
      </c>
      <c r="B53" s="220" t="s">
        <v>1005</v>
      </c>
      <c r="C53" s="24" t="s">
        <v>107</v>
      </c>
      <c r="D53" s="175">
        <v>5095</v>
      </c>
      <c r="E53" s="175">
        <v>1800</v>
      </c>
      <c r="F53" s="27">
        <v>0</v>
      </c>
      <c r="G53" s="196">
        <v>250</v>
      </c>
      <c r="H53" s="176">
        <v>0</v>
      </c>
      <c r="I53" s="176">
        <v>0</v>
      </c>
      <c r="J53" s="28">
        <f>SUM(D53:G53)</f>
        <v>7145</v>
      </c>
      <c r="K53" s="28">
        <f>(D53+E53+F53)*3%</f>
        <v>206.85</v>
      </c>
      <c r="L53" s="43">
        <f>(D53+E53)*13%</f>
        <v>896.35</v>
      </c>
      <c r="M53" s="28">
        <v>102.92</v>
      </c>
      <c r="N53" s="28">
        <v>92.67</v>
      </c>
      <c r="O53" s="28">
        <f>K53+L53+M53+N53</f>
        <v>1298.79</v>
      </c>
      <c r="P53" s="43">
        <f t="shared" si="4"/>
        <v>5846.21</v>
      </c>
      <c r="Q53" s="73">
        <v>0</v>
      </c>
      <c r="R53" s="12"/>
      <c r="S53" s="12"/>
      <c r="T53" s="12"/>
      <c r="U53" s="12"/>
      <c r="V53" s="12"/>
      <c r="W53" s="12"/>
      <c r="X53" s="12"/>
      <c r="Y53" s="12"/>
    </row>
    <row r="54" spans="1:25" s="6" customFormat="1" ht="27" customHeight="1" x14ac:dyDescent="0.2">
      <c r="A54" s="139">
        <v>44</v>
      </c>
      <c r="B54" s="24" t="s">
        <v>225</v>
      </c>
      <c r="C54" s="24" t="s">
        <v>56</v>
      </c>
      <c r="D54" s="177">
        <v>1668</v>
      </c>
      <c r="E54" s="29">
        <v>1000</v>
      </c>
      <c r="F54" s="27">
        <v>0</v>
      </c>
      <c r="G54" s="176">
        <v>250</v>
      </c>
      <c r="H54" s="176">
        <v>2792.33</v>
      </c>
      <c r="I54" s="176">
        <v>0</v>
      </c>
      <c r="J54" s="28">
        <f t="shared" si="0"/>
        <v>2918</v>
      </c>
      <c r="K54" s="28">
        <f t="shared" si="1"/>
        <v>80.040000000000006</v>
      </c>
      <c r="L54" s="28">
        <f>(D54+E54)*11%</f>
        <v>293.48</v>
      </c>
      <c r="M54" s="28">
        <v>0</v>
      </c>
      <c r="N54" s="28">
        <v>0</v>
      </c>
      <c r="O54" s="28">
        <f t="shared" si="2"/>
        <v>373.52</v>
      </c>
      <c r="P54" s="28">
        <f t="shared" si="4"/>
        <v>2544.48</v>
      </c>
      <c r="Q54" s="73">
        <v>0</v>
      </c>
      <c r="R54" s="12"/>
      <c r="S54" s="12"/>
      <c r="T54" s="12"/>
      <c r="U54" s="12"/>
      <c r="V54" s="12"/>
      <c r="W54" s="12"/>
      <c r="X54" s="12"/>
      <c r="Y54" s="12"/>
    </row>
    <row r="55" spans="1:25" s="6" customFormat="1" ht="27" customHeight="1" x14ac:dyDescent="0.2">
      <c r="A55" s="139">
        <v>45</v>
      </c>
      <c r="B55" s="24" t="s">
        <v>288</v>
      </c>
      <c r="C55" s="24" t="s">
        <v>109</v>
      </c>
      <c r="D55" s="28">
        <v>1902</v>
      </c>
      <c r="E55" s="28">
        <v>1000</v>
      </c>
      <c r="F55" s="27">
        <v>0</v>
      </c>
      <c r="G55" s="176">
        <v>250</v>
      </c>
      <c r="H55" s="176">
        <v>2792.33</v>
      </c>
      <c r="I55" s="176">
        <v>0</v>
      </c>
      <c r="J55" s="28">
        <f t="shared" si="0"/>
        <v>3152</v>
      </c>
      <c r="K55" s="28">
        <f t="shared" si="1"/>
        <v>87.06</v>
      </c>
      <c r="L55" s="28">
        <f>(D55+E55)*11%</f>
        <v>319.22000000000003</v>
      </c>
      <c r="M55" s="28">
        <v>0</v>
      </c>
      <c r="N55" s="28">
        <v>0</v>
      </c>
      <c r="O55" s="28">
        <f t="shared" si="2"/>
        <v>406.28</v>
      </c>
      <c r="P55" s="28">
        <f t="shared" si="4"/>
        <v>2745.72</v>
      </c>
      <c r="Q55" s="73">
        <v>0</v>
      </c>
      <c r="R55" s="12"/>
      <c r="S55" s="12"/>
      <c r="T55" s="12"/>
      <c r="U55" s="12"/>
      <c r="V55" s="12"/>
      <c r="W55" s="12"/>
      <c r="X55" s="12"/>
      <c r="Y55" s="12"/>
    </row>
    <row r="56" spans="1:25" s="6" customFormat="1" ht="27" customHeight="1" x14ac:dyDescent="0.2">
      <c r="A56" s="139">
        <v>46</v>
      </c>
      <c r="B56" s="24" t="s">
        <v>387</v>
      </c>
      <c r="C56" s="35" t="s">
        <v>336</v>
      </c>
      <c r="D56" s="187">
        <v>2134</v>
      </c>
      <c r="E56" s="175">
        <v>0</v>
      </c>
      <c r="F56" s="27">
        <v>0</v>
      </c>
      <c r="G56" s="176">
        <v>0</v>
      </c>
      <c r="H56" s="176">
        <v>2792.33</v>
      </c>
      <c r="I56" s="176">
        <v>0</v>
      </c>
      <c r="J56" s="28">
        <f t="shared" si="0"/>
        <v>2134</v>
      </c>
      <c r="K56" s="28">
        <f t="shared" si="1"/>
        <v>64.02</v>
      </c>
      <c r="L56" s="28">
        <f>D56*11%</f>
        <v>234.74</v>
      </c>
      <c r="M56" s="28">
        <v>0</v>
      </c>
      <c r="N56" s="28">
        <v>0</v>
      </c>
      <c r="O56" s="28">
        <f t="shared" si="2"/>
        <v>298.76</v>
      </c>
      <c r="P56" s="28">
        <f t="shared" si="4"/>
        <v>1835.24</v>
      </c>
      <c r="Q56" s="73">
        <v>0</v>
      </c>
      <c r="R56" s="12"/>
      <c r="S56" s="12"/>
      <c r="T56" s="12"/>
      <c r="U56" s="12"/>
      <c r="V56" s="12"/>
      <c r="W56" s="12"/>
      <c r="X56" s="12"/>
      <c r="Y56" s="12"/>
    </row>
    <row r="57" spans="1:25" s="6" customFormat="1" ht="27" customHeight="1" x14ac:dyDescent="0.2">
      <c r="A57" s="139">
        <v>47</v>
      </c>
      <c r="B57" s="25" t="s">
        <v>34</v>
      </c>
      <c r="C57" s="26" t="s">
        <v>108</v>
      </c>
      <c r="D57" s="27">
        <v>2920</v>
      </c>
      <c r="E57" s="27">
        <v>1000</v>
      </c>
      <c r="F57" s="27">
        <v>0</v>
      </c>
      <c r="G57" s="27">
        <v>250</v>
      </c>
      <c r="H57" s="176">
        <v>0</v>
      </c>
      <c r="I57" s="176">
        <v>0</v>
      </c>
      <c r="J57" s="28">
        <f t="shared" si="0"/>
        <v>4170</v>
      </c>
      <c r="K57" s="28">
        <f t="shared" si="1"/>
        <v>117.6</v>
      </c>
      <c r="L57" s="28">
        <f>(D57+E57)*11%</f>
        <v>431.2</v>
      </c>
      <c r="M57" s="28">
        <v>0</v>
      </c>
      <c r="N57" s="28">
        <v>52.68</v>
      </c>
      <c r="O57" s="28">
        <f t="shared" si="2"/>
        <v>601.48</v>
      </c>
      <c r="P57" s="28">
        <f t="shared" si="4"/>
        <v>3568.52</v>
      </c>
      <c r="Q57" s="73">
        <v>0</v>
      </c>
      <c r="R57" s="12"/>
      <c r="S57" s="12"/>
      <c r="T57" s="12"/>
      <c r="U57" s="12"/>
      <c r="V57" s="12"/>
      <c r="W57" s="12"/>
      <c r="X57" s="12"/>
      <c r="Y57" s="12"/>
    </row>
    <row r="58" spans="1:25" s="6" customFormat="1" ht="27" customHeight="1" x14ac:dyDescent="0.2">
      <c r="A58" s="139">
        <v>48</v>
      </c>
      <c r="B58" s="24" t="s">
        <v>434</v>
      </c>
      <c r="C58" s="22" t="s">
        <v>483</v>
      </c>
      <c r="D58" s="29">
        <v>2920</v>
      </c>
      <c r="E58" s="29">
        <v>1000</v>
      </c>
      <c r="F58" s="27">
        <v>0</v>
      </c>
      <c r="G58" s="176">
        <v>250</v>
      </c>
      <c r="H58" s="176">
        <v>0</v>
      </c>
      <c r="I58" s="176">
        <v>0</v>
      </c>
      <c r="J58" s="28">
        <f t="shared" si="0"/>
        <v>4170</v>
      </c>
      <c r="K58" s="28">
        <f t="shared" si="1"/>
        <v>117.6</v>
      </c>
      <c r="L58" s="28">
        <f>(D58+E58)*11%</f>
        <v>431.2</v>
      </c>
      <c r="M58" s="28">
        <v>0</v>
      </c>
      <c r="N58" s="28">
        <v>52.68</v>
      </c>
      <c r="O58" s="28">
        <f t="shared" si="2"/>
        <v>601.48</v>
      </c>
      <c r="P58" s="28">
        <f t="shared" si="4"/>
        <v>3568.52</v>
      </c>
      <c r="Q58" s="73">
        <v>0</v>
      </c>
      <c r="R58" s="12"/>
      <c r="S58" s="12"/>
      <c r="T58" s="12"/>
      <c r="U58" s="12"/>
      <c r="V58" s="12"/>
      <c r="W58" s="12"/>
      <c r="X58" s="12"/>
      <c r="Y58" s="12"/>
    </row>
    <row r="59" spans="1:25" s="6" customFormat="1" ht="27" customHeight="1" x14ac:dyDescent="0.2">
      <c r="A59" s="139">
        <v>49</v>
      </c>
      <c r="B59" s="24" t="s">
        <v>388</v>
      </c>
      <c r="C59" s="24" t="s">
        <v>327</v>
      </c>
      <c r="D59" s="187">
        <v>2425</v>
      </c>
      <c r="E59" s="175">
        <v>0</v>
      </c>
      <c r="F59" s="27">
        <v>0</v>
      </c>
      <c r="G59" s="176">
        <v>0</v>
      </c>
      <c r="H59" s="176">
        <v>2792.33</v>
      </c>
      <c r="I59" s="176">
        <v>0</v>
      </c>
      <c r="J59" s="28">
        <f t="shared" si="0"/>
        <v>2425</v>
      </c>
      <c r="K59" s="28">
        <f t="shared" si="1"/>
        <v>72.75</v>
      </c>
      <c r="L59" s="28">
        <f>D59*11%</f>
        <v>266.75</v>
      </c>
      <c r="M59" s="28">
        <v>0</v>
      </c>
      <c r="N59" s="28">
        <v>0</v>
      </c>
      <c r="O59" s="28">
        <f t="shared" si="2"/>
        <v>339.5</v>
      </c>
      <c r="P59" s="28">
        <f t="shared" si="4"/>
        <v>2085.5</v>
      </c>
      <c r="Q59" s="73">
        <v>0</v>
      </c>
      <c r="R59" s="12"/>
      <c r="S59" s="12"/>
      <c r="T59" s="12"/>
      <c r="U59" s="12"/>
      <c r="V59" s="12"/>
      <c r="W59" s="12"/>
      <c r="X59" s="12"/>
      <c r="Y59" s="12"/>
    </row>
    <row r="60" spans="1:25" s="6" customFormat="1" ht="27" customHeight="1" x14ac:dyDescent="0.2">
      <c r="A60" s="139">
        <v>50</v>
      </c>
      <c r="B60" s="65" t="s">
        <v>484</v>
      </c>
      <c r="C60" s="24" t="s">
        <v>110</v>
      </c>
      <c r="D60" s="27">
        <v>2920</v>
      </c>
      <c r="E60" s="27">
        <v>1000</v>
      </c>
      <c r="F60" s="27">
        <v>0</v>
      </c>
      <c r="G60" s="27">
        <v>250</v>
      </c>
      <c r="H60" s="176">
        <v>0</v>
      </c>
      <c r="I60" s="176">
        <v>0</v>
      </c>
      <c r="J60" s="28">
        <f t="shared" si="0"/>
        <v>4170</v>
      </c>
      <c r="K60" s="28">
        <f t="shared" si="1"/>
        <v>117.6</v>
      </c>
      <c r="L60" s="27">
        <v>431.2</v>
      </c>
      <c r="M60" s="27">
        <v>0</v>
      </c>
      <c r="N60" s="27">
        <v>52.68</v>
      </c>
      <c r="O60" s="27">
        <f>SUM(K60:N60)</f>
        <v>601.48</v>
      </c>
      <c r="P60" s="28">
        <f t="shared" si="4"/>
        <v>3568.52</v>
      </c>
      <c r="Q60" s="73">
        <v>0</v>
      </c>
      <c r="R60" s="12"/>
      <c r="S60" s="12"/>
      <c r="T60" s="12"/>
      <c r="U60" s="12"/>
      <c r="V60" s="12"/>
      <c r="W60" s="12"/>
      <c r="X60" s="12"/>
      <c r="Y60" s="12"/>
    </row>
    <row r="61" spans="1:25" s="6" customFormat="1" ht="27" customHeight="1" x14ac:dyDescent="0.2">
      <c r="A61" s="139">
        <v>51</v>
      </c>
      <c r="B61" s="24" t="s">
        <v>389</v>
      </c>
      <c r="C61" s="24" t="s">
        <v>330</v>
      </c>
      <c r="D61" s="177">
        <v>1940</v>
      </c>
      <c r="E61" s="175">
        <v>0</v>
      </c>
      <c r="F61" s="27">
        <v>0</v>
      </c>
      <c r="G61" s="176">
        <v>0</v>
      </c>
      <c r="H61" s="176">
        <v>2792.33</v>
      </c>
      <c r="I61" s="176">
        <v>0</v>
      </c>
      <c r="J61" s="28">
        <f t="shared" si="0"/>
        <v>1940</v>
      </c>
      <c r="K61" s="28">
        <f t="shared" si="1"/>
        <v>58.2</v>
      </c>
      <c r="L61" s="28">
        <f>D61*10%</f>
        <v>194</v>
      </c>
      <c r="M61" s="28">
        <v>0</v>
      </c>
      <c r="N61" s="28">
        <v>0</v>
      </c>
      <c r="O61" s="28">
        <f t="shared" si="2"/>
        <v>252.2</v>
      </c>
      <c r="P61" s="28">
        <f t="shared" si="4"/>
        <v>1687.8</v>
      </c>
      <c r="Q61" s="73">
        <v>0</v>
      </c>
      <c r="R61" s="12"/>
      <c r="S61" s="12"/>
      <c r="T61" s="12"/>
      <c r="U61" s="12"/>
      <c r="V61" s="12"/>
      <c r="W61" s="12"/>
      <c r="X61" s="12"/>
      <c r="Y61" s="12"/>
    </row>
    <row r="62" spans="1:25" s="6" customFormat="1" ht="27" customHeight="1" x14ac:dyDescent="0.2">
      <c r="A62" s="139">
        <v>52</v>
      </c>
      <c r="B62" s="24" t="s">
        <v>337</v>
      </c>
      <c r="C62" s="24" t="s">
        <v>330</v>
      </c>
      <c r="D62" s="29">
        <v>1940</v>
      </c>
      <c r="E62" s="175">
        <v>0</v>
      </c>
      <c r="F62" s="27">
        <v>0</v>
      </c>
      <c r="G62" s="176">
        <v>0</v>
      </c>
      <c r="H62" s="176">
        <v>2792.33</v>
      </c>
      <c r="I62" s="176">
        <v>0</v>
      </c>
      <c r="J62" s="28">
        <f t="shared" si="0"/>
        <v>1940</v>
      </c>
      <c r="K62" s="28">
        <f t="shared" si="1"/>
        <v>58.2</v>
      </c>
      <c r="L62" s="28">
        <f>D62*10%</f>
        <v>194</v>
      </c>
      <c r="M62" s="28">
        <v>0</v>
      </c>
      <c r="N62" s="28">
        <v>0</v>
      </c>
      <c r="O62" s="28">
        <f t="shared" si="2"/>
        <v>252.2</v>
      </c>
      <c r="P62" s="28">
        <f t="shared" si="4"/>
        <v>1687.8</v>
      </c>
      <c r="Q62" s="73">
        <v>0</v>
      </c>
      <c r="R62" s="12"/>
      <c r="S62" s="12"/>
      <c r="T62" s="12"/>
      <c r="U62" s="12"/>
      <c r="V62" s="12"/>
      <c r="W62" s="12"/>
      <c r="X62" s="12"/>
      <c r="Y62" s="12"/>
    </row>
    <row r="63" spans="1:25" s="6" customFormat="1" ht="27" customHeight="1" x14ac:dyDescent="0.2">
      <c r="A63" s="139">
        <v>53</v>
      </c>
      <c r="B63" s="24" t="s">
        <v>255</v>
      </c>
      <c r="C63" s="24" t="s">
        <v>327</v>
      </c>
      <c r="D63" s="177">
        <v>2425</v>
      </c>
      <c r="E63" s="175">
        <v>0</v>
      </c>
      <c r="F63" s="27">
        <v>0</v>
      </c>
      <c r="G63" s="176">
        <v>0</v>
      </c>
      <c r="H63" s="176">
        <v>2792.33</v>
      </c>
      <c r="I63" s="176">
        <v>0</v>
      </c>
      <c r="J63" s="28">
        <f t="shared" si="0"/>
        <v>2425</v>
      </c>
      <c r="K63" s="28">
        <f t="shared" si="1"/>
        <v>72.75</v>
      </c>
      <c r="L63" s="28">
        <f>D63*11%</f>
        <v>266.75</v>
      </c>
      <c r="M63" s="28">
        <v>0</v>
      </c>
      <c r="N63" s="28">
        <v>0</v>
      </c>
      <c r="O63" s="28">
        <f t="shared" si="2"/>
        <v>339.5</v>
      </c>
      <c r="P63" s="28">
        <f t="shared" si="4"/>
        <v>2085.5</v>
      </c>
      <c r="Q63" s="73">
        <v>0</v>
      </c>
      <c r="R63" s="12"/>
      <c r="S63" s="12"/>
      <c r="T63" s="12"/>
      <c r="U63" s="12"/>
      <c r="V63" s="12"/>
      <c r="W63" s="12"/>
      <c r="X63" s="12"/>
      <c r="Y63" s="12"/>
    </row>
    <row r="64" spans="1:25" s="6" customFormat="1" ht="27" customHeight="1" x14ac:dyDescent="0.2">
      <c r="A64" s="139">
        <v>54</v>
      </c>
      <c r="B64" s="24" t="s">
        <v>338</v>
      </c>
      <c r="C64" s="24" t="s">
        <v>330</v>
      </c>
      <c r="D64" s="177">
        <v>1940</v>
      </c>
      <c r="E64" s="175">
        <v>0</v>
      </c>
      <c r="F64" s="27">
        <v>0</v>
      </c>
      <c r="G64" s="176">
        <v>0</v>
      </c>
      <c r="H64" s="176">
        <v>2792.33</v>
      </c>
      <c r="I64" s="176">
        <v>0</v>
      </c>
      <c r="J64" s="28">
        <f t="shared" si="0"/>
        <v>1940</v>
      </c>
      <c r="K64" s="28">
        <f t="shared" si="1"/>
        <v>58.2</v>
      </c>
      <c r="L64" s="28">
        <f>D64*10%</f>
        <v>194</v>
      </c>
      <c r="M64" s="28">
        <v>0</v>
      </c>
      <c r="N64" s="28">
        <v>0</v>
      </c>
      <c r="O64" s="28">
        <f t="shared" si="2"/>
        <v>252.2</v>
      </c>
      <c r="P64" s="28">
        <f t="shared" si="4"/>
        <v>1687.8</v>
      </c>
      <c r="Q64" s="73">
        <v>0</v>
      </c>
      <c r="R64" s="12"/>
      <c r="S64" s="12"/>
      <c r="T64" s="12"/>
      <c r="U64" s="12"/>
      <c r="V64" s="12"/>
      <c r="W64" s="12"/>
      <c r="X64" s="12"/>
      <c r="Y64" s="12"/>
    </row>
    <row r="65" spans="1:25" s="6" customFormat="1" ht="27" customHeight="1" x14ac:dyDescent="0.2">
      <c r="A65" s="139">
        <v>55</v>
      </c>
      <c r="B65" s="22" t="s">
        <v>248</v>
      </c>
      <c r="C65" s="24" t="s">
        <v>327</v>
      </c>
      <c r="D65" s="29">
        <v>2425</v>
      </c>
      <c r="E65" s="175">
        <v>0</v>
      </c>
      <c r="F65" s="27">
        <v>0</v>
      </c>
      <c r="G65" s="176">
        <v>0</v>
      </c>
      <c r="H65" s="176">
        <v>2792.33</v>
      </c>
      <c r="I65" s="176">
        <v>0</v>
      </c>
      <c r="J65" s="28">
        <f t="shared" si="0"/>
        <v>2425</v>
      </c>
      <c r="K65" s="28">
        <f t="shared" si="1"/>
        <v>72.75</v>
      </c>
      <c r="L65" s="28">
        <f>D65*11%</f>
        <v>266.75</v>
      </c>
      <c r="M65" s="28">
        <v>0</v>
      </c>
      <c r="N65" s="28">
        <v>0</v>
      </c>
      <c r="O65" s="28">
        <f t="shared" si="2"/>
        <v>339.5</v>
      </c>
      <c r="P65" s="28">
        <f t="shared" si="4"/>
        <v>2085.5</v>
      </c>
      <c r="Q65" s="73">
        <v>0</v>
      </c>
      <c r="R65" s="12"/>
      <c r="S65" s="12"/>
      <c r="T65" s="12"/>
      <c r="U65" s="12"/>
      <c r="V65" s="12"/>
      <c r="W65" s="12"/>
      <c r="X65" s="12"/>
      <c r="Y65" s="12"/>
    </row>
    <row r="66" spans="1:25" s="6" customFormat="1" ht="27" customHeight="1" x14ac:dyDescent="0.2">
      <c r="A66" s="139">
        <v>56</v>
      </c>
      <c r="B66" s="33" t="s">
        <v>72</v>
      </c>
      <c r="C66" s="24" t="s">
        <v>109</v>
      </c>
      <c r="D66" s="29">
        <v>1902</v>
      </c>
      <c r="E66" s="29">
        <v>1000</v>
      </c>
      <c r="F66" s="27">
        <v>0</v>
      </c>
      <c r="G66" s="176">
        <v>250</v>
      </c>
      <c r="H66" s="176">
        <v>2792.33</v>
      </c>
      <c r="I66" s="176">
        <v>0</v>
      </c>
      <c r="J66" s="28">
        <f t="shared" si="0"/>
        <v>3152</v>
      </c>
      <c r="K66" s="28">
        <f t="shared" si="1"/>
        <v>87.06</v>
      </c>
      <c r="L66" s="28">
        <f>(D66+E66)*11%</f>
        <v>319.22000000000003</v>
      </c>
      <c r="M66" s="28">
        <v>0</v>
      </c>
      <c r="N66" s="28">
        <v>0</v>
      </c>
      <c r="O66" s="28">
        <f t="shared" si="2"/>
        <v>406.28</v>
      </c>
      <c r="P66" s="28">
        <f t="shared" si="4"/>
        <v>2745.72</v>
      </c>
      <c r="Q66" s="73">
        <v>0</v>
      </c>
      <c r="R66" s="12"/>
      <c r="S66" s="12"/>
      <c r="T66" s="12"/>
      <c r="U66" s="12"/>
      <c r="V66" s="12"/>
      <c r="W66" s="12"/>
      <c r="X66" s="12"/>
      <c r="Y66" s="12"/>
    </row>
    <row r="67" spans="1:25" s="6" customFormat="1" ht="27" customHeight="1" x14ac:dyDescent="0.2">
      <c r="A67" s="139">
        <v>57</v>
      </c>
      <c r="B67" s="22" t="s">
        <v>256</v>
      </c>
      <c r="C67" s="24" t="s">
        <v>335</v>
      </c>
      <c r="D67" s="29">
        <v>3081</v>
      </c>
      <c r="E67" s="175">
        <v>1000</v>
      </c>
      <c r="F67" s="27">
        <v>0</v>
      </c>
      <c r="G67" s="176">
        <v>250</v>
      </c>
      <c r="H67" s="176">
        <v>2792.33</v>
      </c>
      <c r="I67" s="176">
        <v>0</v>
      </c>
      <c r="J67" s="28">
        <f t="shared" si="0"/>
        <v>4331</v>
      </c>
      <c r="K67" s="28">
        <f t="shared" si="1"/>
        <v>122.43</v>
      </c>
      <c r="L67" s="28">
        <f>(D67+E67)*12%</f>
        <v>489.72</v>
      </c>
      <c r="M67" s="28">
        <v>0</v>
      </c>
      <c r="N67" s="28">
        <v>0</v>
      </c>
      <c r="O67" s="28">
        <f t="shared" si="2"/>
        <v>612.15</v>
      </c>
      <c r="P67" s="28">
        <f t="shared" si="4"/>
        <v>3718.85</v>
      </c>
      <c r="Q67" s="73">
        <v>0</v>
      </c>
      <c r="R67" s="12"/>
      <c r="S67" s="12"/>
      <c r="T67" s="12"/>
      <c r="U67" s="12"/>
      <c r="V67" s="12"/>
      <c r="W67" s="12"/>
      <c r="X67" s="12"/>
      <c r="Y67" s="12"/>
    </row>
    <row r="68" spans="1:25" s="6" customFormat="1" ht="27" customHeight="1" x14ac:dyDescent="0.2">
      <c r="A68" s="139">
        <v>58</v>
      </c>
      <c r="B68" s="37" t="s">
        <v>257</v>
      </c>
      <c r="C68" s="24" t="s">
        <v>470</v>
      </c>
      <c r="D68" s="27">
        <v>3241</v>
      </c>
      <c r="E68" s="27">
        <v>1000</v>
      </c>
      <c r="F68" s="27">
        <v>0</v>
      </c>
      <c r="G68" s="27">
        <v>250</v>
      </c>
      <c r="H68" s="176">
        <v>0</v>
      </c>
      <c r="I68" s="176">
        <v>0</v>
      </c>
      <c r="J68" s="28">
        <f t="shared" si="0"/>
        <v>4491</v>
      </c>
      <c r="K68" s="28">
        <f t="shared" si="1"/>
        <v>127.23</v>
      </c>
      <c r="L68" s="28">
        <f>(D68+E68)*12%</f>
        <v>508.92</v>
      </c>
      <c r="M68" s="27">
        <v>0</v>
      </c>
      <c r="N68" s="27">
        <v>0</v>
      </c>
      <c r="O68" s="27">
        <f>SUM(K68:N68)</f>
        <v>636.15</v>
      </c>
      <c r="P68" s="28">
        <f t="shared" si="4"/>
        <v>3854.85</v>
      </c>
      <c r="Q68" s="73">
        <v>0</v>
      </c>
      <c r="R68" s="12"/>
      <c r="S68" s="12"/>
      <c r="T68" s="12"/>
      <c r="U68" s="12"/>
      <c r="V68" s="12"/>
      <c r="W68" s="12"/>
      <c r="X68" s="12"/>
      <c r="Y68" s="12"/>
    </row>
    <row r="69" spans="1:25" s="6" customFormat="1" ht="27" customHeight="1" x14ac:dyDescent="0.2">
      <c r="A69" s="139">
        <v>59</v>
      </c>
      <c r="B69" s="24" t="s">
        <v>390</v>
      </c>
      <c r="C69" s="24" t="s">
        <v>330</v>
      </c>
      <c r="D69" s="177">
        <v>1940</v>
      </c>
      <c r="E69" s="175">
        <v>0</v>
      </c>
      <c r="F69" s="27">
        <v>0</v>
      </c>
      <c r="G69" s="176">
        <v>0</v>
      </c>
      <c r="H69" s="176">
        <v>2792.33</v>
      </c>
      <c r="I69" s="176">
        <v>0</v>
      </c>
      <c r="J69" s="28">
        <f t="shared" si="0"/>
        <v>1940</v>
      </c>
      <c r="K69" s="28">
        <f t="shared" si="1"/>
        <v>58.2</v>
      </c>
      <c r="L69" s="28">
        <f>D69*10%</f>
        <v>194</v>
      </c>
      <c r="M69" s="28">
        <v>0</v>
      </c>
      <c r="N69" s="28">
        <v>0</v>
      </c>
      <c r="O69" s="28">
        <f t="shared" si="2"/>
        <v>252.2</v>
      </c>
      <c r="P69" s="28">
        <f t="shared" si="4"/>
        <v>1687.8</v>
      </c>
      <c r="Q69" s="73">
        <v>0</v>
      </c>
      <c r="R69" s="12"/>
      <c r="S69" s="12"/>
      <c r="T69" s="12"/>
      <c r="U69" s="12"/>
      <c r="V69" s="12"/>
      <c r="W69" s="12"/>
      <c r="X69" s="12"/>
      <c r="Y69" s="12"/>
    </row>
    <row r="70" spans="1:25" s="6" customFormat="1" ht="27" customHeight="1" x14ac:dyDescent="0.2">
      <c r="A70" s="139">
        <v>60</v>
      </c>
      <c r="B70" s="38" t="s">
        <v>429</v>
      </c>
      <c r="C70" s="24" t="s">
        <v>56</v>
      </c>
      <c r="D70" s="187">
        <v>1668</v>
      </c>
      <c r="E70" s="175">
        <v>1000</v>
      </c>
      <c r="F70" s="27">
        <v>0</v>
      </c>
      <c r="G70" s="176">
        <v>250</v>
      </c>
      <c r="H70" s="176">
        <v>2792.33</v>
      </c>
      <c r="I70" s="176">
        <v>0</v>
      </c>
      <c r="J70" s="28">
        <f t="shared" si="0"/>
        <v>2918</v>
      </c>
      <c r="K70" s="28">
        <f t="shared" si="1"/>
        <v>80.040000000000006</v>
      </c>
      <c r="L70" s="28">
        <f>(D70+E70)*11%</f>
        <v>293.48</v>
      </c>
      <c r="M70" s="28">
        <v>0</v>
      </c>
      <c r="N70" s="28">
        <v>0</v>
      </c>
      <c r="O70" s="28">
        <f t="shared" si="2"/>
        <v>373.52</v>
      </c>
      <c r="P70" s="28">
        <f t="shared" si="4"/>
        <v>2544.48</v>
      </c>
      <c r="Q70" s="73">
        <v>0</v>
      </c>
      <c r="R70" s="12"/>
      <c r="S70" s="12"/>
      <c r="T70" s="12"/>
      <c r="U70" s="12"/>
      <c r="V70" s="12"/>
      <c r="W70" s="12"/>
      <c r="X70" s="12"/>
      <c r="Y70" s="12"/>
    </row>
    <row r="71" spans="1:25" s="5" customFormat="1" ht="27" customHeight="1" x14ac:dyDescent="0.2">
      <c r="A71" s="139">
        <v>61</v>
      </c>
      <c r="B71" s="24" t="s">
        <v>97</v>
      </c>
      <c r="C71" s="24" t="s">
        <v>330</v>
      </c>
      <c r="D71" s="177">
        <v>1940</v>
      </c>
      <c r="E71" s="175">
        <v>2000</v>
      </c>
      <c r="F71" s="27">
        <v>0</v>
      </c>
      <c r="G71" s="176">
        <v>0</v>
      </c>
      <c r="H71" s="176">
        <v>2792.33</v>
      </c>
      <c r="I71" s="176">
        <v>0</v>
      </c>
      <c r="J71" s="28">
        <f t="shared" ref="J71:J132" si="5">SUM(D71:G71)</f>
        <v>3940</v>
      </c>
      <c r="K71" s="28">
        <f t="shared" si="1"/>
        <v>118.2</v>
      </c>
      <c r="L71" s="28">
        <f>D71*10%</f>
        <v>194</v>
      </c>
      <c r="M71" s="28">
        <v>0</v>
      </c>
      <c r="N71" s="28">
        <v>0</v>
      </c>
      <c r="O71" s="28">
        <f t="shared" si="2"/>
        <v>312.2</v>
      </c>
      <c r="P71" s="28">
        <f t="shared" si="4"/>
        <v>3627.8</v>
      </c>
      <c r="Q71" s="73">
        <v>0</v>
      </c>
      <c r="R71" s="13"/>
      <c r="S71" s="13"/>
      <c r="T71" s="13"/>
      <c r="U71" s="13"/>
      <c r="V71" s="13"/>
      <c r="W71" s="13"/>
      <c r="X71" s="13"/>
      <c r="Y71" s="13"/>
    </row>
    <row r="72" spans="1:25" s="6" customFormat="1" ht="27" customHeight="1" x14ac:dyDescent="0.2">
      <c r="A72" s="139">
        <v>62</v>
      </c>
      <c r="B72" s="38" t="s">
        <v>137</v>
      </c>
      <c r="C72" s="24" t="s">
        <v>470</v>
      </c>
      <c r="D72" s="184">
        <v>3241</v>
      </c>
      <c r="E72" s="29">
        <v>1000</v>
      </c>
      <c r="F72" s="27">
        <v>0</v>
      </c>
      <c r="G72" s="176">
        <v>250</v>
      </c>
      <c r="H72" s="176">
        <v>2792.33</v>
      </c>
      <c r="I72" s="176">
        <v>0</v>
      </c>
      <c r="J72" s="28">
        <f t="shared" si="5"/>
        <v>4491</v>
      </c>
      <c r="K72" s="28">
        <f t="shared" si="1"/>
        <v>127.23</v>
      </c>
      <c r="L72" s="28">
        <f>(D72+E72)*12%</f>
        <v>508.92</v>
      </c>
      <c r="M72" s="28">
        <v>0</v>
      </c>
      <c r="N72" s="28">
        <v>57</v>
      </c>
      <c r="O72" s="28">
        <f t="shared" si="2"/>
        <v>693.15</v>
      </c>
      <c r="P72" s="28">
        <f t="shared" si="4"/>
        <v>3797.85</v>
      </c>
      <c r="Q72" s="73">
        <v>0</v>
      </c>
      <c r="R72" s="12"/>
      <c r="S72" s="12"/>
      <c r="T72" s="12"/>
      <c r="U72" s="12"/>
      <c r="V72" s="12"/>
      <c r="W72" s="12"/>
      <c r="X72" s="12"/>
      <c r="Y72" s="12"/>
    </row>
    <row r="73" spans="1:25" s="6" customFormat="1" ht="27" customHeight="1" x14ac:dyDescent="0.2">
      <c r="A73" s="139">
        <v>63</v>
      </c>
      <c r="B73" s="24" t="s">
        <v>81</v>
      </c>
      <c r="C73" s="24" t="s">
        <v>330</v>
      </c>
      <c r="D73" s="177">
        <v>1940</v>
      </c>
      <c r="E73" s="175">
        <v>0</v>
      </c>
      <c r="F73" s="27">
        <v>0</v>
      </c>
      <c r="G73" s="176">
        <v>0</v>
      </c>
      <c r="H73" s="176">
        <v>2792.33</v>
      </c>
      <c r="I73" s="176">
        <v>0</v>
      </c>
      <c r="J73" s="28">
        <f t="shared" si="5"/>
        <v>1940</v>
      </c>
      <c r="K73" s="28">
        <f t="shared" ref="K73:K134" si="6">(D73+E73+F73)*3%</f>
        <v>58.2</v>
      </c>
      <c r="L73" s="28">
        <f>D73*10%</f>
        <v>194</v>
      </c>
      <c r="M73" s="28">
        <v>0</v>
      </c>
      <c r="N73" s="28">
        <v>0</v>
      </c>
      <c r="O73" s="28">
        <f t="shared" si="2"/>
        <v>252.2</v>
      </c>
      <c r="P73" s="28">
        <f t="shared" si="4"/>
        <v>1687.8</v>
      </c>
      <c r="Q73" s="73">
        <v>0</v>
      </c>
      <c r="R73" s="12"/>
      <c r="S73" s="12"/>
      <c r="T73" s="12"/>
      <c r="U73" s="12"/>
      <c r="V73" s="12"/>
      <c r="W73" s="12"/>
      <c r="X73" s="12"/>
      <c r="Y73" s="12"/>
    </row>
    <row r="74" spans="1:25" s="6" customFormat="1" ht="27" customHeight="1" x14ac:dyDescent="0.2">
      <c r="A74" s="139">
        <v>64</v>
      </c>
      <c r="B74" s="33" t="s">
        <v>48</v>
      </c>
      <c r="C74" s="26" t="s">
        <v>108</v>
      </c>
      <c r="D74" s="29">
        <v>2920</v>
      </c>
      <c r="E74" s="175">
        <v>1000</v>
      </c>
      <c r="F74" s="27">
        <v>0</v>
      </c>
      <c r="G74" s="175">
        <v>250</v>
      </c>
      <c r="H74" s="176">
        <v>0</v>
      </c>
      <c r="I74" s="176">
        <v>0</v>
      </c>
      <c r="J74" s="28">
        <f t="shared" si="5"/>
        <v>4170</v>
      </c>
      <c r="K74" s="28">
        <f t="shared" si="6"/>
        <v>117.6</v>
      </c>
      <c r="L74" s="28">
        <f>(D74+E74)*11%</f>
        <v>431.2</v>
      </c>
      <c r="M74" s="28">
        <v>0</v>
      </c>
      <c r="N74" s="28">
        <v>52.68</v>
      </c>
      <c r="O74" s="28">
        <f t="shared" si="2"/>
        <v>601.48</v>
      </c>
      <c r="P74" s="28">
        <f t="shared" si="4"/>
        <v>3568.52</v>
      </c>
      <c r="Q74" s="73">
        <v>0</v>
      </c>
      <c r="R74" s="12"/>
      <c r="S74" s="12"/>
      <c r="T74" s="12"/>
      <c r="U74" s="12"/>
      <c r="V74" s="12"/>
      <c r="W74" s="12"/>
      <c r="X74" s="12"/>
      <c r="Y74" s="12"/>
    </row>
    <row r="75" spans="1:25" s="6" customFormat="1" ht="27" customHeight="1" x14ac:dyDescent="0.2">
      <c r="A75" s="139">
        <v>65</v>
      </c>
      <c r="B75" s="36" t="s">
        <v>75</v>
      </c>
      <c r="C75" s="24" t="s">
        <v>327</v>
      </c>
      <c r="D75" s="188">
        <v>2425</v>
      </c>
      <c r="E75" s="175">
        <v>0</v>
      </c>
      <c r="F75" s="27">
        <v>0</v>
      </c>
      <c r="G75" s="176">
        <v>0</v>
      </c>
      <c r="H75" s="176">
        <v>2792.33</v>
      </c>
      <c r="I75" s="176">
        <v>0</v>
      </c>
      <c r="J75" s="28">
        <f t="shared" si="5"/>
        <v>2425</v>
      </c>
      <c r="K75" s="28">
        <f t="shared" si="6"/>
        <v>72.75</v>
      </c>
      <c r="L75" s="28">
        <f>(D75+E75)*11%</f>
        <v>266.75</v>
      </c>
      <c r="M75" s="28">
        <v>0</v>
      </c>
      <c r="N75" s="28">
        <v>0</v>
      </c>
      <c r="O75" s="28">
        <f t="shared" si="2"/>
        <v>339.5</v>
      </c>
      <c r="P75" s="28">
        <f t="shared" ref="P75:P81" si="7">J75-O75</f>
        <v>2085.5</v>
      </c>
      <c r="Q75" s="73">
        <v>0</v>
      </c>
      <c r="R75" s="12"/>
      <c r="S75" s="12"/>
      <c r="T75" s="12"/>
      <c r="U75" s="12"/>
      <c r="V75" s="12"/>
      <c r="W75" s="12"/>
      <c r="X75" s="12"/>
      <c r="Y75" s="12"/>
    </row>
    <row r="76" spans="1:25" s="6" customFormat="1" ht="27" customHeight="1" x14ac:dyDescent="0.2">
      <c r="A76" s="139">
        <v>66</v>
      </c>
      <c r="B76" s="24" t="s">
        <v>339</v>
      </c>
      <c r="C76" s="24" t="s">
        <v>330</v>
      </c>
      <c r="D76" s="177">
        <v>1940</v>
      </c>
      <c r="E76" s="175">
        <v>0</v>
      </c>
      <c r="F76" s="27">
        <v>0</v>
      </c>
      <c r="G76" s="176">
        <v>0</v>
      </c>
      <c r="H76" s="176">
        <v>2792.33</v>
      </c>
      <c r="I76" s="176">
        <v>0</v>
      </c>
      <c r="J76" s="28">
        <f t="shared" si="5"/>
        <v>1940</v>
      </c>
      <c r="K76" s="28">
        <f t="shared" si="6"/>
        <v>58.2</v>
      </c>
      <c r="L76" s="28">
        <f>D76*10%</f>
        <v>194</v>
      </c>
      <c r="M76" s="28">
        <v>0</v>
      </c>
      <c r="N76" s="28">
        <v>0</v>
      </c>
      <c r="O76" s="28">
        <f t="shared" ref="O76:O136" si="8">K76+L76+M76+N76</f>
        <v>252.2</v>
      </c>
      <c r="P76" s="28">
        <f t="shared" si="7"/>
        <v>1687.8</v>
      </c>
      <c r="Q76" s="73">
        <v>0</v>
      </c>
      <c r="R76" s="12"/>
      <c r="S76" s="12"/>
      <c r="T76" s="12"/>
      <c r="U76" s="12"/>
      <c r="V76" s="12"/>
      <c r="W76" s="12"/>
      <c r="X76" s="12"/>
      <c r="Y76" s="12"/>
    </row>
    <row r="77" spans="1:25" s="6" customFormat="1" ht="27" customHeight="1" x14ac:dyDescent="0.2">
      <c r="A77" s="139">
        <v>67</v>
      </c>
      <c r="B77" s="22" t="s">
        <v>83</v>
      </c>
      <c r="C77" s="24" t="s">
        <v>327</v>
      </c>
      <c r="D77" s="29">
        <v>2425</v>
      </c>
      <c r="E77" s="175">
        <v>0</v>
      </c>
      <c r="F77" s="27">
        <v>0</v>
      </c>
      <c r="G77" s="176">
        <v>0</v>
      </c>
      <c r="H77" s="176">
        <v>2792.33</v>
      </c>
      <c r="I77" s="176">
        <v>0</v>
      </c>
      <c r="J77" s="28">
        <f t="shared" si="5"/>
        <v>2425</v>
      </c>
      <c r="K77" s="28">
        <f t="shared" si="6"/>
        <v>72.75</v>
      </c>
      <c r="L77" s="28">
        <f>D77*11%</f>
        <v>266.75</v>
      </c>
      <c r="M77" s="28">
        <v>0</v>
      </c>
      <c r="N77" s="28">
        <v>0</v>
      </c>
      <c r="O77" s="28">
        <f t="shared" si="8"/>
        <v>339.5</v>
      </c>
      <c r="P77" s="28">
        <f t="shared" si="7"/>
        <v>2085.5</v>
      </c>
      <c r="Q77" s="73">
        <v>0</v>
      </c>
      <c r="R77" s="12"/>
      <c r="S77" s="12"/>
      <c r="T77" s="12"/>
      <c r="U77" s="12"/>
      <c r="V77" s="12"/>
      <c r="W77" s="12"/>
      <c r="X77" s="12"/>
      <c r="Y77" s="12"/>
    </row>
    <row r="78" spans="1:25" s="6" customFormat="1" ht="27" customHeight="1" x14ac:dyDescent="0.2">
      <c r="A78" s="139">
        <v>68</v>
      </c>
      <c r="B78" s="24" t="s">
        <v>184</v>
      </c>
      <c r="C78" s="24" t="s">
        <v>498</v>
      </c>
      <c r="D78" s="29">
        <v>2234</v>
      </c>
      <c r="E78" s="175">
        <v>1900</v>
      </c>
      <c r="F78" s="27">
        <v>0</v>
      </c>
      <c r="G78" s="176">
        <v>250</v>
      </c>
      <c r="H78" s="176">
        <v>2792.33</v>
      </c>
      <c r="I78" s="176">
        <v>0</v>
      </c>
      <c r="J78" s="28">
        <f t="shared" si="5"/>
        <v>4384</v>
      </c>
      <c r="K78" s="28">
        <f t="shared" si="6"/>
        <v>124.02</v>
      </c>
      <c r="L78" s="28">
        <f>(D78+E78)*12%</f>
        <v>496.08</v>
      </c>
      <c r="M78" s="28">
        <v>0</v>
      </c>
      <c r="N78" s="28">
        <v>0</v>
      </c>
      <c r="O78" s="28">
        <f t="shared" si="8"/>
        <v>620.1</v>
      </c>
      <c r="P78" s="28">
        <f t="shared" si="7"/>
        <v>3763.9</v>
      </c>
      <c r="Q78" s="73">
        <v>0</v>
      </c>
      <c r="R78" s="12"/>
      <c r="S78" s="12"/>
      <c r="T78" s="12"/>
      <c r="U78" s="12"/>
      <c r="V78" s="12"/>
      <c r="W78" s="12"/>
      <c r="X78" s="12"/>
      <c r="Y78" s="12"/>
    </row>
    <row r="79" spans="1:25" s="6" customFormat="1" ht="27" customHeight="1" x14ac:dyDescent="0.2">
      <c r="A79" s="139">
        <v>69</v>
      </c>
      <c r="B79" s="24" t="s">
        <v>77</v>
      </c>
      <c r="C79" s="33" t="s">
        <v>495</v>
      </c>
      <c r="D79" s="177">
        <v>2328</v>
      </c>
      <c r="E79" s="175">
        <v>0</v>
      </c>
      <c r="F79" s="27">
        <v>0</v>
      </c>
      <c r="G79" s="176">
        <v>0</v>
      </c>
      <c r="H79" s="176">
        <v>2792.33</v>
      </c>
      <c r="I79" s="176">
        <v>0</v>
      </c>
      <c r="J79" s="28">
        <f t="shared" si="5"/>
        <v>2328</v>
      </c>
      <c r="K79" s="28">
        <f t="shared" si="6"/>
        <v>69.84</v>
      </c>
      <c r="L79" s="28">
        <f>D79*11%</f>
        <v>256.08</v>
      </c>
      <c r="M79" s="28">
        <v>0</v>
      </c>
      <c r="N79" s="28">
        <v>0</v>
      </c>
      <c r="O79" s="28">
        <f t="shared" si="8"/>
        <v>325.92</v>
      </c>
      <c r="P79" s="28">
        <f t="shared" si="7"/>
        <v>2002.08</v>
      </c>
      <c r="Q79" s="73">
        <v>0</v>
      </c>
      <c r="R79" s="12"/>
      <c r="S79" s="12"/>
      <c r="T79" s="12"/>
      <c r="U79" s="12"/>
      <c r="V79" s="12"/>
      <c r="W79" s="12"/>
      <c r="X79" s="12"/>
      <c r="Y79" s="12"/>
    </row>
    <row r="80" spans="1:25" s="6" customFormat="1" ht="27" customHeight="1" x14ac:dyDescent="0.2">
      <c r="A80" s="139">
        <v>70</v>
      </c>
      <c r="B80" s="33" t="s">
        <v>53</v>
      </c>
      <c r="C80" s="24" t="s">
        <v>335</v>
      </c>
      <c r="D80" s="28">
        <v>3081</v>
      </c>
      <c r="E80" s="28">
        <v>1000</v>
      </c>
      <c r="F80" s="27">
        <v>0</v>
      </c>
      <c r="G80" s="176">
        <v>250</v>
      </c>
      <c r="H80" s="176">
        <v>2792.33</v>
      </c>
      <c r="I80" s="176">
        <v>0</v>
      </c>
      <c r="J80" s="28">
        <f t="shared" si="5"/>
        <v>4331</v>
      </c>
      <c r="K80" s="28">
        <f t="shared" si="6"/>
        <v>122.43</v>
      </c>
      <c r="L80" s="28">
        <f>(D80+E80)*12%</f>
        <v>489.72</v>
      </c>
      <c r="M80" s="28">
        <v>0</v>
      </c>
      <c r="N80" s="28">
        <v>52.68</v>
      </c>
      <c r="O80" s="28">
        <f t="shared" si="8"/>
        <v>664.83</v>
      </c>
      <c r="P80" s="28">
        <f t="shared" si="7"/>
        <v>3666.17</v>
      </c>
      <c r="Q80" s="73">
        <v>0</v>
      </c>
      <c r="R80" s="12"/>
      <c r="S80" s="12"/>
      <c r="T80" s="12"/>
      <c r="U80" s="12"/>
      <c r="V80" s="12"/>
      <c r="W80" s="12"/>
      <c r="X80" s="12"/>
      <c r="Y80" s="12"/>
    </row>
    <row r="81" spans="1:25" s="6" customFormat="1" ht="27" customHeight="1" x14ac:dyDescent="0.2">
      <c r="A81" s="139">
        <v>71</v>
      </c>
      <c r="B81" s="24" t="s">
        <v>185</v>
      </c>
      <c r="C81" s="24" t="s">
        <v>330</v>
      </c>
      <c r="D81" s="29">
        <v>1940</v>
      </c>
      <c r="E81" s="175">
        <v>0</v>
      </c>
      <c r="F81" s="27">
        <v>0</v>
      </c>
      <c r="G81" s="176">
        <v>0</v>
      </c>
      <c r="H81" s="176">
        <v>2792.33</v>
      </c>
      <c r="I81" s="176">
        <v>0</v>
      </c>
      <c r="J81" s="28">
        <f t="shared" si="5"/>
        <v>1940</v>
      </c>
      <c r="K81" s="28">
        <f t="shared" si="6"/>
        <v>58.2</v>
      </c>
      <c r="L81" s="28">
        <f>D81*10%</f>
        <v>194</v>
      </c>
      <c r="M81" s="28">
        <v>0</v>
      </c>
      <c r="N81" s="28">
        <v>0</v>
      </c>
      <c r="O81" s="28">
        <f t="shared" si="8"/>
        <v>252.2</v>
      </c>
      <c r="P81" s="28">
        <f t="shared" si="7"/>
        <v>1687.8</v>
      </c>
      <c r="Q81" s="73">
        <v>0</v>
      </c>
      <c r="R81" s="12"/>
      <c r="S81" s="12"/>
      <c r="T81" s="12"/>
      <c r="U81" s="12"/>
      <c r="V81" s="12"/>
      <c r="W81" s="12"/>
      <c r="X81" s="12"/>
      <c r="Y81" s="12"/>
    </row>
    <row r="82" spans="1:25" s="6" customFormat="1" ht="27" customHeight="1" x14ac:dyDescent="0.2">
      <c r="A82" s="139">
        <v>72</v>
      </c>
      <c r="B82" s="67" t="s">
        <v>974</v>
      </c>
      <c r="C82" s="172" t="s">
        <v>975</v>
      </c>
      <c r="D82" s="78">
        <v>2920</v>
      </c>
      <c r="E82" s="175">
        <v>1000</v>
      </c>
      <c r="F82" s="27">
        <v>0</v>
      </c>
      <c r="G82" s="176">
        <v>250</v>
      </c>
      <c r="H82" s="176">
        <v>0</v>
      </c>
      <c r="I82" s="176">
        <v>0</v>
      </c>
      <c r="J82" s="28">
        <f>SUM(D82:G82)</f>
        <v>4170</v>
      </c>
      <c r="K82" s="28">
        <f t="shared" si="6"/>
        <v>117.6</v>
      </c>
      <c r="L82" s="28">
        <f>(D82+E82)*11%</f>
        <v>431.2</v>
      </c>
      <c r="M82" s="28"/>
      <c r="N82" s="28"/>
      <c r="O82" s="28"/>
      <c r="P82" s="28"/>
      <c r="Q82" s="73">
        <v>0</v>
      </c>
      <c r="R82" s="12"/>
      <c r="S82" s="12"/>
      <c r="T82" s="12"/>
      <c r="U82" s="12"/>
      <c r="V82" s="12"/>
      <c r="W82" s="12"/>
      <c r="X82" s="12"/>
      <c r="Y82" s="12"/>
    </row>
    <row r="83" spans="1:25" s="6" customFormat="1" ht="27" customHeight="1" x14ac:dyDescent="0.2">
      <c r="A83" s="139">
        <v>73</v>
      </c>
      <c r="B83" s="23" t="s">
        <v>340</v>
      </c>
      <c r="C83" s="24" t="s">
        <v>335</v>
      </c>
      <c r="D83" s="185">
        <v>3081</v>
      </c>
      <c r="E83" s="186">
        <v>1000</v>
      </c>
      <c r="F83" s="27">
        <v>0</v>
      </c>
      <c r="G83" s="176">
        <v>250</v>
      </c>
      <c r="H83" s="176">
        <v>2792.33</v>
      </c>
      <c r="I83" s="176">
        <v>0</v>
      </c>
      <c r="J83" s="28">
        <f t="shared" si="5"/>
        <v>4331</v>
      </c>
      <c r="K83" s="28">
        <f t="shared" si="6"/>
        <v>122.43</v>
      </c>
      <c r="L83" s="28">
        <f>(D83+E83)*11%</f>
        <v>448.91</v>
      </c>
      <c r="M83" s="28">
        <v>0</v>
      </c>
      <c r="N83" s="28">
        <v>0</v>
      </c>
      <c r="O83" s="28">
        <f t="shared" si="8"/>
        <v>571.34</v>
      </c>
      <c r="P83" s="28">
        <f t="shared" ref="P83:P118" si="9">J83-O83</f>
        <v>3759.66</v>
      </c>
      <c r="Q83" s="73">
        <v>0</v>
      </c>
      <c r="R83" s="12"/>
      <c r="S83" s="12"/>
      <c r="T83" s="12"/>
      <c r="U83" s="12"/>
      <c r="V83" s="12"/>
      <c r="W83" s="12"/>
      <c r="X83" s="12"/>
      <c r="Y83" s="12"/>
    </row>
    <row r="84" spans="1:25" s="6" customFormat="1" ht="27" customHeight="1" x14ac:dyDescent="0.2">
      <c r="A84" s="139">
        <v>74</v>
      </c>
      <c r="B84" s="22" t="s">
        <v>86</v>
      </c>
      <c r="C84" s="26" t="s">
        <v>501</v>
      </c>
      <c r="D84" s="29">
        <v>2076</v>
      </c>
      <c r="E84" s="175">
        <v>1000</v>
      </c>
      <c r="F84" s="27">
        <v>0</v>
      </c>
      <c r="G84" s="176">
        <v>250</v>
      </c>
      <c r="H84" s="176">
        <v>2792.33</v>
      </c>
      <c r="I84" s="176">
        <v>0</v>
      </c>
      <c r="J84" s="28">
        <f t="shared" si="5"/>
        <v>3326</v>
      </c>
      <c r="K84" s="28">
        <f t="shared" si="6"/>
        <v>92.28</v>
      </c>
      <c r="L84" s="28">
        <f>(D84+E84)*11%</f>
        <v>338.36</v>
      </c>
      <c r="M84" s="28">
        <v>0</v>
      </c>
      <c r="N84" s="28">
        <v>0</v>
      </c>
      <c r="O84" s="28">
        <f t="shared" si="8"/>
        <v>430.64</v>
      </c>
      <c r="P84" s="28">
        <f t="shared" si="9"/>
        <v>2895.36</v>
      </c>
      <c r="Q84" s="73">
        <v>0</v>
      </c>
      <c r="R84" s="12"/>
      <c r="S84" s="12"/>
      <c r="T84" s="12"/>
      <c r="U84" s="12"/>
      <c r="V84" s="12"/>
      <c r="W84" s="12"/>
      <c r="X84" s="12"/>
      <c r="Y84" s="12"/>
    </row>
    <row r="85" spans="1:25" s="6" customFormat="1" ht="27" customHeight="1" x14ac:dyDescent="0.2">
      <c r="A85" s="139">
        <v>75</v>
      </c>
      <c r="B85" s="24" t="s">
        <v>435</v>
      </c>
      <c r="C85" s="24" t="s">
        <v>330</v>
      </c>
      <c r="D85" s="177">
        <v>1940</v>
      </c>
      <c r="E85" s="175">
        <v>0</v>
      </c>
      <c r="F85" s="27">
        <v>0</v>
      </c>
      <c r="G85" s="176">
        <v>0</v>
      </c>
      <c r="H85" s="176">
        <v>2792.33</v>
      </c>
      <c r="I85" s="176">
        <v>0</v>
      </c>
      <c r="J85" s="28">
        <f t="shared" si="5"/>
        <v>1940</v>
      </c>
      <c r="K85" s="28">
        <f t="shared" si="6"/>
        <v>58.2</v>
      </c>
      <c r="L85" s="28">
        <f>D85*10%</f>
        <v>194</v>
      </c>
      <c r="M85" s="28">
        <v>0</v>
      </c>
      <c r="N85" s="28">
        <v>0</v>
      </c>
      <c r="O85" s="28">
        <f t="shared" si="8"/>
        <v>252.2</v>
      </c>
      <c r="P85" s="28">
        <f t="shared" si="9"/>
        <v>1687.8</v>
      </c>
      <c r="Q85" s="73">
        <v>0</v>
      </c>
      <c r="R85" s="12"/>
      <c r="S85" s="12"/>
      <c r="T85" s="12"/>
      <c r="U85" s="12"/>
      <c r="V85" s="12"/>
      <c r="W85" s="12"/>
      <c r="X85" s="12"/>
      <c r="Y85" s="12"/>
    </row>
    <row r="86" spans="1:25" s="6" customFormat="1" ht="27" customHeight="1" x14ac:dyDescent="0.2">
      <c r="A86" s="139">
        <v>76</v>
      </c>
      <c r="B86" s="24" t="s">
        <v>258</v>
      </c>
      <c r="C86" s="24" t="s">
        <v>330</v>
      </c>
      <c r="D86" s="29">
        <v>1940</v>
      </c>
      <c r="E86" s="175">
        <v>0</v>
      </c>
      <c r="F86" s="27">
        <v>0</v>
      </c>
      <c r="G86" s="176">
        <v>0</v>
      </c>
      <c r="H86" s="176">
        <v>2792.33</v>
      </c>
      <c r="I86" s="176">
        <v>0</v>
      </c>
      <c r="J86" s="28">
        <f t="shared" si="5"/>
        <v>1940</v>
      </c>
      <c r="K86" s="28">
        <f t="shared" si="6"/>
        <v>58.2</v>
      </c>
      <c r="L86" s="28">
        <f>D86*10%</f>
        <v>194</v>
      </c>
      <c r="M86" s="28">
        <v>0</v>
      </c>
      <c r="N86" s="28">
        <v>0</v>
      </c>
      <c r="O86" s="28">
        <f t="shared" si="8"/>
        <v>252.2</v>
      </c>
      <c r="P86" s="28">
        <f t="shared" si="9"/>
        <v>1687.8</v>
      </c>
      <c r="Q86" s="73">
        <v>0</v>
      </c>
      <c r="R86" s="12"/>
      <c r="S86" s="12"/>
      <c r="T86" s="12"/>
      <c r="U86" s="12"/>
      <c r="V86" s="12"/>
      <c r="W86" s="12"/>
      <c r="X86" s="12"/>
      <c r="Y86" s="12"/>
    </row>
    <row r="87" spans="1:25" s="6" customFormat="1" ht="27" customHeight="1" x14ac:dyDescent="0.2">
      <c r="A87" s="139">
        <v>77</v>
      </c>
      <c r="B87" s="22" t="s">
        <v>160</v>
      </c>
      <c r="C87" s="24" t="s">
        <v>330</v>
      </c>
      <c r="D87" s="29">
        <v>1940</v>
      </c>
      <c r="E87" s="175">
        <v>0</v>
      </c>
      <c r="F87" s="27">
        <v>0</v>
      </c>
      <c r="G87" s="176">
        <v>0</v>
      </c>
      <c r="H87" s="176">
        <v>2792.33</v>
      </c>
      <c r="I87" s="176">
        <v>0</v>
      </c>
      <c r="J87" s="28">
        <f t="shared" si="5"/>
        <v>1940</v>
      </c>
      <c r="K87" s="28">
        <f t="shared" si="6"/>
        <v>58.2</v>
      </c>
      <c r="L87" s="28">
        <f>D87*10%</f>
        <v>194</v>
      </c>
      <c r="M87" s="28">
        <v>0</v>
      </c>
      <c r="N87" s="28">
        <v>0</v>
      </c>
      <c r="O87" s="28">
        <f t="shared" si="8"/>
        <v>252.2</v>
      </c>
      <c r="P87" s="28">
        <f t="shared" si="9"/>
        <v>1687.8</v>
      </c>
      <c r="Q87" s="73">
        <v>0</v>
      </c>
      <c r="R87" s="12"/>
      <c r="S87" s="12"/>
      <c r="T87" s="12"/>
      <c r="U87" s="12"/>
      <c r="V87" s="12"/>
      <c r="W87" s="12"/>
      <c r="X87" s="12"/>
      <c r="Y87" s="12"/>
    </row>
    <row r="88" spans="1:25" s="6" customFormat="1" ht="27" customHeight="1" x14ac:dyDescent="0.2">
      <c r="A88" s="139">
        <v>78</v>
      </c>
      <c r="B88" s="24" t="s">
        <v>391</v>
      </c>
      <c r="C88" s="24" t="s">
        <v>111</v>
      </c>
      <c r="D88" s="29">
        <v>1668</v>
      </c>
      <c r="E88" s="175">
        <v>1000</v>
      </c>
      <c r="F88" s="27">
        <v>0</v>
      </c>
      <c r="G88" s="176">
        <v>250</v>
      </c>
      <c r="H88" s="176">
        <v>2792.33</v>
      </c>
      <c r="I88" s="176">
        <v>0</v>
      </c>
      <c r="J88" s="28">
        <f t="shared" si="5"/>
        <v>2918</v>
      </c>
      <c r="K88" s="28">
        <f t="shared" si="6"/>
        <v>80.040000000000006</v>
      </c>
      <c r="L88" s="28">
        <f>(D88+E88)*11%</f>
        <v>293.48</v>
      </c>
      <c r="M88" s="28">
        <v>0</v>
      </c>
      <c r="N88" s="28">
        <v>0</v>
      </c>
      <c r="O88" s="28">
        <f t="shared" si="8"/>
        <v>373.52</v>
      </c>
      <c r="P88" s="28">
        <f t="shared" si="9"/>
        <v>2544.48</v>
      </c>
      <c r="Q88" s="73">
        <v>0</v>
      </c>
      <c r="R88" s="12"/>
      <c r="S88" s="12"/>
      <c r="T88" s="12"/>
      <c r="U88" s="12"/>
      <c r="V88" s="12"/>
      <c r="W88" s="12"/>
      <c r="X88" s="12"/>
      <c r="Y88" s="12"/>
    </row>
    <row r="89" spans="1:25" s="6" customFormat="1" ht="27" customHeight="1" x14ac:dyDescent="0.2">
      <c r="A89" s="139">
        <v>79</v>
      </c>
      <c r="B89" s="24" t="s">
        <v>289</v>
      </c>
      <c r="C89" s="33" t="s">
        <v>495</v>
      </c>
      <c r="D89" s="177">
        <v>2328</v>
      </c>
      <c r="E89" s="175">
        <v>0</v>
      </c>
      <c r="F89" s="27">
        <v>0</v>
      </c>
      <c r="G89" s="176">
        <v>0</v>
      </c>
      <c r="H89" s="176">
        <v>2792.33</v>
      </c>
      <c r="I89" s="176">
        <v>0</v>
      </c>
      <c r="J89" s="28">
        <f t="shared" si="5"/>
        <v>2328</v>
      </c>
      <c r="K89" s="28">
        <f t="shared" si="6"/>
        <v>69.84</v>
      </c>
      <c r="L89" s="28">
        <f>D89*11%</f>
        <v>256.08</v>
      </c>
      <c r="M89" s="28">
        <v>0</v>
      </c>
      <c r="N89" s="28">
        <v>0</v>
      </c>
      <c r="O89" s="28">
        <f t="shared" si="8"/>
        <v>325.92</v>
      </c>
      <c r="P89" s="28">
        <f t="shared" si="9"/>
        <v>2002.08</v>
      </c>
      <c r="Q89" s="73">
        <v>0</v>
      </c>
      <c r="R89" s="12"/>
      <c r="S89" s="12"/>
      <c r="T89" s="12"/>
      <c r="U89" s="12"/>
      <c r="V89" s="12"/>
      <c r="W89" s="12"/>
      <c r="X89" s="12"/>
      <c r="Y89" s="12"/>
    </row>
    <row r="90" spans="1:25" s="6" customFormat="1" ht="27" customHeight="1" x14ac:dyDescent="0.2">
      <c r="A90" s="139">
        <v>80</v>
      </c>
      <c r="B90" s="24" t="s">
        <v>259</v>
      </c>
      <c r="C90" s="24" t="s">
        <v>327</v>
      </c>
      <c r="D90" s="177">
        <v>2425</v>
      </c>
      <c r="E90" s="175">
        <v>0</v>
      </c>
      <c r="F90" s="27">
        <v>0</v>
      </c>
      <c r="G90" s="176">
        <v>0</v>
      </c>
      <c r="H90" s="176">
        <v>2792.33</v>
      </c>
      <c r="I90" s="176">
        <v>0</v>
      </c>
      <c r="J90" s="28">
        <f t="shared" si="5"/>
        <v>2425</v>
      </c>
      <c r="K90" s="28">
        <f t="shared" si="6"/>
        <v>72.75</v>
      </c>
      <c r="L90" s="28">
        <f>D90*11%</f>
        <v>266.75</v>
      </c>
      <c r="M90" s="28">
        <v>0</v>
      </c>
      <c r="N90" s="28">
        <v>0</v>
      </c>
      <c r="O90" s="28">
        <f t="shared" si="8"/>
        <v>339.5</v>
      </c>
      <c r="P90" s="28">
        <f t="shared" si="9"/>
        <v>2085.5</v>
      </c>
      <c r="Q90" s="73">
        <v>0</v>
      </c>
      <c r="R90" s="12"/>
      <c r="S90" s="12"/>
      <c r="T90" s="12"/>
      <c r="U90" s="12"/>
      <c r="V90" s="12"/>
      <c r="W90" s="12"/>
      <c r="X90" s="12"/>
      <c r="Y90" s="12"/>
    </row>
    <row r="91" spans="1:25" s="6" customFormat="1" ht="27" customHeight="1" x14ac:dyDescent="0.2">
      <c r="A91" s="139">
        <v>81</v>
      </c>
      <c r="B91" s="24" t="s">
        <v>260</v>
      </c>
      <c r="C91" s="24" t="s">
        <v>330</v>
      </c>
      <c r="D91" s="29">
        <v>1940</v>
      </c>
      <c r="E91" s="175">
        <v>0</v>
      </c>
      <c r="F91" s="27">
        <v>0</v>
      </c>
      <c r="G91" s="176">
        <v>0</v>
      </c>
      <c r="H91" s="176">
        <v>2792.33</v>
      </c>
      <c r="I91" s="176">
        <v>0</v>
      </c>
      <c r="J91" s="28">
        <f t="shared" si="5"/>
        <v>1940</v>
      </c>
      <c r="K91" s="28">
        <f t="shared" si="6"/>
        <v>58.2</v>
      </c>
      <c r="L91" s="28">
        <f>D91*10%</f>
        <v>194</v>
      </c>
      <c r="M91" s="28">
        <v>0</v>
      </c>
      <c r="N91" s="28">
        <v>0</v>
      </c>
      <c r="O91" s="28">
        <f t="shared" si="8"/>
        <v>252.2</v>
      </c>
      <c r="P91" s="28">
        <f t="shared" si="9"/>
        <v>1687.8</v>
      </c>
      <c r="Q91" s="73">
        <v>0</v>
      </c>
      <c r="R91" s="12"/>
      <c r="S91" s="12"/>
      <c r="T91" s="12"/>
      <c r="U91" s="12"/>
      <c r="V91" s="12"/>
      <c r="W91" s="12"/>
      <c r="X91" s="12"/>
      <c r="Y91" s="12"/>
    </row>
    <row r="92" spans="1:25" s="6" customFormat="1" ht="27" customHeight="1" x14ac:dyDescent="0.2">
      <c r="A92" s="139">
        <v>82</v>
      </c>
      <c r="B92" s="25" t="s">
        <v>392</v>
      </c>
      <c r="C92" s="26" t="s">
        <v>153</v>
      </c>
      <c r="D92" s="27">
        <v>2920</v>
      </c>
      <c r="E92" s="27">
        <v>1000</v>
      </c>
      <c r="F92" s="27">
        <v>0</v>
      </c>
      <c r="G92" s="27">
        <v>250</v>
      </c>
      <c r="H92" s="176">
        <v>0</v>
      </c>
      <c r="I92" s="176">
        <v>0</v>
      </c>
      <c r="J92" s="28">
        <f t="shared" si="5"/>
        <v>4170</v>
      </c>
      <c r="K92" s="28">
        <f t="shared" si="6"/>
        <v>117.6</v>
      </c>
      <c r="L92" s="28">
        <f>(D92+E92)*11%</f>
        <v>431.2</v>
      </c>
      <c r="M92" s="28">
        <v>131.99</v>
      </c>
      <c r="N92" s="28">
        <v>101.97</v>
      </c>
      <c r="O92" s="28">
        <f t="shared" si="8"/>
        <v>782.76</v>
      </c>
      <c r="P92" s="28">
        <f t="shared" si="9"/>
        <v>3387.24</v>
      </c>
      <c r="Q92" s="73">
        <v>0</v>
      </c>
      <c r="R92" s="12"/>
      <c r="S92" s="12"/>
      <c r="T92" s="12"/>
      <c r="U92" s="12"/>
      <c r="V92" s="12"/>
      <c r="W92" s="12"/>
      <c r="X92" s="12"/>
      <c r="Y92" s="12"/>
    </row>
    <row r="93" spans="1:25" s="6" customFormat="1" ht="27" customHeight="1" x14ac:dyDescent="0.2">
      <c r="A93" s="139">
        <v>83</v>
      </c>
      <c r="B93" s="24" t="s">
        <v>80</v>
      </c>
      <c r="C93" s="24" t="s">
        <v>327</v>
      </c>
      <c r="D93" s="177">
        <v>2425</v>
      </c>
      <c r="E93" s="175">
        <v>0</v>
      </c>
      <c r="F93" s="27">
        <v>0</v>
      </c>
      <c r="G93" s="176">
        <v>0</v>
      </c>
      <c r="H93" s="176">
        <v>2792.33</v>
      </c>
      <c r="I93" s="176">
        <v>0</v>
      </c>
      <c r="J93" s="28">
        <f t="shared" si="5"/>
        <v>2425</v>
      </c>
      <c r="K93" s="28">
        <f t="shared" si="6"/>
        <v>72.75</v>
      </c>
      <c r="L93" s="28">
        <f>D93*11%</f>
        <v>266.75</v>
      </c>
      <c r="M93" s="28">
        <v>0</v>
      </c>
      <c r="N93" s="28">
        <v>0</v>
      </c>
      <c r="O93" s="28">
        <f t="shared" si="8"/>
        <v>339.5</v>
      </c>
      <c r="P93" s="28">
        <f t="shared" si="9"/>
        <v>2085.5</v>
      </c>
      <c r="Q93" s="73">
        <v>0</v>
      </c>
      <c r="R93" s="12"/>
      <c r="S93" s="12"/>
      <c r="T93" s="12"/>
      <c r="U93" s="12"/>
      <c r="V93" s="12"/>
      <c r="W93" s="12"/>
      <c r="X93" s="12"/>
      <c r="Y93" s="12"/>
    </row>
    <row r="94" spans="1:25" s="6" customFormat="1" ht="27" customHeight="1" x14ac:dyDescent="0.2">
      <c r="A94" s="139">
        <v>84</v>
      </c>
      <c r="B94" s="39" t="s">
        <v>290</v>
      </c>
      <c r="C94" s="26" t="s">
        <v>393</v>
      </c>
      <c r="D94" s="27">
        <v>5787</v>
      </c>
      <c r="E94" s="27">
        <v>1800</v>
      </c>
      <c r="F94" s="27">
        <v>0</v>
      </c>
      <c r="G94" s="27">
        <v>250</v>
      </c>
      <c r="H94" s="176">
        <v>0</v>
      </c>
      <c r="I94" s="176">
        <v>0</v>
      </c>
      <c r="J94" s="28">
        <f t="shared" si="5"/>
        <v>7837</v>
      </c>
      <c r="K94" s="28">
        <f t="shared" si="6"/>
        <v>227.61</v>
      </c>
      <c r="L94" s="28">
        <f>(D94+E94)*13%</f>
        <v>986.31</v>
      </c>
      <c r="M94" s="28">
        <v>131.99</v>
      </c>
      <c r="N94" s="28">
        <v>101.97</v>
      </c>
      <c r="O94" s="28">
        <f t="shared" si="8"/>
        <v>1447.88</v>
      </c>
      <c r="P94" s="28">
        <f t="shared" si="9"/>
        <v>6389.12</v>
      </c>
      <c r="Q94" s="73">
        <v>0</v>
      </c>
      <c r="R94" s="12"/>
      <c r="S94" s="12"/>
      <c r="T94" s="12"/>
      <c r="U94" s="12"/>
      <c r="V94" s="12"/>
      <c r="W94" s="12"/>
      <c r="X94" s="12"/>
      <c r="Y94" s="12"/>
    </row>
    <row r="95" spans="1:25" s="6" customFormat="1" ht="25.5" x14ac:dyDescent="0.2">
      <c r="A95" s="139">
        <v>85</v>
      </c>
      <c r="B95" s="189" t="s">
        <v>143</v>
      </c>
      <c r="C95" s="24" t="s">
        <v>286</v>
      </c>
      <c r="D95" s="190">
        <v>2249</v>
      </c>
      <c r="E95" s="175">
        <v>1000</v>
      </c>
      <c r="F95" s="27">
        <v>0</v>
      </c>
      <c r="G95" s="176">
        <v>250</v>
      </c>
      <c r="H95" s="176">
        <v>2792.33</v>
      </c>
      <c r="I95" s="176">
        <v>0</v>
      </c>
      <c r="J95" s="28">
        <f t="shared" si="5"/>
        <v>3499</v>
      </c>
      <c r="K95" s="28">
        <f t="shared" si="6"/>
        <v>97.47</v>
      </c>
      <c r="L95" s="28">
        <f>(D95+E95)*11%</f>
        <v>357.39</v>
      </c>
      <c r="M95" s="28">
        <v>0</v>
      </c>
      <c r="N95" s="28">
        <v>0</v>
      </c>
      <c r="O95" s="28">
        <f t="shared" si="8"/>
        <v>454.86</v>
      </c>
      <c r="P95" s="28">
        <f t="shared" si="9"/>
        <v>3044.14</v>
      </c>
      <c r="Q95" s="73">
        <v>0</v>
      </c>
      <c r="R95" s="12"/>
      <c r="S95" s="12"/>
      <c r="T95" s="12"/>
      <c r="U95" s="12"/>
      <c r="V95" s="12"/>
      <c r="W95" s="12"/>
      <c r="X95" s="12"/>
      <c r="Y95" s="12"/>
    </row>
    <row r="96" spans="1:25" s="6" customFormat="1" ht="25.5" x14ac:dyDescent="0.2">
      <c r="A96" s="139">
        <v>86</v>
      </c>
      <c r="B96" s="24" t="s">
        <v>100</v>
      </c>
      <c r="C96" s="24" t="s">
        <v>327</v>
      </c>
      <c r="D96" s="177">
        <v>2425</v>
      </c>
      <c r="E96" s="175">
        <v>0</v>
      </c>
      <c r="F96" s="27">
        <v>0</v>
      </c>
      <c r="G96" s="176">
        <v>0</v>
      </c>
      <c r="H96" s="176">
        <v>2792.33</v>
      </c>
      <c r="I96" s="176">
        <v>0</v>
      </c>
      <c r="J96" s="28">
        <f t="shared" si="5"/>
        <v>2425</v>
      </c>
      <c r="K96" s="28">
        <f t="shared" si="6"/>
        <v>72.75</v>
      </c>
      <c r="L96" s="28">
        <f>D96*11%</f>
        <v>266.75</v>
      </c>
      <c r="M96" s="28">
        <v>0</v>
      </c>
      <c r="N96" s="28">
        <v>0</v>
      </c>
      <c r="O96" s="28">
        <f t="shared" si="8"/>
        <v>339.5</v>
      </c>
      <c r="P96" s="28">
        <f t="shared" si="9"/>
        <v>2085.5</v>
      </c>
      <c r="Q96" s="73">
        <v>0</v>
      </c>
      <c r="R96" s="12"/>
      <c r="S96" s="12"/>
      <c r="T96" s="12"/>
      <c r="U96" s="12"/>
      <c r="V96" s="12"/>
      <c r="W96" s="12"/>
      <c r="X96" s="12"/>
      <c r="Y96" s="12"/>
    </row>
    <row r="97" spans="1:25" s="6" customFormat="1" ht="25.5" x14ac:dyDescent="0.2">
      <c r="A97" s="139">
        <v>87</v>
      </c>
      <c r="B97" s="24" t="s">
        <v>261</v>
      </c>
      <c r="C97" s="24" t="s">
        <v>335</v>
      </c>
      <c r="D97" s="29">
        <v>3081</v>
      </c>
      <c r="E97" s="29">
        <v>1000</v>
      </c>
      <c r="F97" s="27">
        <v>0</v>
      </c>
      <c r="G97" s="176">
        <v>250</v>
      </c>
      <c r="H97" s="176">
        <v>2792.33</v>
      </c>
      <c r="I97" s="176">
        <v>0</v>
      </c>
      <c r="J97" s="28">
        <f t="shared" si="5"/>
        <v>4331</v>
      </c>
      <c r="K97" s="28">
        <f t="shared" si="6"/>
        <v>122.43</v>
      </c>
      <c r="L97" s="28">
        <f>(D97+E97)*12%</f>
        <v>489.72</v>
      </c>
      <c r="M97" s="28">
        <v>0</v>
      </c>
      <c r="N97" s="28">
        <v>52.68</v>
      </c>
      <c r="O97" s="28">
        <f t="shared" si="8"/>
        <v>664.83</v>
      </c>
      <c r="P97" s="28">
        <f t="shared" si="9"/>
        <v>3666.17</v>
      </c>
      <c r="Q97" s="73">
        <v>9181.58</v>
      </c>
      <c r="R97" s="12"/>
      <c r="S97" s="12"/>
      <c r="T97" s="12"/>
      <c r="U97" s="12"/>
      <c r="V97" s="12"/>
      <c r="W97" s="12"/>
      <c r="X97" s="12"/>
      <c r="Y97" s="12"/>
    </row>
    <row r="98" spans="1:25" s="6" customFormat="1" ht="25.5" x14ac:dyDescent="0.2">
      <c r="A98" s="139">
        <v>88</v>
      </c>
      <c r="B98" s="24" t="s">
        <v>291</v>
      </c>
      <c r="C98" s="33" t="s">
        <v>495</v>
      </c>
      <c r="D98" s="177">
        <v>2328</v>
      </c>
      <c r="E98" s="175">
        <v>0</v>
      </c>
      <c r="F98" s="27">
        <v>0</v>
      </c>
      <c r="G98" s="176">
        <v>0</v>
      </c>
      <c r="H98" s="176">
        <v>2792.33</v>
      </c>
      <c r="I98" s="176">
        <v>0</v>
      </c>
      <c r="J98" s="28">
        <f t="shared" si="5"/>
        <v>2328</v>
      </c>
      <c r="K98" s="28">
        <f t="shared" si="6"/>
        <v>69.84</v>
      </c>
      <c r="L98" s="28">
        <f>D98*11%</f>
        <v>256.08</v>
      </c>
      <c r="M98" s="28">
        <v>0</v>
      </c>
      <c r="N98" s="28">
        <v>0</v>
      </c>
      <c r="O98" s="28">
        <f t="shared" si="8"/>
        <v>325.92</v>
      </c>
      <c r="P98" s="28">
        <f t="shared" si="9"/>
        <v>2002.08</v>
      </c>
      <c r="Q98" s="73">
        <v>0</v>
      </c>
      <c r="R98" s="12"/>
      <c r="S98" s="12"/>
      <c r="T98" s="12"/>
      <c r="U98" s="12"/>
      <c r="V98" s="12"/>
      <c r="W98" s="12"/>
      <c r="X98" s="12"/>
      <c r="Y98" s="12"/>
    </row>
    <row r="99" spans="1:25" s="6" customFormat="1" ht="25.5" x14ac:dyDescent="0.2">
      <c r="A99" s="139">
        <v>89</v>
      </c>
      <c r="B99" s="24" t="s">
        <v>341</v>
      </c>
      <c r="C99" s="26" t="s">
        <v>155</v>
      </c>
      <c r="D99" s="27">
        <v>0</v>
      </c>
      <c r="E99" s="27">
        <v>0</v>
      </c>
      <c r="F99" s="27">
        <v>0</v>
      </c>
      <c r="G99" s="27">
        <v>0</v>
      </c>
      <c r="H99" s="27">
        <v>711.48</v>
      </c>
      <c r="I99" s="176">
        <v>0</v>
      </c>
      <c r="J99" s="28">
        <f t="shared" si="5"/>
        <v>0</v>
      </c>
      <c r="K99" s="28">
        <f t="shared" si="6"/>
        <v>0</v>
      </c>
      <c r="L99" s="28">
        <f>(D99+E99)*15%</f>
        <v>0</v>
      </c>
      <c r="M99" s="28">
        <v>0</v>
      </c>
      <c r="N99" s="28">
        <v>0</v>
      </c>
      <c r="O99" s="28">
        <f t="shared" si="8"/>
        <v>0</v>
      </c>
      <c r="P99" s="28">
        <f t="shared" si="9"/>
        <v>0</v>
      </c>
      <c r="Q99" s="73">
        <v>0</v>
      </c>
      <c r="R99" s="12"/>
      <c r="S99" s="12"/>
      <c r="T99" s="12"/>
      <c r="U99" s="12"/>
      <c r="V99" s="12"/>
      <c r="W99" s="12"/>
      <c r="X99" s="12"/>
      <c r="Y99" s="12"/>
    </row>
    <row r="100" spans="1:25" s="6" customFormat="1" ht="25.5" x14ac:dyDescent="0.2">
      <c r="A100" s="139">
        <v>90</v>
      </c>
      <c r="B100" s="25" t="s">
        <v>41</v>
      </c>
      <c r="C100" s="24" t="s">
        <v>110</v>
      </c>
      <c r="D100" s="27">
        <v>2920</v>
      </c>
      <c r="E100" s="27">
        <v>1000</v>
      </c>
      <c r="F100" s="27">
        <v>0</v>
      </c>
      <c r="G100" s="27">
        <v>250</v>
      </c>
      <c r="H100" s="176">
        <v>2792.33</v>
      </c>
      <c r="I100" s="176">
        <v>0</v>
      </c>
      <c r="J100" s="28">
        <f t="shared" si="5"/>
        <v>4170</v>
      </c>
      <c r="K100" s="28">
        <f t="shared" si="6"/>
        <v>117.6</v>
      </c>
      <c r="L100" s="28">
        <f>(D100+E100)*11%</f>
        <v>431.2</v>
      </c>
      <c r="M100" s="28">
        <v>0</v>
      </c>
      <c r="N100" s="28">
        <v>52.68</v>
      </c>
      <c r="O100" s="28">
        <f t="shared" si="8"/>
        <v>601.48</v>
      </c>
      <c r="P100" s="28">
        <f t="shared" si="9"/>
        <v>3568.52</v>
      </c>
      <c r="Q100" s="73">
        <v>0</v>
      </c>
      <c r="R100" s="12"/>
      <c r="S100" s="12"/>
      <c r="T100" s="12"/>
      <c r="U100" s="12"/>
      <c r="V100" s="12"/>
      <c r="W100" s="12"/>
      <c r="X100" s="12"/>
      <c r="Y100" s="12"/>
    </row>
    <row r="101" spans="1:25" s="6" customFormat="1" ht="25.5" x14ac:dyDescent="0.2">
      <c r="A101" s="139">
        <v>91</v>
      </c>
      <c r="B101" s="25" t="s">
        <v>40</v>
      </c>
      <c r="C101" s="24" t="s">
        <v>287</v>
      </c>
      <c r="D101" s="27">
        <v>1831</v>
      </c>
      <c r="E101" s="27">
        <v>1000</v>
      </c>
      <c r="F101" s="27">
        <v>0</v>
      </c>
      <c r="G101" s="27">
        <v>250</v>
      </c>
      <c r="H101" s="176">
        <v>2792.33</v>
      </c>
      <c r="I101" s="176">
        <v>0</v>
      </c>
      <c r="J101" s="28">
        <f t="shared" si="5"/>
        <v>3081</v>
      </c>
      <c r="K101" s="28">
        <f t="shared" si="6"/>
        <v>84.93</v>
      </c>
      <c r="L101" s="28">
        <f>(D101+E101)*11%</f>
        <v>311.41000000000003</v>
      </c>
      <c r="M101" s="28">
        <v>0</v>
      </c>
      <c r="N101" s="28">
        <v>38.049999999999997</v>
      </c>
      <c r="O101" s="28">
        <f t="shared" si="8"/>
        <v>434.39</v>
      </c>
      <c r="P101" s="28">
        <f t="shared" si="9"/>
        <v>2646.61</v>
      </c>
      <c r="Q101" s="73">
        <v>0</v>
      </c>
      <c r="R101" s="12"/>
      <c r="S101" s="12"/>
      <c r="T101" s="12"/>
      <c r="U101" s="12"/>
      <c r="V101" s="12"/>
      <c r="W101" s="12"/>
      <c r="X101" s="12"/>
      <c r="Y101" s="12"/>
    </row>
    <row r="102" spans="1:25" s="6" customFormat="1" ht="25.5" x14ac:dyDescent="0.2">
      <c r="A102" s="139">
        <v>92</v>
      </c>
      <c r="B102" s="24" t="s">
        <v>394</v>
      </c>
      <c r="C102" s="24" t="s">
        <v>330</v>
      </c>
      <c r="D102" s="177">
        <v>1940</v>
      </c>
      <c r="E102" s="175">
        <v>0</v>
      </c>
      <c r="F102" s="27">
        <v>0</v>
      </c>
      <c r="G102" s="176">
        <v>0</v>
      </c>
      <c r="H102" s="176">
        <v>2792.33</v>
      </c>
      <c r="I102" s="176">
        <v>0</v>
      </c>
      <c r="J102" s="28">
        <f t="shared" si="5"/>
        <v>1940</v>
      </c>
      <c r="K102" s="28">
        <f t="shared" si="6"/>
        <v>58.2</v>
      </c>
      <c r="L102" s="28">
        <f>D102*10%</f>
        <v>194</v>
      </c>
      <c r="M102" s="28">
        <v>0</v>
      </c>
      <c r="N102" s="28">
        <v>0</v>
      </c>
      <c r="O102" s="28">
        <f t="shared" si="8"/>
        <v>252.2</v>
      </c>
      <c r="P102" s="28">
        <f t="shared" si="9"/>
        <v>1687.8</v>
      </c>
      <c r="Q102" s="73">
        <v>0</v>
      </c>
      <c r="R102" s="12"/>
      <c r="S102" s="12"/>
      <c r="T102" s="12"/>
      <c r="U102" s="12"/>
      <c r="V102" s="12"/>
      <c r="W102" s="12"/>
      <c r="X102" s="12"/>
      <c r="Y102" s="12"/>
    </row>
    <row r="103" spans="1:25" s="6" customFormat="1" ht="25.5" x14ac:dyDescent="0.2">
      <c r="A103" s="139">
        <v>93</v>
      </c>
      <c r="B103" s="22" t="s">
        <v>342</v>
      </c>
      <c r="C103" s="24" t="s">
        <v>335</v>
      </c>
      <c r="D103" s="191">
        <v>3081</v>
      </c>
      <c r="E103" s="186">
        <v>1000</v>
      </c>
      <c r="F103" s="27">
        <v>0</v>
      </c>
      <c r="G103" s="176">
        <v>250</v>
      </c>
      <c r="H103" s="176">
        <v>2792.33</v>
      </c>
      <c r="I103" s="176">
        <v>0</v>
      </c>
      <c r="J103" s="28">
        <f t="shared" si="5"/>
        <v>4331</v>
      </c>
      <c r="K103" s="28">
        <f t="shared" si="6"/>
        <v>122.43</v>
      </c>
      <c r="L103" s="28">
        <f>(D103+E103)*12%</f>
        <v>489.72</v>
      </c>
      <c r="M103" s="28">
        <v>0</v>
      </c>
      <c r="N103" s="28">
        <v>0</v>
      </c>
      <c r="O103" s="28">
        <f t="shared" si="8"/>
        <v>612.15</v>
      </c>
      <c r="P103" s="28">
        <f t="shared" si="9"/>
        <v>3718.85</v>
      </c>
      <c r="Q103" s="73">
        <v>8864.1299999999992</v>
      </c>
      <c r="R103" s="12"/>
      <c r="S103" s="12"/>
      <c r="T103" s="12"/>
      <c r="U103" s="12"/>
      <c r="V103" s="12"/>
      <c r="W103" s="12"/>
      <c r="X103" s="12"/>
      <c r="Y103" s="12"/>
    </row>
    <row r="104" spans="1:25" s="6" customFormat="1" ht="25.5" x14ac:dyDescent="0.2">
      <c r="A104" s="139">
        <v>94</v>
      </c>
      <c r="B104" s="24" t="s">
        <v>292</v>
      </c>
      <c r="C104" s="24" t="s">
        <v>330</v>
      </c>
      <c r="D104" s="177">
        <v>1940</v>
      </c>
      <c r="E104" s="175">
        <v>0</v>
      </c>
      <c r="F104" s="27">
        <v>0</v>
      </c>
      <c r="G104" s="176">
        <v>0</v>
      </c>
      <c r="H104" s="176">
        <v>2792.33</v>
      </c>
      <c r="I104" s="176">
        <v>0</v>
      </c>
      <c r="J104" s="28">
        <f t="shared" si="5"/>
        <v>1940</v>
      </c>
      <c r="K104" s="28">
        <f t="shared" si="6"/>
        <v>58.2</v>
      </c>
      <c r="L104" s="28">
        <f>D104*10%</f>
        <v>194</v>
      </c>
      <c r="M104" s="28">
        <v>0</v>
      </c>
      <c r="N104" s="28">
        <v>0</v>
      </c>
      <c r="O104" s="28">
        <f t="shared" si="8"/>
        <v>252.2</v>
      </c>
      <c r="P104" s="28">
        <f t="shared" si="9"/>
        <v>1687.8</v>
      </c>
      <c r="Q104" s="73">
        <v>0</v>
      </c>
      <c r="R104" s="12"/>
      <c r="S104" s="12"/>
      <c r="T104" s="12"/>
      <c r="U104" s="12"/>
      <c r="V104" s="12"/>
      <c r="W104" s="12"/>
      <c r="X104" s="12"/>
      <c r="Y104" s="12"/>
    </row>
    <row r="105" spans="1:25" s="6" customFormat="1" ht="25.5" x14ac:dyDescent="0.2">
      <c r="A105" s="139">
        <v>95</v>
      </c>
      <c r="B105" s="22" t="s">
        <v>395</v>
      </c>
      <c r="C105" s="22" t="s">
        <v>491</v>
      </c>
      <c r="D105" s="29">
        <v>2760</v>
      </c>
      <c r="E105" s="175">
        <v>1000</v>
      </c>
      <c r="F105" s="27">
        <v>0</v>
      </c>
      <c r="G105" s="176">
        <v>250</v>
      </c>
      <c r="H105" s="176">
        <v>0</v>
      </c>
      <c r="I105" s="176">
        <v>0</v>
      </c>
      <c r="J105" s="28">
        <f t="shared" si="5"/>
        <v>4010</v>
      </c>
      <c r="K105" s="28">
        <f t="shared" si="6"/>
        <v>112.8</v>
      </c>
      <c r="L105" s="28">
        <f>(D105+E105)*11%</f>
        <v>413.6</v>
      </c>
      <c r="M105" s="28">
        <v>0</v>
      </c>
      <c r="N105" s="28">
        <v>0</v>
      </c>
      <c r="O105" s="28">
        <f t="shared" si="8"/>
        <v>526.4</v>
      </c>
      <c r="P105" s="28">
        <f t="shared" si="9"/>
        <v>3483.6</v>
      </c>
      <c r="Q105" s="73">
        <v>0</v>
      </c>
      <c r="R105" s="12"/>
      <c r="S105" s="12"/>
      <c r="T105" s="12"/>
      <c r="U105" s="12"/>
      <c r="V105" s="12"/>
      <c r="W105" s="12"/>
      <c r="X105" s="12"/>
      <c r="Y105" s="12"/>
    </row>
    <row r="106" spans="1:25" s="6" customFormat="1" ht="25.5" x14ac:dyDescent="0.2">
      <c r="A106" s="139">
        <v>96</v>
      </c>
      <c r="B106" s="31" t="s">
        <v>396</v>
      </c>
      <c r="C106" s="24" t="s">
        <v>199</v>
      </c>
      <c r="D106" s="27">
        <v>5095</v>
      </c>
      <c r="E106" s="27">
        <v>1800</v>
      </c>
      <c r="F106" s="27">
        <v>0</v>
      </c>
      <c r="G106" s="27">
        <v>250</v>
      </c>
      <c r="H106" s="176">
        <v>0</v>
      </c>
      <c r="I106" s="176">
        <v>0</v>
      </c>
      <c r="J106" s="28">
        <f t="shared" si="5"/>
        <v>7145</v>
      </c>
      <c r="K106" s="28">
        <f t="shared" si="6"/>
        <v>206.85</v>
      </c>
      <c r="L106" s="28">
        <f>(D106+E106)*13%</f>
        <v>896.35</v>
      </c>
      <c r="M106" s="28">
        <v>102.92</v>
      </c>
      <c r="N106" s="28">
        <v>92.67</v>
      </c>
      <c r="O106" s="28">
        <f t="shared" si="8"/>
        <v>1298.79</v>
      </c>
      <c r="P106" s="28">
        <f t="shared" si="9"/>
        <v>5846.21</v>
      </c>
      <c r="Q106" s="73">
        <v>0</v>
      </c>
      <c r="R106" s="12"/>
      <c r="S106" s="12"/>
      <c r="T106" s="12"/>
      <c r="U106" s="12"/>
      <c r="V106" s="12"/>
      <c r="W106" s="12"/>
      <c r="X106" s="12"/>
      <c r="Y106" s="12"/>
    </row>
    <row r="107" spans="1:25" s="6" customFormat="1" x14ac:dyDescent="0.2">
      <c r="A107" s="139">
        <v>97</v>
      </c>
      <c r="B107" s="79" t="s">
        <v>928</v>
      </c>
      <c r="C107" s="23" t="s">
        <v>28</v>
      </c>
      <c r="D107" s="27">
        <v>1902</v>
      </c>
      <c r="E107" s="27">
        <v>1000</v>
      </c>
      <c r="F107" s="27">
        <v>0</v>
      </c>
      <c r="G107" s="27">
        <v>250</v>
      </c>
      <c r="H107" s="176">
        <v>2562.19</v>
      </c>
      <c r="I107" s="176">
        <v>0</v>
      </c>
      <c r="J107" s="28">
        <f t="shared" si="5"/>
        <v>3152</v>
      </c>
      <c r="K107" s="28">
        <f t="shared" si="6"/>
        <v>87.06</v>
      </c>
      <c r="L107" s="28">
        <f>(D107+E107)*11%</f>
        <v>319.22000000000003</v>
      </c>
      <c r="M107" s="28">
        <v>0</v>
      </c>
      <c r="N107" s="28">
        <v>0</v>
      </c>
      <c r="O107" s="28">
        <f t="shared" si="8"/>
        <v>406.28</v>
      </c>
      <c r="P107" s="28">
        <f t="shared" si="9"/>
        <v>2745.72</v>
      </c>
      <c r="Q107" s="73">
        <v>0</v>
      </c>
      <c r="R107" s="12"/>
      <c r="S107" s="12"/>
      <c r="T107" s="12"/>
      <c r="U107" s="12"/>
      <c r="V107" s="12"/>
      <c r="W107" s="12"/>
      <c r="X107" s="12"/>
      <c r="Y107" s="12"/>
    </row>
    <row r="108" spans="1:25" s="6" customFormat="1" ht="25.5" x14ac:dyDescent="0.2">
      <c r="A108" s="139">
        <v>98</v>
      </c>
      <c r="B108" s="24" t="s">
        <v>343</v>
      </c>
      <c r="C108" s="24" t="s">
        <v>330</v>
      </c>
      <c r="D108" s="177">
        <v>1940</v>
      </c>
      <c r="E108" s="175">
        <v>0</v>
      </c>
      <c r="F108" s="27">
        <v>0</v>
      </c>
      <c r="G108" s="176">
        <v>0</v>
      </c>
      <c r="H108" s="176">
        <v>2792.33</v>
      </c>
      <c r="I108" s="176">
        <v>0</v>
      </c>
      <c r="J108" s="28">
        <f t="shared" si="5"/>
        <v>1940</v>
      </c>
      <c r="K108" s="28">
        <f t="shared" si="6"/>
        <v>58.2</v>
      </c>
      <c r="L108" s="28">
        <f>D108*10%</f>
        <v>194</v>
      </c>
      <c r="M108" s="28">
        <v>0</v>
      </c>
      <c r="N108" s="28">
        <v>0</v>
      </c>
      <c r="O108" s="28">
        <f t="shared" si="8"/>
        <v>252.2</v>
      </c>
      <c r="P108" s="28">
        <f t="shared" si="9"/>
        <v>1687.8</v>
      </c>
      <c r="Q108" s="73">
        <v>0</v>
      </c>
      <c r="R108" s="12"/>
      <c r="S108" s="12"/>
      <c r="T108" s="12"/>
      <c r="U108" s="12"/>
      <c r="V108" s="12"/>
      <c r="W108" s="12"/>
      <c r="X108" s="12"/>
      <c r="Y108" s="12"/>
    </row>
    <row r="109" spans="1:25" s="6" customFormat="1" ht="25.5" x14ac:dyDescent="0.2">
      <c r="A109" s="139">
        <v>99</v>
      </c>
      <c r="B109" s="24" t="s">
        <v>397</v>
      </c>
      <c r="C109" s="24" t="s">
        <v>327</v>
      </c>
      <c r="D109" s="177">
        <v>2425</v>
      </c>
      <c r="E109" s="175">
        <v>0</v>
      </c>
      <c r="F109" s="27">
        <v>0</v>
      </c>
      <c r="G109" s="176">
        <v>0</v>
      </c>
      <c r="H109" s="176">
        <v>2792.33</v>
      </c>
      <c r="I109" s="176">
        <v>0</v>
      </c>
      <c r="J109" s="28">
        <f t="shared" si="5"/>
        <v>2425</v>
      </c>
      <c r="K109" s="28">
        <f t="shared" si="6"/>
        <v>72.75</v>
      </c>
      <c r="L109" s="28">
        <f>D109*11%</f>
        <v>266.75</v>
      </c>
      <c r="M109" s="28">
        <v>0</v>
      </c>
      <c r="N109" s="28">
        <v>0</v>
      </c>
      <c r="O109" s="28">
        <f t="shared" si="8"/>
        <v>339.5</v>
      </c>
      <c r="P109" s="28">
        <f t="shared" si="9"/>
        <v>2085.5</v>
      </c>
      <c r="Q109" s="73">
        <v>0</v>
      </c>
      <c r="R109" s="12"/>
      <c r="S109" s="12"/>
      <c r="T109" s="12"/>
      <c r="U109" s="12"/>
      <c r="V109" s="12"/>
      <c r="W109" s="12"/>
      <c r="X109" s="12"/>
      <c r="Y109" s="12"/>
    </row>
    <row r="110" spans="1:25" s="6" customFormat="1" ht="25.5" x14ac:dyDescent="0.2">
      <c r="A110" s="139">
        <v>100</v>
      </c>
      <c r="B110" s="24" t="s">
        <v>61</v>
      </c>
      <c r="C110" s="24" t="s">
        <v>286</v>
      </c>
      <c r="D110" s="29">
        <v>2249</v>
      </c>
      <c r="E110" s="29">
        <v>1000</v>
      </c>
      <c r="F110" s="27">
        <v>0</v>
      </c>
      <c r="G110" s="176">
        <v>250</v>
      </c>
      <c r="H110" s="176">
        <v>2792.33</v>
      </c>
      <c r="I110" s="176">
        <v>0</v>
      </c>
      <c r="J110" s="28">
        <f t="shared" si="5"/>
        <v>3499</v>
      </c>
      <c r="K110" s="28">
        <f t="shared" si="6"/>
        <v>97.47</v>
      </c>
      <c r="L110" s="28">
        <f>(D110+E110)*11%</f>
        <v>357.39</v>
      </c>
      <c r="M110" s="28">
        <v>0</v>
      </c>
      <c r="N110" s="28">
        <v>0</v>
      </c>
      <c r="O110" s="28">
        <f t="shared" si="8"/>
        <v>454.86</v>
      </c>
      <c r="P110" s="28">
        <f t="shared" si="9"/>
        <v>3044.14</v>
      </c>
      <c r="Q110" s="73">
        <v>0</v>
      </c>
      <c r="R110" s="12"/>
      <c r="S110" s="12"/>
      <c r="T110" s="12"/>
      <c r="U110" s="12"/>
      <c r="V110" s="12"/>
      <c r="W110" s="12"/>
      <c r="X110" s="12"/>
      <c r="Y110" s="12"/>
    </row>
    <row r="111" spans="1:25" s="6" customFormat="1" ht="25.5" x14ac:dyDescent="0.2">
      <c r="A111" s="139">
        <v>101</v>
      </c>
      <c r="B111" s="33" t="s">
        <v>398</v>
      </c>
      <c r="C111" s="24" t="s">
        <v>110</v>
      </c>
      <c r="D111" s="28">
        <v>2920</v>
      </c>
      <c r="E111" s="28">
        <v>1000</v>
      </c>
      <c r="F111" s="27">
        <v>0</v>
      </c>
      <c r="G111" s="176">
        <v>250</v>
      </c>
      <c r="H111" s="176">
        <v>2792.33</v>
      </c>
      <c r="I111" s="176">
        <v>0</v>
      </c>
      <c r="J111" s="28">
        <f t="shared" si="5"/>
        <v>4170</v>
      </c>
      <c r="K111" s="28">
        <f t="shared" si="6"/>
        <v>117.6</v>
      </c>
      <c r="L111" s="28">
        <f>(D111+E111)*11%</f>
        <v>431.2</v>
      </c>
      <c r="M111" s="28">
        <v>0</v>
      </c>
      <c r="N111" s="28">
        <v>0</v>
      </c>
      <c r="O111" s="28">
        <f t="shared" si="8"/>
        <v>548.79999999999995</v>
      </c>
      <c r="P111" s="28">
        <f t="shared" si="9"/>
        <v>3621.2</v>
      </c>
      <c r="Q111" s="73">
        <v>0</v>
      </c>
      <c r="R111" s="12"/>
      <c r="S111" s="12"/>
      <c r="T111" s="12"/>
      <c r="U111" s="12"/>
      <c r="V111" s="12"/>
      <c r="W111" s="12"/>
      <c r="X111" s="12"/>
      <c r="Y111" s="12"/>
    </row>
    <row r="112" spans="1:25" s="6" customFormat="1" ht="25.5" x14ac:dyDescent="0.2">
      <c r="A112" s="139">
        <v>102</v>
      </c>
      <c r="B112" s="24" t="s">
        <v>262</v>
      </c>
      <c r="C112" s="24" t="s">
        <v>327</v>
      </c>
      <c r="D112" s="177">
        <v>2425</v>
      </c>
      <c r="E112" s="29">
        <v>0</v>
      </c>
      <c r="F112" s="27">
        <v>0</v>
      </c>
      <c r="G112" s="176">
        <v>0</v>
      </c>
      <c r="H112" s="176">
        <v>2792.33</v>
      </c>
      <c r="I112" s="176">
        <v>0</v>
      </c>
      <c r="J112" s="28">
        <f t="shared" si="5"/>
        <v>2425</v>
      </c>
      <c r="K112" s="28">
        <f t="shared" si="6"/>
        <v>72.75</v>
      </c>
      <c r="L112" s="28">
        <f>(D112+E112)*11%</f>
        <v>266.75</v>
      </c>
      <c r="M112" s="28">
        <v>0</v>
      </c>
      <c r="N112" s="28">
        <v>0</v>
      </c>
      <c r="O112" s="28">
        <f t="shared" si="8"/>
        <v>339.5</v>
      </c>
      <c r="P112" s="28">
        <f t="shared" si="9"/>
        <v>2085.5</v>
      </c>
      <c r="Q112" s="73">
        <v>0</v>
      </c>
      <c r="R112" s="12"/>
      <c r="S112" s="12"/>
      <c r="T112" s="12"/>
      <c r="U112" s="12"/>
      <c r="V112" s="12"/>
      <c r="W112" s="12"/>
      <c r="X112" s="12"/>
      <c r="Y112" s="12"/>
    </row>
    <row r="113" spans="1:25" s="6" customFormat="1" ht="25.5" x14ac:dyDescent="0.2">
      <c r="A113" s="139">
        <v>103</v>
      </c>
      <c r="B113" s="24" t="s">
        <v>263</v>
      </c>
      <c r="C113" s="24" t="s">
        <v>330</v>
      </c>
      <c r="D113" s="177">
        <v>1940</v>
      </c>
      <c r="E113" s="29">
        <v>0</v>
      </c>
      <c r="F113" s="27">
        <v>0</v>
      </c>
      <c r="G113" s="176">
        <v>0</v>
      </c>
      <c r="H113" s="176">
        <v>2792.33</v>
      </c>
      <c r="I113" s="176">
        <v>0</v>
      </c>
      <c r="J113" s="28">
        <f t="shared" si="5"/>
        <v>1940</v>
      </c>
      <c r="K113" s="28">
        <f t="shared" si="6"/>
        <v>58.2</v>
      </c>
      <c r="L113" s="28">
        <f>D113*10%</f>
        <v>194</v>
      </c>
      <c r="M113" s="28">
        <v>0</v>
      </c>
      <c r="N113" s="28">
        <v>0</v>
      </c>
      <c r="O113" s="28">
        <f t="shared" si="8"/>
        <v>252.2</v>
      </c>
      <c r="P113" s="28">
        <f t="shared" si="9"/>
        <v>1687.8</v>
      </c>
      <c r="Q113" s="73">
        <v>0</v>
      </c>
      <c r="R113" s="12"/>
      <c r="S113" s="12"/>
      <c r="T113" s="12"/>
      <c r="U113" s="12"/>
      <c r="V113" s="12"/>
      <c r="W113" s="12"/>
      <c r="X113" s="12"/>
      <c r="Y113" s="12"/>
    </row>
    <row r="114" spans="1:25" s="6" customFormat="1" ht="25.5" x14ac:dyDescent="0.2">
      <c r="A114" s="139">
        <v>104</v>
      </c>
      <c r="B114" s="24" t="s">
        <v>399</v>
      </c>
      <c r="C114" s="24" t="s">
        <v>327</v>
      </c>
      <c r="D114" s="177">
        <v>2425</v>
      </c>
      <c r="E114" s="29">
        <v>0</v>
      </c>
      <c r="F114" s="27">
        <v>0</v>
      </c>
      <c r="G114" s="176">
        <v>0</v>
      </c>
      <c r="H114" s="176">
        <v>2792.33</v>
      </c>
      <c r="I114" s="176">
        <v>0</v>
      </c>
      <c r="J114" s="28">
        <f t="shared" si="5"/>
        <v>2425</v>
      </c>
      <c r="K114" s="28">
        <f t="shared" si="6"/>
        <v>72.75</v>
      </c>
      <c r="L114" s="28">
        <f>D114*11%</f>
        <v>266.75</v>
      </c>
      <c r="M114" s="28">
        <v>0</v>
      </c>
      <c r="N114" s="28">
        <v>0</v>
      </c>
      <c r="O114" s="28">
        <f t="shared" si="8"/>
        <v>339.5</v>
      </c>
      <c r="P114" s="28">
        <f t="shared" si="9"/>
        <v>2085.5</v>
      </c>
      <c r="Q114" s="73">
        <v>0</v>
      </c>
      <c r="R114" s="12"/>
      <c r="S114" s="12"/>
      <c r="T114" s="12"/>
      <c r="U114" s="12"/>
      <c r="V114" s="12"/>
      <c r="W114" s="12"/>
      <c r="X114" s="12"/>
      <c r="Y114" s="12"/>
    </row>
    <row r="115" spans="1:25" s="6" customFormat="1" ht="25.5" x14ac:dyDescent="0.2">
      <c r="A115" s="139">
        <v>105</v>
      </c>
      <c r="B115" s="24" t="s">
        <v>264</v>
      </c>
      <c r="C115" s="24" t="s">
        <v>330</v>
      </c>
      <c r="D115" s="177">
        <v>1940</v>
      </c>
      <c r="E115" s="29">
        <v>0</v>
      </c>
      <c r="F115" s="27">
        <v>0</v>
      </c>
      <c r="G115" s="176">
        <v>0</v>
      </c>
      <c r="H115" s="176">
        <v>2792.33</v>
      </c>
      <c r="I115" s="176">
        <v>0</v>
      </c>
      <c r="J115" s="28">
        <f t="shared" si="5"/>
        <v>1940</v>
      </c>
      <c r="K115" s="28">
        <f t="shared" si="6"/>
        <v>58.2</v>
      </c>
      <c r="L115" s="28">
        <f>D115*10%</f>
        <v>194</v>
      </c>
      <c r="M115" s="28">
        <v>0</v>
      </c>
      <c r="N115" s="28">
        <v>0</v>
      </c>
      <c r="O115" s="28">
        <f t="shared" si="8"/>
        <v>252.2</v>
      </c>
      <c r="P115" s="28">
        <f t="shared" si="9"/>
        <v>1687.8</v>
      </c>
      <c r="Q115" s="73">
        <v>0</v>
      </c>
      <c r="R115" s="12"/>
      <c r="S115" s="12"/>
      <c r="T115" s="12"/>
      <c r="U115" s="12"/>
      <c r="V115" s="12"/>
      <c r="W115" s="12"/>
      <c r="X115" s="12"/>
      <c r="Y115" s="12"/>
    </row>
    <row r="116" spans="1:25" s="6" customFormat="1" ht="25.5" x14ac:dyDescent="0.2">
      <c r="A116" s="139">
        <v>106</v>
      </c>
      <c r="B116" s="24" t="s">
        <v>283</v>
      </c>
      <c r="C116" s="24" t="s">
        <v>327</v>
      </c>
      <c r="D116" s="177">
        <v>2425</v>
      </c>
      <c r="E116" s="29">
        <v>0</v>
      </c>
      <c r="F116" s="27">
        <v>0</v>
      </c>
      <c r="G116" s="176">
        <v>0</v>
      </c>
      <c r="H116" s="176">
        <v>2792.33</v>
      </c>
      <c r="I116" s="176">
        <v>0</v>
      </c>
      <c r="J116" s="28">
        <f t="shared" si="5"/>
        <v>2425</v>
      </c>
      <c r="K116" s="28">
        <f t="shared" si="6"/>
        <v>72.75</v>
      </c>
      <c r="L116" s="28">
        <f>D116*11%</f>
        <v>266.75</v>
      </c>
      <c r="M116" s="28">
        <v>0</v>
      </c>
      <c r="N116" s="28">
        <v>0</v>
      </c>
      <c r="O116" s="28">
        <f t="shared" si="8"/>
        <v>339.5</v>
      </c>
      <c r="P116" s="28">
        <f t="shared" si="9"/>
        <v>2085.5</v>
      </c>
      <c r="Q116" s="73">
        <v>0</v>
      </c>
      <c r="R116" s="12"/>
      <c r="S116" s="12"/>
      <c r="T116" s="12"/>
      <c r="U116" s="12"/>
      <c r="V116" s="12"/>
      <c r="W116" s="12"/>
      <c r="X116" s="12"/>
      <c r="Y116" s="12"/>
    </row>
    <row r="117" spans="1:25" s="6" customFormat="1" ht="25.5" x14ac:dyDescent="0.2">
      <c r="A117" s="139">
        <v>107</v>
      </c>
      <c r="B117" s="24" t="s">
        <v>293</v>
      </c>
      <c r="C117" s="24" t="s">
        <v>330</v>
      </c>
      <c r="D117" s="177">
        <v>1940</v>
      </c>
      <c r="E117" s="29">
        <v>0</v>
      </c>
      <c r="F117" s="27">
        <v>0</v>
      </c>
      <c r="G117" s="176">
        <v>0</v>
      </c>
      <c r="H117" s="176">
        <v>0</v>
      </c>
      <c r="I117" s="176">
        <v>0</v>
      </c>
      <c r="J117" s="28">
        <f t="shared" si="5"/>
        <v>1940</v>
      </c>
      <c r="K117" s="28">
        <f t="shared" si="6"/>
        <v>58.2</v>
      </c>
      <c r="L117" s="28">
        <f>D117*10%</f>
        <v>194</v>
      </c>
      <c r="M117" s="28">
        <v>0</v>
      </c>
      <c r="N117" s="28">
        <v>0</v>
      </c>
      <c r="O117" s="28">
        <f t="shared" si="8"/>
        <v>252.2</v>
      </c>
      <c r="P117" s="28">
        <f t="shared" si="9"/>
        <v>1687.8</v>
      </c>
      <c r="Q117" s="73">
        <v>0</v>
      </c>
      <c r="R117" s="12"/>
      <c r="S117" s="12"/>
      <c r="T117" s="12"/>
      <c r="U117" s="12"/>
      <c r="V117" s="12"/>
      <c r="W117" s="12"/>
      <c r="X117" s="12"/>
      <c r="Y117" s="12"/>
    </row>
    <row r="118" spans="1:25" s="6" customFormat="1" ht="25.5" x14ac:dyDescent="0.2">
      <c r="A118" s="139">
        <v>108</v>
      </c>
      <c r="B118" s="33" t="s">
        <v>0</v>
      </c>
      <c r="C118" s="33" t="s">
        <v>113</v>
      </c>
      <c r="D118" s="28">
        <v>1902</v>
      </c>
      <c r="E118" s="28">
        <v>1000</v>
      </c>
      <c r="F118" s="27">
        <v>0</v>
      </c>
      <c r="G118" s="176">
        <v>250</v>
      </c>
      <c r="H118" s="176">
        <v>2792.33</v>
      </c>
      <c r="I118" s="176">
        <v>0</v>
      </c>
      <c r="J118" s="28">
        <f t="shared" si="5"/>
        <v>3152</v>
      </c>
      <c r="K118" s="28">
        <f t="shared" si="6"/>
        <v>87.06</v>
      </c>
      <c r="L118" s="28">
        <f>(D118+E118)*11%</f>
        <v>319.22000000000003</v>
      </c>
      <c r="M118" s="28">
        <v>0</v>
      </c>
      <c r="N118" s="28">
        <v>0</v>
      </c>
      <c r="O118" s="28">
        <f t="shared" si="8"/>
        <v>406.28</v>
      </c>
      <c r="P118" s="28">
        <f t="shared" si="9"/>
        <v>2745.72</v>
      </c>
      <c r="Q118" s="73">
        <v>0</v>
      </c>
      <c r="R118" s="12"/>
      <c r="S118" s="12"/>
      <c r="T118" s="12"/>
      <c r="U118" s="12"/>
      <c r="V118" s="12"/>
      <c r="W118" s="12"/>
      <c r="X118" s="12"/>
      <c r="Y118" s="12"/>
    </row>
    <row r="119" spans="1:25" s="6" customFormat="1" x14ac:dyDescent="0.2">
      <c r="A119" s="139">
        <v>109</v>
      </c>
      <c r="B119" s="24" t="s">
        <v>71</v>
      </c>
      <c r="C119" s="24" t="s">
        <v>109</v>
      </c>
      <c r="D119" s="29">
        <v>1902</v>
      </c>
      <c r="E119" s="29">
        <v>1000</v>
      </c>
      <c r="F119" s="27">
        <v>0</v>
      </c>
      <c r="G119" s="176">
        <v>250</v>
      </c>
      <c r="H119" s="176">
        <v>2792.33</v>
      </c>
      <c r="I119" s="176">
        <v>0</v>
      </c>
      <c r="J119" s="28">
        <f t="shared" si="5"/>
        <v>3152</v>
      </c>
      <c r="K119" s="28">
        <f t="shared" si="6"/>
        <v>87.06</v>
      </c>
      <c r="L119" s="28">
        <f>(D119+E119)*11%</f>
        <v>319.22000000000003</v>
      </c>
      <c r="M119" s="28">
        <v>0</v>
      </c>
      <c r="N119" s="28">
        <v>0</v>
      </c>
      <c r="O119" s="28">
        <f t="shared" si="8"/>
        <v>406.28</v>
      </c>
      <c r="P119" s="28">
        <f>SUM(D119:N119)</f>
        <v>9502.61</v>
      </c>
      <c r="Q119" s="73">
        <v>0</v>
      </c>
      <c r="R119" s="12"/>
      <c r="S119" s="12"/>
      <c r="T119" s="12"/>
      <c r="U119" s="12"/>
      <c r="V119" s="12"/>
      <c r="W119" s="12"/>
      <c r="X119" s="12"/>
      <c r="Y119" s="12"/>
    </row>
    <row r="120" spans="1:25" s="6" customFormat="1" ht="25.5" x14ac:dyDescent="0.2">
      <c r="A120" s="139">
        <v>110</v>
      </c>
      <c r="B120" s="24" t="s">
        <v>445</v>
      </c>
      <c r="C120" s="24" t="s">
        <v>327</v>
      </c>
      <c r="D120" s="29">
        <v>2425</v>
      </c>
      <c r="E120" s="29">
        <v>0</v>
      </c>
      <c r="F120" s="27">
        <v>0</v>
      </c>
      <c r="G120" s="176">
        <v>0</v>
      </c>
      <c r="H120" s="176">
        <v>2792.33</v>
      </c>
      <c r="I120" s="176">
        <v>0</v>
      </c>
      <c r="J120" s="28">
        <f t="shared" si="5"/>
        <v>2425</v>
      </c>
      <c r="K120" s="28">
        <f t="shared" si="6"/>
        <v>72.75</v>
      </c>
      <c r="L120" s="28">
        <f>D120*11%</f>
        <v>266.75</v>
      </c>
      <c r="M120" s="28">
        <v>0</v>
      </c>
      <c r="N120" s="28">
        <v>0</v>
      </c>
      <c r="O120" s="28">
        <f t="shared" si="8"/>
        <v>339.5</v>
      </c>
      <c r="P120" s="28">
        <f>SUM(D120:N120)</f>
        <v>7981.83</v>
      </c>
      <c r="Q120" s="73">
        <v>0</v>
      </c>
      <c r="R120" s="12"/>
      <c r="S120" s="12"/>
      <c r="T120" s="12"/>
      <c r="U120" s="12"/>
      <c r="V120" s="12"/>
      <c r="W120" s="12"/>
      <c r="X120" s="12"/>
      <c r="Y120" s="12"/>
    </row>
    <row r="121" spans="1:25" s="6" customFormat="1" ht="25.5" x14ac:dyDescent="0.2">
      <c r="A121" s="139">
        <v>111</v>
      </c>
      <c r="B121" s="25" t="s">
        <v>400</v>
      </c>
      <c r="C121" s="26" t="s">
        <v>294</v>
      </c>
      <c r="D121" s="27">
        <v>2375</v>
      </c>
      <c r="E121" s="27">
        <v>1000</v>
      </c>
      <c r="F121" s="27">
        <v>0</v>
      </c>
      <c r="G121" s="27">
        <v>250</v>
      </c>
      <c r="H121" s="176">
        <v>0</v>
      </c>
      <c r="I121" s="176">
        <v>0</v>
      </c>
      <c r="J121" s="28">
        <f t="shared" si="5"/>
        <v>3625</v>
      </c>
      <c r="K121" s="28">
        <f t="shared" si="6"/>
        <v>101.25</v>
      </c>
      <c r="L121" s="28">
        <f>(D121+E121)*11%</f>
        <v>371.25</v>
      </c>
      <c r="M121" s="28">
        <v>0</v>
      </c>
      <c r="N121" s="28">
        <v>45.36</v>
      </c>
      <c r="O121" s="28">
        <f t="shared" si="8"/>
        <v>517.86</v>
      </c>
      <c r="P121" s="28">
        <f t="shared" ref="P121:P151" si="10">J121-O121</f>
        <v>3107.14</v>
      </c>
      <c r="Q121" s="73">
        <v>0</v>
      </c>
      <c r="R121" s="12"/>
      <c r="S121" s="12"/>
      <c r="T121" s="12"/>
      <c r="U121" s="12"/>
      <c r="V121" s="12"/>
      <c r="W121" s="12"/>
      <c r="X121" s="12"/>
      <c r="Y121" s="12"/>
    </row>
    <row r="122" spans="1:25" s="6" customFormat="1" ht="25.5" x14ac:dyDescent="0.2">
      <c r="A122" s="139">
        <v>112</v>
      </c>
      <c r="B122" s="24" t="s">
        <v>344</v>
      </c>
      <c r="C122" s="24" t="s">
        <v>497</v>
      </c>
      <c r="D122" s="27">
        <v>3241</v>
      </c>
      <c r="E122" s="27">
        <v>1000</v>
      </c>
      <c r="F122" s="27">
        <v>0</v>
      </c>
      <c r="G122" s="27">
        <v>250</v>
      </c>
      <c r="H122" s="176">
        <v>0</v>
      </c>
      <c r="I122" s="176">
        <v>0</v>
      </c>
      <c r="J122" s="28">
        <f t="shared" si="5"/>
        <v>4491</v>
      </c>
      <c r="K122" s="28">
        <f t="shared" si="6"/>
        <v>127.23</v>
      </c>
      <c r="L122" s="28">
        <f>(D122+E122)*12%</f>
        <v>508.92</v>
      </c>
      <c r="M122" s="28">
        <v>0</v>
      </c>
      <c r="N122" s="28">
        <v>45.36</v>
      </c>
      <c r="O122" s="28">
        <f t="shared" si="8"/>
        <v>681.51</v>
      </c>
      <c r="P122" s="28">
        <f t="shared" si="10"/>
        <v>3809.49</v>
      </c>
      <c r="Q122" s="73">
        <f>1039.75</f>
        <v>1039.75</v>
      </c>
      <c r="R122" s="12"/>
      <c r="S122" s="12"/>
      <c r="T122" s="12"/>
      <c r="U122" s="12"/>
      <c r="V122" s="12"/>
      <c r="W122" s="12"/>
      <c r="X122" s="12"/>
      <c r="Y122" s="12"/>
    </row>
    <row r="123" spans="1:25" s="6" customFormat="1" ht="25.5" x14ac:dyDescent="0.2">
      <c r="A123" s="139">
        <v>113</v>
      </c>
      <c r="B123" s="24" t="s">
        <v>74</v>
      </c>
      <c r="C123" s="24" t="s">
        <v>327</v>
      </c>
      <c r="D123" s="187">
        <v>2425</v>
      </c>
      <c r="E123" s="29">
        <v>0</v>
      </c>
      <c r="F123" s="27">
        <v>0</v>
      </c>
      <c r="G123" s="176">
        <v>0</v>
      </c>
      <c r="H123" s="176">
        <v>2792.33</v>
      </c>
      <c r="I123" s="176">
        <v>0</v>
      </c>
      <c r="J123" s="28">
        <f t="shared" si="5"/>
        <v>2425</v>
      </c>
      <c r="K123" s="28">
        <f t="shared" si="6"/>
        <v>72.75</v>
      </c>
      <c r="L123" s="28">
        <f>D123*11%</f>
        <v>266.75</v>
      </c>
      <c r="M123" s="28">
        <v>0</v>
      </c>
      <c r="N123" s="28">
        <v>0</v>
      </c>
      <c r="O123" s="28">
        <f t="shared" si="8"/>
        <v>339.5</v>
      </c>
      <c r="P123" s="28">
        <f t="shared" si="10"/>
        <v>2085.5</v>
      </c>
      <c r="Q123" s="73">
        <v>0</v>
      </c>
      <c r="R123" s="12"/>
      <c r="S123" s="12"/>
      <c r="T123" s="12"/>
      <c r="U123" s="12"/>
      <c r="V123" s="12"/>
      <c r="W123" s="12"/>
      <c r="X123" s="12"/>
      <c r="Y123" s="12"/>
    </row>
    <row r="124" spans="1:25" s="6" customFormat="1" ht="25.5" x14ac:dyDescent="0.2">
      <c r="A124" s="139">
        <v>114</v>
      </c>
      <c r="B124" s="31" t="s">
        <v>265</v>
      </c>
      <c r="C124" s="26" t="s">
        <v>154</v>
      </c>
      <c r="D124" s="27">
        <v>2920</v>
      </c>
      <c r="E124" s="27">
        <v>1000</v>
      </c>
      <c r="F124" s="27">
        <v>0</v>
      </c>
      <c r="G124" s="27">
        <v>250</v>
      </c>
      <c r="H124" s="176">
        <v>0</v>
      </c>
      <c r="I124" s="176">
        <v>0</v>
      </c>
      <c r="J124" s="28">
        <f t="shared" si="5"/>
        <v>4170</v>
      </c>
      <c r="K124" s="28">
        <f t="shared" si="6"/>
        <v>117.6</v>
      </c>
      <c r="L124" s="28">
        <f>(D124+E124)*11%</f>
        <v>431.2</v>
      </c>
      <c r="M124" s="28">
        <v>0</v>
      </c>
      <c r="N124" s="28">
        <v>52.68</v>
      </c>
      <c r="O124" s="28">
        <f t="shared" si="8"/>
        <v>601.48</v>
      </c>
      <c r="P124" s="28">
        <f t="shared" si="10"/>
        <v>3568.52</v>
      </c>
      <c r="Q124" s="73">
        <v>0</v>
      </c>
      <c r="R124" s="12"/>
      <c r="S124" s="12"/>
      <c r="T124" s="12"/>
      <c r="U124" s="12"/>
      <c r="V124" s="12"/>
      <c r="W124" s="12"/>
      <c r="X124" s="12"/>
      <c r="Y124" s="12"/>
    </row>
    <row r="125" spans="1:25" s="6" customFormat="1" ht="25.5" x14ac:dyDescent="0.2">
      <c r="A125" s="139">
        <v>115</v>
      </c>
      <c r="B125" s="24" t="s">
        <v>73</v>
      </c>
      <c r="C125" s="24" t="s">
        <v>327</v>
      </c>
      <c r="D125" s="187">
        <v>2425</v>
      </c>
      <c r="E125" s="29">
        <v>0</v>
      </c>
      <c r="F125" s="27">
        <v>0</v>
      </c>
      <c r="G125" s="176">
        <v>0</v>
      </c>
      <c r="H125" s="176">
        <v>2792.33</v>
      </c>
      <c r="I125" s="176">
        <v>0</v>
      </c>
      <c r="J125" s="28">
        <f t="shared" si="5"/>
        <v>2425</v>
      </c>
      <c r="K125" s="28">
        <f t="shared" si="6"/>
        <v>72.75</v>
      </c>
      <c r="L125" s="28">
        <f>D125*11%</f>
        <v>266.75</v>
      </c>
      <c r="M125" s="28">
        <v>0</v>
      </c>
      <c r="N125" s="28">
        <v>0</v>
      </c>
      <c r="O125" s="28">
        <f t="shared" si="8"/>
        <v>339.5</v>
      </c>
      <c r="P125" s="28">
        <f t="shared" si="10"/>
        <v>2085.5</v>
      </c>
      <c r="Q125" s="73">
        <v>0</v>
      </c>
      <c r="R125" s="12"/>
      <c r="S125" s="12"/>
      <c r="T125" s="12"/>
      <c r="U125" s="12"/>
      <c r="V125" s="12"/>
      <c r="W125" s="12"/>
      <c r="X125" s="12"/>
      <c r="Y125" s="12"/>
    </row>
    <row r="126" spans="1:25" s="6" customFormat="1" x14ac:dyDescent="0.2">
      <c r="A126" s="139">
        <v>116</v>
      </c>
      <c r="B126" s="36" t="s">
        <v>266</v>
      </c>
      <c r="C126" s="24" t="s">
        <v>56</v>
      </c>
      <c r="D126" s="29">
        <v>1668</v>
      </c>
      <c r="E126" s="175">
        <v>1000</v>
      </c>
      <c r="F126" s="27">
        <v>0</v>
      </c>
      <c r="G126" s="176">
        <v>250</v>
      </c>
      <c r="H126" s="176">
        <v>2792.33</v>
      </c>
      <c r="I126" s="176">
        <v>0</v>
      </c>
      <c r="J126" s="28">
        <f t="shared" si="5"/>
        <v>2918</v>
      </c>
      <c r="K126" s="28">
        <f t="shared" si="6"/>
        <v>80.040000000000006</v>
      </c>
      <c r="L126" s="28">
        <v>293.48</v>
      </c>
      <c r="M126" s="28">
        <v>0</v>
      </c>
      <c r="N126" s="28">
        <v>0</v>
      </c>
      <c r="O126" s="28">
        <f t="shared" si="8"/>
        <v>373.52</v>
      </c>
      <c r="P126" s="28">
        <f t="shared" si="10"/>
        <v>2544.48</v>
      </c>
      <c r="Q126" s="73">
        <v>0</v>
      </c>
      <c r="R126" s="12"/>
      <c r="S126" s="12"/>
      <c r="T126" s="12"/>
      <c r="U126" s="12"/>
      <c r="V126" s="12"/>
      <c r="W126" s="12"/>
      <c r="X126" s="12"/>
      <c r="Y126" s="12"/>
    </row>
    <row r="127" spans="1:25" s="6" customFormat="1" ht="25.5" x14ac:dyDescent="0.2">
      <c r="A127" s="139">
        <v>117</v>
      </c>
      <c r="B127" s="192" t="s">
        <v>459</v>
      </c>
      <c r="C127" s="24" t="s">
        <v>327</v>
      </c>
      <c r="D127" s="183">
        <v>2425</v>
      </c>
      <c r="E127" s="29">
        <v>0</v>
      </c>
      <c r="F127" s="27">
        <v>0</v>
      </c>
      <c r="G127" s="176">
        <v>0</v>
      </c>
      <c r="H127" s="176">
        <v>2792.33</v>
      </c>
      <c r="I127" s="176">
        <v>0</v>
      </c>
      <c r="J127" s="28">
        <f t="shared" si="5"/>
        <v>2425</v>
      </c>
      <c r="K127" s="28">
        <f t="shared" si="6"/>
        <v>72.75</v>
      </c>
      <c r="L127" s="28">
        <v>266.75</v>
      </c>
      <c r="M127" s="28">
        <v>0</v>
      </c>
      <c r="N127" s="28">
        <v>0</v>
      </c>
      <c r="O127" s="28">
        <f t="shared" si="8"/>
        <v>339.5</v>
      </c>
      <c r="P127" s="28">
        <f t="shared" si="10"/>
        <v>2085.5</v>
      </c>
      <c r="Q127" s="73">
        <v>0</v>
      </c>
      <c r="R127" s="12"/>
      <c r="S127" s="12"/>
      <c r="T127" s="12"/>
      <c r="U127" s="12"/>
      <c r="V127" s="12"/>
      <c r="W127" s="12"/>
      <c r="X127" s="12"/>
      <c r="Y127" s="12"/>
    </row>
    <row r="128" spans="1:25" s="6" customFormat="1" ht="25.5" x14ac:dyDescent="0.2">
      <c r="A128" s="139">
        <v>118</v>
      </c>
      <c r="B128" s="25" t="s">
        <v>241</v>
      </c>
      <c r="C128" s="26" t="s">
        <v>155</v>
      </c>
      <c r="D128" s="27">
        <v>6759</v>
      </c>
      <c r="E128" s="27">
        <v>4000</v>
      </c>
      <c r="F128" s="27">
        <v>0</v>
      </c>
      <c r="G128" s="27">
        <v>250</v>
      </c>
      <c r="H128" s="176">
        <v>0</v>
      </c>
      <c r="I128" s="176">
        <v>0</v>
      </c>
      <c r="J128" s="28">
        <f t="shared" si="5"/>
        <v>11009</v>
      </c>
      <c r="K128" s="28">
        <f t="shared" si="6"/>
        <v>322.77</v>
      </c>
      <c r="L128" s="28">
        <f>(D128+E128)*15%</f>
        <v>1613.85</v>
      </c>
      <c r="M128" s="28">
        <v>254.45</v>
      </c>
      <c r="N128" s="28">
        <v>144.6</v>
      </c>
      <c r="O128" s="28">
        <f t="shared" si="8"/>
        <v>2335.67</v>
      </c>
      <c r="P128" s="28">
        <f t="shared" si="10"/>
        <v>8673.33</v>
      </c>
      <c r="Q128" s="73">
        <v>0</v>
      </c>
      <c r="R128" s="12"/>
      <c r="S128" s="12"/>
      <c r="T128" s="12"/>
      <c r="U128" s="12"/>
      <c r="V128" s="12"/>
      <c r="W128" s="12"/>
      <c r="X128" s="12"/>
      <c r="Y128" s="12"/>
    </row>
    <row r="129" spans="1:25" s="6" customFormat="1" ht="25.5" x14ac:dyDescent="0.2">
      <c r="A129" s="139">
        <v>119</v>
      </c>
      <c r="B129" s="36" t="s">
        <v>145</v>
      </c>
      <c r="C129" s="33" t="s">
        <v>113</v>
      </c>
      <c r="D129" s="29">
        <v>1902</v>
      </c>
      <c r="E129" s="175">
        <v>1000</v>
      </c>
      <c r="F129" s="27">
        <v>0</v>
      </c>
      <c r="G129" s="176">
        <v>250</v>
      </c>
      <c r="H129" s="176">
        <v>2792.33</v>
      </c>
      <c r="I129" s="176">
        <v>0</v>
      </c>
      <c r="J129" s="28">
        <f t="shared" si="5"/>
        <v>3152</v>
      </c>
      <c r="K129" s="28">
        <f t="shared" si="6"/>
        <v>87.06</v>
      </c>
      <c r="L129" s="28">
        <f>(D129+E129)*11%</f>
        <v>319.22000000000003</v>
      </c>
      <c r="M129" s="28">
        <v>0</v>
      </c>
      <c r="N129" s="28">
        <v>0</v>
      </c>
      <c r="O129" s="28">
        <f t="shared" si="8"/>
        <v>406.28</v>
      </c>
      <c r="P129" s="28">
        <f t="shared" si="10"/>
        <v>2745.72</v>
      </c>
      <c r="Q129" s="73">
        <f>968.9</f>
        <v>968.9</v>
      </c>
      <c r="R129" s="12"/>
      <c r="S129" s="12"/>
      <c r="T129" s="12"/>
      <c r="U129" s="12"/>
      <c r="V129" s="12"/>
      <c r="W129" s="12"/>
      <c r="X129" s="12"/>
      <c r="Y129" s="12"/>
    </row>
    <row r="130" spans="1:25" s="6" customFormat="1" ht="25.5" x14ac:dyDescent="0.2">
      <c r="A130" s="139">
        <v>120</v>
      </c>
      <c r="B130" s="36" t="s">
        <v>446</v>
      </c>
      <c r="C130" s="24" t="s">
        <v>447</v>
      </c>
      <c r="D130" s="29">
        <v>1746</v>
      </c>
      <c r="E130" s="29">
        <v>0</v>
      </c>
      <c r="F130" s="27">
        <v>0</v>
      </c>
      <c r="G130" s="176">
        <v>0</v>
      </c>
      <c r="H130" s="176">
        <v>2792.33</v>
      </c>
      <c r="I130" s="176">
        <v>0</v>
      </c>
      <c r="J130" s="28">
        <f t="shared" si="5"/>
        <v>1746</v>
      </c>
      <c r="K130" s="28">
        <f t="shared" si="6"/>
        <v>52.38</v>
      </c>
      <c r="L130" s="28">
        <f>D130*10%</f>
        <v>174.6</v>
      </c>
      <c r="M130" s="28">
        <v>0</v>
      </c>
      <c r="N130" s="28">
        <v>0</v>
      </c>
      <c r="O130" s="28">
        <f t="shared" si="8"/>
        <v>226.98</v>
      </c>
      <c r="P130" s="28">
        <f t="shared" si="10"/>
        <v>1519.02</v>
      </c>
      <c r="Q130" s="73">
        <v>0</v>
      </c>
      <c r="R130" s="12"/>
      <c r="S130" s="12"/>
      <c r="T130" s="12"/>
      <c r="U130" s="12"/>
      <c r="V130" s="12"/>
      <c r="W130" s="12"/>
      <c r="X130" s="12"/>
      <c r="Y130" s="12"/>
    </row>
    <row r="131" spans="1:25" s="6" customFormat="1" ht="25.5" x14ac:dyDescent="0.2">
      <c r="A131" s="139">
        <v>121</v>
      </c>
      <c r="B131" s="24" t="s">
        <v>76</v>
      </c>
      <c r="C131" s="24" t="s">
        <v>345</v>
      </c>
      <c r="D131" s="187">
        <v>2037</v>
      </c>
      <c r="E131" s="29">
        <v>0</v>
      </c>
      <c r="F131" s="27">
        <v>0</v>
      </c>
      <c r="G131" s="176">
        <v>0</v>
      </c>
      <c r="H131" s="176">
        <v>2792.33</v>
      </c>
      <c r="I131" s="176">
        <v>0</v>
      </c>
      <c r="J131" s="28">
        <f t="shared" si="5"/>
        <v>2037</v>
      </c>
      <c r="K131" s="28">
        <f t="shared" si="6"/>
        <v>61.11</v>
      </c>
      <c r="L131" s="28">
        <f>D131*11%</f>
        <v>224.07</v>
      </c>
      <c r="M131" s="28">
        <v>0</v>
      </c>
      <c r="N131" s="28">
        <v>0</v>
      </c>
      <c r="O131" s="28">
        <f t="shared" si="8"/>
        <v>285.18</v>
      </c>
      <c r="P131" s="28">
        <f t="shared" si="10"/>
        <v>1751.82</v>
      </c>
      <c r="Q131" s="73">
        <v>0</v>
      </c>
      <c r="R131" s="12"/>
      <c r="S131" s="12"/>
      <c r="T131" s="12"/>
      <c r="U131" s="12"/>
      <c r="V131" s="12"/>
      <c r="W131" s="12"/>
      <c r="X131" s="12"/>
      <c r="Y131" s="12"/>
    </row>
    <row r="132" spans="1:25" s="6" customFormat="1" x14ac:dyDescent="0.2">
      <c r="A132" s="139">
        <v>122</v>
      </c>
      <c r="B132" s="24" t="s">
        <v>401</v>
      </c>
      <c r="C132" s="24" t="s">
        <v>109</v>
      </c>
      <c r="D132" s="29">
        <v>1902</v>
      </c>
      <c r="E132" s="29">
        <v>1000</v>
      </c>
      <c r="F132" s="27">
        <v>0</v>
      </c>
      <c r="G132" s="176">
        <v>250</v>
      </c>
      <c r="H132" s="176">
        <v>0</v>
      </c>
      <c r="I132" s="176">
        <v>0</v>
      </c>
      <c r="J132" s="28">
        <f t="shared" si="5"/>
        <v>3152</v>
      </c>
      <c r="K132" s="28">
        <f t="shared" si="6"/>
        <v>87.06</v>
      </c>
      <c r="L132" s="28">
        <f>(D132+E132)*11%</f>
        <v>319.22000000000003</v>
      </c>
      <c r="M132" s="28">
        <v>0</v>
      </c>
      <c r="N132" s="28">
        <v>0</v>
      </c>
      <c r="O132" s="28">
        <f t="shared" si="8"/>
        <v>406.28</v>
      </c>
      <c r="P132" s="28">
        <f t="shared" si="10"/>
        <v>2745.72</v>
      </c>
      <c r="Q132" s="73">
        <v>0</v>
      </c>
      <c r="R132" s="12"/>
      <c r="S132" s="12"/>
      <c r="T132" s="12"/>
      <c r="U132" s="12"/>
      <c r="V132" s="12"/>
      <c r="W132" s="12"/>
      <c r="X132" s="12"/>
      <c r="Y132" s="12"/>
    </row>
    <row r="133" spans="1:25" s="6" customFormat="1" ht="25.5" x14ac:dyDescent="0.2">
      <c r="A133" s="139">
        <v>123</v>
      </c>
      <c r="B133" s="24" t="s">
        <v>295</v>
      </c>
      <c r="C133" s="24" t="s">
        <v>106</v>
      </c>
      <c r="D133" s="29">
        <v>6249</v>
      </c>
      <c r="E133" s="29">
        <v>1800</v>
      </c>
      <c r="F133" s="27">
        <v>0</v>
      </c>
      <c r="G133" s="176">
        <v>250</v>
      </c>
      <c r="H133" s="176">
        <v>2792.33</v>
      </c>
      <c r="I133" s="176">
        <v>0</v>
      </c>
      <c r="J133" s="28">
        <f t="shared" ref="J133:J193" si="11">SUM(D133:G133)</f>
        <v>8299</v>
      </c>
      <c r="K133" s="28">
        <f t="shared" si="6"/>
        <v>241.47</v>
      </c>
      <c r="L133" s="28">
        <f>(D133+E133)*14%</f>
        <v>1126.8599999999999</v>
      </c>
      <c r="M133" s="28">
        <v>147.37</v>
      </c>
      <c r="N133" s="28">
        <v>108.18</v>
      </c>
      <c r="O133" s="28">
        <f t="shared" si="8"/>
        <v>1623.88</v>
      </c>
      <c r="P133" s="28">
        <f t="shared" si="10"/>
        <v>6675.12</v>
      </c>
      <c r="Q133" s="73">
        <v>0</v>
      </c>
      <c r="R133" s="12"/>
      <c r="S133" s="12"/>
      <c r="T133" s="12"/>
      <c r="U133" s="12"/>
      <c r="V133" s="12"/>
      <c r="W133" s="12"/>
      <c r="X133" s="12"/>
      <c r="Y133" s="12"/>
    </row>
    <row r="134" spans="1:25" s="6" customFormat="1" ht="25.5" x14ac:dyDescent="0.2">
      <c r="A134" s="139">
        <v>124</v>
      </c>
      <c r="B134" s="22" t="s">
        <v>267</v>
      </c>
      <c r="C134" s="24" t="s">
        <v>335</v>
      </c>
      <c r="D134" s="28">
        <v>3081</v>
      </c>
      <c r="E134" s="29">
        <v>1000</v>
      </c>
      <c r="F134" s="27">
        <v>0</v>
      </c>
      <c r="G134" s="176">
        <v>250</v>
      </c>
      <c r="H134" s="176">
        <v>2792.33</v>
      </c>
      <c r="I134" s="176">
        <v>0</v>
      </c>
      <c r="J134" s="28">
        <f t="shared" si="11"/>
        <v>4331</v>
      </c>
      <c r="K134" s="28">
        <f t="shared" si="6"/>
        <v>122.43</v>
      </c>
      <c r="L134" s="28">
        <f>(D134+E134)*12%</f>
        <v>489.72</v>
      </c>
      <c r="M134" s="28">
        <v>0</v>
      </c>
      <c r="N134" s="28">
        <v>40.06</v>
      </c>
      <c r="O134" s="28">
        <f t="shared" si="8"/>
        <v>652.21</v>
      </c>
      <c r="P134" s="28">
        <f t="shared" si="10"/>
        <v>3678.79</v>
      </c>
      <c r="Q134" s="73">
        <v>0</v>
      </c>
      <c r="R134" s="12"/>
      <c r="S134" s="12"/>
      <c r="T134" s="12"/>
      <c r="U134" s="12"/>
      <c r="V134" s="12"/>
      <c r="W134" s="12"/>
      <c r="X134" s="12"/>
      <c r="Y134" s="12"/>
    </row>
    <row r="135" spans="1:25" s="6" customFormat="1" ht="25.5" x14ac:dyDescent="0.2">
      <c r="A135" s="139">
        <v>125</v>
      </c>
      <c r="B135" s="37" t="s">
        <v>449</v>
      </c>
      <c r="C135" s="24" t="s">
        <v>335</v>
      </c>
      <c r="D135" s="28">
        <v>3081</v>
      </c>
      <c r="E135" s="29">
        <v>1000</v>
      </c>
      <c r="F135" s="27">
        <v>0</v>
      </c>
      <c r="G135" s="176">
        <v>250</v>
      </c>
      <c r="H135" s="176">
        <v>2792.33</v>
      </c>
      <c r="I135" s="176">
        <v>0</v>
      </c>
      <c r="J135" s="28">
        <f t="shared" si="11"/>
        <v>4331</v>
      </c>
      <c r="K135" s="28">
        <f t="shared" ref="K135:K195" si="12">(D135+E135+F135)*3%</f>
        <v>122.43</v>
      </c>
      <c r="L135" s="28">
        <f>(D135+E135)*12%</f>
        <v>489.72</v>
      </c>
      <c r="M135" s="27">
        <v>0</v>
      </c>
      <c r="N135" s="27">
        <v>0</v>
      </c>
      <c r="O135" s="27">
        <f>SUM(K135:N135)</f>
        <v>612.15</v>
      </c>
      <c r="P135" s="28">
        <f t="shared" si="10"/>
        <v>3718.85</v>
      </c>
      <c r="Q135" s="73">
        <v>0</v>
      </c>
      <c r="R135" s="12"/>
      <c r="S135" s="12"/>
      <c r="T135" s="12"/>
      <c r="U135" s="12"/>
      <c r="V135" s="12"/>
      <c r="W135" s="12"/>
      <c r="X135" s="12"/>
      <c r="Y135" s="12"/>
    </row>
    <row r="136" spans="1:25" s="6" customFormat="1" ht="25.5" x14ac:dyDescent="0.2">
      <c r="A136" s="139">
        <v>126</v>
      </c>
      <c r="B136" s="32" t="s">
        <v>455</v>
      </c>
      <c r="C136" s="24" t="s">
        <v>327</v>
      </c>
      <c r="D136" s="29">
        <v>2425</v>
      </c>
      <c r="E136" s="29">
        <v>0</v>
      </c>
      <c r="F136" s="27">
        <v>0</v>
      </c>
      <c r="G136" s="176">
        <v>0</v>
      </c>
      <c r="H136" s="176">
        <v>2792.33</v>
      </c>
      <c r="I136" s="176">
        <v>0</v>
      </c>
      <c r="J136" s="28">
        <f t="shared" si="11"/>
        <v>2425</v>
      </c>
      <c r="K136" s="28">
        <f t="shared" si="12"/>
        <v>72.75</v>
      </c>
      <c r="L136" s="28">
        <f>D136*11%</f>
        <v>266.75</v>
      </c>
      <c r="M136" s="28">
        <v>0</v>
      </c>
      <c r="N136" s="28">
        <v>0</v>
      </c>
      <c r="O136" s="28">
        <f t="shared" si="8"/>
        <v>339.5</v>
      </c>
      <c r="P136" s="28">
        <f t="shared" si="10"/>
        <v>2085.5</v>
      </c>
      <c r="Q136" s="73">
        <v>0</v>
      </c>
      <c r="R136" s="12"/>
      <c r="S136" s="12"/>
      <c r="T136" s="12"/>
      <c r="U136" s="12"/>
      <c r="V136" s="12"/>
      <c r="W136" s="12"/>
      <c r="X136" s="12"/>
      <c r="Y136" s="12"/>
    </row>
    <row r="137" spans="1:25" s="6" customFormat="1" ht="25.5" x14ac:dyDescent="0.2">
      <c r="A137" s="139">
        <v>127</v>
      </c>
      <c r="B137" s="24" t="s">
        <v>346</v>
      </c>
      <c r="C137" s="24" t="s">
        <v>330</v>
      </c>
      <c r="D137" s="177">
        <v>1940</v>
      </c>
      <c r="E137" s="29">
        <v>0</v>
      </c>
      <c r="F137" s="27">
        <v>0</v>
      </c>
      <c r="G137" s="176">
        <v>0</v>
      </c>
      <c r="H137" s="176">
        <v>2792.33</v>
      </c>
      <c r="I137" s="176">
        <v>0</v>
      </c>
      <c r="J137" s="28">
        <f t="shared" si="11"/>
        <v>1940</v>
      </c>
      <c r="K137" s="28">
        <f t="shared" si="12"/>
        <v>58.2</v>
      </c>
      <c r="L137" s="28">
        <f>D137*11%</f>
        <v>213.4</v>
      </c>
      <c r="M137" s="28">
        <v>0</v>
      </c>
      <c r="N137" s="28">
        <v>0</v>
      </c>
      <c r="O137" s="28">
        <f t="shared" ref="O137:O199" si="13">K137+L137+M137+N137</f>
        <v>271.60000000000002</v>
      </c>
      <c r="P137" s="28">
        <f t="shared" si="10"/>
        <v>1668.4</v>
      </c>
      <c r="Q137" s="73">
        <v>0</v>
      </c>
      <c r="R137" s="12"/>
      <c r="S137" s="12"/>
      <c r="T137" s="12"/>
      <c r="U137" s="12"/>
      <c r="V137" s="12"/>
      <c r="W137" s="12"/>
      <c r="X137" s="12"/>
      <c r="Y137" s="12"/>
    </row>
    <row r="138" spans="1:25" s="6" customFormat="1" ht="25.5" x14ac:dyDescent="0.2">
      <c r="A138" s="139">
        <v>128</v>
      </c>
      <c r="B138" s="24" t="s">
        <v>179</v>
      </c>
      <c r="C138" s="26" t="s">
        <v>108</v>
      </c>
      <c r="D138" s="29">
        <v>2920</v>
      </c>
      <c r="E138" s="29">
        <v>1000</v>
      </c>
      <c r="F138" s="27">
        <v>0</v>
      </c>
      <c r="G138" s="176">
        <v>250</v>
      </c>
      <c r="H138" s="176">
        <v>0</v>
      </c>
      <c r="I138" s="176">
        <v>0</v>
      </c>
      <c r="J138" s="28">
        <f t="shared" si="11"/>
        <v>4170</v>
      </c>
      <c r="K138" s="28">
        <f t="shared" si="12"/>
        <v>117.6</v>
      </c>
      <c r="L138" s="28">
        <f>(D138+E138)*11%</f>
        <v>431.2</v>
      </c>
      <c r="M138" s="28">
        <v>0</v>
      </c>
      <c r="N138" s="28">
        <v>52.68</v>
      </c>
      <c r="O138" s="28">
        <f t="shared" si="13"/>
        <v>601.48</v>
      </c>
      <c r="P138" s="28">
        <f t="shared" si="10"/>
        <v>3568.52</v>
      </c>
      <c r="Q138" s="73">
        <v>0</v>
      </c>
      <c r="R138" s="12"/>
      <c r="S138" s="12"/>
      <c r="T138" s="12"/>
      <c r="U138" s="12"/>
      <c r="V138" s="12"/>
      <c r="W138" s="12"/>
      <c r="X138" s="12"/>
      <c r="Y138" s="12"/>
    </row>
    <row r="139" spans="1:25" s="6" customFormat="1" ht="25.5" x14ac:dyDescent="0.2">
      <c r="A139" s="139">
        <v>129</v>
      </c>
      <c r="B139" s="25" t="s">
        <v>402</v>
      </c>
      <c r="C139" s="24" t="s">
        <v>498</v>
      </c>
      <c r="D139" s="27">
        <v>2234</v>
      </c>
      <c r="E139" s="27">
        <v>1900</v>
      </c>
      <c r="F139" s="27">
        <v>0</v>
      </c>
      <c r="G139" s="27">
        <v>250</v>
      </c>
      <c r="H139" s="176">
        <v>2792.33</v>
      </c>
      <c r="I139" s="176">
        <v>0</v>
      </c>
      <c r="J139" s="28">
        <f t="shared" si="11"/>
        <v>4384</v>
      </c>
      <c r="K139" s="28">
        <f t="shared" si="12"/>
        <v>124.02</v>
      </c>
      <c r="L139" s="28">
        <f>(D139+E139)*12%</f>
        <v>496.08</v>
      </c>
      <c r="M139" s="28">
        <v>0</v>
      </c>
      <c r="N139" s="28">
        <v>55.56</v>
      </c>
      <c r="O139" s="28">
        <f t="shared" si="13"/>
        <v>675.66</v>
      </c>
      <c r="P139" s="28">
        <f t="shared" si="10"/>
        <v>3708.34</v>
      </c>
      <c r="Q139" s="73">
        <v>0</v>
      </c>
      <c r="R139" s="12"/>
      <c r="S139" s="12"/>
      <c r="T139" s="12"/>
      <c r="U139" s="12"/>
      <c r="V139" s="12"/>
      <c r="W139" s="12"/>
      <c r="X139" s="12"/>
      <c r="Y139" s="12"/>
    </row>
    <row r="140" spans="1:25" s="6" customFormat="1" ht="25.5" x14ac:dyDescent="0.2">
      <c r="A140" s="139">
        <v>130</v>
      </c>
      <c r="B140" s="24" t="s">
        <v>186</v>
      </c>
      <c r="C140" s="24" t="s">
        <v>330</v>
      </c>
      <c r="D140" s="29">
        <v>1940</v>
      </c>
      <c r="E140" s="29">
        <v>0</v>
      </c>
      <c r="F140" s="27">
        <v>0</v>
      </c>
      <c r="G140" s="176">
        <v>0</v>
      </c>
      <c r="H140" s="176">
        <v>2792.33</v>
      </c>
      <c r="I140" s="176">
        <v>0</v>
      </c>
      <c r="J140" s="28">
        <f t="shared" si="11"/>
        <v>1940</v>
      </c>
      <c r="K140" s="28">
        <f t="shared" si="12"/>
        <v>58.2</v>
      </c>
      <c r="L140" s="28">
        <f>D140*11%</f>
        <v>213.4</v>
      </c>
      <c r="M140" s="28">
        <v>0</v>
      </c>
      <c r="N140" s="28">
        <v>0</v>
      </c>
      <c r="O140" s="28">
        <f t="shared" si="13"/>
        <v>271.60000000000002</v>
      </c>
      <c r="P140" s="28">
        <f t="shared" si="10"/>
        <v>1668.4</v>
      </c>
      <c r="Q140" s="73">
        <v>0</v>
      </c>
      <c r="R140" s="12"/>
      <c r="S140" s="12"/>
      <c r="T140" s="12"/>
      <c r="U140" s="12"/>
      <c r="V140" s="12"/>
      <c r="W140" s="12"/>
      <c r="X140" s="12"/>
      <c r="Y140" s="12"/>
    </row>
    <row r="141" spans="1:25" s="6" customFormat="1" ht="25.5" x14ac:dyDescent="0.2">
      <c r="A141" s="139">
        <v>131</v>
      </c>
      <c r="B141" s="24" t="s">
        <v>403</v>
      </c>
      <c r="C141" s="24" t="s">
        <v>327</v>
      </c>
      <c r="D141" s="177">
        <v>2425</v>
      </c>
      <c r="E141" s="29">
        <v>0</v>
      </c>
      <c r="F141" s="27">
        <v>0</v>
      </c>
      <c r="G141" s="176">
        <v>0</v>
      </c>
      <c r="H141" s="176">
        <v>2792.33</v>
      </c>
      <c r="I141" s="176">
        <v>0</v>
      </c>
      <c r="J141" s="28">
        <f t="shared" si="11"/>
        <v>2425</v>
      </c>
      <c r="K141" s="28">
        <f t="shared" si="12"/>
        <v>72.75</v>
      </c>
      <c r="L141" s="28">
        <f>D141*11%</f>
        <v>266.75</v>
      </c>
      <c r="M141" s="28">
        <v>0</v>
      </c>
      <c r="N141" s="28">
        <v>0</v>
      </c>
      <c r="O141" s="28">
        <f t="shared" si="13"/>
        <v>339.5</v>
      </c>
      <c r="P141" s="28">
        <f t="shared" si="10"/>
        <v>2085.5</v>
      </c>
      <c r="Q141" s="73">
        <v>0</v>
      </c>
      <c r="R141" s="12"/>
      <c r="S141" s="12"/>
      <c r="T141" s="12"/>
      <c r="U141" s="12"/>
      <c r="V141" s="12"/>
      <c r="W141" s="12"/>
      <c r="X141" s="12"/>
      <c r="Y141" s="12"/>
    </row>
    <row r="142" spans="1:25" s="6" customFormat="1" ht="25.5" x14ac:dyDescent="0.2">
      <c r="A142" s="139">
        <v>132</v>
      </c>
      <c r="B142" s="24" t="s">
        <v>187</v>
      </c>
      <c r="C142" s="24" t="s">
        <v>330</v>
      </c>
      <c r="D142" s="29">
        <v>1940</v>
      </c>
      <c r="E142" s="29">
        <v>0</v>
      </c>
      <c r="F142" s="27">
        <v>0</v>
      </c>
      <c r="G142" s="176">
        <v>0</v>
      </c>
      <c r="H142" s="176">
        <v>2792.33</v>
      </c>
      <c r="I142" s="176">
        <v>0</v>
      </c>
      <c r="J142" s="28">
        <f t="shared" si="11"/>
        <v>1940</v>
      </c>
      <c r="K142" s="28">
        <f t="shared" si="12"/>
        <v>58.2</v>
      </c>
      <c r="L142" s="28">
        <f>D142*11%</f>
        <v>213.4</v>
      </c>
      <c r="M142" s="28">
        <v>0</v>
      </c>
      <c r="N142" s="28">
        <v>0</v>
      </c>
      <c r="O142" s="28">
        <f t="shared" si="13"/>
        <v>271.60000000000002</v>
      </c>
      <c r="P142" s="28">
        <f t="shared" si="10"/>
        <v>1668.4</v>
      </c>
      <c r="Q142" s="73">
        <v>0</v>
      </c>
      <c r="R142" s="12"/>
      <c r="S142" s="12"/>
      <c r="T142" s="12"/>
      <c r="U142" s="12"/>
      <c r="V142" s="12"/>
      <c r="W142" s="12"/>
      <c r="X142" s="12"/>
      <c r="Y142" s="12"/>
    </row>
    <row r="143" spans="1:25" s="6" customFormat="1" x14ac:dyDescent="0.2">
      <c r="A143" s="139">
        <v>133</v>
      </c>
      <c r="B143" s="24" t="s">
        <v>404</v>
      </c>
      <c r="C143" s="24" t="s">
        <v>109</v>
      </c>
      <c r="D143" s="29">
        <v>1902</v>
      </c>
      <c r="E143" s="29">
        <v>1000</v>
      </c>
      <c r="F143" s="27">
        <v>0</v>
      </c>
      <c r="G143" s="176">
        <v>250</v>
      </c>
      <c r="H143" s="176">
        <v>2792.33</v>
      </c>
      <c r="I143" s="176">
        <v>0</v>
      </c>
      <c r="J143" s="28">
        <f t="shared" si="11"/>
        <v>3152</v>
      </c>
      <c r="K143" s="28">
        <f t="shared" si="12"/>
        <v>87.06</v>
      </c>
      <c r="L143" s="28">
        <f>(D143+E143)*11%</f>
        <v>319.22000000000003</v>
      </c>
      <c r="M143" s="29">
        <v>0</v>
      </c>
      <c r="N143" s="29">
        <v>0</v>
      </c>
      <c r="O143" s="28">
        <f t="shared" si="13"/>
        <v>406.28</v>
      </c>
      <c r="P143" s="28">
        <f t="shared" si="10"/>
        <v>2745.72</v>
      </c>
      <c r="Q143" s="73">
        <v>0</v>
      </c>
      <c r="R143" s="12"/>
      <c r="S143" s="12"/>
      <c r="T143" s="12"/>
      <c r="U143" s="12"/>
      <c r="V143" s="12"/>
      <c r="W143" s="12"/>
      <c r="X143" s="12"/>
      <c r="Y143" s="12"/>
    </row>
    <row r="144" spans="1:25" s="6" customFormat="1" ht="25.5" x14ac:dyDescent="0.2">
      <c r="A144" s="139">
        <v>134</v>
      </c>
      <c r="B144" s="41" t="s">
        <v>268</v>
      </c>
      <c r="C144" s="24" t="s">
        <v>330</v>
      </c>
      <c r="D144" s="177">
        <v>1940</v>
      </c>
      <c r="E144" s="29">
        <v>0</v>
      </c>
      <c r="F144" s="27">
        <v>0</v>
      </c>
      <c r="G144" s="176">
        <v>0</v>
      </c>
      <c r="H144" s="176">
        <v>2792.33</v>
      </c>
      <c r="I144" s="176">
        <v>0</v>
      </c>
      <c r="J144" s="28">
        <f t="shared" si="11"/>
        <v>1940</v>
      </c>
      <c r="K144" s="28">
        <f t="shared" si="12"/>
        <v>58.2</v>
      </c>
      <c r="L144" s="28">
        <f>D144*10%</f>
        <v>194</v>
      </c>
      <c r="M144" s="28">
        <v>0</v>
      </c>
      <c r="N144" s="28">
        <v>0</v>
      </c>
      <c r="O144" s="28">
        <f t="shared" si="13"/>
        <v>252.2</v>
      </c>
      <c r="P144" s="28">
        <f t="shared" si="10"/>
        <v>1687.8</v>
      </c>
      <c r="Q144" s="73">
        <v>0</v>
      </c>
      <c r="R144" s="12"/>
      <c r="S144" s="12"/>
      <c r="T144" s="12"/>
      <c r="U144" s="12"/>
      <c r="V144" s="12"/>
      <c r="W144" s="12"/>
      <c r="X144" s="12"/>
      <c r="Y144" s="12"/>
    </row>
    <row r="145" spans="1:25" s="6" customFormat="1" ht="25.5" x14ac:dyDescent="0.2">
      <c r="A145" s="139">
        <v>135</v>
      </c>
      <c r="B145" s="41" t="s">
        <v>146</v>
      </c>
      <c r="C145" s="24" t="s">
        <v>286</v>
      </c>
      <c r="D145" s="177">
        <v>2249</v>
      </c>
      <c r="E145" s="29">
        <v>1000</v>
      </c>
      <c r="F145" s="27">
        <v>0</v>
      </c>
      <c r="G145" s="176">
        <v>250</v>
      </c>
      <c r="H145" s="176">
        <v>2792.33</v>
      </c>
      <c r="I145" s="176">
        <v>0</v>
      </c>
      <c r="J145" s="28">
        <f t="shared" si="11"/>
        <v>3499</v>
      </c>
      <c r="K145" s="28">
        <f t="shared" si="12"/>
        <v>97.47</v>
      </c>
      <c r="L145" s="28">
        <f>(D145+E145)*11%</f>
        <v>357.39</v>
      </c>
      <c r="M145" s="29">
        <v>0</v>
      </c>
      <c r="N145" s="29">
        <v>0</v>
      </c>
      <c r="O145" s="28">
        <f t="shared" si="13"/>
        <v>454.86</v>
      </c>
      <c r="P145" s="28">
        <f t="shared" si="10"/>
        <v>3044.14</v>
      </c>
      <c r="Q145" s="73">
        <v>0</v>
      </c>
      <c r="R145" s="12"/>
      <c r="S145" s="12"/>
      <c r="T145" s="12"/>
      <c r="U145" s="12"/>
      <c r="V145" s="12"/>
      <c r="W145" s="12"/>
      <c r="X145" s="12"/>
      <c r="Y145" s="12"/>
    </row>
    <row r="146" spans="1:25" s="6" customFormat="1" ht="25.5" x14ac:dyDescent="0.2">
      <c r="A146" s="139">
        <v>136</v>
      </c>
      <c r="B146" s="30" t="s">
        <v>128</v>
      </c>
      <c r="C146" s="24" t="s">
        <v>502</v>
      </c>
      <c r="D146" s="187">
        <v>1668</v>
      </c>
      <c r="E146" s="175">
        <v>1000</v>
      </c>
      <c r="F146" s="27">
        <v>0</v>
      </c>
      <c r="G146" s="176">
        <v>250</v>
      </c>
      <c r="H146" s="176">
        <v>0</v>
      </c>
      <c r="I146" s="176">
        <v>0</v>
      </c>
      <c r="J146" s="28">
        <f t="shared" si="11"/>
        <v>2918</v>
      </c>
      <c r="K146" s="28">
        <f t="shared" si="12"/>
        <v>80.040000000000006</v>
      </c>
      <c r="L146" s="28">
        <f>(D146+E146)*11%</f>
        <v>293.48</v>
      </c>
      <c r="M146" s="28">
        <v>0</v>
      </c>
      <c r="N146" s="28">
        <v>0</v>
      </c>
      <c r="O146" s="28">
        <f t="shared" si="13"/>
        <v>373.52</v>
      </c>
      <c r="P146" s="28">
        <f t="shared" si="10"/>
        <v>2544.48</v>
      </c>
      <c r="Q146" s="73">
        <v>0</v>
      </c>
      <c r="R146" s="12"/>
      <c r="S146" s="12"/>
      <c r="T146" s="12"/>
      <c r="U146" s="12"/>
      <c r="V146" s="12"/>
      <c r="W146" s="12"/>
      <c r="X146" s="12"/>
      <c r="Y146" s="12"/>
    </row>
    <row r="147" spans="1:25" s="6" customFormat="1" ht="25.5" x14ac:dyDescent="0.2">
      <c r="A147" s="139">
        <v>137</v>
      </c>
      <c r="B147" s="25" t="s">
        <v>30</v>
      </c>
      <c r="C147" s="24" t="s">
        <v>493</v>
      </c>
      <c r="D147" s="27">
        <v>2375</v>
      </c>
      <c r="E147" s="27">
        <v>1000</v>
      </c>
      <c r="F147" s="27">
        <v>0</v>
      </c>
      <c r="G147" s="27">
        <v>250</v>
      </c>
      <c r="H147" s="176">
        <v>0</v>
      </c>
      <c r="I147" s="176">
        <v>0</v>
      </c>
      <c r="J147" s="28">
        <f t="shared" si="11"/>
        <v>3625</v>
      </c>
      <c r="K147" s="28">
        <f t="shared" si="12"/>
        <v>101.25</v>
      </c>
      <c r="L147" s="28">
        <f>(D147+E147)*11%</f>
        <v>371.25</v>
      </c>
      <c r="M147" s="29">
        <v>0</v>
      </c>
      <c r="N147" s="29">
        <v>0</v>
      </c>
      <c r="O147" s="28">
        <f t="shared" si="13"/>
        <v>472.5</v>
      </c>
      <c r="P147" s="28">
        <f t="shared" si="10"/>
        <v>3152.5</v>
      </c>
      <c r="Q147" s="73">
        <v>0</v>
      </c>
      <c r="R147" s="12"/>
      <c r="S147" s="12"/>
      <c r="T147" s="12"/>
      <c r="U147" s="12"/>
      <c r="V147" s="12"/>
      <c r="W147" s="12"/>
      <c r="X147" s="12"/>
      <c r="Y147" s="12"/>
    </row>
    <row r="148" spans="1:25" s="6" customFormat="1" x14ac:dyDescent="0.2">
      <c r="A148" s="139">
        <v>138</v>
      </c>
      <c r="B148" s="66" t="s">
        <v>930</v>
      </c>
      <c r="C148" s="23" t="s">
        <v>931</v>
      </c>
      <c r="D148" s="27">
        <v>2920</v>
      </c>
      <c r="E148" s="27">
        <v>1000</v>
      </c>
      <c r="F148" s="27">
        <v>0</v>
      </c>
      <c r="G148" s="27">
        <v>250</v>
      </c>
      <c r="H148" s="176">
        <v>0</v>
      </c>
      <c r="I148" s="176">
        <v>0</v>
      </c>
      <c r="J148" s="28">
        <f t="shared" si="11"/>
        <v>4170</v>
      </c>
      <c r="K148" s="28">
        <f t="shared" si="12"/>
        <v>117.6</v>
      </c>
      <c r="L148" s="28">
        <f>(D148+E148)*11%</f>
        <v>431.2</v>
      </c>
      <c r="M148" s="29">
        <v>0</v>
      </c>
      <c r="N148" s="29">
        <v>52.68</v>
      </c>
      <c r="O148" s="28">
        <f t="shared" si="13"/>
        <v>601.48</v>
      </c>
      <c r="P148" s="28">
        <f t="shared" si="10"/>
        <v>3568.52</v>
      </c>
      <c r="Q148" s="73">
        <v>0</v>
      </c>
      <c r="R148" s="12"/>
      <c r="S148" s="12"/>
      <c r="T148" s="12"/>
      <c r="U148" s="12"/>
      <c r="V148" s="12"/>
      <c r="W148" s="12"/>
      <c r="X148" s="12"/>
      <c r="Y148" s="12"/>
    </row>
    <row r="149" spans="1:25" s="6" customFormat="1" ht="25.5" x14ac:dyDescent="0.2">
      <c r="A149" s="139">
        <v>139</v>
      </c>
      <c r="B149" s="24" t="s">
        <v>296</v>
      </c>
      <c r="C149" s="24" t="s">
        <v>330</v>
      </c>
      <c r="D149" s="177">
        <v>1940</v>
      </c>
      <c r="E149" s="29">
        <v>0</v>
      </c>
      <c r="F149" s="27">
        <v>0</v>
      </c>
      <c r="G149" s="176">
        <v>0</v>
      </c>
      <c r="H149" s="176">
        <v>2792.33</v>
      </c>
      <c r="I149" s="176">
        <v>0</v>
      </c>
      <c r="J149" s="28">
        <f t="shared" si="11"/>
        <v>1940</v>
      </c>
      <c r="K149" s="28">
        <f t="shared" si="12"/>
        <v>58.2</v>
      </c>
      <c r="L149" s="28">
        <f>D149*10%</f>
        <v>194</v>
      </c>
      <c r="M149" s="28">
        <v>0</v>
      </c>
      <c r="N149" s="28">
        <v>0</v>
      </c>
      <c r="O149" s="28">
        <f t="shared" si="13"/>
        <v>252.2</v>
      </c>
      <c r="P149" s="28">
        <f t="shared" si="10"/>
        <v>1687.8</v>
      </c>
      <c r="Q149" s="73">
        <v>0</v>
      </c>
      <c r="R149" s="12"/>
      <c r="S149" s="12"/>
      <c r="T149" s="12"/>
      <c r="U149" s="12"/>
      <c r="V149" s="12"/>
      <c r="W149" s="12"/>
      <c r="X149" s="12"/>
      <c r="Y149" s="12"/>
    </row>
    <row r="150" spans="1:25" s="6" customFormat="1" ht="25.5" x14ac:dyDescent="0.2">
      <c r="A150" s="139">
        <v>140</v>
      </c>
      <c r="B150" s="24" t="s">
        <v>515</v>
      </c>
      <c r="C150" s="24" t="s">
        <v>330</v>
      </c>
      <c r="D150" s="177">
        <v>1940</v>
      </c>
      <c r="E150" s="29">
        <v>0</v>
      </c>
      <c r="F150" s="27">
        <v>0</v>
      </c>
      <c r="G150" s="176">
        <v>0</v>
      </c>
      <c r="H150" s="176">
        <v>2792.33</v>
      </c>
      <c r="I150" s="176">
        <v>0</v>
      </c>
      <c r="J150" s="28">
        <f t="shared" si="11"/>
        <v>1940</v>
      </c>
      <c r="K150" s="28">
        <f t="shared" si="12"/>
        <v>58.2</v>
      </c>
      <c r="L150" s="28">
        <f>D150*10%</f>
        <v>194</v>
      </c>
      <c r="M150" s="28">
        <v>0</v>
      </c>
      <c r="N150" s="28">
        <v>0</v>
      </c>
      <c r="O150" s="28">
        <f t="shared" si="13"/>
        <v>252.2</v>
      </c>
      <c r="P150" s="28">
        <f t="shared" si="10"/>
        <v>1687.8</v>
      </c>
      <c r="Q150" s="73">
        <v>0</v>
      </c>
      <c r="R150" s="12"/>
      <c r="S150" s="12"/>
      <c r="T150" s="12"/>
      <c r="U150" s="12"/>
      <c r="V150" s="12"/>
      <c r="W150" s="12"/>
      <c r="X150" s="12"/>
      <c r="Y150" s="12"/>
    </row>
    <row r="151" spans="1:25" s="6" customFormat="1" ht="25.5" x14ac:dyDescent="0.2">
      <c r="A151" s="139">
        <v>141</v>
      </c>
      <c r="B151" s="24" t="s">
        <v>405</v>
      </c>
      <c r="C151" s="33" t="s">
        <v>495</v>
      </c>
      <c r="D151" s="177">
        <v>2328</v>
      </c>
      <c r="E151" s="29">
        <v>0</v>
      </c>
      <c r="F151" s="27">
        <v>0</v>
      </c>
      <c r="G151" s="176">
        <v>0</v>
      </c>
      <c r="H151" s="176">
        <v>2792.33</v>
      </c>
      <c r="I151" s="176">
        <v>0</v>
      </c>
      <c r="J151" s="28">
        <f t="shared" si="11"/>
        <v>2328</v>
      </c>
      <c r="K151" s="28">
        <f t="shared" si="12"/>
        <v>69.84</v>
      </c>
      <c r="L151" s="28">
        <f>D151*11%</f>
        <v>256.08</v>
      </c>
      <c r="M151" s="28">
        <v>0</v>
      </c>
      <c r="N151" s="28">
        <v>0</v>
      </c>
      <c r="O151" s="28">
        <f t="shared" si="13"/>
        <v>325.92</v>
      </c>
      <c r="P151" s="28">
        <f t="shared" si="10"/>
        <v>2002.08</v>
      </c>
      <c r="Q151" s="73">
        <v>0</v>
      </c>
      <c r="R151" s="12"/>
      <c r="S151" s="12"/>
      <c r="T151" s="12"/>
      <c r="U151" s="12"/>
      <c r="V151" s="12"/>
      <c r="W151" s="12"/>
      <c r="X151" s="12"/>
      <c r="Y151" s="12"/>
    </row>
    <row r="152" spans="1:25" s="6" customFormat="1" ht="25.5" x14ac:dyDescent="0.2">
      <c r="A152" s="139">
        <v>142</v>
      </c>
      <c r="B152" s="41" t="s">
        <v>443</v>
      </c>
      <c r="C152" s="24" t="s">
        <v>287</v>
      </c>
      <c r="D152" s="177">
        <v>1831</v>
      </c>
      <c r="E152" s="29">
        <v>1000</v>
      </c>
      <c r="F152" s="27">
        <v>0</v>
      </c>
      <c r="G152" s="176">
        <v>250</v>
      </c>
      <c r="H152" s="176">
        <v>2792.33</v>
      </c>
      <c r="I152" s="176">
        <v>0</v>
      </c>
      <c r="J152" s="28">
        <f t="shared" si="11"/>
        <v>3081</v>
      </c>
      <c r="K152" s="28">
        <f t="shared" si="12"/>
        <v>84.93</v>
      </c>
      <c r="L152" s="28">
        <v>311.41000000000003</v>
      </c>
      <c r="M152" s="29">
        <v>0</v>
      </c>
      <c r="N152" s="29">
        <v>0</v>
      </c>
      <c r="O152" s="28">
        <f t="shared" si="13"/>
        <v>396.34</v>
      </c>
      <c r="P152" s="28">
        <f t="shared" ref="P152:P183" si="14">J152-O152</f>
        <v>2684.66</v>
      </c>
      <c r="Q152" s="73">
        <v>0</v>
      </c>
      <c r="R152" s="12"/>
      <c r="S152" s="12"/>
      <c r="T152" s="12"/>
      <c r="U152" s="12"/>
      <c r="V152" s="12"/>
      <c r="W152" s="12"/>
      <c r="X152" s="12"/>
      <c r="Y152" s="12"/>
    </row>
    <row r="153" spans="1:25" s="6" customFormat="1" ht="25.5" x14ac:dyDescent="0.2">
      <c r="A153" s="139">
        <v>143</v>
      </c>
      <c r="B153" s="22" t="s">
        <v>163</v>
      </c>
      <c r="C153" s="24" t="s">
        <v>345</v>
      </c>
      <c r="D153" s="29">
        <v>2037</v>
      </c>
      <c r="E153" s="29">
        <v>0</v>
      </c>
      <c r="F153" s="27">
        <v>0</v>
      </c>
      <c r="G153" s="176">
        <v>0</v>
      </c>
      <c r="H153" s="176">
        <v>2792.33</v>
      </c>
      <c r="I153" s="176">
        <v>0</v>
      </c>
      <c r="J153" s="28">
        <f t="shared" si="11"/>
        <v>2037</v>
      </c>
      <c r="K153" s="28">
        <f t="shared" si="12"/>
        <v>61.11</v>
      </c>
      <c r="L153" s="28">
        <f>D153*11%</f>
        <v>224.07</v>
      </c>
      <c r="M153" s="28">
        <v>0</v>
      </c>
      <c r="N153" s="28">
        <v>0</v>
      </c>
      <c r="O153" s="28">
        <f t="shared" si="13"/>
        <v>285.18</v>
      </c>
      <c r="P153" s="28">
        <f t="shared" si="14"/>
        <v>1751.82</v>
      </c>
      <c r="Q153" s="73">
        <v>0</v>
      </c>
      <c r="R153" s="12"/>
      <c r="S153" s="12"/>
      <c r="T153" s="12"/>
      <c r="U153" s="12"/>
      <c r="V153" s="12"/>
      <c r="W153" s="12"/>
      <c r="X153" s="12"/>
      <c r="Y153" s="12"/>
    </row>
    <row r="154" spans="1:25" s="6" customFormat="1" ht="25.5" x14ac:dyDescent="0.2">
      <c r="A154" s="139">
        <v>144</v>
      </c>
      <c r="B154" s="24" t="s">
        <v>269</v>
      </c>
      <c r="C154" s="24" t="s">
        <v>327</v>
      </c>
      <c r="D154" s="177">
        <v>2425</v>
      </c>
      <c r="E154" s="29">
        <v>0</v>
      </c>
      <c r="F154" s="27">
        <v>0</v>
      </c>
      <c r="G154" s="176">
        <v>0</v>
      </c>
      <c r="H154" s="176">
        <v>2792.33</v>
      </c>
      <c r="I154" s="176">
        <v>0</v>
      </c>
      <c r="J154" s="28">
        <f t="shared" si="11"/>
        <v>2425</v>
      </c>
      <c r="K154" s="28">
        <f t="shared" si="12"/>
        <v>72.75</v>
      </c>
      <c r="L154" s="28">
        <f>D154*11%</f>
        <v>266.75</v>
      </c>
      <c r="M154" s="28">
        <v>0</v>
      </c>
      <c r="N154" s="28">
        <v>0</v>
      </c>
      <c r="O154" s="28">
        <f t="shared" si="13"/>
        <v>339.5</v>
      </c>
      <c r="P154" s="28">
        <f t="shared" si="14"/>
        <v>2085.5</v>
      </c>
      <c r="Q154" s="73">
        <v>0</v>
      </c>
      <c r="R154" s="12"/>
      <c r="S154" s="12"/>
      <c r="T154" s="12"/>
      <c r="U154" s="12"/>
      <c r="V154" s="12"/>
      <c r="W154" s="12"/>
      <c r="X154" s="12"/>
      <c r="Y154" s="12"/>
    </row>
    <row r="155" spans="1:25" s="6" customFormat="1" ht="25.5" x14ac:dyDescent="0.2">
      <c r="A155" s="139">
        <v>145</v>
      </c>
      <c r="B155" s="42" t="s">
        <v>42</v>
      </c>
      <c r="C155" s="26" t="s">
        <v>486</v>
      </c>
      <c r="D155" s="27">
        <v>3081</v>
      </c>
      <c r="E155" s="27">
        <v>1000</v>
      </c>
      <c r="F155" s="27">
        <v>0</v>
      </c>
      <c r="G155" s="27">
        <v>250</v>
      </c>
      <c r="H155" s="176">
        <v>2792.33</v>
      </c>
      <c r="I155" s="176">
        <v>0</v>
      </c>
      <c r="J155" s="28">
        <f t="shared" si="11"/>
        <v>4331</v>
      </c>
      <c r="K155" s="28">
        <f t="shared" si="12"/>
        <v>122.43</v>
      </c>
      <c r="L155" s="28">
        <f>(D155+E155)*12%</f>
        <v>489.72</v>
      </c>
      <c r="M155" s="28">
        <v>0</v>
      </c>
      <c r="N155" s="28">
        <v>0</v>
      </c>
      <c r="O155" s="28">
        <f t="shared" si="13"/>
        <v>612.15</v>
      </c>
      <c r="P155" s="28">
        <f t="shared" si="14"/>
        <v>3718.85</v>
      </c>
      <c r="Q155" s="73">
        <v>0</v>
      </c>
      <c r="R155" s="12"/>
      <c r="S155" s="12"/>
      <c r="T155" s="12"/>
      <c r="U155" s="12"/>
      <c r="V155" s="12"/>
      <c r="W155" s="12"/>
      <c r="X155" s="12"/>
      <c r="Y155" s="12"/>
    </row>
    <row r="156" spans="1:25" s="6" customFormat="1" ht="25.5" x14ac:dyDescent="0.2">
      <c r="A156" s="139">
        <v>146</v>
      </c>
      <c r="B156" s="22" t="s">
        <v>324</v>
      </c>
      <c r="C156" s="24" t="s">
        <v>499</v>
      </c>
      <c r="D156" s="193">
        <v>5787</v>
      </c>
      <c r="E156" s="175">
        <v>1800</v>
      </c>
      <c r="F156" s="27">
        <v>0</v>
      </c>
      <c r="G156" s="176">
        <v>250</v>
      </c>
      <c r="H156" s="176">
        <v>2792.33</v>
      </c>
      <c r="I156" s="176">
        <v>0</v>
      </c>
      <c r="J156" s="28">
        <f t="shared" si="11"/>
        <v>7837</v>
      </c>
      <c r="K156" s="28">
        <f t="shared" si="12"/>
        <v>227.61</v>
      </c>
      <c r="L156" s="28">
        <f>(D156+E156+F156)*13%</f>
        <v>986.31</v>
      </c>
      <c r="M156" s="28">
        <v>131.99</v>
      </c>
      <c r="N156" s="28">
        <v>101.97</v>
      </c>
      <c r="O156" s="28">
        <f t="shared" si="13"/>
        <v>1447.88</v>
      </c>
      <c r="P156" s="28">
        <f t="shared" si="14"/>
        <v>6389.12</v>
      </c>
      <c r="Q156" s="73">
        <v>0</v>
      </c>
      <c r="R156" s="12"/>
      <c r="S156" s="12"/>
      <c r="T156" s="12"/>
      <c r="U156" s="12"/>
      <c r="V156" s="12"/>
      <c r="W156" s="12"/>
      <c r="X156" s="12"/>
      <c r="Y156" s="12"/>
    </row>
    <row r="157" spans="1:25" s="6" customFormat="1" ht="25.5" x14ac:dyDescent="0.2">
      <c r="A157" s="139">
        <v>147</v>
      </c>
      <c r="B157" s="24" t="s">
        <v>95</v>
      </c>
      <c r="C157" s="24" t="s">
        <v>327</v>
      </c>
      <c r="D157" s="177">
        <v>2425</v>
      </c>
      <c r="E157" s="29">
        <v>0</v>
      </c>
      <c r="F157" s="27">
        <v>0</v>
      </c>
      <c r="G157" s="176">
        <v>0</v>
      </c>
      <c r="H157" s="176">
        <v>2792.33</v>
      </c>
      <c r="I157" s="176">
        <v>0</v>
      </c>
      <c r="J157" s="28">
        <f t="shared" si="11"/>
        <v>2425</v>
      </c>
      <c r="K157" s="28">
        <f t="shared" si="12"/>
        <v>72.75</v>
      </c>
      <c r="L157" s="28">
        <f>D157*11%</f>
        <v>266.75</v>
      </c>
      <c r="M157" s="28">
        <v>0</v>
      </c>
      <c r="N157" s="28">
        <v>0</v>
      </c>
      <c r="O157" s="28">
        <f t="shared" si="13"/>
        <v>339.5</v>
      </c>
      <c r="P157" s="28">
        <f t="shared" si="14"/>
        <v>2085.5</v>
      </c>
      <c r="Q157" s="73">
        <v>0</v>
      </c>
      <c r="R157" s="12"/>
      <c r="S157" s="12"/>
      <c r="T157" s="12"/>
      <c r="U157" s="12"/>
      <c r="V157" s="12"/>
      <c r="W157" s="12"/>
      <c r="X157" s="12"/>
      <c r="Y157" s="12"/>
    </row>
    <row r="158" spans="1:25" s="6" customFormat="1" ht="25.5" x14ac:dyDescent="0.2">
      <c r="A158" s="139">
        <v>148</v>
      </c>
      <c r="B158" s="24" t="s">
        <v>55</v>
      </c>
      <c r="C158" s="24" t="s">
        <v>335</v>
      </c>
      <c r="D158" s="28">
        <v>3081</v>
      </c>
      <c r="E158" s="28">
        <v>1000</v>
      </c>
      <c r="F158" s="27">
        <v>0</v>
      </c>
      <c r="G158" s="176">
        <v>250</v>
      </c>
      <c r="H158" s="176">
        <v>2792.33</v>
      </c>
      <c r="I158" s="176">
        <v>0</v>
      </c>
      <c r="J158" s="28">
        <f t="shared" si="11"/>
        <v>4331</v>
      </c>
      <c r="K158" s="28">
        <f t="shared" si="12"/>
        <v>122.43</v>
      </c>
      <c r="L158" s="28">
        <f>(D158+E158)*12%</f>
        <v>489.72</v>
      </c>
      <c r="M158" s="28">
        <v>0</v>
      </c>
      <c r="N158" s="28">
        <v>0</v>
      </c>
      <c r="O158" s="28">
        <f t="shared" si="13"/>
        <v>612.15</v>
      </c>
      <c r="P158" s="28">
        <f t="shared" si="14"/>
        <v>3718.85</v>
      </c>
      <c r="Q158" s="73">
        <v>0</v>
      </c>
      <c r="R158" s="12"/>
      <c r="S158" s="12"/>
      <c r="T158" s="12"/>
      <c r="U158" s="12"/>
      <c r="V158" s="12"/>
      <c r="W158" s="12"/>
      <c r="X158" s="12"/>
      <c r="Y158" s="12"/>
    </row>
    <row r="159" spans="1:25" s="6" customFormat="1" ht="25.5" x14ac:dyDescent="0.2">
      <c r="A159" s="139">
        <v>149</v>
      </c>
      <c r="B159" s="23" t="s">
        <v>456</v>
      </c>
      <c r="C159" s="24" t="s">
        <v>335</v>
      </c>
      <c r="D159" s="29">
        <v>3081</v>
      </c>
      <c r="E159" s="175">
        <v>1000</v>
      </c>
      <c r="F159" s="27">
        <v>0</v>
      </c>
      <c r="G159" s="176">
        <v>250</v>
      </c>
      <c r="H159" s="176">
        <v>2792.33</v>
      </c>
      <c r="I159" s="176">
        <v>0</v>
      </c>
      <c r="J159" s="28">
        <f t="shared" si="11"/>
        <v>4331</v>
      </c>
      <c r="K159" s="28">
        <f t="shared" si="12"/>
        <v>122.43</v>
      </c>
      <c r="L159" s="28">
        <f>(D159+E159)*12%</f>
        <v>489.72</v>
      </c>
      <c r="M159" s="28">
        <v>0</v>
      </c>
      <c r="N159" s="28">
        <v>0</v>
      </c>
      <c r="O159" s="28">
        <f t="shared" si="13"/>
        <v>612.15</v>
      </c>
      <c r="P159" s="28">
        <f t="shared" si="14"/>
        <v>3718.85</v>
      </c>
      <c r="Q159" s="73">
        <v>0</v>
      </c>
      <c r="R159" s="12"/>
      <c r="S159" s="12"/>
      <c r="T159" s="12"/>
      <c r="U159" s="12"/>
      <c r="V159" s="12"/>
      <c r="W159" s="12"/>
      <c r="X159" s="12"/>
      <c r="Y159" s="12"/>
    </row>
    <row r="160" spans="1:25" s="6" customFormat="1" ht="25.5" x14ac:dyDescent="0.2">
      <c r="A160" s="139">
        <v>150</v>
      </c>
      <c r="B160" s="24" t="s">
        <v>980</v>
      </c>
      <c r="C160" s="24" t="s">
        <v>330</v>
      </c>
      <c r="D160" s="177">
        <v>1940</v>
      </c>
      <c r="E160" s="29">
        <v>0</v>
      </c>
      <c r="F160" s="27">
        <v>0</v>
      </c>
      <c r="G160" s="176">
        <v>0</v>
      </c>
      <c r="H160" s="176">
        <v>0</v>
      </c>
      <c r="I160" s="176">
        <v>0</v>
      </c>
      <c r="J160" s="28">
        <f t="shared" si="11"/>
        <v>1940</v>
      </c>
      <c r="K160" s="28">
        <f t="shared" si="12"/>
        <v>58.2</v>
      </c>
      <c r="L160" s="28">
        <f>D160*10%</f>
        <v>194</v>
      </c>
      <c r="M160" s="28">
        <v>0</v>
      </c>
      <c r="N160" s="28">
        <v>0</v>
      </c>
      <c r="O160" s="28">
        <f t="shared" si="13"/>
        <v>252.2</v>
      </c>
      <c r="P160" s="28">
        <f t="shared" si="14"/>
        <v>1687.8</v>
      </c>
      <c r="Q160" s="73">
        <v>0</v>
      </c>
      <c r="R160" s="12"/>
      <c r="S160" s="12"/>
      <c r="T160" s="12"/>
      <c r="U160" s="12"/>
      <c r="V160" s="12"/>
      <c r="W160" s="12"/>
      <c r="X160" s="12"/>
      <c r="Y160" s="12"/>
    </row>
    <row r="161" spans="1:25" s="6" customFormat="1" ht="25.5" x14ac:dyDescent="0.2">
      <c r="A161" s="139">
        <v>151</v>
      </c>
      <c r="B161" s="25" t="s">
        <v>406</v>
      </c>
      <c r="C161" s="26" t="s">
        <v>294</v>
      </c>
      <c r="D161" s="27">
        <v>2375</v>
      </c>
      <c r="E161" s="27">
        <v>1000</v>
      </c>
      <c r="F161" s="27">
        <v>0</v>
      </c>
      <c r="G161" s="27">
        <v>250</v>
      </c>
      <c r="H161" s="176">
        <v>0</v>
      </c>
      <c r="I161" s="176">
        <v>0</v>
      </c>
      <c r="J161" s="28">
        <f t="shared" si="11"/>
        <v>3625</v>
      </c>
      <c r="K161" s="28">
        <f t="shared" si="12"/>
        <v>101.25</v>
      </c>
      <c r="L161" s="28">
        <f>(D161+E161)*11%</f>
        <v>371.25</v>
      </c>
      <c r="M161" s="28">
        <v>0</v>
      </c>
      <c r="N161" s="28">
        <v>45.36</v>
      </c>
      <c r="O161" s="28">
        <f t="shared" si="13"/>
        <v>517.86</v>
      </c>
      <c r="P161" s="28">
        <f t="shared" si="14"/>
        <v>3107.14</v>
      </c>
      <c r="Q161" s="73">
        <v>0</v>
      </c>
      <c r="R161" s="12"/>
      <c r="S161" s="12"/>
      <c r="T161" s="12"/>
      <c r="U161" s="12"/>
      <c r="V161" s="12"/>
      <c r="W161" s="12"/>
      <c r="X161" s="12"/>
      <c r="Y161" s="12"/>
    </row>
    <row r="162" spans="1:25" s="6" customFormat="1" ht="25.5" x14ac:dyDescent="0.2">
      <c r="A162" s="139">
        <v>152</v>
      </c>
      <c r="B162" s="22" t="s">
        <v>297</v>
      </c>
      <c r="C162" s="24" t="s">
        <v>470</v>
      </c>
      <c r="D162" s="29">
        <v>3241</v>
      </c>
      <c r="E162" s="175">
        <v>1000</v>
      </c>
      <c r="F162" s="27">
        <v>0</v>
      </c>
      <c r="G162" s="176">
        <v>250</v>
      </c>
      <c r="H162" s="176">
        <v>0</v>
      </c>
      <c r="I162" s="176">
        <v>0</v>
      </c>
      <c r="J162" s="28">
        <f t="shared" si="11"/>
        <v>4491</v>
      </c>
      <c r="K162" s="28">
        <f t="shared" si="12"/>
        <v>127.23</v>
      </c>
      <c r="L162" s="28">
        <f>(D162+E162)*12%</f>
        <v>508.92</v>
      </c>
      <c r="M162" s="28">
        <v>0</v>
      </c>
      <c r="N162" s="28">
        <v>0</v>
      </c>
      <c r="O162" s="28">
        <f t="shared" si="13"/>
        <v>636.15</v>
      </c>
      <c r="P162" s="28">
        <f t="shared" si="14"/>
        <v>3854.85</v>
      </c>
      <c r="Q162" s="73">
        <v>0</v>
      </c>
      <c r="R162" s="12"/>
      <c r="S162" s="12"/>
      <c r="T162" s="12"/>
      <c r="U162" s="12"/>
      <c r="V162" s="12"/>
      <c r="W162" s="12"/>
      <c r="X162" s="12"/>
      <c r="Y162" s="12"/>
    </row>
    <row r="163" spans="1:25" s="6" customFormat="1" x14ac:dyDescent="0.2">
      <c r="A163" s="139">
        <v>153</v>
      </c>
      <c r="B163" s="24" t="s">
        <v>407</v>
      </c>
      <c r="C163" s="24" t="s">
        <v>111</v>
      </c>
      <c r="D163" s="29">
        <v>1668</v>
      </c>
      <c r="E163" s="29">
        <v>1000</v>
      </c>
      <c r="F163" s="27">
        <v>0</v>
      </c>
      <c r="G163" s="176">
        <v>250</v>
      </c>
      <c r="H163" s="176">
        <v>2792.33</v>
      </c>
      <c r="I163" s="176">
        <v>0</v>
      </c>
      <c r="J163" s="28">
        <f t="shared" si="11"/>
        <v>2918</v>
      </c>
      <c r="K163" s="28">
        <f t="shared" si="12"/>
        <v>80.040000000000006</v>
      </c>
      <c r="L163" s="28">
        <f>(D163+E163)*11%</f>
        <v>293.48</v>
      </c>
      <c r="M163" s="28">
        <v>0</v>
      </c>
      <c r="N163" s="28">
        <v>0</v>
      </c>
      <c r="O163" s="28">
        <f t="shared" si="13"/>
        <v>373.52</v>
      </c>
      <c r="P163" s="28">
        <f t="shared" si="14"/>
        <v>2544.48</v>
      </c>
      <c r="Q163" s="73">
        <v>0</v>
      </c>
      <c r="R163" s="12"/>
      <c r="S163" s="12"/>
      <c r="T163" s="12"/>
      <c r="U163" s="12"/>
      <c r="V163" s="12"/>
      <c r="W163" s="12"/>
      <c r="X163" s="12"/>
      <c r="Y163" s="12"/>
    </row>
    <row r="164" spans="1:25" s="6" customFormat="1" ht="25.5" x14ac:dyDescent="0.2">
      <c r="A164" s="139">
        <v>154</v>
      </c>
      <c r="B164" s="39" t="s">
        <v>270</v>
      </c>
      <c r="C164" s="26" t="s">
        <v>408</v>
      </c>
      <c r="D164" s="27">
        <v>5787</v>
      </c>
      <c r="E164" s="27">
        <v>1800</v>
      </c>
      <c r="F164" s="27">
        <v>0</v>
      </c>
      <c r="G164" s="27">
        <v>250</v>
      </c>
      <c r="H164" s="176">
        <v>0</v>
      </c>
      <c r="I164" s="176">
        <v>0</v>
      </c>
      <c r="J164" s="28">
        <f t="shared" si="11"/>
        <v>7837</v>
      </c>
      <c r="K164" s="28">
        <f t="shared" si="12"/>
        <v>227.61</v>
      </c>
      <c r="L164" s="28">
        <f>(D164+E164)*12%</f>
        <v>910.44</v>
      </c>
      <c r="M164" s="28">
        <v>131.99</v>
      </c>
      <c r="N164" s="28">
        <v>101.97</v>
      </c>
      <c r="O164" s="28">
        <f t="shared" si="13"/>
        <v>1372.01</v>
      </c>
      <c r="P164" s="28">
        <f t="shared" si="14"/>
        <v>6464.99</v>
      </c>
      <c r="Q164" s="73">
        <v>0</v>
      </c>
      <c r="R164" s="12"/>
      <c r="S164" s="12"/>
      <c r="T164" s="12"/>
      <c r="U164" s="12"/>
      <c r="V164" s="12"/>
      <c r="W164" s="12"/>
      <c r="X164" s="12"/>
      <c r="Y164" s="12"/>
    </row>
    <row r="165" spans="1:25" s="6" customFormat="1" ht="25.5" x14ac:dyDescent="0.2">
      <c r="A165" s="139">
        <v>155</v>
      </c>
      <c r="B165" s="24" t="s">
        <v>147</v>
      </c>
      <c r="C165" s="24" t="s">
        <v>345</v>
      </c>
      <c r="D165" s="187">
        <v>2037</v>
      </c>
      <c r="E165" s="29">
        <v>0</v>
      </c>
      <c r="F165" s="27">
        <v>0</v>
      </c>
      <c r="G165" s="176">
        <v>0</v>
      </c>
      <c r="H165" s="176">
        <v>2792.33</v>
      </c>
      <c r="I165" s="176">
        <v>0</v>
      </c>
      <c r="J165" s="28">
        <f t="shared" si="11"/>
        <v>2037</v>
      </c>
      <c r="K165" s="28">
        <f t="shared" si="12"/>
        <v>61.11</v>
      </c>
      <c r="L165" s="28">
        <f>D165*11%</f>
        <v>224.07</v>
      </c>
      <c r="M165" s="28">
        <v>0</v>
      </c>
      <c r="N165" s="28">
        <v>0</v>
      </c>
      <c r="O165" s="28">
        <f t="shared" si="13"/>
        <v>285.18</v>
      </c>
      <c r="P165" s="28">
        <f t="shared" si="14"/>
        <v>1751.82</v>
      </c>
      <c r="Q165" s="73">
        <v>0</v>
      </c>
      <c r="R165" s="12"/>
      <c r="S165" s="12"/>
      <c r="T165" s="12"/>
      <c r="U165" s="12"/>
      <c r="V165" s="12"/>
      <c r="W165" s="12"/>
      <c r="X165" s="12"/>
      <c r="Y165" s="12"/>
    </row>
    <row r="166" spans="1:25" s="6" customFormat="1" ht="25.5" x14ac:dyDescent="0.2">
      <c r="A166" s="139">
        <v>156</v>
      </c>
      <c r="B166" s="32" t="s">
        <v>244</v>
      </c>
      <c r="C166" s="24" t="s">
        <v>470</v>
      </c>
      <c r="D166" s="183">
        <v>3241</v>
      </c>
      <c r="E166" s="175">
        <v>1000</v>
      </c>
      <c r="F166" s="27">
        <v>0</v>
      </c>
      <c r="G166" s="176">
        <v>250</v>
      </c>
      <c r="H166" s="176">
        <v>0</v>
      </c>
      <c r="I166" s="176">
        <v>0</v>
      </c>
      <c r="J166" s="28">
        <f t="shared" si="11"/>
        <v>4491</v>
      </c>
      <c r="K166" s="28">
        <f t="shared" si="12"/>
        <v>127.23</v>
      </c>
      <c r="L166" s="28">
        <f>(D166+E166+F166)*12%</f>
        <v>508.92</v>
      </c>
      <c r="M166" s="28">
        <v>0</v>
      </c>
      <c r="N166" s="28">
        <v>57</v>
      </c>
      <c r="O166" s="28">
        <f t="shared" si="13"/>
        <v>693.15</v>
      </c>
      <c r="P166" s="28">
        <f t="shared" si="14"/>
        <v>3797.85</v>
      </c>
      <c r="Q166" s="73">
        <v>0</v>
      </c>
      <c r="R166" s="12"/>
      <c r="S166" s="12"/>
      <c r="T166" s="12"/>
      <c r="U166" s="12"/>
      <c r="V166" s="12"/>
      <c r="W166" s="12"/>
      <c r="X166" s="12"/>
      <c r="Y166" s="12"/>
    </row>
    <row r="167" spans="1:25" s="6" customFormat="1" ht="25.5" x14ac:dyDescent="0.2">
      <c r="A167" s="139">
        <v>157</v>
      </c>
      <c r="B167" s="32" t="s">
        <v>409</v>
      </c>
      <c r="C167" s="26" t="s">
        <v>486</v>
      </c>
      <c r="D167" s="209">
        <v>3081</v>
      </c>
      <c r="E167" s="29">
        <v>1000</v>
      </c>
      <c r="F167" s="27">
        <v>0</v>
      </c>
      <c r="G167" s="176">
        <v>250</v>
      </c>
      <c r="H167" s="176">
        <v>0</v>
      </c>
      <c r="I167" s="176">
        <v>0</v>
      </c>
      <c r="J167" s="28">
        <f t="shared" si="11"/>
        <v>4331</v>
      </c>
      <c r="K167" s="28">
        <f t="shared" si="12"/>
        <v>122.43</v>
      </c>
      <c r="L167" s="28">
        <f>(D167+E167)*12%</f>
        <v>489.72</v>
      </c>
      <c r="M167" s="28">
        <v>0</v>
      </c>
      <c r="N167" s="28">
        <v>54.85</v>
      </c>
      <c r="O167" s="28">
        <f t="shared" si="13"/>
        <v>667</v>
      </c>
      <c r="P167" s="28">
        <f t="shared" si="14"/>
        <v>3664</v>
      </c>
      <c r="Q167" s="73">
        <v>0</v>
      </c>
      <c r="R167" s="12"/>
      <c r="S167" s="12"/>
      <c r="T167" s="12"/>
      <c r="U167" s="12"/>
      <c r="V167" s="12"/>
      <c r="W167" s="12"/>
      <c r="X167" s="12"/>
      <c r="Y167" s="12"/>
    </row>
    <row r="168" spans="1:25" s="6" customFormat="1" ht="25.5" x14ac:dyDescent="0.2">
      <c r="A168" s="139">
        <v>158</v>
      </c>
      <c r="B168" s="230" t="s">
        <v>1013</v>
      </c>
      <c r="C168" s="226" t="s">
        <v>108</v>
      </c>
      <c r="D168" s="225">
        <v>2920</v>
      </c>
      <c r="E168" s="29">
        <v>1000</v>
      </c>
      <c r="F168" s="27">
        <v>0</v>
      </c>
      <c r="G168" s="176">
        <v>250</v>
      </c>
      <c r="H168" s="176">
        <v>0</v>
      </c>
      <c r="I168" s="176">
        <v>0</v>
      </c>
      <c r="J168" s="28">
        <f t="shared" si="11"/>
        <v>4170</v>
      </c>
      <c r="K168" s="28">
        <f t="shared" si="12"/>
        <v>117.6</v>
      </c>
      <c r="L168" s="28">
        <f>(D168+E168)*11%</f>
        <v>431.2</v>
      </c>
      <c r="M168" s="28">
        <v>0</v>
      </c>
      <c r="N168" s="28">
        <v>52.68</v>
      </c>
      <c r="O168" s="28">
        <f t="shared" si="13"/>
        <v>601.48</v>
      </c>
      <c r="P168" s="28">
        <f t="shared" si="14"/>
        <v>3568.52</v>
      </c>
      <c r="Q168" s="73">
        <v>0</v>
      </c>
      <c r="R168" s="12"/>
      <c r="S168" s="12"/>
      <c r="T168" s="12"/>
      <c r="U168" s="12"/>
      <c r="V168" s="12"/>
      <c r="W168" s="12"/>
      <c r="X168" s="12"/>
      <c r="Y168" s="12"/>
    </row>
    <row r="169" spans="1:25" s="6" customFormat="1" ht="25.5" x14ac:dyDescent="0.2">
      <c r="A169" s="139">
        <v>159</v>
      </c>
      <c r="B169" s="24" t="s">
        <v>298</v>
      </c>
      <c r="C169" s="24" t="s">
        <v>327</v>
      </c>
      <c r="D169" s="177">
        <v>2425</v>
      </c>
      <c r="E169" s="29">
        <v>0</v>
      </c>
      <c r="F169" s="27">
        <v>0</v>
      </c>
      <c r="G169" s="176">
        <v>0</v>
      </c>
      <c r="H169" s="176">
        <v>0</v>
      </c>
      <c r="I169" s="176">
        <v>0</v>
      </c>
      <c r="J169" s="28">
        <f t="shared" si="11"/>
        <v>2425</v>
      </c>
      <c r="K169" s="28">
        <f t="shared" si="12"/>
        <v>72.75</v>
      </c>
      <c r="L169" s="28">
        <f>D169*11%</f>
        <v>266.75</v>
      </c>
      <c r="M169" s="28">
        <v>0</v>
      </c>
      <c r="N169" s="28">
        <v>0</v>
      </c>
      <c r="O169" s="28">
        <f t="shared" si="13"/>
        <v>339.5</v>
      </c>
      <c r="P169" s="28">
        <f t="shared" si="14"/>
        <v>2085.5</v>
      </c>
      <c r="Q169" s="73">
        <v>0</v>
      </c>
      <c r="R169" s="12"/>
      <c r="S169" s="12"/>
      <c r="T169" s="12"/>
      <c r="U169" s="12"/>
      <c r="V169" s="12"/>
      <c r="W169" s="12"/>
      <c r="X169" s="12"/>
      <c r="Y169" s="12"/>
    </row>
    <row r="170" spans="1:25" s="6" customFormat="1" ht="25.5" x14ac:dyDescent="0.2">
      <c r="A170" s="139">
        <v>160</v>
      </c>
      <c r="B170" s="24" t="s">
        <v>99</v>
      </c>
      <c r="C170" s="24" t="s">
        <v>330</v>
      </c>
      <c r="D170" s="177">
        <v>1940</v>
      </c>
      <c r="E170" s="29">
        <v>0</v>
      </c>
      <c r="F170" s="27">
        <v>0</v>
      </c>
      <c r="G170" s="176">
        <v>0</v>
      </c>
      <c r="H170" s="176">
        <v>2792.33</v>
      </c>
      <c r="I170" s="176">
        <v>0</v>
      </c>
      <c r="J170" s="28">
        <f t="shared" si="11"/>
        <v>1940</v>
      </c>
      <c r="K170" s="28">
        <f t="shared" si="12"/>
        <v>58.2</v>
      </c>
      <c r="L170" s="28">
        <f>D170*10%</f>
        <v>194</v>
      </c>
      <c r="M170" s="28">
        <v>0</v>
      </c>
      <c r="N170" s="28">
        <v>0</v>
      </c>
      <c r="O170" s="28">
        <f t="shared" si="13"/>
        <v>252.2</v>
      </c>
      <c r="P170" s="28">
        <f t="shared" si="14"/>
        <v>1687.8</v>
      </c>
      <c r="Q170" s="73">
        <v>0</v>
      </c>
      <c r="R170" s="12"/>
      <c r="S170" s="12"/>
      <c r="T170" s="12"/>
      <c r="U170" s="12"/>
      <c r="V170" s="12"/>
      <c r="W170" s="12"/>
      <c r="X170" s="12"/>
      <c r="Y170" s="12"/>
    </row>
    <row r="171" spans="1:25" s="6" customFormat="1" ht="25.5" x14ac:dyDescent="0.2">
      <c r="A171" s="139">
        <v>161</v>
      </c>
      <c r="B171" s="31" t="s">
        <v>233</v>
      </c>
      <c r="C171" s="24" t="s">
        <v>497</v>
      </c>
      <c r="D171" s="27">
        <v>3241</v>
      </c>
      <c r="E171" s="27">
        <v>1000</v>
      </c>
      <c r="F171" s="27">
        <v>0</v>
      </c>
      <c r="G171" s="27">
        <v>250</v>
      </c>
      <c r="H171" s="176">
        <v>0</v>
      </c>
      <c r="I171" s="176">
        <v>0</v>
      </c>
      <c r="J171" s="28">
        <f t="shared" si="11"/>
        <v>4491</v>
      </c>
      <c r="K171" s="28">
        <f t="shared" si="12"/>
        <v>127.23</v>
      </c>
      <c r="L171" s="28">
        <f>(D171+E171)*12%</f>
        <v>508.92</v>
      </c>
      <c r="M171" s="28">
        <v>0</v>
      </c>
      <c r="N171" s="28">
        <v>0</v>
      </c>
      <c r="O171" s="28">
        <f t="shared" si="13"/>
        <v>636.15</v>
      </c>
      <c r="P171" s="28">
        <f t="shared" si="14"/>
        <v>3854.85</v>
      </c>
      <c r="Q171" s="73">
        <f>1050</f>
        <v>1050</v>
      </c>
      <c r="R171" s="12"/>
      <c r="S171" s="12"/>
      <c r="T171" s="12"/>
      <c r="U171" s="12"/>
      <c r="V171" s="12"/>
      <c r="W171" s="12"/>
      <c r="X171" s="12"/>
      <c r="Y171" s="12"/>
    </row>
    <row r="172" spans="1:25" s="6" customFormat="1" x14ac:dyDescent="0.2">
      <c r="A172" s="139">
        <v>162</v>
      </c>
      <c r="B172" s="24" t="s">
        <v>410</v>
      </c>
      <c r="C172" s="24" t="s">
        <v>109</v>
      </c>
      <c r="D172" s="29">
        <v>1902</v>
      </c>
      <c r="E172" s="29">
        <v>1000</v>
      </c>
      <c r="F172" s="27">
        <v>0</v>
      </c>
      <c r="G172" s="176">
        <v>250</v>
      </c>
      <c r="H172" s="176">
        <v>2792.33</v>
      </c>
      <c r="I172" s="176">
        <v>0</v>
      </c>
      <c r="J172" s="28">
        <f t="shared" si="11"/>
        <v>3152</v>
      </c>
      <c r="K172" s="28">
        <f t="shared" si="12"/>
        <v>87.06</v>
      </c>
      <c r="L172" s="28">
        <f>(D172+E172)*11%</f>
        <v>319.22000000000003</v>
      </c>
      <c r="M172" s="28">
        <v>0</v>
      </c>
      <c r="N172" s="28">
        <v>0</v>
      </c>
      <c r="O172" s="28">
        <f t="shared" si="13"/>
        <v>406.28</v>
      </c>
      <c r="P172" s="28">
        <f t="shared" si="14"/>
        <v>2745.72</v>
      </c>
      <c r="Q172" s="73">
        <v>0</v>
      </c>
      <c r="R172" s="12"/>
      <c r="S172" s="12"/>
      <c r="T172" s="12"/>
      <c r="U172" s="12"/>
      <c r="V172" s="12"/>
      <c r="W172" s="12"/>
      <c r="X172" s="12"/>
      <c r="Y172" s="12"/>
    </row>
    <row r="173" spans="1:25" s="6" customFormat="1" ht="25.5" x14ac:dyDescent="0.2">
      <c r="A173" s="139">
        <v>163</v>
      </c>
      <c r="B173" s="24" t="s">
        <v>347</v>
      </c>
      <c r="C173" s="24" t="s">
        <v>330</v>
      </c>
      <c r="D173" s="29">
        <v>1940</v>
      </c>
      <c r="E173" s="29">
        <v>0</v>
      </c>
      <c r="F173" s="27">
        <v>0</v>
      </c>
      <c r="G173" s="176">
        <v>0</v>
      </c>
      <c r="H173" s="176">
        <v>2792.33</v>
      </c>
      <c r="I173" s="176">
        <v>0</v>
      </c>
      <c r="J173" s="28">
        <f t="shared" si="11"/>
        <v>1940</v>
      </c>
      <c r="K173" s="28">
        <f t="shared" si="12"/>
        <v>58.2</v>
      </c>
      <c r="L173" s="28">
        <f>D173*10%</f>
        <v>194</v>
      </c>
      <c r="M173" s="28">
        <v>0</v>
      </c>
      <c r="N173" s="28">
        <v>0</v>
      </c>
      <c r="O173" s="28">
        <f t="shared" si="13"/>
        <v>252.2</v>
      </c>
      <c r="P173" s="28">
        <f t="shared" si="14"/>
        <v>1687.8</v>
      </c>
      <c r="Q173" s="73">
        <v>0</v>
      </c>
      <c r="R173" s="12"/>
      <c r="S173" s="12"/>
      <c r="T173" s="12"/>
      <c r="U173" s="12"/>
      <c r="V173" s="12"/>
      <c r="W173" s="12"/>
      <c r="X173" s="12"/>
      <c r="Y173" s="12"/>
    </row>
    <row r="174" spans="1:25" s="6" customFormat="1" x14ac:dyDescent="0.2">
      <c r="A174" s="139">
        <v>164</v>
      </c>
      <c r="B174" s="24" t="s">
        <v>299</v>
      </c>
      <c r="C174" s="24" t="s">
        <v>109</v>
      </c>
      <c r="D174" s="29">
        <v>1902</v>
      </c>
      <c r="E174" s="29">
        <v>1000</v>
      </c>
      <c r="F174" s="27">
        <v>0</v>
      </c>
      <c r="G174" s="176">
        <v>250</v>
      </c>
      <c r="H174" s="176">
        <v>2792.33</v>
      </c>
      <c r="I174" s="176">
        <v>0</v>
      </c>
      <c r="J174" s="28">
        <f t="shared" si="11"/>
        <v>3152</v>
      </c>
      <c r="K174" s="28">
        <f t="shared" si="12"/>
        <v>87.06</v>
      </c>
      <c r="L174" s="28">
        <f>(D174+E174)*11%</f>
        <v>319.22000000000003</v>
      </c>
      <c r="M174" s="28">
        <v>0</v>
      </c>
      <c r="N174" s="28">
        <v>0</v>
      </c>
      <c r="O174" s="28">
        <f t="shared" si="13"/>
        <v>406.28</v>
      </c>
      <c r="P174" s="28">
        <f t="shared" si="14"/>
        <v>2745.72</v>
      </c>
      <c r="Q174" s="73">
        <v>0</v>
      </c>
      <c r="R174" s="12"/>
      <c r="S174" s="12"/>
      <c r="T174" s="12"/>
      <c r="U174" s="12"/>
      <c r="V174" s="12"/>
      <c r="W174" s="12"/>
      <c r="X174" s="12"/>
      <c r="Y174" s="12"/>
    </row>
    <row r="175" spans="1:25" s="6" customFormat="1" ht="25.5" x14ac:dyDescent="0.2">
      <c r="A175" s="139">
        <v>165</v>
      </c>
      <c r="B175" s="24" t="s">
        <v>271</v>
      </c>
      <c r="C175" s="24" t="s">
        <v>505</v>
      </c>
      <c r="D175" s="29">
        <v>5373</v>
      </c>
      <c r="E175" s="29">
        <v>3000</v>
      </c>
      <c r="F175" s="27">
        <v>0</v>
      </c>
      <c r="G175" s="176">
        <v>250</v>
      </c>
      <c r="H175" s="176">
        <v>0</v>
      </c>
      <c r="I175" s="176">
        <v>0</v>
      </c>
      <c r="J175" s="28">
        <f t="shared" si="11"/>
        <v>8623</v>
      </c>
      <c r="K175" s="28">
        <f t="shared" si="12"/>
        <v>251.19</v>
      </c>
      <c r="L175" s="28">
        <f>(D175+E175)*14%</f>
        <v>1172.22</v>
      </c>
      <c r="M175" s="28">
        <v>160.81</v>
      </c>
      <c r="N175" s="28">
        <v>112.53</v>
      </c>
      <c r="O175" s="28">
        <f t="shared" si="13"/>
        <v>1696.75</v>
      </c>
      <c r="P175" s="28">
        <f t="shared" si="14"/>
        <v>6926.25</v>
      </c>
      <c r="Q175" s="73">
        <v>0</v>
      </c>
      <c r="R175" s="12"/>
      <c r="S175" s="12"/>
      <c r="T175" s="12"/>
      <c r="U175" s="12"/>
      <c r="V175" s="12"/>
      <c r="W175" s="12"/>
      <c r="X175" s="12"/>
      <c r="Y175" s="12"/>
    </row>
    <row r="176" spans="1:25" s="6" customFormat="1" ht="25.5" x14ac:dyDescent="0.2">
      <c r="A176" s="139">
        <v>166</v>
      </c>
      <c r="B176" s="23" t="s">
        <v>82</v>
      </c>
      <c r="C176" s="24" t="s">
        <v>327</v>
      </c>
      <c r="D176" s="29">
        <v>2425</v>
      </c>
      <c r="E176" s="29">
        <v>0</v>
      </c>
      <c r="F176" s="27">
        <v>0</v>
      </c>
      <c r="G176" s="176">
        <v>0</v>
      </c>
      <c r="H176" s="176">
        <v>2792.33</v>
      </c>
      <c r="I176" s="176">
        <v>0</v>
      </c>
      <c r="J176" s="28">
        <f t="shared" si="11"/>
        <v>2425</v>
      </c>
      <c r="K176" s="28">
        <f t="shared" si="12"/>
        <v>72.75</v>
      </c>
      <c r="L176" s="28">
        <f>D176*11%</f>
        <v>266.75</v>
      </c>
      <c r="M176" s="28">
        <v>0</v>
      </c>
      <c r="N176" s="28">
        <v>0</v>
      </c>
      <c r="O176" s="28">
        <f t="shared" si="13"/>
        <v>339.5</v>
      </c>
      <c r="P176" s="28">
        <f t="shared" si="14"/>
        <v>2085.5</v>
      </c>
      <c r="Q176" s="73">
        <v>0</v>
      </c>
      <c r="R176" s="12"/>
      <c r="S176" s="12"/>
      <c r="T176" s="12"/>
      <c r="U176" s="12"/>
      <c r="V176" s="12"/>
      <c r="W176" s="12"/>
      <c r="X176" s="12"/>
      <c r="Y176" s="12"/>
    </row>
    <row r="177" spans="1:25" s="6" customFormat="1" ht="25.5" x14ac:dyDescent="0.2">
      <c r="A177" s="139">
        <v>167</v>
      </c>
      <c r="B177" s="24" t="s">
        <v>444</v>
      </c>
      <c r="C177" s="24" t="s">
        <v>330</v>
      </c>
      <c r="D177" s="29">
        <v>1940</v>
      </c>
      <c r="E177" s="29">
        <f>2000</f>
        <v>2000</v>
      </c>
      <c r="F177" s="27">
        <v>0</v>
      </c>
      <c r="G177" s="176">
        <v>250</v>
      </c>
      <c r="H177" s="176">
        <v>2792.33</v>
      </c>
      <c r="I177" s="176">
        <v>0</v>
      </c>
      <c r="J177" s="28">
        <f t="shared" si="11"/>
        <v>4190</v>
      </c>
      <c r="K177" s="28">
        <f t="shared" si="12"/>
        <v>118.2</v>
      </c>
      <c r="L177" s="28">
        <f>(D177+E177)*11%</f>
        <v>433.4</v>
      </c>
      <c r="M177" s="28">
        <v>0</v>
      </c>
      <c r="N177" s="28">
        <v>0</v>
      </c>
      <c r="O177" s="28">
        <f t="shared" si="13"/>
        <v>551.6</v>
      </c>
      <c r="P177" s="28">
        <f t="shared" si="14"/>
        <v>3638.4</v>
      </c>
      <c r="Q177" s="73">
        <v>0</v>
      </c>
      <c r="R177" s="12"/>
      <c r="S177" s="12"/>
      <c r="T177" s="12"/>
      <c r="U177" s="12"/>
      <c r="V177" s="12"/>
      <c r="W177" s="12"/>
      <c r="X177" s="12"/>
      <c r="Y177" s="12"/>
    </row>
    <row r="178" spans="1:25" s="6" customFormat="1" ht="25.5" x14ac:dyDescent="0.2">
      <c r="A178" s="139">
        <v>168</v>
      </c>
      <c r="B178" s="25" t="s">
        <v>43</v>
      </c>
      <c r="C178" s="24" t="s">
        <v>470</v>
      </c>
      <c r="D178" s="27">
        <v>3241</v>
      </c>
      <c r="E178" s="27">
        <v>1000</v>
      </c>
      <c r="F178" s="27">
        <v>0</v>
      </c>
      <c r="G178" s="27">
        <v>250</v>
      </c>
      <c r="H178" s="176">
        <v>2792.33</v>
      </c>
      <c r="I178" s="176">
        <v>0</v>
      </c>
      <c r="J178" s="28">
        <f t="shared" si="11"/>
        <v>4491</v>
      </c>
      <c r="K178" s="28">
        <f t="shared" si="12"/>
        <v>127.23</v>
      </c>
      <c r="L178" s="28">
        <v>508.92</v>
      </c>
      <c r="M178" s="27">
        <v>0</v>
      </c>
      <c r="N178" s="27">
        <v>57</v>
      </c>
      <c r="O178" s="27">
        <f>SUM(K178:N178)</f>
        <v>693.15</v>
      </c>
      <c r="P178" s="28">
        <f t="shared" si="14"/>
        <v>3797.85</v>
      </c>
      <c r="Q178" s="73">
        <v>0</v>
      </c>
      <c r="R178" s="12"/>
      <c r="S178" s="12"/>
      <c r="T178" s="12"/>
      <c r="U178" s="12"/>
      <c r="V178" s="12"/>
      <c r="W178" s="12"/>
      <c r="X178" s="12"/>
      <c r="Y178" s="12"/>
    </row>
    <row r="179" spans="1:25" s="6" customFormat="1" ht="25.5" x14ac:dyDescent="0.2">
      <c r="A179" s="139">
        <v>169</v>
      </c>
      <c r="B179" s="24" t="s">
        <v>458</v>
      </c>
      <c r="C179" s="26" t="s">
        <v>152</v>
      </c>
      <c r="D179" s="27">
        <v>2920</v>
      </c>
      <c r="E179" s="194">
        <v>1000</v>
      </c>
      <c r="F179" s="175">
        <v>0</v>
      </c>
      <c r="G179" s="175">
        <v>250</v>
      </c>
      <c r="H179" s="176">
        <v>0</v>
      </c>
      <c r="I179" s="176">
        <v>0</v>
      </c>
      <c r="J179" s="28">
        <f t="shared" si="11"/>
        <v>4170</v>
      </c>
      <c r="K179" s="28">
        <f t="shared" si="12"/>
        <v>117.6</v>
      </c>
      <c r="L179" s="28">
        <f>(D179+E179)*11%</f>
        <v>431.2</v>
      </c>
      <c r="M179" s="28">
        <v>0</v>
      </c>
      <c r="N179" s="28">
        <v>0</v>
      </c>
      <c r="O179" s="28">
        <f t="shared" si="13"/>
        <v>548.79999999999995</v>
      </c>
      <c r="P179" s="28">
        <f t="shared" si="14"/>
        <v>3621.2</v>
      </c>
      <c r="Q179" s="73">
        <v>0</v>
      </c>
      <c r="R179" s="12"/>
      <c r="S179" s="12"/>
      <c r="T179" s="12"/>
      <c r="U179" s="12"/>
      <c r="V179" s="12"/>
      <c r="W179" s="12"/>
      <c r="X179" s="12"/>
      <c r="Y179" s="12"/>
    </row>
    <row r="180" spans="1:25" s="6" customFormat="1" ht="25.5" x14ac:dyDescent="0.2">
      <c r="A180" s="139">
        <v>170</v>
      </c>
      <c r="B180" s="24" t="s">
        <v>180</v>
      </c>
      <c r="C180" s="26" t="s">
        <v>486</v>
      </c>
      <c r="D180" s="29">
        <v>3081</v>
      </c>
      <c r="E180" s="29">
        <v>1000</v>
      </c>
      <c r="F180" s="27">
        <v>0</v>
      </c>
      <c r="G180" s="176">
        <v>250</v>
      </c>
      <c r="H180" s="176">
        <v>2792.33</v>
      </c>
      <c r="I180" s="176">
        <v>0</v>
      </c>
      <c r="J180" s="28">
        <f t="shared" si="11"/>
        <v>4331</v>
      </c>
      <c r="K180" s="28">
        <f t="shared" si="12"/>
        <v>122.43</v>
      </c>
      <c r="L180" s="28">
        <f>(D180+E180)*12%</f>
        <v>489.72</v>
      </c>
      <c r="M180" s="28">
        <v>0</v>
      </c>
      <c r="N180" s="28">
        <v>54.85</v>
      </c>
      <c r="O180" s="28">
        <f t="shared" si="13"/>
        <v>667</v>
      </c>
      <c r="P180" s="28">
        <f t="shared" si="14"/>
        <v>3664</v>
      </c>
      <c r="Q180" s="73">
        <v>0</v>
      </c>
      <c r="R180" s="12"/>
      <c r="S180" s="12"/>
      <c r="T180" s="12"/>
      <c r="U180" s="12"/>
      <c r="V180" s="12"/>
      <c r="W180" s="12"/>
      <c r="X180" s="12"/>
      <c r="Y180" s="12"/>
    </row>
    <row r="181" spans="1:25" s="6" customFormat="1" ht="25.5" x14ac:dyDescent="0.2">
      <c r="A181" s="139">
        <v>171</v>
      </c>
      <c r="B181" s="31" t="s">
        <v>300</v>
      </c>
      <c r="C181" s="26" t="s">
        <v>506</v>
      </c>
      <c r="D181" s="27">
        <v>2631</v>
      </c>
      <c r="E181" s="27">
        <v>1000</v>
      </c>
      <c r="F181" s="27">
        <v>0</v>
      </c>
      <c r="G181" s="27">
        <v>250</v>
      </c>
      <c r="H181" s="176">
        <v>2792.33</v>
      </c>
      <c r="I181" s="176">
        <v>0</v>
      </c>
      <c r="J181" s="28">
        <f t="shared" si="11"/>
        <v>3881</v>
      </c>
      <c r="K181" s="28">
        <f t="shared" si="12"/>
        <v>108.93</v>
      </c>
      <c r="L181" s="28">
        <f>(D181+E181)*11%</f>
        <v>399.41</v>
      </c>
      <c r="M181" s="28">
        <v>0</v>
      </c>
      <c r="N181" s="28">
        <v>48.8</v>
      </c>
      <c r="O181" s="28">
        <f t="shared" si="13"/>
        <v>557.14</v>
      </c>
      <c r="P181" s="28">
        <f t="shared" si="14"/>
        <v>3323.86</v>
      </c>
      <c r="Q181" s="73">
        <v>0</v>
      </c>
      <c r="R181" s="12"/>
      <c r="S181" s="12"/>
      <c r="T181" s="12"/>
      <c r="U181" s="12"/>
      <c r="V181" s="12"/>
      <c r="W181" s="12"/>
      <c r="X181" s="12"/>
      <c r="Y181" s="12"/>
    </row>
    <row r="182" spans="1:25" s="6" customFormat="1" ht="25.5" x14ac:dyDescent="0.2">
      <c r="A182" s="139">
        <v>172</v>
      </c>
      <c r="B182" s="25" t="s">
        <v>411</v>
      </c>
      <c r="C182" s="26" t="s">
        <v>504</v>
      </c>
      <c r="D182" s="27">
        <v>3241</v>
      </c>
      <c r="E182" s="27">
        <v>1000</v>
      </c>
      <c r="F182" s="27">
        <v>0</v>
      </c>
      <c r="G182" s="27">
        <v>250</v>
      </c>
      <c r="H182" s="176">
        <v>0</v>
      </c>
      <c r="I182" s="176">
        <v>0</v>
      </c>
      <c r="J182" s="28">
        <f t="shared" si="11"/>
        <v>4491</v>
      </c>
      <c r="K182" s="28">
        <f t="shared" si="12"/>
        <v>127.23</v>
      </c>
      <c r="L182" s="28">
        <f>(D182+E182)*12%</f>
        <v>508.92</v>
      </c>
      <c r="M182" s="28">
        <v>0</v>
      </c>
      <c r="N182" s="28">
        <v>0</v>
      </c>
      <c r="O182" s="28">
        <f t="shared" si="13"/>
        <v>636.15</v>
      </c>
      <c r="P182" s="28">
        <f t="shared" si="14"/>
        <v>3854.85</v>
      </c>
      <c r="Q182" s="73">
        <v>0</v>
      </c>
      <c r="R182" s="12"/>
      <c r="S182" s="12"/>
      <c r="T182" s="12"/>
      <c r="U182" s="12"/>
      <c r="V182" s="12"/>
      <c r="W182" s="12"/>
      <c r="X182" s="12"/>
      <c r="Y182" s="12"/>
    </row>
    <row r="183" spans="1:25" s="6" customFormat="1" ht="25.5" x14ac:dyDescent="0.2">
      <c r="A183" s="139">
        <v>173</v>
      </c>
      <c r="B183" s="22" t="s">
        <v>164</v>
      </c>
      <c r="C183" s="24" t="s">
        <v>286</v>
      </c>
      <c r="D183" s="29">
        <v>2249</v>
      </c>
      <c r="E183" s="175">
        <v>1000</v>
      </c>
      <c r="F183" s="27">
        <v>0</v>
      </c>
      <c r="G183" s="176">
        <v>250</v>
      </c>
      <c r="H183" s="176">
        <v>2792.33</v>
      </c>
      <c r="I183" s="176">
        <v>0</v>
      </c>
      <c r="J183" s="28">
        <f t="shared" si="11"/>
        <v>3499</v>
      </c>
      <c r="K183" s="28">
        <f t="shared" si="12"/>
        <v>97.47</v>
      </c>
      <c r="L183" s="28">
        <f>(D183+E183)*11%</f>
        <v>357.39</v>
      </c>
      <c r="M183" s="28">
        <v>0</v>
      </c>
      <c r="N183" s="28">
        <v>0</v>
      </c>
      <c r="O183" s="28">
        <f t="shared" si="13"/>
        <v>454.86</v>
      </c>
      <c r="P183" s="28">
        <f t="shared" si="14"/>
        <v>3044.14</v>
      </c>
      <c r="Q183" s="73">
        <v>0</v>
      </c>
      <c r="R183" s="12"/>
      <c r="S183" s="12"/>
      <c r="T183" s="12"/>
      <c r="U183" s="12"/>
      <c r="V183" s="12"/>
      <c r="W183" s="12"/>
      <c r="X183" s="12"/>
      <c r="Y183" s="12"/>
    </row>
    <row r="184" spans="1:25" s="6" customFormat="1" ht="25.5" x14ac:dyDescent="0.2">
      <c r="A184" s="139">
        <v>174</v>
      </c>
      <c r="B184" s="24" t="s">
        <v>272</v>
      </c>
      <c r="C184" s="24" t="s">
        <v>330</v>
      </c>
      <c r="D184" s="29">
        <v>2425</v>
      </c>
      <c r="E184" s="29">
        <v>0</v>
      </c>
      <c r="F184" s="27">
        <v>0</v>
      </c>
      <c r="G184" s="176">
        <v>0</v>
      </c>
      <c r="H184" s="176">
        <v>2792.33</v>
      </c>
      <c r="I184" s="176">
        <v>0</v>
      </c>
      <c r="J184" s="28">
        <f t="shared" si="11"/>
        <v>2425</v>
      </c>
      <c r="K184" s="28">
        <f t="shared" si="12"/>
        <v>72.75</v>
      </c>
      <c r="L184" s="28">
        <f>D184*11%</f>
        <v>266.75</v>
      </c>
      <c r="M184" s="28">
        <v>0</v>
      </c>
      <c r="N184" s="28">
        <v>0</v>
      </c>
      <c r="O184" s="28">
        <f t="shared" si="13"/>
        <v>339.5</v>
      </c>
      <c r="P184" s="28">
        <f t="shared" ref="P184:P217" si="15">J184-O184</f>
        <v>2085.5</v>
      </c>
      <c r="Q184" s="73">
        <v>0</v>
      </c>
      <c r="R184" s="12"/>
      <c r="S184" s="12"/>
      <c r="T184" s="12"/>
      <c r="U184" s="12"/>
      <c r="V184" s="12"/>
      <c r="W184" s="12"/>
      <c r="X184" s="12"/>
      <c r="Y184" s="12"/>
    </row>
    <row r="185" spans="1:25" s="6" customFormat="1" x14ac:dyDescent="0.2">
      <c r="A185" s="139">
        <v>175</v>
      </c>
      <c r="B185" s="24" t="s">
        <v>985</v>
      </c>
      <c r="C185" s="24" t="s">
        <v>986</v>
      </c>
      <c r="D185" s="29">
        <v>1902</v>
      </c>
      <c r="E185" s="29">
        <v>1000</v>
      </c>
      <c r="F185" s="27">
        <v>0</v>
      </c>
      <c r="G185" s="176">
        <v>250</v>
      </c>
      <c r="H185" s="176">
        <v>0</v>
      </c>
      <c r="I185" s="176">
        <v>0</v>
      </c>
      <c r="J185" s="28">
        <f t="shared" si="11"/>
        <v>3152</v>
      </c>
      <c r="K185" s="28">
        <f t="shared" si="12"/>
        <v>87.06</v>
      </c>
      <c r="L185" s="28">
        <f>D185*11%</f>
        <v>209.22</v>
      </c>
      <c r="M185" s="28">
        <v>0</v>
      </c>
      <c r="N185" s="28">
        <v>39</v>
      </c>
      <c r="O185" s="28">
        <f t="shared" si="13"/>
        <v>335.28</v>
      </c>
      <c r="P185" s="28">
        <f t="shared" si="15"/>
        <v>2816.72</v>
      </c>
      <c r="Q185" s="73">
        <v>0</v>
      </c>
      <c r="R185" s="12"/>
      <c r="S185" s="12"/>
      <c r="T185" s="12"/>
      <c r="U185" s="12"/>
      <c r="V185" s="12"/>
      <c r="W185" s="12"/>
      <c r="X185" s="12"/>
      <c r="Y185" s="12"/>
    </row>
    <row r="186" spans="1:25" s="6" customFormat="1" ht="25.5" x14ac:dyDescent="0.2">
      <c r="A186" s="139">
        <v>176</v>
      </c>
      <c r="B186" s="25" t="s">
        <v>301</v>
      </c>
      <c r="C186" s="24" t="s">
        <v>287</v>
      </c>
      <c r="D186" s="27">
        <v>1831</v>
      </c>
      <c r="E186" s="27">
        <v>1000</v>
      </c>
      <c r="F186" s="27">
        <v>0</v>
      </c>
      <c r="G186" s="27">
        <v>250</v>
      </c>
      <c r="H186" s="176">
        <v>2792.33</v>
      </c>
      <c r="I186" s="176">
        <v>0</v>
      </c>
      <c r="J186" s="28">
        <f t="shared" si="11"/>
        <v>3081</v>
      </c>
      <c r="K186" s="28">
        <f t="shared" si="12"/>
        <v>84.93</v>
      </c>
      <c r="L186" s="28">
        <f>(D186+E186)*12%</f>
        <v>339.72</v>
      </c>
      <c r="M186" s="28">
        <v>0</v>
      </c>
      <c r="N186" s="28">
        <v>38.049999999999997</v>
      </c>
      <c r="O186" s="28">
        <f t="shared" si="13"/>
        <v>462.7</v>
      </c>
      <c r="P186" s="28">
        <f t="shared" si="15"/>
        <v>2618.3000000000002</v>
      </c>
      <c r="Q186" s="73">
        <v>0</v>
      </c>
      <c r="R186" s="12"/>
      <c r="S186" s="12"/>
      <c r="T186" s="12"/>
      <c r="U186" s="12"/>
      <c r="V186" s="12"/>
      <c r="W186" s="12"/>
      <c r="X186" s="12"/>
      <c r="Y186" s="12"/>
    </row>
    <row r="187" spans="1:25" s="6" customFormat="1" ht="25.5" x14ac:dyDescent="0.2">
      <c r="A187" s="139">
        <v>177</v>
      </c>
      <c r="B187" s="25" t="s">
        <v>1001</v>
      </c>
      <c r="C187" s="24" t="s">
        <v>1003</v>
      </c>
      <c r="D187" s="27">
        <v>3081</v>
      </c>
      <c r="E187" s="27">
        <v>1000</v>
      </c>
      <c r="F187" s="27">
        <v>0</v>
      </c>
      <c r="G187" s="27">
        <v>250</v>
      </c>
      <c r="H187" s="176">
        <v>0</v>
      </c>
      <c r="I187" s="176">
        <v>0</v>
      </c>
      <c r="J187" s="28">
        <f>SUM(D187:I187)</f>
        <v>4331</v>
      </c>
      <c r="K187" s="28">
        <f t="shared" si="12"/>
        <v>122.43</v>
      </c>
      <c r="L187" s="28">
        <f>(D187+E187)*12%</f>
        <v>489.72</v>
      </c>
      <c r="M187" s="28">
        <v>0</v>
      </c>
      <c r="N187" s="28">
        <v>0</v>
      </c>
      <c r="O187" s="28">
        <f t="shared" si="13"/>
        <v>612.15</v>
      </c>
      <c r="P187" s="28">
        <f t="shared" si="15"/>
        <v>3718.85</v>
      </c>
      <c r="Q187" s="73">
        <v>0</v>
      </c>
      <c r="R187" s="12"/>
      <c r="S187" s="12"/>
      <c r="T187" s="12"/>
      <c r="U187" s="12"/>
      <c r="V187" s="12"/>
      <c r="W187" s="12"/>
      <c r="X187" s="12"/>
      <c r="Y187" s="12"/>
    </row>
    <row r="188" spans="1:25" s="6" customFormat="1" ht="25.5" x14ac:dyDescent="0.2">
      <c r="A188" s="139">
        <v>178</v>
      </c>
      <c r="B188" s="41" t="s">
        <v>348</v>
      </c>
      <c r="C188" s="24" t="s">
        <v>327</v>
      </c>
      <c r="D188" s="177">
        <v>2425</v>
      </c>
      <c r="E188" s="29">
        <v>0</v>
      </c>
      <c r="F188" s="27">
        <v>0</v>
      </c>
      <c r="G188" s="176">
        <v>0</v>
      </c>
      <c r="H188" s="176">
        <v>2792.33</v>
      </c>
      <c r="I188" s="176">
        <v>0</v>
      </c>
      <c r="J188" s="28">
        <f t="shared" si="11"/>
        <v>2425</v>
      </c>
      <c r="K188" s="28">
        <f t="shared" si="12"/>
        <v>72.75</v>
      </c>
      <c r="L188" s="28">
        <f>D188*11%</f>
        <v>266.75</v>
      </c>
      <c r="M188" s="28">
        <v>0</v>
      </c>
      <c r="N188" s="28">
        <v>0</v>
      </c>
      <c r="O188" s="28">
        <f t="shared" si="13"/>
        <v>339.5</v>
      </c>
      <c r="P188" s="28">
        <f t="shared" si="15"/>
        <v>2085.5</v>
      </c>
      <c r="Q188" s="73">
        <v>0</v>
      </c>
      <c r="R188" s="12"/>
      <c r="S188" s="12"/>
      <c r="T188" s="12"/>
      <c r="U188" s="12"/>
      <c r="V188" s="12"/>
      <c r="W188" s="12"/>
      <c r="X188" s="12"/>
      <c r="Y188" s="12"/>
    </row>
    <row r="189" spans="1:25" s="6" customFormat="1" ht="25.5" x14ac:dyDescent="0.2">
      <c r="A189" s="139">
        <v>179</v>
      </c>
      <c r="B189" s="24" t="s">
        <v>302</v>
      </c>
      <c r="C189" s="24" t="s">
        <v>330</v>
      </c>
      <c r="D189" s="177">
        <v>1940</v>
      </c>
      <c r="E189" s="29">
        <v>0</v>
      </c>
      <c r="F189" s="27">
        <v>0</v>
      </c>
      <c r="G189" s="176">
        <v>0</v>
      </c>
      <c r="H189" s="176">
        <v>2792.33</v>
      </c>
      <c r="I189" s="176">
        <v>0</v>
      </c>
      <c r="J189" s="28">
        <f t="shared" si="11"/>
        <v>1940</v>
      </c>
      <c r="K189" s="28">
        <f t="shared" si="12"/>
        <v>58.2</v>
      </c>
      <c r="L189" s="28">
        <f>D189*10%</f>
        <v>194</v>
      </c>
      <c r="M189" s="28">
        <v>0</v>
      </c>
      <c r="N189" s="28">
        <v>0</v>
      </c>
      <c r="O189" s="28">
        <f t="shared" si="13"/>
        <v>252.2</v>
      </c>
      <c r="P189" s="28">
        <f t="shared" si="15"/>
        <v>1687.8</v>
      </c>
      <c r="Q189" s="73">
        <v>0</v>
      </c>
      <c r="R189" s="12"/>
      <c r="S189" s="12"/>
      <c r="T189" s="12"/>
      <c r="U189" s="12"/>
      <c r="V189" s="12"/>
      <c r="W189" s="12"/>
      <c r="X189" s="12"/>
      <c r="Y189" s="12"/>
    </row>
    <row r="190" spans="1:25" s="6" customFormat="1" ht="25.5" x14ac:dyDescent="0.2">
      <c r="A190" s="139">
        <v>180</v>
      </c>
      <c r="B190" s="23" t="s">
        <v>349</v>
      </c>
      <c r="C190" s="24" t="s">
        <v>335</v>
      </c>
      <c r="D190" s="29">
        <v>3081</v>
      </c>
      <c r="E190" s="175">
        <v>1000</v>
      </c>
      <c r="F190" s="27">
        <v>0</v>
      </c>
      <c r="G190" s="176">
        <v>250</v>
      </c>
      <c r="H190" s="176">
        <v>2792.33</v>
      </c>
      <c r="I190" s="176">
        <v>0</v>
      </c>
      <c r="J190" s="28">
        <f t="shared" si="11"/>
        <v>4331</v>
      </c>
      <c r="K190" s="28">
        <f t="shared" si="12"/>
        <v>122.43</v>
      </c>
      <c r="L190" s="28">
        <f>(D190+E190)*12%</f>
        <v>489.72</v>
      </c>
      <c r="M190" s="28">
        <v>0</v>
      </c>
      <c r="N190" s="28">
        <v>0</v>
      </c>
      <c r="O190" s="28">
        <f t="shared" si="13"/>
        <v>612.15</v>
      </c>
      <c r="P190" s="28">
        <f t="shared" si="15"/>
        <v>3718.85</v>
      </c>
      <c r="Q190" s="73">
        <v>0</v>
      </c>
      <c r="R190" s="12"/>
      <c r="S190" s="12"/>
      <c r="T190" s="12"/>
      <c r="U190" s="12"/>
      <c r="V190" s="12"/>
      <c r="W190" s="12"/>
      <c r="X190" s="12"/>
      <c r="Y190" s="12"/>
    </row>
    <row r="191" spans="1:25" s="6" customFormat="1" ht="25.5" x14ac:dyDescent="0.2">
      <c r="A191" s="139">
        <v>181</v>
      </c>
      <c r="B191" s="23" t="s">
        <v>303</v>
      </c>
      <c r="C191" s="24" t="s">
        <v>335</v>
      </c>
      <c r="D191" s="185">
        <v>3081</v>
      </c>
      <c r="E191" s="186">
        <v>1000</v>
      </c>
      <c r="F191" s="27">
        <v>0</v>
      </c>
      <c r="G191" s="27">
        <v>250</v>
      </c>
      <c r="H191" s="176">
        <v>2792.33</v>
      </c>
      <c r="I191" s="176">
        <v>0</v>
      </c>
      <c r="J191" s="28">
        <f t="shared" si="11"/>
        <v>4331</v>
      </c>
      <c r="K191" s="28">
        <f t="shared" si="12"/>
        <v>122.43</v>
      </c>
      <c r="L191" s="28">
        <f>(D191+E191)*14%</f>
        <v>571.34</v>
      </c>
      <c r="M191" s="28">
        <v>0</v>
      </c>
      <c r="N191" s="28">
        <v>0</v>
      </c>
      <c r="O191" s="28">
        <f t="shared" si="13"/>
        <v>693.77</v>
      </c>
      <c r="P191" s="28">
        <f t="shared" si="15"/>
        <v>3637.23</v>
      </c>
      <c r="Q191" s="73">
        <v>9181.5400000000009</v>
      </c>
      <c r="R191" s="12"/>
      <c r="S191" s="12"/>
      <c r="T191" s="12"/>
      <c r="U191" s="12"/>
      <c r="V191" s="12"/>
      <c r="W191" s="12"/>
      <c r="X191" s="12"/>
      <c r="Y191" s="12"/>
    </row>
    <row r="192" spans="1:25" s="6" customFormat="1" ht="25.5" x14ac:dyDescent="0.2">
      <c r="A192" s="139">
        <v>182</v>
      </c>
      <c r="B192" s="24" t="s">
        <v>428</v>
      </c>
      <c r="C192" s="24" t="s">
        <v>327</v>
      </c>
      <c r="D192" s="177">
        <v>2425</v>
      </c>
      <c r="E192" s="29">
        <v>0</v>
      </c>
      <c r="F192" s="27">
        <v>0</v>
      </c>
      <c r="G192" s="176">
        <v>0</v>
      </c>
      <c r="H192" s="176">
        <v>2792.33</v>
      </c>
      <c r="I192" s="176">
        <v>0</v>
      </c>
      <c r="J192" s="28">
        <f t="shared" si="11"/>
        <v>2425</v>
      </c>
      <c r="K192" s="28">
        <f t="shared" si="12"/>
        <v>72.75</v>
      </c>
      <c r="L192" s="28">
        <f>D192*11%</f>
        <v>266.75</v>
      </c>
      <c r="M192" s="28">
        <v>0</v>
      </c>
      <c r="N192" s="28">
        <v>0</v>
      </c>
      <c r="O192" s="28">
        <f t="shared" si="13"/>
        <v>339.5</v>
      </c>
      <c r="P192" s="28">
        <f t="shared" si="15"/>
        <v>2085.5</v>
      </c>
      <c r="Q192" s="73">
        <v>0</v>
      </c>
      <c r="R192" s="12"/>
      <c r="S192" s="12"/>
      <c r="T192" s="12"/>
      <c r="U192" s="12"/>
      <c r="V192" s="12"/>
      <c r="W192" s="12"/>
      <c r="X192" s="12"/>
      <c r="Y192" s="12"/>
    </row>
    <row r="193" spans="1:25" s="6" customFormat="1" ht="25.5" x14ac:dyDescent="0.2">
      <c r="A193" s="139">
        <v>183</v>
      </c>
      <c r="B193" s="24" t="s">
        <v>304</v>
      </c>
      <c r="C193" s="24" t="s">
        <v>330</v>
      </c>
      <c r="D193" s="177">
        <v>1940</v>
      </c>
      <c r="E193" s="29">
        <v>0</v>
      </c>
      <c r="F193" s="27">
        <v>0</v>
      </c>
      <c r="G193" s="176">
        <v>0</v>
      </c>
      <c r="H193" s="176">
        <v>2792.33</v>
      </c>
      <c r="I193" s="176">
        <v>0</v>
      </c>
      <c r="J193" s="28">
        <f t="shared" si="11"/>
        <v>1940</v>
      </c>
      <c r="K193" s="28">
        <f t="shared" si="12"/>
        <v>58.2</v>
      </c>
      <c r="L193" s="28">
        <f>D193*10%</f>
        <v>194</v>
      </c>
      <c r="M193" s="28">
        <v>0</v>
      </c>
      <c r="N193" s="28">
        <v>0</v>
      </c>
      <c r="O193" s="28">
        <f t="shared" si="13"/>
        <v>252.2</v>
      </c>
      <c r="P193" s="28">
        <f t="shared" si="15"/>
        <v>1687.8</v>
      </c>
      <c r="Q193" s="73">
        <v>0</v>
      </c>
      <c r="R193" s="12"/>
      <c r="S193" s="12"/>
      <c r="T193" s="12"/>
      <c r="U193" s="12"/>
      <c r="V193" s="12"/>
      <c r="W193" s="12"/>
      <c r="X193" s="12"/>
      <c r="Y193" s="12"/>
    </row>
    <row r="194" spans="1:25" s="6" customFormat="1" ht="25.5" x14ac:dyDescent="0.2">
      <c r="A194" s="139">
        <v>184</v>
      </c>
      <c r="B194" s="22" t="s">
        <v>320</v>
      </c>
      <c r="C194" s="24" t="s">
        <v>497</v>
      </c>
      <c r="D194" s="184">
        <v>3241</v>
      </c>
      <c r="E194" s="29">
        <v>1000</v>
      </c>
      <c r="F194" s="27">
        <v>0</v>
      </c>
      <c r="G194" s="176">
        <v>250</v>
      </c>
      <c r="H194" s="176">
        <v>0</v>
      </c>
      <c r="I194" s="176">
        <v>0</v>
      </c>
      <c r="J194" s="28">
        <f t="shared" ref="J194:J253" si="16">SUM(D194:G194)</f>
        <v>4491</v>
      </c>
      <c r="K194" s="28">
        <f t="shared" si="12"/>
        <v>127.23</v>
      </c>
      <c r="L194" s="28">
        <f>(D194+E194)*12%</f>
        <v>508.92</v>
      </c>
      <c r="M194" s="28">
        <v>0</v>
      </c>
      <c r="N194" s="28">
        <v>0</v>
      </c>
      <c r="O194" s="28">
        <f t="shared" si="13"/>
        <v>636.15</v>
      </c>
      <c r="P194" s="28">
        <f t="shared" si="15"/>
        <v>3854.85</v>
      </c>
      <c r="Q194" s="73">
        <f>1050</f>
        <v>1050</v>
      </c>
      <c r="R194" s="12"/>
      <c r="S194" s="12"/>
      <c r="T194" s="12"/>
      <c r="U194" s="12"/>
      <c r="V194" s="12"/>
      <c r="W194" s="12"/>
      <c r="X194" s="12"/>
      <c r="Y194" s="12"/>
    </row>
    <row r="195" spans="1:25" s="6" customFormat="1" ht="25.5" x14ac:dyDescent="0.2">
      <c r="A195" s="139">
        <v>185</v>
      </c>
      <c r="B195" s="25" t="s">
        <v>305</v>
      </c>
      <c r="C195" s="26" t="s">
        <v>108</v>
      </c>
      <c r="D195" s="27">
        <v>2920</v>
      </c>
      <c r="E195" s="27">
        <v>1000</v>
      </c>
      <c r="F195" s="27">
        <v>0</v>
      </c>
      <c r="G195" s="27">
        <v>250</v>
      </c>
      <c r="H195" s="176">
        <v>0</v>
      </c>
      <c r="I195" s="176">
        <v>0</v>
      </c>
      <c r="J195" s="28">
        <f t="shared" si="16"/>
        <v>4170</v>
      </c>
      <c r="K195" s="28">
        <f t="shared" si="12"/>
        <v>117.6</v>
      </c>
      <c r="L195" s="28">
        <f>(D195+E195)*11%</f>
        <v>431.2</v>
      </c>
      <c r="M195" s="28">
        <v>0</v>
      </c>
      <c r="N195" s="28">
        <v>52.68</v>
      </c>
      <c r="O195" s="28">
        <f t="shared" si="13"/>
        <v>601.48</v>
      </c>
      <c r="P195" s="28">
        <f t="shared" si="15"/>
        <v>3568.52</v>
      </c>
      <c r="Q195" s="73">
        <v>0</v>
      </c>
      <c r="R195" s="12"/>
      <c r="S195" s="12"/>
      <c r="T195" s="12"/>
      <c r="U195" s="12"/>
      <c r="V195" s="12"/>
      <c r="W195" s="12"/>
      <c r="X195" s="12"/>
      <c r="Y195" s="12"/>
    </row>
    <row r="196" spans="1:25" s="6" customFormat="1" x14ac:dyDescent="0.2">
      <c r="A196" s="139">
        <v>186</v>
      </c>
      <c r="B196" s="33" t="s">
        <v>322</v>
      </c>
      <c r="C196" s="24" t="s">
        <v>109</v>
      </c>
      <c r="D196" s="27">
        <v>1902</v>
      </c>
      <c r="E196" s="27">
        <v>1000</v>
      </c>
      <c r="F196" s="27">
        <v>0</v>
      </c>
      <c r="G196" s="27">
        <v>250</v>
      </c>
      <c r="H196" s="176">
        <v>2792.33</v>
      </c>
      <c r="I196" s="176">
        <v>0</v>
      </c>
      <c r="J196" s="28">
        <f t="shared" si="16"/>
        <v>3152</v>
      </c>
      <c r="K196" s="28">
        <f t="shared" ref="K196:K254" si="17">(D196+E196+F196)*3%</f>
        <v>87.06</v>
      </c>
      <c r="L196" s="28">
        <f>(D196+E196)*11%</f>
        <v>319.22000000000003</v>
      </c>
      <c r="M196" s="28">
        <v>0</v>
      </c>
      <c r="N196" s="28">
        <v>39</v>
      </c>
      <c r="O196" s="28">
        <f t="shared" si="13"/>
        <v>445.28</v>
      </c>
      <c r="P196" s="28">
        <f t="shared" si="15"/>
        <v>2706.72</v>
      </c>
      <c r="Q196" s="73">
        <v>0</v>
      </c>
      <c r="R196" s="12"/>
      <c r="S196" s="12"/>
      <c r="T196" s="12"/>
      <c r="U196" s="12"/>
      <c r="V196" s="12"/>
      <c r="W196" s="12"/>
      <c r="X196" s="12"/>
      <c r="Y196" s="12"/>
    </row>
    <row r="197" spans="1:25" s="6" customFormat="1" ht="25.5" x14ac:dyDescent="0.2">
      <c r="A197" s="139">
        <v>187</v>
      </c>
      <c r="B197" s="24" t="s">
        <v>306</v>
      </c>
      <c r="C197" s="24" t="s">
        <v>327</v>
      </c>
      <c r="D197" s="29">
        <v>2425</v>
      </c>
      <c r="E197" s="29">
        <f>2000</f>
        <v>2000</v>
      </c>
      <c r="F197" s="27">
        <v>0</v>
      </c>
      <c r="G197" s="176">
        <v>0</v>
      </c>
      <c r="H197" s="176">
        <v>2792.33</v>
      </c>
      <c r="I197" s="176">
        <v>0</v>
      </c>
      <c r="J197" s="28">
        <f t="shared" si="16"/>
        <v>4425</v>
      </c>
      <c r="K197" s="28">
        <f t="shared" si="17"/>
        <v>132.75</v>
      </c>
      <c r="L197" s="28">
        <f>D197*11%</f>
        <v>266.75</v>
      </c>
      <c r="M197" s="28">
        <v>0</v>
      </c>
      <c r="N197" s="28">
        <v>0</v>
      </c>
      <c r="O197" s="28">
        <f t="shared" si="13"/>
        <v>399.5</v>
      </c>
      <c r="P197" s="28">
        <f t="shared" si="15"/>
        <v>4025.5</v>
      </c>
      <c r="Q197" s="73">
        <v>0</v>
      </c>
      <c r="R197" s="12"/>
      <c r="S197" s="12"/>
      <c r="T197" s="12"/>
      <c r="U197" s="12"/>
      <c r="V197" s="12"/>
      <c r="W197" s="12"/>
      <c r="X197" s="12"/>
      <c r="Y197" s="12"/>
    </row>
    <row r="198" spans="1:25" s="6" customFormat="1" ht="25.5" x14ac:dyDescent="0.2">
      <c r="A198" s="139">
        <v>188</v>
      </c>
      <c r="B198" s="24" t="s">
        <v>412</v>
      </c>
      <c r="C198" s="35" t="s">
        <v>350</v>
      </c>
      <c r="D198" s="187">
        <v>1649</v>
      </c>
      <c r="E198" s="29">
        <v>0</v>
      </c>
      <c r="F198" s="27">
        <v>0</v>
      </c>
      <c r="G198" s="176">
        <v>0</v>
      </c>
      <c r="H198" s="176">
        <v>2792.33</v>
      </c>
      <c r="I198" s="176">
        <v>0</v>
      </c>
      <c r="J198" s="28">
        <f t="shared" si="16"/>
        <v>1649</v>
      </c>
      <c r="K198" s="28">
        <f t="shared" si="17"/>
        <v>49.47</v>
      </c>
      <c r="L198" s="28">
        <f>D198*10%</f>
        <v>164.9</v>
      </c>
      <c r="M198" s="28">
        <v>0</v>
      </c>
      <c r="N198" s="28">
        <v>22.16</v>
      </c>
      <c r="O198" s="28">
        <f t="shared" si="13"/>
        <v>236.53</v>
      </c>
      <c r="P198" s="28">
        <f t="shared" si="15"/>
        <v>1412.47</v>
      </c>
      <c r="Q198" s="73">
        <v>0</v>
      </c>
      <c r="R198" s="12"/>
      <c r="S198" s="12"/>
      <c r="T198" s="12"/>
      <c r="U198" s="12"/>
      <c r="V198" s="12"/>
      <c r="W198" s="12"/>
      <c r="X198" s="12"/>
      <c r="Y198" s="12"/>
    </row>
    <row r="199" spans="1:25" s="6" customFormat="1" x14ac:dyDescent="0.2">
      <c r="A199" s="139">
        <v>189</v>
      </c>
      <c r="B199" s="59" t="s">
        <v>999</v>
      </c>
      <c r="C199" s="59" t="s">
        <v>1000</v>
      </c>
      <c r="D199" s="187">
        <v>5787</v>
      </c>
      <c r="E199" s="29">
        <v>1800</v>
      </c>
      <c r="F199" s="27"/>
      <c r="G199" s="176">
        <v>250</v>
      </c>
      <c r="H199" s="176">
        <v>0</v>
      </c>
      <c r="I199" s="176"/>
      <c r="J199" s="28">
        <f t="shared" si="16"/>
        <v>7837</v>
      </c>
      <c r="K199" s="28">
        <f>(D199+E199+F199)*3%</f>
        <v>227.61</v>
      </c>
      <c r="L199" s="28">
        <f>D199*10%</f>
        <v>578.70000000000005</v>
      </c>
      <c r="M199" s="28">
        <v>131.99</v>
      </c>
      <c r="N199" s="28">
        <v>101.97</v>
      </c>
      <c r="O199" s="28">
        <f t="shared" si="13"/>
        <v>1040.27</v>
      </c>
      <c r="P199" s="28">
        <f t="shared" si="15"/>
        <v>6796.73</v>
      </c>
      <c r="Q199" s="73">
        <v>0</v>
      </c>
      <c r="R199" s="12"/>
      <c r="S199" s="12"/>
      <c r="T199" s="12"/>
      <c r="U199" s="12"/>
      <c r="V199" s="12"/>
      <c r="W199" s="12"/>
      <c r="X199" s="12"/>
      <c r="Y199" s="12"/>
    </row>
    <row r="200" spans="1:25" s="6" customFormat="1" ht="25.5" x14ac:dyDescent="0.2">
      <c r="A200" s="139">
        <v>190</v>
      </c>
      <c r="B200" s="195" t="s">
        <v>981</v>
      </c>
      <c r="C200" s="24" t="s">
        <v>335</v>
      </c>
      <c r="D200" s="28">
        <v>3081</v>
      </c>
      <c r="E200" s="28">
        <v>1000</v>
      </c>
      <c r="F200" s="27">
        <v>0</v>
      </c>
      <c r="G200" s="176">
        <v>250</v>
      </c>
      <c r="H200" s="176">
        <v>0</v>
      </c>
      <c r="I200" s="176">
        <v>0</v>
      </c>
      <c r="J200" s="28">
        <f t="shared" si="16"/>
        <v>4331</v>
      </c>
      <c r="K200" s="28">
        <f t="shared" si="17"/>
        <v>122.43</v>
      </c>
      <c r="L200" s="28">
        <f>(D200+E200)*12%</f>
        <v>489.72</v>
      </c>
      <c r="M200" s="28">
        <v>0</v>
      </c>
      <c r="N200" s="28">
        <v>52.68</v>
      </c>
      <c r="O200" s="28">
        <f t="shared" ref="O200:O254" si="18">K200+L200+M200+N200</f>
        <v>664.83</v>
      </c>
      <c r="P200" s="28">
        <f t="shared" si="15"/>
        <v>3666.17</v>
      </c>
      <c r="Q200" s="73">
        <v>0</v>
      </c>
      <c r="R200" s="12"/>
      <c r="S200" s="12"/>
      <c r="T200" s="12"/>
      <c r="U200" s="12"/>
      <c r="V200" s="12"/>
      <c r="W200" s="12"/>
      <c r="X200" s="12"/>
      <c r="Y200" s="12"/>
    </row>
    <row r="201" spans="1:25" s="6" customFormat="1" ht="25.5" x14ac:dyDescent="0.2">
      <c r="A201" s="139">
        <v>191</v>
      </c>
      <c r="B201" s="32" t="s">
        <v>351</v>
      </c>
      <c r="C201" s="26" t="s">
        <v>507</v>
      </c>
      <c r="D201" s="28">
        <v>2375</v>
      </c>
      <c r="E201" s="44">
        <v>1000</v>
      </c>
      <c r="F201" s="27">
        <v>0</v>
      </c>
      <c r="G201" s="176">
        <v>250</v>
      </c>
      <c r="H201" s="176">
        <v>0</v>
      </c>
      <c r="I201" s="176">
        <v>0</v>
      </c>
      <c r="J201" s="28">
        <f t="shared" si="16"/>
        <v>3625</v>
      </c>
      <c r="K201" s="28">
        <f t="shared" si="17"/>
        <v>101.25</v>
      </c>
      <c r="L201" s="28">
        <f>(D201+E201)*11%</f>
        <v>371.25</v>
      </c>
      <c r="M201" s="28">
        <v>0</v>
      </c>
      <c r="N201" s="28">
        <v>45.36</v>
      </c>
      <c r="O201" s="28">
        <f t="shared" si="18"/>
        <v>517.86</v>
      </c>
      <c r="P201" s="28">
        <f t="shared" si="15"/>
        <v>3107.14</v>
      </c>
      <c r="Q201" s="73">
        <v>0</v>
      </c>
      <c r="R201" s="12"/>
      <c r="S201" s="12"/>
      <c r="T201" s="12"/>
      <c r="U201" s="12"/>
      <c r="V201" s="12"/>
      <c r="W201" s="12"/>
      <c r="X201" s="12"/>
      <c r="Y201" s="12"/>
    </row>
    <row r="202" spans="1:25" s="6" customFormat="1" ht="25.5" x14ac:dyDescent="0.2">
      <c r="A202" s="139">
        <v>192</v>
      </c>
      <c r="B202" s="33" t="s">
        <v>51</v>
      </c>
      <c r="C202" s="24" t="s">
        <v>493</v>
      </c>
      <c r="D202" s="28">
        <v>2375</v>
      </c>
      <c r="E202" s="28">
        <v>1000</v>
      </c>
      <c r="F202" s="27">
        <v>0</v>
      </c>
      <c r="G202" s="176">
        <v>250</v>
      </c>
      <c r="H202" s="176">
        <v>2792.33</v>
      </c>
      <c r="I202" s="176">
        <v>0</v>
      </c>
      <c r="J202" s="28">
        <f t="shared" si="16"/>
        <v>3625</v>
      </c>
      <c r="K202" s="28">
        <f t="shared" si="17"/>
        <v>101.25</v>
      </c>
      <c r="L202" s="28">
        <f>(D202+E202)*11%</f>
        <v>371.25</v>
      </c>
      <c r="M202" s="28">
        <v>0</v>
      </c>
      <c r="N202" s="28">
        <v>0</v>
      </c>
      <c r="O202" s="28">
        <f t="shared" si="18"/>
        <v>472.5</v>
      </c>
      <c r="P202" s="28">
        <f t="shared" si="15"/>
        <v>3152.5</v>
      </c>
      <c r="Q202" s="73">
        <v>0</v>
      </c>
      <c r="R202" s="12"/>
      <c r="S202" s="12"/>
      <c r="T202" s="12"/>
      <c r="U202" s="12"/>
      <c r="V202" s="12"/>
      <c r="W202" s="12"/>
      <c r="X202" s="12"/>
      <c r="Y202" s="12"/>
    </row>
    <row r="203" spans="1:25" s="6" customFormat="1" x14ac:dyDescent="0.2">
      <c r="A203" s="139">
        <v>193</v>
      </c>
      <c r="B203" s="24" t="s">
        <v>273</v>
      </c>
      <c r="C203" s="24" t="s">
        <v>111</v>
      </c>
      <c r="D203" s="29">
        <v>1668</v>
      </c>
      <c r="E203" s="29">
        <v>1000</v>
      </c>
      <c r="F203" s="27">
        <v>0</v>
      </c>
      <c r="G203" s="176">
        <v>250</v>
      </c>
      <c r="H203" s="176">
        <v>2792.33</v>
      </c>
      <c r="I203" s="176">
        <v>0</v>
      </c>
      <c r="J203" s="28">
        <f t="shared" si="16"/>
        <v>2918</v>
      </c>
      <c r="K203" s="28">
        <f t="shared" si="17"/>
        <v>80.040000000000006</v>
      </c>
      <c r="L203" s="28">
        <f>(D203+E203)*11%</f>
        <v>293.48</v>
      </c>
      <c r="M203" s="28">
        <v>0</v>
      </c>
      <c r="N203" s="28">
        <v>0</v>
      </c>
      <c r="O203" s="28">
        <f t="shared" si="18"/>
        <v>373.52</v>
      </c>
      <c r="P203" s="28">
        <f t="shared" si="15"/>
        <v>2544.48</v>
      </c>
      <c r="Q203" s="73">
        <v>0</v>
      </c>
      <c r="R203" s="12"/>
      <c r="S203" s="12"/>
      <c r="T203" s="12"/>
      <c r="U203" s="12"/>
      <c r="V203" s="12"/>
      <c r="W203" s="12"/>
      <c r="X203" s="12"/>
      <c r="Y203" s="12"/>
    </row>
    <row r="204" spans="1:25" ht="25.5" x14ac:dyDescent="0.2">
      <c r="A204" s="139">
        <v>194</v>
      </c>
      <c r="B204" s="24" t="s">
        <v>62</v>
      </c>
      <c r="C204" s="22" t="s">
        <v>475</v>
      </c>
      <c r="D204" s="27">
        <v>3404</v>
      </c>
      <c r="E204" s="27">
        <v>1000</v>
      </c>
      <c r="F204" s="27">
        <v>0</v>
      </c>
      <c r="G204" s="27">
        <v>250</v>
      </c>
      <c r="H204" s="176">
        <v>0</v>
      </c>
      <c r="I204" s="176">
        <v>0</v>
      </c>
      <c r="J204" s="28">
        <f t="shared" si="16"/>
        <v>4654</v>
      </c>
      <c r="K204" s="28">
        <f t="shared" si="17"/>
        <v>132.12</v>
      </c>
      <c r="L204" s="27">
        <f>(D204+E204)*12%</f>
        <v>528.48</v>
      </c>
      <c r="M204" s="27">
        <v>0</v>
      </c>
      <c r="N204" s="27">
        <v>59.19</v>
      </c>
      <c r="O204" s="27">
        <f>SUM(K204:N204)</f>
        <v>719.79</v>
      </c>
      <c r="P204" s="27">
        <f t="shared" si="15"/>
        <v>3934.21</v>
      </c>
      <c r="Q204" s="73">
        <v>0</v>
      </c>
      <c r="R204" s="9"/>
      <c r="S204" s="9"/>
      <c r="T204" s="9"/>
      <c r="U204" s="9"/>
      <c r="V204" s="9"/>
      <c r="W204" s="9"/>
      <c r="X204" s="9"/>
      <c r="Y204" s="9"/>
    </row>
    <row r="205" spans="1:25" ht="25.5" x14ac:dyDescent="0.2">
      <c r="A205" s="139">
        <v>195</v>
      </c>
      <c r="B205" s="24" t="s">
        <v>307</v>
      </c>
      <c r="C205" s="24" t="s">
        <v>330</v>
      </c>
      <c r="D205" s="177">
        <v>1940</v>
      </c>
      <c r="E205" s="29">
        <v>0</v>
      </c>
      <c r="F205" s="27">
        <v>0</v>
      </c>
      <c r="G205" s="176">
        <v>0</v>
      </c>
      <c r="H205" s="176">
        <v>2792.33</v>
      </c>
      <c r="I205" s="176">
        <v>0</v>
      </c>
      <c r="J205" s="28">
        <f t="shared" si="16"/>
        <v>1940</v>
      </c>
      <c r="K205" s="28">
        <f t="shared" si="17"/>
        <v>58.2</v>
      </c>
      <c r="L205" s="28">
        <f>D205*10%</f>
        <v>194</v>
      </c>
      <c r="M205" s="28">
        <v>0</v>
      </c>
      <c r="N205" s="28">
        <v>0</v>
      </c>
      <c r="O205" s="28">
        <f t="shared" si="18"/>
        <v>252.2</v>
      </c>
      <c r="P205" s="28">
        <f t="shared" si="15"/>
        <v>1687.8</v>
      </c>
      <c r="Q205" s="73">
        <v>0</v>
      </c>
      <c r="R205" s="9"/>
      <c r="S205" s="9"/>
      <c r="T205" s="9"/>
      <c r="U205" s="9"/>
      <c r="V205" s="9"/>
      <c r="W205" s="9"/>
      <c r="X205" s="9"/>
      <c r="Y205" s="9"/>
    </row>
    <row r="206" spans="1:25" ht="25.5" x14ac:dyDescent="0.2">
      <c r="A206" s="139">
        <v>196</v>
      </c>
      <c r="B206" s="22" t="s">
        <v>308</v>
      </c>
      <c r="C206" s="22" t="s">
        <v>107</v>
      </c>
      <c r="D206" s="29">
        <v>5095</v>
      </c>
      <c r="E206" s="175">
        <v>1800</v>
      </c>
      <c r="F206" s="27">
        <v>0</v>
      </c>
      <c r="G206" s="176">
        <v>250</v>
      </c>
      <c r="H206" s="176">
        <v>0</v>
      </c>
      <c r="I206" s="176">
        <v>0</v>
      </c>
      <c r="J206" s="28">
        <f t="shared" si="16"/>
        <v>7145</v>
      </c>
      <c r="K206" s="28">
        <f t="shared" si="17"/>
        <v>206.85</v>
      </c>
      <c r="L206" s="28">
        <f>(D206+E206)*13%</f>
        <v>896.35</v>
      </c>
      <c r="M206" s="28">
        <v>102.92</v>
      </c>
      <c r="N206" s="28">
        <v>92.67</v>
      </c>
      <c r="O206" s="28">
        <f t="shared" si="18"/>
        <v>1298.79</v>
      </c>
      <c r="P206" s="28">
        <f t="shared" si="15"/>
        <v>5846.21</v>
      </c>
      <c r="Q206" s="73">
        <v>0</v>
      </c>
      <c r="R206" s="9"/>
      <c r="S206" s="9"/>
      <c r="T206" s="9"/>
      <c r="U206" s="9"/>
      <c r="V206" s="9"/>
      <c r="W206" s="9"/>
      <c r="X206" s="9"/>
      <c r="Y206" s="9"/>
    </row>
    <row r="207" spans="1:25" ht="25.5" x14ac:dyDescent="0.2">
      <c r="A207" s="139">
        <v>197</v>
      </c>
      <c r="B207" s="45" t="s">
        <v>352</v>
      </c>
      <c r="C207" s="26" t="s">
        <v>501</v>
      </c>
      <c r="D207" s="27">
        <v>2076</v>
      </c>
      <c r="E207" s="27">
        <v>1000</v>
      </c>
      <c r="F207" s="27">
        <v>0</v>
      </c>
      <c r="G207" s="27">
        <v>250</v>
      </c>
      <c r="H207" s="176">
        <v>2792.33</v>
      </c>
      <c r="I207" s="176">
        <v>0</v>
      </c>
      <c r="J207" s="28">
        <f t="shared" si="16"/>
        <v>3326</v>
      </c>
      <c r="K207" s="28">
        <f t="shared" si="17"/>
        <v>92.28</v>
      </c>
      <c r="L207" s="28">
        <f>(D207+E207)*11%</f>
        <v>338.36</v>
      </c>
      <c r="M207" s="28">
        <v>0</v>
      </c>
      <c r="N207" s="28">
        <v>0</v>
      </c>
      <c r="O207" s="28">
        <f t="shared" si="18"/>
        <v>430.64</v>
      </c>
      <c r="P207" s="28">
        <f t="shared" si="15"/>
        <v>2895.36</v>
      </c>
      <c r="Q207" s="73">
        <v>0</v>
      </c>
      <c r="R207" s="9"/>
      <c r="S207" s="9"/>
      <c r="T207" s="9"/>
      <c r="U207" s="9"/>
      <c r="V207" s="9"/>
      <c r="W207" s="9"/>
      <c r="X207" s="9"/>
      <c r="Y207" s="9"/>
    </row>
    <row r="208" spans="1:25" ht="25.5" x14ac:dyDescent="0.2">
      <c r="A208" s="139">
        <v>198</v>
      </c>
      <c r="B208" s="24" t="s">
        <v>188</v>
      </c>
      <c r="C208" s="24" t="s">
        <v>327</v>
      </c>
      <c r="D208" s="29">
        <v>2425</v>
      </c>
      <c r="E208" s="29">
        <v>0</v>
      </c>
      <c r="F208" s="27">
        <v>0</v>
      </c>
      <c r="G208" s="176">
        <v>0</v>
      </c>
      <c r="H208" s="176">
        <v>2792.33</v>
      </c>
      <c r="I208" s="176">
        <v>0</v>
      </c>
      <c r="J208" s="28">
        <f t="shared" si="16"/>
        <v>2425</v>
      </c>
      <c r="K208" s="28">
        <f t="shared" si="17"/>
        <v>72.75</v>
      </c>
      <c r="L208" s="28">
        <f>D208*11%</f>
        <v>266.75</v>
      </c>
      <c r="M208" s="28">
        <v>0</v>
      </c>
      <c r="N208" s="28">
        <v>0</v>
      </c>
      <c r="O208" s="28">
        <f t="shared" si="18"/>
        <v>339.5</v>
      </c>
      <c r="P208" s="28">
        <f t="shared" si="15"/>
        <v>2085.5</v>
      </c>
      <c r="Q208" s="73">
        <v>0</v>
      </c>
      <c r="R208" s="9"/>
      <c r="S208" s="9"/>
      <c r="T208" s="9"/>
      <c r="U208" s="9"/>
      <c r="V208" s="9"/>
      <c r="W208" s="9"/>
      <c r="X208" s="9"/>
      <c r="Y208" s="9"/>
    </row>
    <row r="209" spans="1:25" ht="25.5" x14ac:dyDescent="0.2">
      <c r="A209" s="139">
        <v>199</v>
      </c>
      <c r="B209" s="24" t="s">
        <v>309</v>
      </c>
      <c r="C209" s="24" t="s">
        <v>330</v>
      </c>
      <c r="D209" s="177">
        <v>1940</v>
      </c>
      <c r="E209" s="29">
        <f>2000</f>
        <v>2000</v>
      </c>
      <c r="F209" s="176">
        <v>0</v>
      </c>
      <c r="G209" s="176">
        <v>0</v>
      </c>
      <c r="H209" s="176">
        <v>2792.33</v>
      </c>
      <c r="I209" s="176">
        <v>0</v>
      </c>
      <c r="J209" s="28">
        <f t="shared" si="16"/>
        <v>3940</v>
      </c>
      <c r="K209" s="28">
        <f t="shared" si="17"/>
        <v>118.2</v>
      </c>
      <c r="L209" s="28">
        <f>D209*10%</f>
        <v>194</v>
      </c>
      <c r="M209" s="28">
        <v>0</v>
      </c>
      <c r="N209" s="28">
        <v>0</v>
      </c>
      <c r="O209" s="28">
        <f t="shared" si="18"/>
        <v>312.2</v>
      </c>
      <c r="P209" s="28">
        <f t="shared" si="15"/>
        <v>3627.8</v>
      </c>
      <c r="Q209" s="73">
        <v>0</v>
      </c>
      <c r="R209" s="9"/>
      <c r="S209" s="9"/>
      <c r="T209" s="9"/>
      <c r="U209" s="9"/>
      <c r="V209" s="9"/>
      <c r="W209" s="9"/>
      <c r="X209" s="9"/>
      <c r="Y209" s="9"/>
    </row>
    <row r="210" spans="1:25" x14ac:dyDescent="0.2">
      <c r="A210" s="139">
        <v>200</v>
      </c>
      <c r="B210" s="24" t="s">
        <v>64</v>
      </c>
      <c r="C210" s="24" t="s">
        <v>109</v>
      </c>
      <c r="D210" s="29">
        <v>1902</v>
      </c>
      <c r="E210" s="29">
        <v>1000</v>
      </c>
      <c r="F210" s="27">
        <v>0</v>
      </c>
      <c r="G210" s="176">
        <v>250</v>
      </c>
      <c r="H210" s="176">
        <v>2792.33</v>
      </c>
      <c r="I210" s="176">
        <v>0</v>
      </c>
      <c r="J210" s="28">
        <f t="shared" si="16"/>
        <v>3152</v>
      </c>
      <c r="K210" s="28">
        <f t="shared" si="17"/>
        <v>87.06</v>
      </c>
      <c r="L210" s="28">
        <f>(D210+E210)*11%</f>
        <v>319.22000000000003</v>
      </c>
      <c r="M210" s="28">
        <v>0</v>
      </c>
      <c r="N210" s="28">
        <v>0</v>
      </c>
      <c r="O210" s="28">
        <f t="shared" si="18"/>
        <v>406.28</v>
      </c>
      <c r="P210" s="28">
        <f t="shared" si="15"/>
        <v>2745.72</v>
      </c>
      <c r="Q210" s="73">
        <v>0</v>
      </c>
      <c r="R210" s="9"/>
      <c r="S210" s="9"/>
      <c r="T210" s="9"/>
      <c r="U210" s="9"/>
      <c r="V210" s="9"/>
      <c r="W210" s="9"/>
      <c r="X210" s="9"/>
      <c r="Y210" s="9"/>
    </row>
    <row r="211" spans="1:25" ht="25.5" x14ac:dyDescent="0.2">
      <c r="A211" s="139">
        <v>201</v>
      </c>
      <c r="B211" s="42" t="s">
        <v>310</v>
      </c>
      <c r="C211" s="26" t="s">
        <v>105</v>
      </c>
      <c r="D211" s="27">
        <v>2760</v>
      </c>
      <c r="E211" s="27">
        <v>1000</v>
      </c>
      <c r="F211" s="27">
        <v>0</v>
      </c>
      <c r="G211" s="27">
        <v>250</v>
      </c>
      <c r="H211" s="176">
        <v>2792.33</v>
      </c>
      <c r="I211" s="176">
        <v>0</v>
      </c>
      <c r="J211" s="28">
        <f t="shared" si="16"/>
        <v>4010</v>
      </c>
      <c r="K211" s="28">
        <f t="shared" si="17"/>
        <v>112.8</v>
      </c>
      <c r="L211" s="28">
        <f>(D211+E211)*11%</f>
        <v>413.6</v>
      </c>
      <c r="M211" s="28">
        <v>0</v>
      </c>
      <c r="N211" s="28">
        <v>0</v>
      </c>
      <c r="O211" s="28">
        <f t="shared" si="18"/>
        <v>526.4</v>
      </c>
      <c r="P211" s="28">
        <f t="shared" si="15"/>
        <v>3483.6</v>
      </c>
      <c r="Q211" s="73">
        <v>0</v>
      </c>
      <c r="R211" s="9"/>
      <c r="S211" s="9"/>
      <c r="T211" s="9"/>
      <c r="U211" s="9"/>
      <c r="V211" s="9"/>
      <c r="W211" s="9"/>
      <c r="X211" s="9"/>
      <c r="Y211" s="9"/>
    </row>
    <row r="212" spans="1:25" ht="25.5" x14ac:dyDescent="0.2">
      <c r="A212" s="139">
        <v>202</v>
      </c>
      <c r="B212" s="22" t="s">
        <v>165</v>
      </c>
      <c r="C212" s="46" t="s">
        <v>353</v>
      </c>
      <c r="D212" s="29">
        <v>1358</v>
      </c>
      <c r="E212" s="29">
        <v>0</v>
      </c>
      <c r="F212" s="27">
        <v>0</v>
      </c>
      <c r="G212" s="176">
        <v>0</v>
      </c>
      <c r="H212" s="176">
        <v>2792.33</v>
      </c>
      <c r="I212" s="176">
        <v>0</v>
      </c>
      <c r="J212" s="28">
        <f t="shared" si="16"/>
        <v>1358</v>
      </c>
      <c r="K212" s="28">
        <f t="shared" si="17"/>
        <v>40.74</v>
      </c>
      <c r="L212" s="28">
        <f>D212*10%</f>
        <v>135.80000000000001</v>
      </c>
      <c r="M212" s="28">
        <v>0</v>
      </c>
      <c r="N212" s="28">
        <v>0</v>
      </c>
      <c r="O212" s="28">
        <f t="shared" si="18"/>
        <v>176.54</v>
      </c>
      <c r="P212" s="28">
        <f t="shared" si="15"/>
        <v>1181.46</v>
      </c>
      <c r="Q212" s="73">
        <v>0</v>
      </c>
      <c r="R212" s="9"/>
      <c r="S212" s="9"/>
      <c r="T212" s="9"/>
      <c r="U212" s="9"/>
      <c r="V212" s="9"/>
      <c r="W212" s="9"/>
      <c r="X212" s="9"/>
      <c r="Y212" s="9"/>
    </row>
    <row r="213" spans="1:25" ht="25.5" x14ac:dyDescent="0.2">
      <c r="A213" s="139">
        <v>203</v>
      </c>
      <c r="B213" s="24" t="s">
        <v>413</v>
      </c>
      <c r="C213" s="24" t="s">
        <v>330</v>
      </c>
      <c r="D213" s="177">
        <v>1940</v>
      </c>
      <c r="E213" s="29">
        <v>0</v>
      </c>
      <c r="F213" s="27">
        <v>0</v>
      </c>
      <c r="G213" s="176">
        <v>0</v>
      </c>
      <c r="H213" s="176">
        <v>2792.33</v>
      </c>
      <c r="I213" s="176">
        <v>0</v>
      </c>
      <c r="J213" s="28">
        <f t="shared" si="16"/>
        <v>1940</v>
      </c>
      <c r="K213" s="28">
        <f t="shared" si="17"/>
        <v>58.2</v>
      </c>
      <c r="L213" s="28">
        <f>D213*10%</f>
        <v>194</v>
      </c>
      <c r="M213" s="28">
        <v>0</v>
      </c>
      <c r="N213" s="28">
        <v>0</v>
      </c>
      <c r="O213" s="28">
        <f t="shared" si="18"/>
        <v>252.2</v>
      </c>
      <c r="P213" s="28">
        <f t="shared" si="15"/>
        <v>1687.8</v>
      </c>
      <c r="Q213" s="73">
        <v>0</v>
      </c>
      <c r="R213" s="9"/>
      <c r="S213" s="9"/>
      <c r="T213" s="9"/>
      <c r="U213" s="9"/>
      <c r="V213" s="9"/>
      <c r="W213" s="9"/>
      <c r="X213" s="9"/>
      <c r="Y213" s="9"/>
    </row>
    <row r="214" spans="1:25" ht="25.5" x14ac:dyDescent="0.2">
      <c r="A214" s="139">
        <v>204</v>
      </c>
      <c r="B214" s="25" t="s">
        <v>69</v>
      </c>
      <c r="C214" s="24" t="s">
        <v>110</v>
      </c>
      <c r="D214" s="27">
        <v>2920</v>
      </c>
      <c r="E214" s="27">
        <v>1000</v>
      </c>
      <c r="F214" s="27">
        <v>0</v>
      </c>
      <c r="G214" s="27">
        <v>250</v>
      </c>
      <c r="H214" s="176">
        <v>2792.33</v>
      </c>
      <c r="I214" s="176">
        <v>0</v>
      </c>
      <c r="J214" s="28">
        <f t="shared" si="16"/>
        <v>4170</v>
      </c>
      <c r="K214" s="28">
        <f t="shared" si="17"/>
        <v>117.6</v>
      </c>
      <c r="L214" s="28">
        <f>(D214+E214)*11%</f>
        <v>431.2</v>
      </c>
      <c r="M214" s="28">
        <v>0</v>
      </c>
      <c r="N214" s="28">
        <v>52.68</v>
      </c>
      <c r="O214" s="28">
        <f t="shared" si="18"/>
        <v>601.48</v>
      </c>
      <c r="P214" s="28">
        <f t="shared" si="15"/>
        <v>3568.52</v>
      </c>
      <c r="Q214" s="73">
        <v>8553.82</v>
      </c>
      <c r="R214" s="9"/>
      <c r="S214" s="9"/>
      <c r="T214" s="9"/>
      <c r="U214" s="127"/>
      <c r="V214" s="9"/>
      <c r="W214" s="9"/>
      <c r="X214" s="9"/>
      <c r="Y214" s="9"/>
    </row>
    <row r="215" spans="1:25" ht="25.5" x14ac:dyDescent="0.2">
      <c r="A215" s="139">
        <v>205</v>
      </c>
      <c r="B215" s="24" t="s">
        <v>181</v>
      </c>
      <c r="C215" s="24" t="s">
        <v>493</v>
      </c>
      <c r="D215" s="29">
        <v>2375</v>
      </c>
      <c r="E215" s="29">
        <v>1000</v>
      </c>
      <c r="F215" s="27">
        <v>0</v>
      </c>
      <c r="G215" s="176">
        <v>250</v>
      </c>
      <c r="H215" s="176">
        <v>2792.33</v>
      </c>
      <c r="I215" s="176">
        <v>0</v>
      </c>
      <c r="J215" s="28">
        <f t="shared" si="16"/>
        <v>3625</v>
      </c>
      <c r="K215" s="28">
        <f t="shared" si="17"/>
        <v>101.25</v>
      </c>
      <c r="L215" s="28">
        <f>(D215+E215)*11%</f>
        <v>371.25</v>
      </c>
      <c r="M215" s="28">
        <v>0</v>
      </c>
      <c r="N215" s="28">
        <v>0</v>
      </c>
      <c r="O215" s="28">
        <f t="shared" si="18"/>
        <v>472.5</v>
      </c>
      <c r="P215" s="28">
        <f t="shared" si="15"/>
        <v>3152.5</v>
      </c>
      <c r="Q215" s="73">
        <v>0</v>
      </c>
      <c r="R215" s="9"/>
      <c r="S215" s="9"/>
      <c r="T215" s="9"/>
      <c r="U215" s="9"/>
      <c r="V215" s="9"/>
      <c r="W215" s="9"/>
      <c r="X215" s="9"/>
      <c r="Y215" s="9"/>
    </row>
    <row r="216" spans="1:25" ht="25.5" x14ac:dyDescent="0.2">
      <c r="A216" s="139">
        <v>206</v>
      </c>
      <c r="B216" s="23" t="s">
        <v>311</v>
      </c>
      <c r="C216" s="33" t="s">
        <v>113</v>
      </c>
      <c r="D216" s="185">
        <v>1902</v>
      </c>
      <c r="E216" s="186">
        <v>1000</v>
      </c>
      <c r="F216" s="27">
        <v>0</v>
      </c>
      <c r="G216" s="176">
        <v>250</v>
      </c>
      <c r="H216" s="176">
        <v>0</v>
      </c>
      <c r="I216" s="176">
        <v>0</v>
      </c>
      <c r="J216" s="28">
        <f t="shared" si="16"/>
        <v>3152</v>
      </c>
      <c r="K216" s="28">
        <f t="shared" si="17"/>
        <v>87.06</v>
      </c>
      <c r="L216" s="28">
        <f>(D216+E216+F216)*11%</f>
        <v>319.22000000000003</v>
      </c>
      <c r="M216" s="28">
        <v>0</v>
      </c>
      <c r="N216" s="28">
        <v>0</v>
      </c>
      <c r="O216" s="28">
        <f t="shared" si="18"/>
        <v>406.28</v>
      </c>
      <c r="P216" s="28">
        <f t="shared" si="15"/>
        <v>2745.72</v>
      </c>
      <c r="Q216" s="73">
        <v>0</v>
      </c>
      <c r="R216" s="9"/>
      <c r="S216" s="9"/>
      <c r="T216" s="9"/>
      <c r="U216" s="9"/>
      <c r="V216" s="9"/>
      <c r="W216" s="9"/>
      <c r="X216" s="9"/>
      <c r="Y216" s="9"/>
    </row>
    <row r="217" spans="1:25" ht="25.5" x14ac:dyDescent="0.2">
      <c r="A217" s="139">
        <v>207</v>
      </c>
      <c r="B217" s="24" t="s">
        <v>102</v>
      </c>
      <c r="C217" s="24" t="s">
        <v>330</v>
      </c>
      <c r="D217" s="177">
        <v>1940</v>
      </c>
      <c r="E217" s="29">
        <v>0</v>
      </c>
      <c r="F217" s="27">
        <v>0</v>
      </c>
      <c r="G217" s="176">
        <v>0</v>
      </c>
      <c r="H217" s="176">
        <v>2792.33</v>
      </c>
      <c r="I217" s="176">
        <v>0</v>
      </c>
      <c r="J217" s="28">
        <f t="shared" si="16"/>
        <v>1940</v>
      </c>
      <c r="K217" s="28">
        <f t="shared" si="17"/>
        <v>58.2</v>
      </c>
      <c r="L217" s="28">
        <f>D217*10%</f>
        <v>194</v>
      </c>
      <c r="M217" s="28">
        <v>0</v>
      </c>
      <c r="N217" s="28">
        <v>0</v>
      </c>
      <c r="O217" s="28">
        <f t="shared" si="18"/>
        <v>252.2</v>
      </c>
      <c r="P217" s="28">
        <f t="shared" si="15"/>
        <v>1687.8</v>
      </c>
      <c r="Q217" s="73">
        <v>0</v>
      </c>
      <c r="R217" s="9"/>
      <c r="S217" s="9"/>
      <c r="T217" s="9"/>
      <c r="U217" s="9"/>
      <c r="V217" s="9"/>
      <c r="W217" s="9"/>
      <c r="X217" s="9"/>
      <c r="Y217" s="9"/>
    </row>
    <row r="218" spans="1:25" ht="25.5" x14ac:dyDescent="0.2">
      <c r="A218" s="139">
        <v>208</v>
      </c>
      <c r="B218" s="24" t="s">
        <v>58</v>
      </c>
      <c r="C218" s="24" t="s">
        <v>335</v>
      </c>
      <c r="D218" s="29">
        <v>3081</v>
      </c>
      <c r="E218" s="29">
        <v>1000</v>
      </c>
      <c r="F218" s="27">
        <v>0</v>
      </c>
      <c r="G218" s="176">
        <v>250</v>
      </c>
      <c r="H218" s="176">
        <v>2792.33</v>
      </c>
      <c r="I218" s="176">
        <v>0</v>
      </c>
      <c r="J218" s="28">
        <f t="shared" si="16"/>
        <v>4331</v>
      </c>
      <c r="K218" s="28">
        <f t="shared" si="17"/>
        <v>122.43</v>
      </c>
      <c r="L218" s="28">
        <f>(D218+E218)*12%</f>
        <v>489.72</v>
      </c>
      <c r="M218" s="28">
        <v>0</v>
      </c>
      <c r="N218" s="28">
        <v>0</v>
      </c>
      <c r="O218" s="28">
        <f t="shared" si="18"/>
        <v>612.15</v>
      </c>
      <c r="P218" s="28">
        <f t="shared" ref="P218:P247" si="19">J218-O218</f>
        <v>3718.85</v>
      </c>
      <c r="Q218" s="73">
        <v>89525.82</v>
      </c>
      <c r="R218" s="9"/>
      <c r="S218" s="9"/>
      <c r="T218" s="9"/>
      <c r="U218" s="9"/>
      <c r="V218" s="9"/>
      <c r="W218" s="9"/>
      <c r="X218" s="9"/>
      <c r="Y218" s="9"/>
    </row>
    <row r="219" spans="1:25" ht="25.5" x14ac:dyDescent="0.2">
      <c r="A219" s="139">
        <v>209</v>
      </c>
      <c r="B219" s="24" t="s">
        <v>151</v>
      </c>
      <c r="C219" s="26" t="s">
        <v>492</v>
      </c>
      <c r="D219" s="29">
        <v>1981</v>
      </c>
      <c r="E219" s="29">
        <v>1000</v>
      </c>
      <c r="F219" s="27">
        <v>0</v>
      </c>
      <c r="G219" s="176">
        <v>250</v>
      </c>
      <c r="H219" s="176">
        <v>2792.33</v>
      </c>
      <c r="I219" s="176">
        <v>0</v>
      </c>
      <c r="J219" s="28">
        <f t="shared" si="16"/>
        <v>3231</v>
      </c>
      <c r="K219" s="28">
        <f t="shared" si="17"/>
        <v>89.43</v>
      </c>
      <c r="L219" s="28">
        <f>(D219+E219)*11%</f>
        <v>327.91</v>
      </c>
      <c r="M219" s="28">
        <v>0</v>
      </c>
      <c r="N219" s="28">
        <v>40.06</v>
      </c>
      <c r="O219" s="28">
        <f t="shared" si="18"/>
        <v>457.4</v>
      </c>
      <c r="P219" s="28">
        <f t="shared" si="19"/>
        <v>2773.6</v>
      </c>
      <c r="Q219" s="73">
        <v>0</v>
      </c>
      <c r="R219" s="9"/>
      <c r="S219" s="9"/>
      <c r="T219" s="9"/>
      <c r="U219" s="9"/>
      <c r="V219" s="9"/>
      <c r="W219" s="9"/>
      <c r="X219" s="9"/>
      <c r="Y219" s="9"/>
    </row>
    <row r="220" spans="1:25" ht="25.5" x14ac:dyDescent="0.2">
      <c r="A220" s="139">
        <v>210</v>
      </c>
      <c r="B220" s="37" t="s">
        <v>49</v>
      </c>
      <c r="C220" s="26" t="s">
        <v>501</v>
      </c>
      <c r="D220" s="27">
        <v>2076</v>
      </c>
      <c r="E220" s="27">
        <v>1000</v>
      </c>
      <c r="F220" s="27">
        <v>0</v>
      </c>
      <c r="G220" s="27">
        <v>250</v>
      </c>
      <c r="H220" s="176">
        <v>2792.33</v>
      </c>
      <c r="I220" s="176">
        <v>0</v>
      </c>
      <c r="J220" s="28">
        <f t="shared" si="16"/>
        <v>3326</v>
      </c>
      <c r="K220" s="28">
        <f t="shared" si="17"/>
        <v>92.28</v>
      </c>
      <c r="L220" s="28">
        <f>(D220+E220)*11%</f>
        <v>338.36</v>
      </c>
      <c r="M220" s="28">
        <v>0</v>
      </c>
      <c r="N220" s="28">
        <v>55.56</v>
      </c>
      <c r="O220" s="28">
        <f t="shared" si="18"/>
        <v>486.2</v>
      </c>
      <c r="P220" s="28">
        <f t="shared" si="19"/>
        <v>2839.8</v>
      </c>
      <c r="Q220" s="73">
        <v>0</v>
      </c>
      <c r="R220" s="9"/>
      <c r="S220" s="9"/>
      <c r="T220" s="9"/>
      <c r="U220" s="9"/>
      <c r="V220" s="9"/>
      <c r="W220" s="9"/>
      <c r="X220" s="9"/>
      <c r="Y220" s="9"/>
    </row>
    <row r="221" spans="1:25" ht="25.5" x14ac:dyDescent="0.2">
      <c r="A221" s="139">
        <v>211</v>
      </c>
      <c r="B221" s="24" t="s">
        <v>414</v>
      </c>
      <c r="C221" s="24" t="s">
        <v>330</v>
      </c>
      <c r="D221" s="177">
        <v>1940</v>
      </c>
      <c r="E221" s="29">
        <v>0</v>
      </c>
      <c r="F221" s="27">
        <v>0</v>
      </c>
      <c r="G221" s="176">
        <v>0</v>
      </c>
      <c r="H221" s="176">
        <v>2792.33</v>
      </c>
      <c r="I221" s="176">
        <v>0</v>
      </c>
      <c r="J221" s="28">
        <f t="shared" si="16"/>
        <v>1940</v>
      </c>
      <c r="K221" s="28">
        <f t="shared" si="17"/>
        <v>58.2</v>
      </c>
      <c r="L221" s="28">
        <f>D221*10%</f>
        <v>194</v>
      </c>
      <c r="M221" s="28">
        <v>0</v>
      </c>
      <c r="N221" s="28">
        <v>0</v>
      </c>
      <c r="O221" s="28">
        <f t="shared" si="18"/>
        <v>252.2</v>
      </c>
      <c r="P221" s="28">
        <f t="shared" si="19"/>
        <v>1687.8</v>
      </c>
      <c r="Q221" s="73">
        <v>0</v>
      </c>
      <c r="R221" s="9"/>
      <c r="S221" s="9"/>
      <c r="T221" s="9"/>
      <c r="U221" s="9"/>
      <c r="V221" s="9"/>
      <c r="W221" s="9"/>
      <c r="X221" s="9"/>
      <c r="Y221" s="9"/>
    </row>
    <row r="222" spans="1:25" x14ac:dyDescent="0.2">
      <c r="A222" s="139">
        <v>212</v>
      </c>
      <c r="B222" s="30" t="s">
        <v>973</v>
      </c>
      <c r="C222" s="64" t="s">
        <v>983</v>
      </c>
      <c r="D222" s="27">
        <v>3081</v>
      </c>
      <c r="E222" s="27">
        <v>1000</v>
      </c>
      <c r="F222" s="27">
        <v>0</v>
      </c>
      <c r="G222" s="27">
        <v>250</v>
      </c>
      <c r="H222" s="27">
        <v>2500.8200000000002</v>
      </c>
      <c r="I222" s="176">
        <v>0</v>
      </c>
      <c r="J222" s="28">
        <f>SUM(D222:G222)</f>
        <v>4331</v>
      </c>
      <c r="K222" s="28">
        <f>(D222+E222+F222)*3%</f>
        <v>122.43</v>
      </c>
      <c r="L222" s="27">
        <f>(D222+E222)*12%</f>
        <v>489.72</v>
      </c>
      <c r="M222" s="27">
        <v>0</v>
      </c>
      <c r="N222" s="27">
        <v>0</v>
      </c>
      <c r="O222" s="27">
        <f>SUM(K222:N222)</f>
        <v>612.15</v>
      </c>
      <c r="P222" s="27">
        <f t="shared" si="19"/>
        <v>3718.85</v>
      </c>
      <c r="Q222" s="73">
        <v>0</v>
      </c>
      <c r="R222" s="9"/>
      <c r="S222" s="9"/>
      <c r="T222" s="9"/>
      <c r="U222" s="9"/>
      <c r="V222" s="9"/>
      <c r="W222" s="9"/>
      <c r="X222" s="9"/>
      <c r="Y222" s="9"/>
    </row>
    <row r="223" spans="1:25" ht="25.5" x14ac:dyDescent="0.2">
      <c r="A223" s="139">
        <v>213</v>
      </c>
      <c r="B223" s="66" t="s">
        <v>477</v>
      </c>
      <c r="C223" s="24" t="s">
        <v>335</v>
      </c>
      <c r="D223" s="27">
        <v>3081</v>
      </c>
      <c r="E223" s="27">
        <v>1000</v>
      </c>
      <c r="F223" s="27">
        <v>0</v>
      </c>
      <c r="G223" s="27">
        <v>250</v>
      </c>
      <c r="H223" s="176">
        <v>2792.33</v>
      </c>
      <c r="I223" s="176">
        <v>0</v>
      </c>
      <c r="J223" s="28">
        <f t="shared" si="16"/>
        <v>4331</v>
      </c>
      <c r="K223" s="28">
        <f t="shared" si="17"/>
        <v>122.43</v>
      </c>
      <c r="L223" s="27">
        <f>(D223+E223)*12%</f>
        <v>489.72</v>
      </c>
      <c r="M223" s="27">
        <v>0</v>
      </c>
      <c r="N223" s="27">
        <v>0</v>
      </c>
      <c r="O223" s="27">
        <f>SUM(K223:N223)</f>
        <v>612.15</v>
      </c>
      <c r="P223" s="27">
        <f t="shared" si="19"/>
        <v>3718.85</v>
      </c>
      <c r="Q223" s="73">
        <v>0</v>
      </c>
      <c r="R223" s="9"/>
      <c r="S223" s="9"/>
      <c r="T223" s="9"/>
      <c r="U223" s="9"/>
      <c r="V223" s="9"/>
      <c r="W223" s="9"/>
      <c r="X223" s="9"/>
      <c r="Y223" s="9"/>
    </row>
    <row r="224" spans="1:25" ht="25.5" x14ac:dyDescent="0.2">
      <c r="A224" s="139">
        <v>214</v>
      </c>
      <c r="B224" s="67" t="s">
        <v>933</v>
      </c>
      <c r="C224" s="24" t="s">
        <v>108</v>
      </c>
      <c r="D224" s="177">
        <v>2910</v>
      </c>
      <c r="E224" s="29">
        <v>1000</v>
      </c>
      <c r="F224" s="27">
        <v>0</v>
      </c>
      <c r="G224" s="176">
        <v>250</v>
      </c>
      <c r="H224" s="176">
        <v>0</v>
      </c>
      <c r="I224" s="176">
        <v>0</v>
      </c>
      <c r="J224" s="28">
        <f t="shared" si="16"/>
        <v>4160</v>
      </c>
      <c r="K224" s="28">
        <f t="shared" si="17"/>
        <v>117.3</v>
      </c>
      <c r="L224" s="28">
        <f>(D224+E224+F224)*11%</f>
        <v>430.1</v>
      </c>
      <c r="M224" s="28">
        <v>0</v>
      </c>
      <c r="N224" s="28">
        <v>52.68</v>
      </c>
      <c r="O224" s="28">
        <f>K224+L224+M224+N224</f>
        <v>600.08000000000004</v>
      </c>
      <c r="P224" s="28">
        <f t="shared" si="19"/>
        <v>3559.92</v>
      </c>
      <c r="Q224" s="73">
        <v>0</v>
      </c>
      <c r="R224" s="9"/>
      <c r="S224" s="9"/>
      <c r="T224" s="9"/>
      <c r="U224" s="9"/>
      <c r="V224" s="9"/>
      <c r="W224" s="9"/>
      <c r="X224" s="9"/>
      <c r="Y224" s="9"/>
    </row>
    <row r="225" spans="1:25" ht="25.5" x14ac:dyDescent="0.2">
      <c r="A225" s="139">
        <v>215</v>
      </c>
      <c r="B225" s="38" t="s">
        <v>224</v>
      </c>
      <c r="C225" s="24" t="s">
        <v>489</v>
      </c>
      <c r="D225" s="177">
        <v>2920</v>
      </c>
      <c r="E225" s="29">
        <v>1000</v>
      </c>
      <c r="F225" s="27">
        <v>0</v>
      </c>
      <c r="G225" s="176">
        <v>250</v>
      </c>
      <c r="H225" s="176">
        <v>0</v>
      </c>
      <c r="I225" s="176">
        <v>0</v>
      </c>
      <c r="J225" s="28">
        <f t="shared" si="16"/>
        <v>4170</v>
      </c>
      <c r="K225" s="28">
        <f t="shared" si="17"/>
        <v>117.6</v>
      </c>
      <c r="L225" s="28">
        <f>D225*12%</f>
        <v>350.4</v>
      </c>
      <c r="M225" s="28">
        <v>0</v>
      </c>
      <c r="N225" s="28">
        <v>0</v>
      </c>
      <c r="O225" s="28">
        <f t="shared" si="18"/>
        <v>468</v>
      </c>
      <c r="P225" s="28">
        <f t="shared" si="19"/>
        <v>3702</v>
      </c>
      <c r="Q225" s="73">
        <v>0</v>
      </c>
      <c r="R225" s="9"/>
      <c r="S225" s="9"/>
      <c r="T225" s="9"/>
      <c r="U225" s="9"/>
      <c r="V225" s="9"/>
      <c r="W225" s="9"/>
      <c r="X225" s="9"/>
      <c r="Y225" s="9"/>
    </row>
    <row r="226" spans="1:25" ht="25.5" x14ac:dyDescent="0.2">
      <c r="A226" s="139">
        <v>216</v>
      </c>
      <c r="B226" s="25" t="s">
        <v>32</v>
      </c>
      <c r="C226" s="26" t="s">
        <v>415</v>
      </c>
      <c r="D226" s="27">
        <v>5787</v>
      </c>
      <c r="E226" s="27">
        <v>1800</v>
      </c>
      <c r="F226" s="27">
        <v>0</v>
      </c>
      <c r="G226" s="27">
        <v>250</v>
      </c>
      <c r="H226" s="27">
        <v>0</v>
      </c>
      <c r="I226" s="176">
        <v>0</v>
      </c>
      <c r="J226" s="28">
        <f t="shared" si="16"/>
        <v>7837</v>
      </c>
      <c r="K226" s="28">
        <f t="shared" si="17"/>
        <v>227.61</v>
      </c>
      <c r="L226" s="28">
        <f>(D226+E226)*13%</f>
        <v>986.31</v>
      </c>
      <c r="M226" s="28">
        <v>131.99</v>
      </c>
      <c r="N226" s="28">
        <v>101.97</v>
      </c>
      <c r="O226" s="28">
        <f t="shared" si="18"/>
        <v>1447.88</v>
      </c>
      <c r="P226" s="28">
        <f t="shared" si="19"/>
        <v>6389.12</v>
      </c>
      <c r="Q226" s="73">
        <v>0</v>
      </c>
      <c r="R226" s="9"/>
      <c r="S226" s="9"/>
      <c r="T226" s="9"/>
      <c r="U226" s="9"/>
      <c r="V226" s="9"/>
      <c r="W226" s="9"/>
      <c r="X226" s="9"/>
      <c r="Y226" s="9"/>
    </row>
    <row r="227" spans="1:25" ht="25.5" x14ac:dyDescent="0.2">
      <c r="A227" s="139">
        <v>217</v>
      </c>
      <c r="B227" s="24" t="s">
        <v>354</v>
      </c>
      <c r="C227" s="24" t="s">
        <v>335</v>
      </c>
      <c r="D227" s="28">
        <v>3081</v>
      </c>
      <c r="E227" s="29">
        <v>1000</v>
      </c>
      <c r="F227" s="27">
        <v>0</v>
      </c>
      <c r="G227" s="176">
        <v>250</v>
      </c>
      <c r="H227" s="176">
        <v>2792.33</v>
      </c>
      <c r="I227" s="176">
        <v>0</v>
      </c>
      <c r="J227" s="28">
        <f t="shared" si="16"/>
        <v>4331</v>
      </c>
      <c r="K227" s="28">
        <f t="shared" si="17"/>
        <v>122.43</v>
      </c>
      <c r="L227" s="28">
        <f>(D227+E227)*12%</f>
        <v>489.72</v>
      </c>
      <c r="M227" s="28">
        <v>131.99</v>
      </c>
      <c r="N227" s="28">
        <v>101.97</v>
      </c>
      <c r="O227" s="28">
        <f t="shared" si="18"/>
        <v>846.11</v>
      </c>
      <c r="P227" s="28">
        <f t="shared" si="19"/>
        <v>3484.89</v>
      </c>
      <c r="Q227" s="73">
        <v>0</v>
      </c>
      <c r="R227" s="9"/>
      <c r="S227" s="9"/>
      <c r="T227" s="9"/>
      <c r="U227" s="9"/>
      <c r="V227" s="9"/>
      <c r="W227" s="9"/>
      <c r="X227" s="9"/>
      <c r="Y227" s="9"/>
    </row>
    <row r="228" spans="1:25" ht="25.5" x14ac:dyDescent="0.2">
      <c r="A228" s="139">
        <v>218</v>
      </c>
      <c r="B228" s="23" t="s">
        <v>312</v>
      </c>
      <c r="C228" s="24" t="s">
        <v>330</v>
      </c>
      <c r="D228" s="29">
        <v>2910</v>
      </c>
      <c r="E228" s="29">
        <v>0</v>
      </c>
      <c r="F228" s="27">
        <v>0</v>
      </c>
      <c r="G228" s="176">
        <v>0</v>
      </c>
      <c r="H228" s="176">
        <v>2792.33</v>
      </c>
      <c r="I228" s="176">
        <v>0</v>
      </c>
      <c r="J228" s="28">
        <f t="shared" si="16"/>
        <v>2910</v>
      </c>
      <c r="K228" s="28">
        <f t="shared" si="17"/>
        <v>87.3</v>
      </c>
      <c r="L228" s="28">
        <f>D228*10%</f>
        <v>291</v>
      </c>
      <c r="M228" s="28">
        <v>0</v>
      </c>
      <c r="N228" s="28">
        <v>0</v>
      </c>
      <c r="O228" s="28">
        <f t="shared" si="18"/>
        <v>378.3</v>
      </c>
      <c r="P228" s="28">
        <f t="shared" si="19"/>
        <v>2531.6999999999998</v>
      </c>
      <c r="Q228" s="73">
        <v>0</v>
      </c>
      <c r="R228" s="9"/>
      <c r="S228" s="9"/>
      <c r="T228" s="9"/>
      <c r="U228" s="9"/>
      <c r="V228" s="9"/>
      <c r="W228" s="9"/>
      <c r="X228" s="9"/>
      <c r="Y228" s="9"/>
    </row>
    <row r="229" spans="1:25" ht="25.5" x14ac:dyDescent="0.2">
      <c r="A229" s="139">
        <v>219</v>
      </c>
      <c r="B229" s="24" t="s">
        <v>274</v>
      </c>
      <c r="C229" s="24" t="s">
        <v>327</v>
      </c>
      <c r="D229" s="177">
        <v>2425</v>
      </c>
      <c r="E229" s="29">
        <v>0</v>
      </c>
      <c r="F229" s="27">
        <v>0</v>
      </c>
      <c r="G229" s="176">
        <v>0</v>
      </c>
      <c r="H229" s="176">
        <v>2792.33</v>
      </c>
      <c r="I229" s="176">
        <v>0</v>
      </c>
      <c r="J229" s="28">
        <f t="shared" si="16"/>
        <v>2425</v>
      </c>
      <c r="K229" s="28">
        <f t="shared" si="17"/>
        <v>72.75</v>
      </c>
      <c r="L229" s="28">
        <f>D229*11%</f>
        <v>266.75</v>
      </c>
      <c r="M229" s="28">
        <v>0</v>
      </c>
      <c r="N229" s="28">
        <v>0</v>
      </c>
      <c r="O229" s="28">
        <f t="shared" si="18"/>
        <v>339.5</v>
      </c>
      <c r="P229" s="28">
        <f t="shared" si="19"/>
        <v>2085.5</v>
      </c>
      <c r="Q229" s="73">
        <v>0</v>
      </c>
      <c r="R229" s="9"/>
      <c r="S229" s="9"/>
      <c r="T229" s="9"/>
      <c r="U229" s="9"/>
      <c r="V229" s="9"/>
      <c r="W229" s="9"/>
      <c r="X229" s="9"/>
      <c r="Y229" s="9"/>
    </row>
    <row r="230" spans="1:25" x14ac:dyDescent="0.2">
      <c r="A230" s="139">
        <v>220</v>
      </c>
      <c r="B230" s="41" t="s">
        <v>436</v>
      </c>
      <c r="C230" s="24" t="s">
        <v>56</v>
      </c>
      <c r="D230" s="29">
        <v>1668</v>
      </c>
      <c r="E230" s="29">
        <v>1000</v>
      </c>
      <c r="F230" s="27">
        <v>0</v>
      </c>
      <c r="G230" s="176">
        <v>250</v>
      </c>
      <c r="H230" s="176">
        <v>2792.33</v>
      </c>
      <c r="I230" s="176">
        <v>0</v>
      </c>
      <c r="J230" s="28">
        <f t="shared" si="16"/>
        <v>2918</v>
      </c>
      <c r="K230" s="28">
        <f t="shared" si="17"/>
        <v>80.040000000000006</v>
      </c>
      <c r="L230" s="28">
        <f>(D230+E230)*11%</f>
        <v>293.48</v>
      </c>
      <c r="M230" s="28">
        <v>0</v>
      </c>
      <c r="N230" s="28">
        <v>0</v>
      </c>
      <c r="O230" s="28">
        <f t="shared" si="18"/>
        <v>373.52</v>
      </c>
      <c r="P230" s="28">
        <f t="shared" si="19"/>
        <v>2544.48</v>
      </c>
      <c r="Q230" s="73">
        <v>0</v>
      </c>
      <c r="R230" s="9"/>
      <c r="S230" s="9"/>
      <c r="T230" s="9"/>
      <c r="U230" s="9"/>
      <c r="V230" s="9"/>
      <c r="W230" s="9"/>
      <c r="X230" s="9"/>
      <c r="Y230" s="9"/>
    </row>
    <row r="231" spans="1:25" ht="25.5" x14ac:dyDescent="0.2">
      <c r="A231" s="139">
        <v>221</v>
      </c>
      <c r="B231" s="41" t="s">
        <v>453</v>
      </c>
      <c r="C231" s="24" t="s">
        <v>330</v>
      </c>
      <c r="D231" s="29">
        <v>1940</v>
      </c>
      <c r="E231" s="29">
        <v>0</v>
      </c>
      <c r="F231" s="27">
        <v>0</v>
      </c>
      <c r="G231" s="176">
        <v>0</v>
      </c>
      <c r="H231" s="176">
        <v>2792.33</v>
      </c>
      <c r="I231" s="176">
        <v>0</v>
      </c>
      <c r="J231" s="28">
        <f t="shared" si="16"/>
        <v>1940</v>
      </c>
      <c r="K231" s="28">
        <f t="shared" si="17"/>
        <v>58.2</v>
      </c>
      <c r="L231" s="28">
        <f>D231*10%</f>
        <v>194</v>
      </c>
      <c r="M231" s="28">
        <v>0</v>
      </c>
      <c r="N231" s="28">
        <v>0</v>
      </c>
      <c r="O231" s="28">
        <f t="shared" si="18"/>
        <v>252.2</v>
      </c>
      <c r="P231" s="28">
        <f t="shared" si="19"/>
        <v>1687.8</v>
      </c>
      <c r="Q231" s="73">
        <v>0</v>
      </c>
      <c r="R231" s="9"/>
      <c r="S231" s="9"/>
      <c r="T231" s="9"/>
      <c r="U231" s="9"/>
      <c r="V231" s="9"/>
      <c r="W231" s="9"/>
      <c r="X231" s="9"/>
      <c r="Y231" s="9"/>
    </row>
    <row r="232" spans="1:25" ht="25.5" x14ac:dyDescent="0.2">
      <c r="A232" s="139">
        <v>222</v>
      </c>
      <c r="B232" s="24" t="s">
        <v>59</v>
      </c>
      <c r="C232" s="26" t="s">
        <v>108</v>
      </c>
      <c r="D232" s="29">
        <v>2920</v>
      </c>
      <c r="E232" s="29">
        <v>1000</v>
      </c>
      <c r="F232" s="27">
        <v>0</v>
      </c>
      <c r="G232" s="176">
        <v>250</v>
      </c>
      <c r="H232" s="176">
        <v>0</v>
      </c>
      <c r="I232" s="176">
        <v>0</v>
      </c>
      <c r="J232" s="28">
        <f t="shared" si="16"/>
        <v>4170</v>
      </c>
      <c r="K232" s="28">
        <f t="shared" si="17"/>
        <v>117.6</v>
      </c>
      <c r="L232" s="28">
        <f>(D232+E232)*12%</f>
        <v>470.4</v>
      </c>
      <c r="M232" s="28">
        <v>0</v>
      </c>
      <c r="N232" s="28">
        <v>52.68</v>
      </c>
      <c r="O232" s="28">
        <f t="shared" si="18"/>
        <v>640.67999999999995</v>
      </c>
      <c r="P232" s="28">
        <f t="shared" si="19"/>
        <v>3529.32</v>
      </c>
      <c r="Q232" s="73">
        <v>0</v>
      </c>
      <c r="R232" s="9"/>
      <c r="S232" s="9"/>
      <c r="T232" s="9"/>
      <c r="U232" s="9"/>
      <c r="V232" s="9"/>
      <c r="W232" s="9"/>
      <c r="X232" s="9"/>
      <c r="Y232" s="9"/>
    </row>
    <row r="233" spans="1:25" ht="25.5" x14ac:dyDescent="0.2">
      <c r="A233" s="139">
        <v>223</v>
      </c>
      <c r="B233" s="33" t="s">
        <v>148</v>
      </c>
      <c r="C233" s="33" t="s">
        <v>416</v>
      </c>
      <c r="D233" s="175">
        <v>5787</v>
      </c>
      <c r="E233" s="175">
        <v>1800</v>
      </c>
      <c r="F233" s="27">
        <v>0</v>
      </c>
      <c r="G233" s="196">
        <v>250</v>
      </c>
      <c r="H233" s="196">
        <v>0</v>
      </c>
      <c r="I233" s="176">
        <v>0</v>
      </c>
      <c r="J233" s="28">
        <f t="shared" si="16"/>
        <v>7837</v>
      </c>
      <c r="K233" s="28">
        <f t="shared" si="17"/>
        <v>227.61</v>
      </c>
      <c r="L233" s="43">
        <f>(D233+E233)*13%</f>
        <v>986.31</v>
      </c>
      <c r="M233" s="43">
        <v>131.99</v>
      </c>
      <c r="N233" s="43">
        <v>101.97</v>
      </c>
      <c r="O233" s="28">
        <f t="shared" si="18"/>
        <v>1447.88</v>
      </c>
      <c r="P233" s="43">
        <f t="shared" si="19"/>
        <v>6389.12</v>
      </c>
      <c r="Q233" s="73">
        <v>0</v>
      </c>
      <c r="R233" s="9"/>
      <c r="S233" s="9"/>
      <c r="T233" s="9"/>
      <c r="U233" s="9"/>
      <c r="V233" s="9"/>
      <c r="W233" s="9"/>
      <c r="X233" s="9"/>
      <c r="Y233" s="9"/>
    </row>
    <row r="234" spans="1:25" ht="25.5" x14ac:dyDescent="0.2">
      <c r="A234" s="139">
        <v>224</v>
      </c>
      <c r="B234" s="30" t="s">
        <v>355</v>
      </c>
      <c r="C234" s="24" t="s">
        <v>199</v>
      </c>
      <c r="D234" s="175">
        <v>5095</v>
      </c>
      <c r="E234" s="175">
        <v>1800</v>
      </c>
      <c r="F234" s="27">
        <v>0</v>
      </c>
      <c r="G234" s="196">
        <v>250</v>
      </c>
      <c r="H234" s="196">
        <v>0</v>
      </c>
      <c r="I234" s="176">
        <v>0</v>
      </c>
      <c r="J234" s="28">
        <f t="shared" si="16"/>
        <v>7145</v>
      </c>
      <c r="K234" s="28">
        <f t="shared" si="17"/>
        <v>206.85</v>
      </c>
      <c r="L234" s="43">
        <f>(D234+E234)*13%</f>
        <v>896.35</v>
      </c>
      <c r="M234" s="43">
        <v>102.92</v>
      </c>
      <c r="N234" s="43">
        <v>92.67</v>
      </c>
      <c r="O234" s="28">
        <f t="shared" si="18"/>
        <v>1298.79</v>
      </c>
      <c r="P234" s="43">
        <f t="shared" si="19"/>
        <v>5846.21</v>
      </c>
      <c r="Q234" s="73">
        <v>0</v>
      </c>
      <c r="R234" s="9"/>
      <c r="S234" s="9"/>
      <c r="T234" s="9"/>
      <c r="U234" s="9"/>
      <c r="V234" s="9"/>
      <c r="W234" s="9"/>
      <c r="X234" s="9"/>
      <c r="Y234" s="9"/>
    </row>
    <row r="235" spans="1:25" ht="25.5" x14ac:dyDescent="0.2">
      <c r="A235" s="139">
        <v>225</v>
      </c>
      <c r="B235" s="24" t="s">
        <v>275</v>
      </c>
      <c r="C235" s="24" t="s">
        <v>327</v>
      </c>
      <c r="D235" s="187">
        <v>2425</v>
      </c>
      <c r="E235" s="29">
        <v>0</v>
      </c>
      <c r="F235" s="27">
        <v>0</v>
      </c>
      <c r="G235" s="176">
        <v>0</v>
      </c>
      <c r="H235" s="176">
        <v>2792.33</v>
      </c>
      <c r="I235" s="176">
        <v>0</v>
      </c>
      <c r="J235" s="28">
        <f t="shared" si="16"/>
        <v>2425</v>
      </c>
      <c r="K235" s="28">
        <f t="shared" si="17"/>
        <v>72.75</v>
      </c>
      <c r="L235" s="28">
        <f>D235*11%</f>
        <v>266.75</v>
      </c>
      <c r="M235" s="28">
        <v>0</v>
      </c>
      <c r="N235" s="28">
        <v>32.590000000000003</v>
      </c>
      <c r="O235" s="28">
        <f t="shared" si="18"/>
        <v>372.09</v>
      </c>
      <c r="P235" s="28">
        <f t="shared" si="19"/>
        <v>2052.91</v>
      </c>
      <c r="Q235" s="73">
        <v>0</v>
      </c>
      <c r="R235" s="9"/>
      <c r="S235" s="9"/>
      <c r="T235" s="9"/>
      <c r="U235" s="9"/>
      <c r="V235" s="9"/>
      <c r="W235" s="9"/>
      <c r="X235" s="9"/>
      <c r="Y235" s="9"/>
    </row>
    <row r="236" spans="1:25" ht="25.5" x14ac:dyDescent="0.2">
      <c r="A236" s="139">
        <v>226</v>
      </c>
      <c r="B236" s="24" t="s">
        <v>79</v>
      </c>
      <c r="C236" s="24" t="s">
        <v>330</v>
      </c>
      <c r="D236" s="177">
        <v>1940</v>
      </c>
      <c r="E236" s="29">
        <v>0</v>
      </c>
      <c r="F236" s="27">
        <v>0</v>
      </c>
      <c r="G236" s="176">
        <v>0</v>
      </c>
      <c r="H236" s="176">
        <v>2792.33</v>
      </c>
      <c r="I236" s="176">
        <v>0</v>
      </c>
      <c r="J236" s="28">
        <f t="shared" si="16"/>
        <v>1940</v>
      </c>
      <c r="K236" s="28">
        <f t="shared" si="17"/>
        <v>58.2</v>
      </c>
      <c r="L236" s="28">
        <f>D236*10%</f>
        <v>194</v>
      </c>
      <c r="M236" s="28">
        <v>0</v>
      </c>
      <c r="N236" s="28">
        <v>0</v>
      </c>
      <c r="O236" s="28">
        <f t="shared" si="18"/>
        <v>252.2</v>
      </c>
      <c r="P236" s="28">
        <f t="shared" si="19"/>
        <v>1687.8</v>
      </c>
      <c r="Q236" s="73">
        <v>0</v>
      </c>
      <c r="R236" s="9"/>
      <c r="S236" s="9"/>
      <c r="T236" s="9"/>
      <c r="U236" s="9"/>
      <c r="V236" s="9"/>
      <c r="W236" s="9"/>
      <c r="X236" s="9"/>
      <c r="Y236" s="9"/>
    </row>
    <row r="237" spans="1:25" ht="25.5" x14ac:dyDescent="0.2">
      <c r="A237" s="139">
        <v>227</v>
      </c>
      <c r="B237" s="24" t="s">
        <v>91</v>
      </c>
      <c r="C237" s="24" t="s">
        <v>327</v>
      </c>
      <c r="D237" s="177">
        <v>2425</v>
      </c>
      <c r="E237" s="29">
        <v>0</v>
      </c>
      <c r="F237" s="27">
        <v>0</v>
      </c>
      <c r="G237" s="176">
        <v>0</v>
      </c>
      <c r="H237" s="176">
        <v>2792.33</v>
      </c>
      <c r="I237" s="176">
        <v>0</v>
      </c>
      <c r="J237" s="28">
        <f t="shared" si="16"/>
        <v>2425</v>
      </c>
      <c r="K237" s="28">
        <f t="shared" si="17"/>
        <v>72.75</v>
      </c>
      <c r="L237" s="28">
        <f>D237*11%</f>
        <v>266.75</v>
      </c>
      <c r="M237" s="28">
        <v>0</v>
      </c>
      <c r="N237" s="28">
        <v>0</v>
      </c>
      <c r="O237" s="28">
        <f t="shared" si="18"/>
        <v>339.5</v>
      </c>
      <c r="P237" s="28">
        <f t="shared" si="19"/>
        <v>2085.5</v>
      </c>
      <c r="Q237" s="73">
        <v>0</v>
      </c>
      <c r="R237" s="9"/>
      <c r="S237" s="9"/>
      <c r="T237" s="9"/>
      <c r="U237" s="9"/>
      <c r="V237" s="9"/>
      <c r="W237" s="9"/>
      <c r="X237" s="9"/>
      <c r="Y237" s="9"/>
    </row>
    <row r="238" spans="1:25" ht="25.5" x14ac:dyDescent="0.2">
      <c r="A238" s="139">
        <v>228</v>
      </c>
      <c r="B238" s="24" t="s">
        <v>89</v>
      </c>
      <c r="C238" s="24" t="s">
        <v>327</v>
      </c>
      <c r="D238" s="177">
        <v>2425</v>
      </c>
      <c r="E238" s="29">
        <v>0</v>
      </c>
      <c r="F238" s="27">
        <v>0</v>
      </c>
      <c r="G238" s="176">
        <v>0</v>
      </c>
      <c r="H238" s="176">
        <v>2792.33</v>
      </c>
      <c r="I238" s="176">
        <v>0</v>
      </c>
      <c r="J238" s="28">
        <f t="shared" si="16"/>
        <v>2425</v>
      </c>
      <c r="K238" s="28">
        <f t="shared" si="17"/>
        <v>72.75</v>
      </c>
      <c r="L238" s="28">
        <f>D238*11%</f>
        <v>266.75</v>
      </c>
      <c r="M238" s="28">
        <v>0</v>
      </c>
      <c r="N238" s="28">
        <v>0</v>
      </c>
      <c r="O238" s="28">
        <f t="shared" si="18"/>
        <v>339.5</v>
      </c>
      <c r="P238" s="28">
        <f t="shared" si="19"/>
        <v>2085.5</v>
      </c>
      <c r="Q238" s="73">
        <v>0</v>
      </c>
      <c r="R238" s="9"/>
      <c r="S238" s="9"/>
      <c r="T238" s="9"/>
      <c r="U238" s="9"/>
      <c r="V238" s="9"/>
      <c r="W238" s="9"/>
      <c r="X238" s="9"/>
      <c r="Y238" s="9"/>
    </row>
    <row r="239" spans="1:25" ht="25.5" x14ac:dyDescent="0.2">
      <c r="A239" s="139">
        <v>229</v>
      </c>
      <c r="B239" s="24" t="s">
        <v>982</v>
      </c>
      <c r="C239" s="24" t="s">
        <v>327</v>
      </c>
      <c r="D239" s="177">
        <v>2425</v>
      </c>
      <c r="E239" s="29">
        <v>0</v>
      </c>
      <c r="F239" s="27">
        <v>0</v>
      </c>
      <c r="G239" s="176">
        <v>0</v>
      </c>
      <c r="H239" s="176">
        <v>1874.32</v>
      </c>
      <c r="I239" s="176">
        <v>0</v>
      </c>
      <c r="J239" s="28">
        <f t="shared" si="16"/>
        <v>2425</v>
      </c>
      <c r="K239" s="28">
        <f t="shared" si="17"/>
        <v>72.75</v>
      </c>
      <c r="L239" s="28">
        <f>D239*11%</f>
        <v>266.75</v>
      </c>
      <c r="M239" s="28">
        <v>0</v>
      </c>
      <c r="N239" s="28">
        <v>0</v>
      </c>
      <c r="O239" s="28">
        <f t="shared" si="18"/>
        <v>339.5</v>
      </c>
      <c r="P239" s="28">
        <f t="shared" si="19"/>
        <v>2085.5</v>
      </c>
      <c r="Q239" s="73">
        <v>0</v>
      </c>
    </row>
    <row r="240" spans="1:25" ht="25.5" x14ac:dyDescent="0.2">
      <c r="A240" s="139">
        <v>230</v>
      </c>
      <c r="B240" s="33" t="s">
        <v>52</v>
      </c>
      <c r="C240" s="24" t="s">
        <v>335</v>
      </c>
      <c r="D240" s="28">
        <v>3081</v>
      </c>
      <c r="E240" s="28">
        <v>1000</v>
      </c>
      <c r="F240" s="27">
        <v>0</v>
      </c>
      <c r="G240" s="176">
        <v>250</v>
      </c>
      <c r="H240" s="176">
        <v>2792.33</v>
      </c>
      <c r="I240" s="176">
        <v>0</v>
      </c>
      <c r="J240" s="28">
        <f t="shared" si="16"/>
        <v>4331</v>
      </c>
      <c r="K240" s="28">
        <f t="shared" si="17"/>
        <v>122.43</v>
      </c>
      <c r="L240" s="28">
        <f>(D240+E240)*12%</f>
        <v>489.72</v>
      </c>
      <c r="M240" s="28">
        <v>0</v>
      </c>
      <c r="N240" s="28">
        <v>0</v>
      </c>
      <c r="O240" s="28">
        <f t="shared" si="18"/>
        <v>612.15</v>
      </c>
      <c r="P240" s="28">
        <f t="shared" si="19"/>
        <v>3718.85</v>
      </c>
      <c r="Q240" s="73">
        <v>0</v>
      </c>
    </row>
    <row r="241" spans="1:17" ht="25.5" x14ac:dyDescent="0.2">
      <c r="A241" s="139">
        <v>231</v>
      </c>
      <c r="B241" s="24" t="s">
        <v>417</v>
      </c>
      <c r="C241" s="26" t="s">
        <v>501</v>
      </c>
      <c r="D241" s="27">
        <v>2076</v>
      </c>
      <c r="E241" s="27">
        <v>1000</v>
      </c>
      <c r="F241" s="27">
        <v>0</v>
      </c>
      <c r="G241" s="27">
        <v>250</v>
      </c>
      <c r="H241" s="176">
        <v>2792.33</v>
      </c>
      <c r="I241" s="176">
        <v>0</v>
      </c>
      <c r="J241" s="28">
        <f t="shared" si="16"/>
        <v>3326</v>
      </c>
      <c r="K241" s="28">
        <f t="shared" si="17"/>
        <v>92.28</v>
      </c>
      <c r="L241" s="28">
        <f t="shared" ref="L241:L246" si="20">(D241+E241)*11%</f>
        <v>338.36</v>
      </c>
      <c r="M241" s="28">
        <v>0</v>
      </c>
      <c r="N241" s="28">
        <v>52.68</v>
      </c>
      <c r="O241" s="28">
        <f t="shared" si="18"/>
        <v>483.32</v>
      </c>
      <c r="P241" s="28">
        <f t="shared" si="19"/>
        <v>2842.68</v>
      </c>
      <c r="Q241" s="73">
        <v>0</v>
      </c>
    </row>
    <row r="242" spans="1:17" ht="25.5" x14ac:dyDescent="0.2">
      <c r="A242" s="139">
        <v>232</v>
      </c>
      <c r="B242" s="37" t="s">
        <v>45</v>
      </c>
      <c r="C242" s="26" t="s">
        <v>318</v>
      </c>
      <c r="D242" s="27">
        <v>1981</v>
      </c>
      <c r="E242" s="27">
        <v>1000</v>
      </c>
      <c r="F242" s="27">
        <v>0</v>
      </c>
      <c r="G242" s="27">
        <v>250</v>
      </c>
      <c r="H242" s="176">
        <v>2792.33</v>
      </c>
      <c r="I242" s="176">
        <v>0</v>
      </c>
      <c r="J242" s="28">
        <f t="shared" si="16"/>
        <v>3231</v>
      </c>
      <c r="K242" s="28">
        <f t="shared" si="17"/>
        <v>89.43</v>
      </c>
      <c r="L242" s="28">
        <f t="shared" si="20"/>
        <v>327.91</v>
      </c>
      <c r="M242" s="28">
        <v>0</v>
      </c>
      <c r="N242" s="28">
        <v>0</v>
      </c>
      <c r="O242" s="28">
        <f t="shared" si="18"/>
        <v>417.34</v>
      </c>
      <c r="P242" s="28">
        <f t="shared" si="19"/>
        <v>2813.66</v>
      </c>
      <c r="Q242" s="73">
        <v>0</v>
      </c>
    </row>
    <row r="243" spans="1:17" ht="25.5" x14ac:dyDescent="0.2">
      <c r="A243" s="139">
        <v>233</v>
      </c>
      <c r="B243" s="24" t="s">
        <v>463</v>
      </c>
      <c r="C243" s="33" t="s">
        <v>113</v>
      </c>
      <c r="D243" s="28">
        <v>1902</v>
      </c>
      <c r="E243" s="28">
        <v>1000</v>
      </c>
      <c r="F243" s="27">
        <v>0</v>
      </c>
      <c r="G243" s="176">
        <v>250</v>
      </c>
      <c r="H243" s="176">
        <v>2792.33</v>
      </c>
      <c r="I243" s="176">
        <v>0</v>
      </c>
      <c r="J243" s="28">
        <f t="shared" si="16"/>
        <v>3152</v>
      </c>
      <c r="K243" s="28">
        <f t="shared" si="17"/>
        <v>87.06</v>
      </c>
      <c r="L243" s="28">
        <f t="shared" si="20"/>
        <v>319.22000000000003</v>
      </c>
      <c r="M243" s="28">
        <v>0</v>
      </c>
      <c r="N243" s="28">
        <v>0</v>
      </c>
      <c r="O243" s="28">
        <f t="shared" si="18"/>
        <v>406.28</v>
      </c>
      <c r="P243" s="28">
        <f t="shared" si="19"/>
        <v>2745.72</v>
      </c>
      <c r="Q243" s="73">
        <v>0</v>
      </c>
    </row>
    <row r="244" spans="1:17" ht="25.5" x14ac:dyDescent="0.2">
      <c r="A244" s="139">
        <v>234</v>
      </c>
      <c r="B244" s="24" t="s">
        <v>313</v>
      </c>
      <c r="C244" s="24" t="s">
        <v>508</v>
      </c>
      <c r="D244" s="29">
        <v>1668</v>
      </c>
      <c r="E244" s="175">
        <v>1000</v>
      </c>
      <c r="F244" s="27">
        <v>0</v>
      </c>
      <c r="G244" s="176">
        <v>250</v>
      </c>
      <c r="H244" s="176">
        <v>0</v>
      </c>
      <c r="I244" s="176">
        <v>0</v>
      </c>
      <c r="J244" s="28">
        <f t="shared" si="16"/>
        <v>2918</v>
      </c>
      <c r="K244" s="28">
        <f t="shared" si="17"/>
        <v>80.040000000000006</v>
      </c>
      <c r="L244" s="28">
        <f t="shared" si="20"/>
        <v>293.48</v>
      </c>
      <c r="M244" s="28">
        <v>0</v>
      </c>
      <c r="N244" s="28">
        <v>0</v>
      </c>
      <c r="O244" s="28">
        <f t="shared" si="18"/>
        <v>373.52</v>
      </c>
      <c r="P244" s="28">
        <f t="shared" si="19"/>
        <v>2544.48</v>
      </c>
      <c r="Q244" s="73">
        <f>832.15+140+542.25+130+495+190</f>
        <v>2329.4</v>
      </c>
    </row>
    <row r="245" spans="1:17" ht="25.5" x14ac:dyDescent="0.2">
      <c r="A245" s="139">
        <v>235</v>
      </c>
      <c r="B245" s="33" t="s">
        <v>235</v>
      </c>
      <c r="C245" s="33" t="s">
        <v>105</v>
      </c>
      <c r="D245" s="29">
        <v>2760</v>
      </c>
      <c r="E245" s="175">
        <v>1000</v>
      </c>
      <c r="F245" s="27">
        <v>0</v>
      </c>
      <c r="G245" s="176">
        <v>250</v>
      </c>
      <c r="H245" s="176">
        <v>0</v>
      </c>
      <c r="I245" s="176">
        <v>0</v>
      </c>
      <c r="J245" s="28">
        <f t="shared" si="16"/>
        <v>4010</v>
      </c>
      <c r="K245" s="28">
        <f t="shared" si="17"/>
        <v>112.8</v>
      </c>
      <c r="L245" s="28">
        <f t="shared" si="20"/>
        <v>413.6</v>
      </c>
      <c r="M245" s="28">
        <v>0</v>
      </c>
      <c r="N245" s="28">
        <v>0</v>
      </c>
      <c r="O245" s="28">
        <f t="shared" si="18"/>
        <v>526.4</v>
      </c>
      <c r="P245" s="28">
        <f t="shared" si="19"/>
        <v>3483.6</v>
      </c>
      <c r="Q245" s="73">
        <f>1672.75+1510.4</f>
        <v>3183.15</v>
      </c>
    </row>
    <row r="246" spans="1:17" ht="25.5" x14ac:dyDescent="0.2">
      <c r="A246" s="139">
        <v>236</v>
      </c>
      <c r="B246" s="25" t="s">
        <v>356</v>
      </c>
      <c r="C246" s="24" t="s">
        <v>498</v>
      </c>
      <c r="D246" s="27">
        <v>2234</v>
      </c>
      <c r="E246" s="27">
        <v>1900</v>
      </c>
      <c r="F246" s="27">
        <v>0</v>
      </c>
      <c r="G246" s="27">
        <v>250</v>
      </c>
      <c r="H246" s="176">
        <v>2792.33</v>
      </c>
      <c r="I246" s="176">
        <v>0</v>
      </c>
      <c r="J246" s="28">
        <f t="shared" si="16"/>
        <v>4384</v>
      </c>
      <c r="K246" s="28">
        <f t="shared" si="17"/>
        <v>124.02</v>
      </c>
      <c r="L246" s="28">
        <f t="shared" si="20"/>
        <v>454.74</v>
      </c>
      <c r="M246" s="28">
        <v>0</v>
      </c>
      <c r="N246" s="28">
        <v>55.56</v>
      </c>
      <c r="O246" s="28">
        <f t="shared" si="18"/>
        <v>634.32000000000005</v>
      </c>
      <c r="P246" s="28">
        <f t="shared" si="19"/>
        <v>3749.68</v>
      </c>
      <c r="Q246" s="73">
        <v>0</v>
      </c>
    </row>
    <row r="247" spans="1:17" ht="25.5" x14ac:dyDescent="0.2">
      <c r="A247" s="139">
        <v>237</v>
      </c>
      <c r="B247" s="25" t="s">
        <v>36</v>
      </c>
      <c r="C247" s="26" t="s">
        <v>486</v>
      </c>
      <c r="D247" s="27">
        <v>3241</v>
      </c>
      <c r="E247" s="27">
        <v>1000</v>
      </c>
      <c r="F247" s="27">
        <v>0</v>
      </c>
      <c r="G247" s="27">
        <v>250</v>
      </c>
      <c r="H247" s="176">
        <v>2792.33</v>
      </c>
      <c r="I247" s="176">
        <v>0</v>
      </c>
      <c r="J247" s="28">
        <f t="shared" si="16"/>
        <v>4491</v>
      </c>
      <c r="K247" s="28">
        <f t="shared" si="17"/>
        <v>127.23</v>
      </c>
      <c r="L247" s="28">
        <f>(D247+E247)*12%</f>
        <v>508.92</v>
      </c>
      <c r="M247" s="28">
        <v>0</v>
      </c>
      <c r="N247" s="28">
        <v>0</v>
      </c>
      <c r="O247" s="28">
        <f t="shared" si="18"/>
        <v>636.15</v>
      </c>
      <c r="P247" s="28">
        <f t="shared" si="19"/>
        <v>3854.85</v>
      </c>
      <c r="Q247" s="73">
        <v>0</v>
      </c>
    </row>
    <row r="248" spans="1:17" ht="25.5" x14ac:dyDescent="0.2">
      <c r="A248" s="139">
        <v>238</v>
      </c>
      <c r="B248" s="24" t="s">
        <v>92</v>
      </c>
      <c r="C248" s="24" t="s">
        <v>330</v>
      </c>
      <c r="D248" s="177">
        <v>1940</v>
      </c>
      <c r="E248" s="29">
        <v>0</v>
      </c>
      <c r="F248" s="27">
        <v>0</v>
      </c>
      <c r="G248" s="176">
        <v>0</v>
      </c>
      <c r="H248" s="176">
        <v>2792.33</v>
      </c>
      <c r="I248" s="176">
        <v>0</v>
      </c>
      <c r="J248" s="28">
        <f t="shared" si="16"/>
        <v>1940</v>
      </c>
      <c r="K248" s="28">
        <f t="shared" si="17"/>
        <v>58.2</v>
      </c>
      <c r="L248" s="28">
        <f>D248*11%</f>
        <v>213.4</v>
      </c>
      <c r="M248" s="28">
        <v>0</v>
      </c>
      <c r="N248" s="28">
        <v>0</v>
      </c>
      <c r="O248" s="28">
        <f t="shared" si="18"/>
        <v>271.60000000000002</v>
      </c>
      <c r="P248" s="28">
        <f t="shared" ref="P248:P262" si="21">J248-O248</f>
        <v>1668.4</v>
      </c>
      <c r="Q248" s="73">
        <v>0</v>
      </c>
    </row>
    <row r="249" spans="1:17" ht="25.5" x14ac:dyDescent="0.2">
      <c r="A249" s="139">
        <v>239</v>
      </c>
      <c r="B249" s="24" t="s">
        <v>448</v>
      </c>
      <c r="C249" s="24" t="s">
        <v>335</v>
      </c>
      <c r="D249" s="177">
        <v>3081</v>
      </c>
      <c r="E249" s="29">
        <v>1000</v>
      </c>
      <c r="F249" s="27">
        <v>0</v>
      </c>
      <c r="G249" s="176">
        <v>250</v>
      </c>
      <c r="H249" s="176">
        <v>2792.33</v>
      </c>
      <c r="I249" s="176">
        <v>0</v>
      </c>
      <c r="J249" s="28">
        <f t="shared" si="16"/>
        <v>4331</v>
      </c>
      <c r="K249" s="28">
        <f t="shared" si="17"/>
        <v>122.43</v>
      </c>
      <c r="L249" s="28">
        <f>SUM(D249:E249)*12%</f>
        <v>489.72</v>
      </c>
      <c r="M249" s="28">
        <v>0</v>
      </c>
      <c r="N249" s="28">
        <v>0</v>
      </c>
      <c r="O249" s="28">
        <f t="shared" si="18"/>
        <v>612.15</v>
      </c>
      <c r="P249" s="28">
        <f t="shared" si="21"/>
        <v>3718.85</v>
      </c>
      <c r="Q249" s="73">
        <v>9143.34</v>
      </c>
    </row>
    <row r="250" spans="1:17" ht="25.5" x14ac:dyDescent="0.2">
      <c r="A250" s="139">
        <v>240</v>
      </c>
      <c r="B250" s="22" t="s">
        <v>418</v>
      </c>
      <c r="C250" s="24" t="s">
        <v>497</v>
      </c>
      <c r="D250" s="29">
        <v>3241</v>
      </c>
      <c r="E250" s="175">
        <v>1000</v>
      </c>
      <c r="F250" s="27">
        <v>0</v>
      </c>
      <c r="G250" s="176">
        <v>250</v>
      </c>
      <c r="H250" s="176">
        <v>0</v>
      </c>
      <c r="I250" s="176">
        <v>0</v>
      </c>
      <c r="J250" s="28">
        <f t="shared" si="16"/>
        <v>4491</v>
      </c>
      <c r="K250" s="28">
        <f t="shared" si="17"/>
        <v>127.23</v>
      </c>
      <c r="L250" s="28">
        <f>(D250+E250)*12%</f>
        <v>508.92</v>
      </c>
      <c r="M250" s="28">
        <v>0</v>
      </c>
      <c r="N250" s="28">
        <v>0</v>
      </c>
      <c r="O250" s="28">
        <f t="shared" si="18"/>
        <v>636.15</v>
      </c>
      <c r="P250" s="28">
        <f t="shared" si="21"/>
        <v>3854.85</v>
      </c>
      <c r="Q250" s="73">
        <f>1050+1050</f>
        <v>2100</v>
      </c>
    </row>
    <row r="251" spans="1:17" ht="25.5" x14ac:dyDescent="0.2">
      <c r="A251" s="139">
        <v>241</v>
      </c>
      <c r="B251" s="24" t="s">
        <v>246</v>
      </c>
      <c r="C251" s="33" t="s">
        <v>113</v>
      </c>
      <c r="D251" s="29">
        <v>1902</v>
      </c>
      <c r="E251" s="175">
        <v>1000</v>
      </c>
      <c r="F251" s="27">
        <v>0</v>
      </c>
      <c r="G251" s="176">
        <v>250</v>
      </c>
      <c r="H251" s="176">
        <v>2792.33</v>
      </c>
      <c r="I251" s="176">
        <v>0</v>
      </c>
      <c r="J251" s="28">
        <f t="shared" si="16"/>
        <v>3152</v>
      </c>
      <c r="K251" s="28">
        <f t="shared" si="17"/>
        <v>87.06</v>
      </c>
      <c r="L251" s="28">
        <f>(D251+E251)*11%</f>
        <v>319.22000000000003</v>
      </c>
      <c r="M251" s="28">
        <v>0</v>
      </c>
      <c r="N251" s="28">
        <v>0</v>
      </c>
      <c r="O251" s="28">
        <f t="shared" si="18"/>
        <v>406.28</v>
      </c>
      <c r="P251" s="28">
        <f t="shared" si="21"/>
        <v>2745.72</v>
      </c>
      <c r="Q251" s="73">
        <v>0</v>
      </c>
    </row>
    <row r="252" spans="1:17" ht="25.5" x14ac:dyDescent="0.2">
      <c r="A252" s="139">
        <v>242</v>
      </c>
      <c r="B252" s="22" t="s">
        <v>450</v>
      </c>
      <c r="C252" s="26" t="s">
        <v>492</v>
      </c>
      <c r="D252" s="29">
        <v>1981</v>
      </c>
      <c r="E252" s="175">
        <v>1000</v>
      </c>
      <c r="F252" s="27">
        <v>0</v>
      </c>
      <c r="G252" s="176">
        <v>250</v>
      </c>
      <c r="H252" s="176">
        <v>2792.33</v>
      </c>
      <c r="I252" s="176">
        <v>0</v>
      </c>
      <c r="J252" s="28">
        <f t="shared" si="16"/>
        <v>3231</v>
      </c>
      <c r="K252" s="28">
        <f t="shared" si="17"/>
        <v>89.43</v>
      </c>
      <c r="L252" s="28">
        <f>(D252+E252)*11%</f>
        <v>327.91</v>
      </c>
      <c r="M252" s="28">
        <v>0</v>
      </c>
      <c r="N252" s="28">
        <v>40.06</v>
      </c>
      <c r="O252" s="28">
        <f t="shared" si="18"/>
        <v>457.4</v>
      </c>
      <c r="P252" s="28">
        <f t="shared" si="21"/>
        <v>2773.6</v>
      </c>
      <c r="Q252" s="73">
        <v>0</v>
      </c>
    </row>
    <row r="253" spans="1:17" ht="25.5" x14ac:dyDescent="0.2">
      <c r="A253" s="139">
        <v>243</v>
      </c>
      <c r="B253" s="24" t="s">
        <v>1042</v>
      </c>
      <c r="C253" s="24" t="s">
        <v>327</v>
      </c>
      <c r="D253" s="177">
        <v>2425</v>
      </c>
      <c r="E253" s="29">
        <v>0</v>
      </c>
      <c r="F253" s="27">
        <v>0</v>
      </c>
      <c r="G253" s="176">
        <v>0</v>
      </c>
      <c r="H253" s="176">
        <v>2792.33</v>
      </c>
      <c r="I253" s="176">
        <v>0</v>
      </c>
      <c r="J253" s="28">
        <f t="shared" si="16"/>
        <v>2425</v>
      </c>
      <c r="K253" s="28">
        <f t="shared" si="17"/>
        <v>72.75</v>
      </c>
      <c r="L253" s="28">
        <f>D253*11%</f>
        <v>266.75</v>
      </c>
      <c r="M253" s="28">
        <v>0</v>
      </c>
      <c r="N253" s="28">
        <v>0</v>
      </c>
      <c r="O253" s="28">
        <f t="shared" si="18"/>
        <v>339.5</v>
      </c>
      <c r="P253" s="28">
        <f t="shared" si="21"/>
        <v>2085.5</v>
      </c>
      <c r="Q253" s="73">
        <v>0</v>
      </c>
    </row>
    <row r="254" spans="1:17" ht="25.5" x14ac:dyDescent="0.2">
      <c r="A254" s="139">
        <v>244</v>
      </c>
      <c r="B254" s="24" t="s">
        <v>54</v>
      </c>
      <c r="C254" s="24" t="s">
        <v>335</v>
      </c>
      <c r="D254" s="28">
        <v>3081</v>
      </c>
      <c r="E254" s="28">
        <v>1000</v>
      </c>
      <c r="F254" s="27">
        <v>0</v>
      </c>
      <c r="G254" s="176">
        <v>250</v>
      </c>
      <c r="H254" s="176">
        <v>2792.33</v>
      </c>
      <c r="I254" s="176">
        <v>0</v>
      </c>
      <c r="J254" s="28">
        <f t="shared" ref="J254:J314" si="22">SUM(D254:G254)</f>
        <v>4331</v>
      </c>
      <c r="K254" s="28">
        <f t="shared" si="17"/>
        <v>122.43</v>
      </c>
      <c r="L254" s="28">
        <f>(D254+E254)*12%</f>
        <v>489.72</v>
      </c>
      <c r="M254" s="28">
        <v>0</v>
      </c>
      <c r="N254" s="28">
        <v>0</v>
      </c>
      <c r="O254" s="28">
        <f t="shared" si="18"/>
        <v>612.15</v>
      </c>
      <c r="P254" s="28">
        <f t="shared" si="21"/>
        <v>3718.85</v>
      </c>
      <c r="Q254" s="73">
        <v>0</v>
      </c>
    </row>
    <row r="255" spans="1:17" ht="25.5" x14ac:dyDescent="0.2">
      <c r="A255" s="139">
        <v>245</v>
      </c>
      <c r="B255" s="197" t="s">
        <v>464</v>
      </c>
      <c r="C255" s="24" t="s">
        <v>330</v>
      </c>
      <c r="D255" s="44">
        <v>1940</v>
      </c>
      <c r="E255" s="44">
        <v>0</v>
      </c>
      <c r="F255" s="44">
        <v>0</v>
      </c>
      <c r="G255" s="44">
        <v>0</v>
      </c>
      <c r="H255" s="44">
        <v>2792.33</v>
      </c>
      <c r="I255" s="176">
        <v>0</v>
      </c>
      <c r="J255" s="28">
        <f t="shared" si="22"/>
        <v>1940</v>
      </c>
      <c r="K255" s="28">
        <f>D255*3%</f>
        <v>58.2</v>
      </c>
      <c r="L255" s="44">
        <v>194</v>
      </c>
      <c r="M255" s="44">
        <v>0</v>
      </c>
      <c r="N255" s="44">
        <v>0</v>
      </c>
      <c r="O255" s="44">
        <f>SUM(K255:N255)</f>
        <v>252.2</v>
      </c>
      <c r="P255" s="28">
        <f t="shared" si="21"/>
        <v>1687.8</v>
      </c>
      <c r="Q255" s="73">
        <v>0</v>
      </c>
    </row>
    <row r="256" spans="1:17" ht="25.5" x14ac:dyDescent="0.2">
      <c r="A256" s="139">
        <v>246</v>
      </c>
      <c r="B256" s="24" t="s">
        <v>419</v>
      </c>
      <c r="C256" s="33" t="s">
        <v>495</v>
      </c>
      <c r="D256" s="29">
        <v>2328</v>
      </c>
      <c r="E256" s="29">
        <v>0</v>
      </c>
      <c r="F256" s="27">
        <v>0</v>
      </c>
      <c r="G256" s="176">
        <v>0</v>
      </c>
      <c r="H256" s="176">
        <v>2792.33</v>
      </c>
      <c r="I256" s="176">
        <v>0</v>
      </c>
      <c r="J256" s="28">
        <f t="shared" si="22"/>
        <v>2328</v>
      </c>
      <c r="K256" s="28">
        <f t="shared" ref="K256:K316" si="23">(D256+E256+F256)*3%</f>
        <v>69.84</v>
      </c>
      <c r="L256" s="28">
        <f>(D256+E256)*11%</f>
        <v>256.08</v>
      </c>
      <c r="M256" s="28">
        <v>0</v>
      </c>
      <c r="N256" s="28">
        <v>0</v>
      </c>
      <c r="O256" s="28">
        <f t="shared" ref="O256:O316" si="24">K256+L256+M256+N256</f>
        <v>325.92</v>
      </c>
      <c r="P256" s="28">
        <f t="shared" si="21"/>
        <v>2002.08</v>
      </c>
      <c r="Q256" s="73">
        <v>0</v>
      </c>
    </row>
    <row r="257" spans="1:21" ht="25.5" x14ac:dyDescent="0.2">
      <c r="A257" s="139">
        <v>247</v>
      </c>
      <c r="B257" s="24" t="s">
        <v>101</v>
      </c>
      <c r="C257" s="24" t="s">
        <v>327</v>
      </c>
      <c r="D257" s="177">
        <v>2425</v>
      </c>
      <c r="E257" s="29">
        <v>0</v>
      </c>
      <c r="F257" s="27">
        <v>0</v>
      </c>
      <c r="G257" s="176">
        <v>0</v>
      </c>
      <c r="H257" s="176">
        <v>2792.33</v>
      </c>
      <c r="I257" s="176">
        <v>0</v>
      </c>
      <c r="J257" s="28">
        <f t="shared" si="22"/>
        <v>2425</v>
      </c>
      <c r="K257" s="28">
        <f t="shared" si="23"/>
        <v>72.75</v>
      </c>
      <c r="L257" s="28">
        <f>D257*11%</f>
        <v>266.75</v>
      </c>
      <c r="M257" s="28">
        <v>0</v>
      </c>
      <c r="N257" s="28">
        <v>0</v>
      </c>
      <c r="O257" s="28">
        <f t="shared" si="24"/>
        <v>339.5</v>
      </c>
      <c r="P257" s="28">
        <f t="shared" si="21"/>
        <v>2085.5</v>
      </c>
      <c r="Q257" s="73">
        <v>0</v>
      </c>
    </row>
    <row r="258" spans="1:21" ht="25.5" x14ac:dyDescent="0.2">
      <c r="A258" s="139">
        <v>248</v>
      </c>
      <c r="B258" s="47" t="s">
        <v>379</v>
      </c>
      <c r="C258" s="26" t="s">
        <v>155</v>
      </c>
      <c r="D258" s="187">
        <v>6759</v>
      </c>
      <c r="E258" s="175">
        <v>4000</v>
      </c>
      <c r="F258" s="27">
        <v>375</v>
      </c>
      <c r="G258" s="176">
        <v>250</v>
      </c>
      <c r="H258" s="176">
        <v>2792.33</v>
      </c>
      <c r="I258" s="176">
        <v>0</v>
      </c>
      <c r="J258" s="28">
        <f t="shared" si="22"/>
        <v>11384</v>
      </c>
      <c r="K258" s="28">
        <f>(D258+E258+F258)*3%</f>
        <v>334.02</v>
      </c>
      <c r="L258" s="28">
        <f>(D258+E258+F258)*15%</f>
        <v>1670.1</v>
      </c>
      <c r="M258" s="28">
        <v>269.83</v>
      </c>
      <c r="N258" s="28">
        <v>149.63999999999999</v>
      </c>
      <c r="O258" s="28">
        <f t="shared" si="24"/>
        <v>2423.59</v>
      </c>
      <c r="P258" s="28">
        <f t="shared" si="21"/>
        <v>8960.41</v>
      </c>
      <c r="Q258" s="73">
        <v>0</v>
      </c>
    </row>
    <row r="259" spans="1:21" x14ac:dyDescent="0.2">
      <c r="A259" s="139">
        <v>249</v>
      </c>
      <c r="B259" s="24" t="s">
        <v>420</v>
      </c>
      <c r="C259" s="24" t="s">
        <v>111</v>
      </c>
      <c r="D259" s="29">
        <v>1668</v>
      </c>
      <c r="E259" s="29">
        <v>1000</v>
      </c>
      <c r="F259" s="27">
        <v>0</v>
      </c>
      <c r="G259" s="176">
        <v>250</v>
      </c>
      <c r="H259" s="176">
        <v>2792.33</v>
      </c>
      <c r="I259" s="176">
        <v>0</v>
      </c>
      <c r="J259" s="28">
        <f t="shared" si="22"/>
        <v>2918</v>
      </c>
      <c r="K259" s="28">
        <f t="shared" si="23"/>
        <v>80.040000000000006</v>
      </c>
      <c r="L259" s="28">
        <f>(D259+E259)*11%</f>
        <v>293.48</v>
      </c>
      <c r="M259" s="28">
        <v>0</v>
      </c>
      <c r="N259" s="28">
        <v>0</v>
      </c>
      <c r="O259" s="28">
        <f t="shared" si="24"/>
        <v>373.52</v>
      </c>
      <c r="P259" s="28">
        <f t="shared" si="21"/>
        <v>2544.48</v>
      </c>
      <c r="Q259" s="73">
        <v>0</v>
      </c>
    </row>
    <row r="260" spans="1:21" ht="25.5" x14ac:dyDescent="0.2">
      <c r="A260" s="139">
        <v>250</v>
      </c>
      <c r="B260" s="24" t="s">
        <v>421</v>
      </c>
      <c r="C260" s="24" t="s">
        <v>327</v>
      </c>
      <c r="D260" s="177">
        <v>2425</v>
      </c>
      <c r="E260" s="29">
        <v>0</v>
      </c>
      <c r="F260" s="27">
        <v>0</v>
      </c>
      <c r="G260" s="176">
        <v>0</v>
      </c>
      <c r="H260" s="176">
        <v>2792.33</v>
      </c>
      <c r="I260" s="176">
        <v>0</v>
      </c>
      <c r="J260" s="28">
        <f t="shared" si="22"/>
        <v>2425</v>
      </c>
      <c r="K260" s="28">
        <f t="shared" si="23"/>
        <v>72.75</v>
      </c>
      <c r="L260" s="28">
        <f>(D260+E260)*11%</f>
        <v>266.75</v>
      </c>
      <c r="M260" s="28">
        <v>0</v>
      </c>
      <c r="N260" s="28">
        <v>0</v>
      </c>
      <c r="O260" s="28">
        <f t="shared" si="24"/>
        <v>339.5</v>
      </c>
      <c r="P260" s="28">
        <f t="shared" si="21"/>
        <v>2085.5</v>
      </c>
      <c r="Q260" s="73">
        <v>0</v>
      </c>
    </row>
    <row r="261" spans="1:21" ht="25.5" x14ac:dyDescent="0.2">
      <c r="A261" s="139">
        <v>251</v>
      </c>
      <c r="B261" s="24" t="s">
        <v>78</v>
      </c>
      <c r="C261" s="24" t="s">
        <v>345</v>
      </c>
      <c r="D261" s="187">
        <v>3462.9</v>
      </c>
      <c r="E261" s="29">
        <v>0</v>
      </c>
      <c r="F261" s="27">
        <v>0</v>
      </c>
      <c r="G261" s="176">
        <v>0</v>
      </c>
      <c r="H261" s="176">
        <v>2792.33</v>
      </c>
      <c r="I261" s="176">
        <v>0</v>
      </c>
      <c r="J261" s="28">
        <f t="shared" si="22"/>
        <v>3462.9</v>
      </c>
      <c r="K261" s="28">
        <f t="shared" si="23"/>
        <v>103.89</v>
      </c>
      <c r="L261" s="28">
        <f>(D261+E261)*11%</f>
        <v>380.92</v>
      </c>
      <c r="M261" s="28">
        <v>0</v>
      </c>
      <c r="N261" s="28">
        <v>0</v>
      </c>
      <c r="O261" s="28">
        <f t="shared" si="24"/>
        <v>484.81</v>
      </c>
      <c r="P261" s="28">
        <f t="shared" si="21"/>
        <v>2978.09</v>
      </c>
      <c r="Q261" s="73">
        <v>0</v>
      </c>
    </row>
    <row r="262" spans="1:21" x14ac:dyDescent="0.2">
      <c r="A262" s="139">
        <v>252</v>
      </c>
      <c r="B262" s="24" t="s">
        <v>63</v>
      </c>
      <c r="C262" s="24" t="s">
        <v>111</v>
      </c>
      <c r="D262" s="29">
        <v>1668</v>
      </c>
      <c r="E262" s="29">
        <v>1000</v>
      </c>
      <c r="F262" s="27">
        <v>0</v>
      </c>
      <c r="G262" s="176">
        <v>250</v>
      </c>
      <c r="H262" s="176">
        <v>2792.33</v>
      </c>
      <c r="I262" s="176">
        <v>0</v>
      </c>
      <c r="J262" s="28">
        <f t="shared" si="22"/>
        <v>2918</v>
      </c>
      <c r="K262" s="28">
        <f t="shared" si="23"/>
        <v>80.040000000000006</v>
      </c>
      <c r="L262" s="28">
        <f>2902*11%</f>
        <v>319.22000000000003</v>
      </c>
      <c r="M262" s="28">
        <v>0</v>
      </c>
      <c r="N262" s="28">
        <v>0</v>
      </c>
      <c r="O262" s="28">
        <f t="shared" si="24"/>
        <v>399.26</v>
      </c>
      <c r="P262" s="28">
        <f t="shared" si="21"/>
        <v>2518.7399999999998</v>
      </c>
      <c r="Q262" s="73">
        <v>0</v>
      </c>
    </row>
    <row r="263" spans="1:21" ht="25.5" x14ac:dyDescent="0.2">
      <c r="A263" s="139">
        <v>253</v>
      </c>
      <c r="B263" s="24" t="s">
        <v>357</v>
      </c>
      <c r="C263" s="24" t="s">
        <v>335</v>
      </c>
      <c r="D263" s="29">
        <v>3081</v>
      </c>
      <c r="E263" s="175">
        <v>1000</v>
      </c>
      <c r="F263" s="27">
        <v>0</v>
      </c>
      <c r="G263" s="176">
        <v>250</v>
      </c>
      <c r="H263" s="176">
        <v>2792.33</v>
      </c>
      <c r="I263" s="176">
        <v>0</v>
      </c>
      <c r="J263" s="28">
        <f t="shared" si="22"/>
        <v>4331</v>
      </c>
      <c r="K263" s="28">
        <f t="shared" si="23"/>
        <v>122.43</v>
      </c>
      <c r="L263" s="28">
        <f>(D263+E263)*12%</f>
        <v>489.72</v>
      </c>
      <c r="M263" s="28">
        <v>0</v>
      </c>
      <c r="N263" s="28">
        <v>0</v>
      </c>
      <c r="O263" s="28">
        <f t="shared" si="24"/>
        <v>612.15</v>
      </c>
      <c r="P263" s="28">
        <f>SUM(D263:O263)</f>
        <v>12678.63</v>
      </c>
      <c r="Q263" s="73">
        <v>0</v>
      </c>
    </row>
    <row r="264" spans="1:21" ht="25.5" x14ac:dyDescent="0.2">
      <c r="A264" s="139">
        <v>254</v>
      </c>
      <c r="B264" s="24" t="s">
        <v>358</v>
      </c>
      <c r="C264" s="24" t="s">
        <v>330</v>
      </c>
      <c r="D264" s="177">
        <v>1940</v>
      </c>
      <c r="E264" s="29">
        <v>0</v>
      </c>
      <c r="F264" s="27">
        <v>0</v>
      </c>
      <c r="G264" s="176">
        <v>0</v>
      </c>
      <c r="H264" s="176">
        <v>2792.33</v>
      </c>
      <c r="I264" s="176">
        <v>0</v>
      </c>
      <c r="J264" s="28">
        <f t="shared" si="22"/>
        <v>1940</v>
      </c>
      <c r="K264" s="28">
        <f t="shared" si="23"/>
        <v>58.2</v>
      </c>
      <c r="L264" s="28">
        <f>D264*10%</f>
        <v>194</v>
      </c>
      <c r="M264" s="28">
        <v>0</v>
      </c>
      <c r="N264" s="28">
        <v>0</v>
      </c>
      <c r="O264" s="28">
        <f t="shared" si="24"/>
        <v>252.2</v>
      </c>
      <c r="P264" s="28">
        <f t="shared" ref="P264:P295" si="25">J264-O264</f>
        <v>1687.8</v>
      </c>
      <c r="Q264" s="73">
        <v>0</v>
      </c>
    </row>
    <row r="265" spans="1:21" ht="21.75" customHeight="1" x14ac:dyDescent="0.2">
      <c r="A265" s="139">
        <v>255</v>
      </c>
      <c r="B265" s="66" t="s">
        <v>519</v>
      </c>
      <c r="C265" s="64" t="s">
        <v>513</v>
      </c>
      <c r="D265" s="78">
        <v>3241</v>
      </c>
      <c r="E265" s="29">
        <v>1000</v>
      </c>
      <c r="F265" s="27">
        <v>0</v>
      </c>
      <c r="G265" s="176">
        <v>250</v>
      </c>
      <c r="H265" s="176">
        <v>0</v>
      </c>
      <c r="I265" s="176">
        <v>0</v>
      </c>
      <c r="J265" s="28">
        <f t="shared" si="22"/>
        <v>4491</v>
      </c>
      <c r="K265" s="28">
        <f t="shared" si="23"/>
        <v>127.23</v>
      </c>
      <c r="L265" s="28">
        <f>(D265+E265)*12%</f>
        <v>508.92</v>
      </c>
      <c r="M265" s="28">
        <v>0</v>
      </c>
      <c r="N265" s="28">
        <v>0</v>
      </c>
      <c r="O265" s="28">
        <f t="shared" si="24"/>
        <v>636.15</v>
      </c>
      <c r="P265" s="28">
        <f t="shared" si="25"/>
        <v>3854.85</v>
      </c>
      <c r="Q265" s="73">
        <v>0</v>
      </c>
      <c r="U265" s="125"/>
    </row>
    <row r="266" spans="1:21" ht="25.5" customHeight="1" x14ac:dyDescent="0.2">
      <c r="A266" s="139">
        <v>256</v>
      </c>
      <c r="B266" s="24" t="s">
        <v>359</v>
      </c>
      <c r="C266" s="24" t="s">
        <v>330</v>
      </c>
      <c r="D266" s="177">
        <v>1940</v>
      </c>
      <c r="E266" s="29">
        <v>0</v>
      </c>
      <c r="F266" s="27">
        <v>0</v>
      </c>
      <c r="G266" s="176">
        <v>0</v>
      </c>
      <c r="H266" s="176">
        <v>2792.33</v>
      </c>
      <c r="I266" s="176">
        <v>0</v>
      </c>
      <c r="J266" s="28">
        <f t="shared" si="22"/>
        <v>1940</v>
      </c>
      <c r="K266" s="28">
        <f t="shared" si="23"/>
        <v>58.2</v>
      </c>
      <c r="L266" s="28">
        <f>D266*10%</f>
        <v>194</v>
      </c>
      <c r="M266" s="28">
        <v>0</v>
      </c>
      <c r="N266" s="28">
        <v>0</v>
      </c>
      <c r="O266" s="28">
        <f t="shared" si="24"/>
        <v>252.2</v>
      </c>
      <c r="P266" s="28">
        <f t="shared" si="25"/>
        <v>1687.8</v>
      </c>
      <c r="Q266" s="73">
        <v>0</v>
      </c>
    </row>
    <row r="267" spans="1:21" x14ac:dyDescent="0.2">
      <c r="A267" s="139">
        <v>257</v>
      </c>
      <c r="B267" s="41" t="s">
        <v>360</v>
      </c>
      <c r="C267" s="24" t="s">
        <v>109</v>
      </c>
      <c r="D267" s="29">
        <v>1902</v>
      </c>
      <c r="E267" s="29">
        <v>1000</v>
      </c>
      <c r="F267" s="27">
        <v>0</v>
      </c>
      <c r="G267" s="176">
        <v>250</v>
      </c>
      <c r="H267" s="176">
        <v>2792.33</v>
      </c>
      <c r="I267" s="176">
        <v>0</v>
      </c>
      <c r="J267" s="28">
        <f t="shared" si="22"/>
        <v>3152</v>
      </c>
      <c r="K267" s="28">
        <f t="shared" si="23"/>
        <v>87.06</v>
      </c>
      <c r="L267" s="28">
        <f>2902*11%</f>
        <v>319.22000000000003</v>
      </c>
      <c r="M267" s="28">
        <v>0</v>
      </c>
      <c r="N267" s="28">
        <v>0</v>
      </c>
      <c r="O267" s="28">
        <f t="shared" si="24"/>
        <v>406.28</v>
      </c>
      <c r="P267" s="28">
        <f t="shared" si="25"/>
        <v>2745.72</v>
      </c>
      <c r="Q267" s="73">
        <v>0</v>
      </c>
    </row>
    <row r="268" spans="1:21" ht="25.5" x14ac:dyDescent="0.2">
      <c r="A268" s="139">
        <v>258</v>
      </c>
      <c r="B268" s="24" t="s">
        <v>361</v>
      </c>
      <c r="C268" s="24" t="s">
        <v>110</v>
      </c>
      <c r="D268" s="29">
        <v>2920</v>
      </c>
      <c r="E268" s="29">
        <v>1000</v>
      </c>
      <c r="F268" s="27">
        <v>0</v>
      </c>
      <c r="G268" s="176">
        <v>250</v>
      </c>
      <c r="H268" s="176">
        <v>2792.33</v>
      </c>
      <c r="I268" s="176">
        <v>0</v>
      </c>
      <c r="J268" s="28">
        <f t="shared" si="22"/>
        <v>4170</v>
      </c>
      <c r="K268" s="28">
        <f t="shared" si="23"/>
        <v>117.6</v>
      </c>
      <c r="L268" s="28">
        <f>2902*11%</f>
        <v>319.22000000000003</v>
      </c>
      <c r="M268" s="28">
        <v>0</v>
      </c>
      <c r="N268" s="28">
        <v>0</v>
      </c>
      <c r="O268" s="28">
        <f t="shared" si="24"/>
        <v>436.82</v>
      </c>
      <c r="P268" s="28">
        <f t="shared" si="25"/>
        <v>3733.18</v>
      </c>
      <c r="Q268" s="73">
        <v>0</v>
      </c>
    </row>
    <row r="269" spans="1:21" ht="25.5" x14ac:dyDescent="0.2">
      <c r="A269" s="139">
        <v>259</v>
      </c>
      <c r="B269" s="24" t="s">
        <v>362</v>
      </c>
      <c r="C269" s="24" t="s">
        <v>327</v>
      </c>
      <c r="D269" s="177">
        <v>2425</v>
      </c>
      <c r="E269" s="29">
        <v>0</v>
      </c>
      <c r="F269" s="27">
        <v>0</v>
      </c>
      <c r="G269" s="176">
        <v>0</v>
      </c>
      <c r="H269" s="176">
        <v>2792.33</v>
      </c>
      <c r="I269" s="176">
        <v>0</v>
      </c>
      <c r="J269" s="28">
        <f t="shared" si="22"/>
        <v>2425</v>
      </c>
      <c r="K269" s="28">
        <f t="shared" si="23"/>
        <v>72.75</v>
      </c>
      <c r="L269" s="28">
        <f>2425*11%</f>
        <v>266.75</v>
      </c>
      <c r="M269" s="28">
        <v>0</v>
      </c>
      <c r="N269" s="28">
        <v>0</v>
      </c>
      <c r="O269" s="28">
        <f t="shared" si="24"/>
        <v>339.5</v>
      </c>
      <c r="P269" s="28">
        <f t="shared" si="25"/>
        <v>2085.5</v>
      </c>
      <c r="Q269" s="73">
        <v>0</v>
      </c>
    </row>
    <row r="270" spans="1:21" ht="25.5" x14ac:dyDescent="0.2">
      <c r="A270" s="139">
        <v>260</v>
      </c>
      <c r="B270" s="37" t="s">
        <v>249</v>
      </c>
      <c r="C270" s="26" t="s">
        <v>487</v>
      </c>
      <c r="D270" s="27">
        <v>3404</v>
      </c>
      <c r="E270" s="27">
        <v>1000</v>
      </c>
      <c r="F270" s="27">
        <v>375</v>
      </c>
      <c r="G270" s="27">
        <v>250</v>
      </c>
      <c r="H270" s="27">
        <v>0</v>
      </c>
      <c r="I270" s="176">
        <v>0</v>
      </c>
      <c r="J270" s="28">
        <f t="shared" si="22"/>
        <v>5029</v>
      </c>
      <c r="K270" s="28">
        <f t="shared" si="23"/>
        <v>143.37</v>
      </c>
      <c r="L270" s="28">
        <f>(D270+E270+F270)*12%</f>
        <v>573.48</v>
      </c>
      <c r="M270" s="28">
        <v>16.440000000000001</v>
      </c>
      <c r="N270" s="28">
        <v>0</v>
      </c>
      <c r="O270" s="28">
        <f t="shared" si="24"/>
        <v>733.29</v>
      </c>
      <c r="P270" s="28">
        <f t="shared" si="25"/>
        <v>4295.71</v>
      </c>
      <c r="Q270" s="73">
        <v>0</v>
      </c>
    </row>
    <row r="271" spans="1:21" ht="25.5" x14ac:dyDescent="0.2">
      <c r="A271" s="139">
        <v>261</v>
      </c>
      <c r="B271" s="24" t="s">
        <v>560</v>
      </c>
      <c r="C271" s="24" t="s">
        <v>287</v>
      </c>
      <c r="D271" s="29">
        <v>1831</v>
      </c>
      <c r="E271" s="175">
        <v>1000</v>
      </c>
      <c r="F271" s="27">
        <v>0</v>
      </c>
      <c r="G271" s="176">
        <v>250</v>
      </c>
      <c r="H271" s="176">
        <v>2792.33</v>
      </c>
      <c r="I271" s="176">
        <v>0</v>
      </c>
      <c r="J271" s="28">
        <f t="shared" si="22"/>
        <v>3081</v>
      </c>
      <c r="K271" s="28">
        <f t="shared" si="23"/>
        <v>84.93</v>
      </c>
      <c r="L271" s="28">
        <f>2902*11%</f>
        <v>319.22000000000003</v>
      </c>
      <c r="M271" s="28">
        <v>0</v>
      </c>
      <c r="N271" s="28">
        <v>0</v>
      </c>
      <c r="O271" s="28">
        <f t="shared" si="24"/>
        <v>404.15</v>
      </c>
      <c r="P271" s="28">
        <f t="shared" si="25"/>
        <v>2676.85</v>
      </c>
      <c r="Q271" s="73">
        <v>0</v>
      </c>
    </row>
    <row r="272" spans="1:21" ht="25.5" x14ac:dyDescent="0.2">
      <c r="A272" s="139">
        <v>262</v>
      </c>
      <c r="B272" s="24" t="s">
        <v>189</v>
      </c>
      <c r="C272" s="24" t="s">
        <v>330</v>
      </c>
      <c r="D272" s="29">
        <v>1940</v>
      </c>
      <c r="E272" s="29">
        <v>0</v>
      </c>
      <c r="F272" s="27">
        <v>0</v>
      </c>
      <c r="G272" s="176">
        <v>0</v>
      </c>
      <c r="H272" s="176">
        <v>2792.33</v>
      </c>
      <c r="I272" s="176">
        <v>0</v>
      </c>
      <c r="J272" s="28">
        <f t="shared" si="22"/>
        <v>1940</v>
      </c>
      <c r="K272" s="28">
        <f t="shared" si="23"/>
        <v>58.2</v>
      </c>
      <c r="L272" s="28">
        <f>D272*10%</f>
        <v>194</v>
      </c>
      <c r="M272" s="28">
        <v>0</v>
      </c>
      <c r="N272" s="28">
        <v>0</v>
      </c>
      <c r="O272" s="28">
        <f t="shared" si="24"/>
        <v>252.2</v>
      </c>
      <c r="P272" s="28">
        <f t="shared" si="25"/>
        <v>1687.8</v>
      </c>
      <c r="Q272" s="73">
        <v>0</v>
      </c>
    </row>
    <row r="273" spans="1:17" ht="25.5" x14ac:dyDescent="0.2">
      <c r="A273" s="139">
        <v>263</v>
      </c>
      <c r="B273" s="22" t="s">
        <v>166</v>
      </c>
      <c r="C273" s="26" t="s">
        <v>108</v>
      </c>
      <c r="D273" s="29">
        <v>2920</v>
      </c>
      <c r="E273" s="175">
        <v>1000</v>
      </c>
      <c r="F273" s="27">
        <v>0</v>
      </c>
      <c r="G273" s="176">
        <v>250</v>
      </c>
      <c r="H273" s="176">
        <v>0</v>
      </c>
      <c r="I273" s="176">
        <v>0</v>
      </c>
      <c r="J273" s="28">
        <f t="shared" si="22"/>
        <v>4170</v>
      </c>
      <c r="K273" s="28">
        <f t="shared" si="23"/>
        <v>117.6</v>
      </c>
      <c r="L273" s="28">
        <f>(D273+E273)*11%</f>
        <v>431.2</v>
      </c>
      <c r="M273" s="28">
        <v>0</v>
      </c>
      <c r="N273" s="28">
        <v>52.68</v>
      </c>
      <c r="O273" s="28">
        <f t="shared" si="24"/>
        <v>601.48</v>
      </c>
      <c r="P273" s="28">
        <f t="shared" si="25"/>
        <v>3568.52</v>
      </c>
      <c r="Q273" s="73">
        <v>0</v>
      </c>
    </row>
    <row r="274" spans="1:17" ht="25.5" x14ac:dyDescent="0.2">
      <c r="A274" s="139">
        <v>264</v>
      </c>
      <c r="B274" s="48" t="s">
        <v>422</v>
      </c>
      <c r="C274" s="33" t="s">
        <v>113</v>
      </c>
      <c r="D274" s="27">
        <v>1902</v>
      </c>
      <c r="E274" s="194">
        <v>1000</v>
      </c>
      <c r="F274" s="27">
        <v>0</v>
      </c>
      <c r="G274" s="175">
        <v>250</v>
      </c>
      <c r="H274" s="176">
        <v>2792.33</v>
      </c>
      <c r="I274" s="176">
        <v>0</v>
      </c>
      <c r="J274" s="28">
        <f t="shared" si="22"/>
        <v>3152</v>
      </c>
      <c r="K274" s="28">
        <f t="shared" si="23"/>
        <v>87.06</v>
      </c>
      <c r="L274" s="28">
        <f>(D274+E274)*11%</f>
        <v>319.22000000000003</v>
      </c>
      <c r="M274" s="28">
        <v>0</v>
      </c>
      <c r="N274" s="28">
        <v>0</v>
      </c>
      <c r="O274" s="28">
        <f t="shared" si="24"/>
        <v>406.28</v>
      </c>
      <c r="P274" s="28">
        <f t="shared" si="25"/>
        <v>2745.72</v>
      </c>
      <c r="Q274" s="73">
        <v>0</v>
      </c>
    </row>
    <row r="275" spans="1:17" ht="25.5" x14ac:dyDescent="0.2">
      <c r="A275" s="139">
        <v>265</v>
      </c>
      <c r="B275" s="22" t="s">
        <v>314</v>
      </c>
      <c r="C275" s="24" t="s">
        <v>330</v>
      </c>
      <c r="D275" s="29">
        <v>1940</v>
      </c>
      <c r="E275" s="29">
        <v>0</v>
      </c>
      <c r="F275" s="27">
        <v>0</v>
      </c>
      <c r="G275" s="176">
        <v>0</v>
      </c>
      <c r="H275" s="176">
        <v>2792.33</v>
      </c>
      <c r="I275" s="176">
        <v>0</v>
      </c>
      <c r="J275" s="28">
        <f t="shared" si="22"/>
        <v>1940</v>
      </c>
      <c r="K275" s="28">
        <f t="shared" si="23"/>
        <v>58.2</v>
      </c>
      <c r="L275" s="28">
        <f>D275*10%</f>
        <v>194</v>
      </c>
      <c r="M275" s="28">
        <v>0</v>
      </c>
      <c r="N275" s="28">
        <v>0</v>
      </c>
      <c r="O275" s="28">
        <f t="shared" si="24"/>
        <v>252.2</v>
      </c>
      <c r="P275" s="28">
        <f t="shared" si="25"/>
        <v>1687.8</v>
      </c>
      <c r="Q275" s="73">
        <v>0</v>
      </c>
    </row>
    <row r="276" spans="1:17" ht="25.5" x14ac:dyDescent="0.2">
      <c r="A276" s="139">
        <v>266</v>
      </c>
      <c r="B276" s="49" t="s">
        <v>363</v>
      </c>
      <c r="C276" s="23" t="s">
        <v>509</v>
      </c>
      <c r="D276" s="185">
        <v>1824</v>
      </c>
      <c r="E276" s="186">
        <v>1000</v>
      </c>
      <c r="F276" s="27">
        <v>0</v>
      </c>
      <c r="G276" s="176">
        <v>250</v>
      </c>
      <c r="H276" s="176">
        <v>2792.33</v>
      </c>
      <c r="I276" s="176">
        <v>0</v>
      </c>
      <c r="J276" s="28">
        <f t="shared" si="22"/>
        <v>3074</v>
      </c>
      <c r="K276" s="28">
        <f t="shared" si="23"/>
        <v>84.72</v>
      </c>
      <c r="L276" s="28">
        <f>(D276+E276+F276)*11%</f>
        <v>310.64</v>
      </c>
      <c r="M276" s="28">
        <v>0</v>
      </c>
      <c r="N276" s="28">
        <v>0</v>
      </c>
      <c r="O276" s="28">
        <f t="shared" si="24"/>
        <v>395.36</v>
      </c>
      <c r="P276" s="28">
        <f t="shared" si="25"/>
        <v>2678.64</v>
      </c>
      <c r="Q276" s="73">
        <v>0</v>
      </c>
    </row>
    <row r="277" spans="1:17" ht="25.5" x14ac:dyDescent="0.2">
      <c r="A277" s="139">
        <v>267</v>
      </c>
      <c r="B277" s="22" t="s">
        <v>167</v>
      </c>
      <c r="C277" s="24" t="s">
        <v>330</v>
      </c>
      <c r="D277" s="29">
        <v>1940</v>
      </c>
      <c r="E277" s="29">
        <v>0</v>
      </c>
      <c r="F277" s="27">
        <v>0</v>
      </c>
      <c r="G277" s="176">
        <v>0</v>
      </c>
      <c r="H277" s="176">
        <v>2792.33</v>
      </c>
      <c r="I277" s="176">
        <v>0</v>
      </c>
      <c r="J277" s="28">
        <f t="shared" si="22"/>
        <v>1940</v>
      </c>
      <c r="K277" s="28">
        <f t="shared" si="23"/>
        <v>58.2</v>
      </c>
      <c r="L277" s="28">
        <f>D277*10%</f>
        <v>194</v>
      </c>
      <c r="M277" s="28">
        <v>0</v>
      </c>
      <c r="N277" s="28">
        <v>0</v>
      </c>
      <c r="O277" s="28">
        <f t="shared" si="24"/>
        <v>252.2</v>
      </c>
      <c r="P277" s="28">
        <f t="shared" si="25"/>
        <v>1687.8</v>
      </c>
      <c r="Q277" s="73">
        <v>0</v>
      </c>
    </row>
    <row r="278" spans="1:17" ht="25.5" x14ac:dyDescent="0.2">
      <c r="A278" s="139">
        <v>268</v>
      </c>
      <c r="B278" s="24" t="s">
        <v>98</v>
      </c>
      <c r="C278" s="24" t="s">
        <v>327</v>
      </c>
      <c r="D278" s="177">
        <v>2425</v>
      </c>
      <c r="E278" s="29">
        <v>0</v>
      </c>
      <c r="F278" s="27">
        <v>0</v>
      </c>
      <c r="G278" s="176">
        <v>0</v>
      </c>
      <c r="H278" s="176">
        <v>2792.33</v>
      </c>
      <c r="I278" s="176">
        <v>0</v>
      </c>
      <c r="J278" s="28">
        <f t="shared" si="22"/>
        <v>2425</v>
      </c>
      <c r="K278" s="28">
        <f t="shared" si="23"/>
        <v>72.75</v>
      </c>
      <c r="L278" s="28">
        <f>D278*11%</f>
        <v>266.75</v>
      </c>
      <c r="M278" s="28">
        <v>0</v>
      </c>
      <c r="N278" s="28">
        <v>0</v>
      </c>
      <c r="O278" s="28">
        <f t="shared" si="24"/>
        <v>339.5</v>
      </c>
      <c r="P278" s="28">
        <f t="shared" si="25"/>
        <v>2085.5</v>
      </c>
      <c r="Q278" s="73">
        <v>0</v>
      </c>
    </row>
    <row r="279" spans="1:17" ht="25.5" x14ac:dyDescent="0.2">
      <c r="A279" s="139">
        <v>269</v>
      </c>
      <c r="B279" s="230" t="s">
        <v>1012</v>
      </c>
      <c r="C279" s="226" t="s">
        <v>492</v>
      </c>
      <c r="D279" s="231">
        <v>1981</v>
      </c>
      <c r="E279" s="29">
        <v>1000</v>
      </c>
      <c r="F279" s="27">
        <v>0</v>
      </c>
      <c r="G279" s="176">
        <v>250</v>
      </c>
      <c r="H279" s="176">
        <v>0</v>
      </c>
      <c r="I279" s="176">
        <v>0</v>
      </c>
      <c r="J279" s="28">
        <f t="shared" si="22"/>
        <v>3231</v>
      </c>
      <c r="K279" s="28">
        <f t="shared" si="23"/>
        <v>89.43</v>
      </c>
      <c r="L279" s="28">
        <f>(D279+E279)*11%</f>
        <v>327.91</v>
      </c>
      <c r="M279" s="28">
        <v>0</v>
      </c>
      <c r="N279" s="28">
        <v>0</v>
      </c>
      <c r="O279" s="28">
        <f t="shared" si="24"/>
        <v>417.34</v>
      </c>
      <c r="P279" s="28">
        <f t="shared" si="25"/>
        <v>2813.66</v>
      </c>
      <c r="Q279" s="73">
        <v>0</v>
      </c>
    </row>
    <row r="280" spans="1:17" ht="25.5" x14ac:dyDescent="0.2">
      <c r="A280" s="139">
        <v>270</v>
      </c>
      <c r="B280" s="25" t="s">
        <v>38</v>
      </c>
      <c r="C280" s="24" t="s">
        <v>110</v>
      </c>
      <c r="D280" s="27">
        <v>2920</v>
      </c>
      <c r="E280" s="27">
        <v>1000</v>
      </c>
      <c r="F280" s="27">
        <v>0</v>
      </c>
      <c r="G280" s="27">
        <v>250</v>
      </c>
      <c r="H280" s="176">
        <v>2792.33</v>
      </c>
      <c r="I280" s="176">
        <v>0</v>
      </c>
      <c r="J280" s="28">
        <f t="shared" si="22"/>
        <v>4170</v>
      </c>
      <c r="K280" s="28">
        <f t="shared" si="23"/>
        <v>117.6</v>
      </c>
      <c r="L280" s="28">
        <f>(D280+E280)*12%</f>
        <v>470.4</v>
      </c>
      <c r="M280" s="28">
        <v>0</v>
      </c>
      <c r="N280" s="28">
        <v>54.85</v>
      </c>
      <c r="O280" s="28">
        <f t="shared" si="24"/>
        <v>642.85</v>
      </c>
      <c r="P280" s="28">
        <f t="shared" si="25"/>
        <v>3527.15</v>
      </c>
      <c r="Q280" s="73">
        <v>0</v>
      </c>
    </row>
    <row r="281" spans="1:17" ht="25.5" x14ac:dyDescent="0.2">
      <c r="A281" s="139">
        <v>271</v>
      </c>
      <c r="B281" s="24" t="s">
        <v>364</v>
      </c>
      <c r="C281" s="24" t="s">
        <v>327</v>
      </c>
      <c r="D281" s="177">
        <v>2425</v>
      </c>
      <c r="E281" s="29">
        <v>0</v>
      </c>
      <c r="F281" s="27">
        <v>0</v>
      </c>
      <c r="G281" s="176">
        <v>0</v>
      </c>
      <c r="H281" s="176">
        <v>2792.33</v>
      </c>
      <c r="I281" s="176">
        <v>0</v>
      </c>
      <c r="J281" s="28">
        <f t="shared" si="22"/>
        <v>2425</v>
      </c>
      <c r="K281" s="28">
        <f t="shared" si="23"/>
        <v>72.75</v>
      </c>
      <c r="L281" s="28">
        <f>D281*11%</f>
        <v>266.75</v>
      </c>
      <c r="M281" s="28">
        <v>0</v>
      </c>
      <c r="N281" s="28">
        <v>0</v>
      </c>
      <c r="O281" s="28">
        <f t="shared" si="24"/>
        <v>339.5</v>
      </c>
      <c r="P281" s="28">
        <f t="shared" si="25"/>
        <v>2085.5</v>
      </c>
      <c r="Q281" s="73">
        <v>0</v>
      </c>
    </row>
    <row r="282" spans="1:17" ht="25.5" x14ac:dyDescent="0.2">
      <c r="A282" s="139">
        <v>272</v>
      </c>
      <c r="B282" s="25" t="s">
        <v>452</v>
      </c>
      <c r="C282" s="24" t="s">
        <v>327</v>
      </c>
      <c r="D282" s="27">
        <v>2425</v>
      </c>
      <c r="E282" s="29">
        <v>0</v>
      </c>
      <c r="F282" s="27">
        <v>0</v>
      </c>
      <c r="G282" s="176">
        <v>0</v>
      </c>
      <c r="H282" s="176">
        <v>2792.33</v>
      </c>
      <c r="I282" s="176">
        <v>0</v>
      </c>
      <c r="J282" s="28">
        <f t="shared" si="22"/>
        <v>2425</v>
      </c>
      <c r="K282" s="28">
        <f t="shared" si="23"/>
        <v>72.75</v>
      </c>
      <c r="L282" s="28">
        <f>D282*11%</f>
        <v>266.75</v>
      </c>
      <c r="M282" s="28">
        <v>0</v>
      </c>
      <c r="N282" s="28">
        <v>0</v>
      </c>
      <c r="O282" s="28">
        <f t="shared" si="24"/>
        <v>339.5</v>
      </c>
      <c r="P282" s="28">
        <f t="shared" si="25"/>
        <v>2085.5</v>
      </c>
      <c r="Q282" s="73">
        <v>0</v>
      </c>
    </row>
    <row r="283" spans="1:17" ht="25.5" x14ac:dyDescent="0.2">
      <c r="A283" s="139">
        <v>273</v>
      </c>
      <c r="B283" s="24" t="s">
        <v>423</v>
      </c>
      <c r="C283" s="24" t="s">
        <v>330</v>
      </c>
      <c r="D283" s="177">
        <v>1940</v>
      </c>
      <c r="E283" s="29">
        <v>0</v>
      </c>
      <c r="F283" s="27">
        <v>0</v>
      </c>
      <c r="G283" s="176">
        <v>0</v>
      </c>
      <c r="H283" s="176">
        <v>2792.33</v>
      </c>
      <c r="I283" s="176">
        <v>0</v>
      </c>
      <c r="J283" s="28">
        <f t="shared" si="22"/>
        <v>1940</v>
      </c>
      <c r="K283" s="28">
        <f t="shared" si="23"/>
        <v>58.2</v>
      </c>
      <c r="L283" s="28">
        <f>D283*10%</f>
        <v>194</v>
      </c>
      <c r="M283" s="28">
        <v>0</v>
      </c>
      <c r="N283" s="28">
        <v>0</v>
      </c>
      <c r="O283" s="28">
        <f t="shared" si="24"/>
        <v>252.2</v>
      </c>
      <c r="P283" s="28">
        <f t="shared" si="25"/>
        <v>1687.8</v>
      </c>
      <c r="Q283" s="73">
        <v>0</v>
      </c>
    </row>
    <row r="284" spans="1:17" ht="25.5" x14ac:dyDescent="0.2">
      <c r="A284" s="139">
        <v>274</v>
      </c>
      <c r="B284" s="24" t="s">
        <v>149</v>
      </c>
      <c r="C284" s="24" t="s">
        <v>470</v>
      </c>
      <c r="D284" s="29">
        <v>3241</v>
      </c>
      <c r="E284" s="29">
        <v>1000</v>
      </c>
      <c r="F284" s="27">
        <v>0</v>
      </c>
      <c r="G284" s="176">
        <v>250</v>
      </c>
      <c r="H284" s="176">
        <v>0</v>
      </c>
      <c r="I284" s="176">
        <v>0</v>
      </c>
      <c r="J284" s="28">
        <f t="shared" si="22"/>
        <v>4491</v>
      </c>
      <c r="K284" s="28">
        <f t="shared" si="23"/>
        <v>127.23</v>
      </c>
      <c r="L284" s="28">
        <f>(D284+E284)*12%</f>
        <v>508.92</v>
      </c>
      <c r="M284" s="28">
        <v>0</v>
      </c>
      <c r="N284" s="28">
        <v>55.56</v>
      </c>
      <c r="O284" s="28">
        <f t="shared" si="24"/>
        <v>691.71</v>
      </c>
      <c r="P284" s="28">
        <f t="shared" si="25"/>
        <v>3799.29</v>
      </c>
      <c r="Q284" s="73">
        <v>0</v>
      </c>
    </row>
    <row r="285" spans="1:17" ht="25.5" x14ac:dyDescent="0.2">
      <c r="A285" s="139">
        <v>275</v>
      </c>
      <c r="B285" s="22" t="s">
        <v>276</v>
      </c>
      <c r="C285" s="24" t="s">
        <v>335</v>
      </c>
      <c r="D285" s="29">
        <v>3081</v>
      </c>
      <c r="E285" s="175">
        <v>1000</v>
      </c>
      <c r="F285" s="27">
        <v>0</v>
      </c>
      <c r="G285" s="176">
        <v>250</v>
      </c>
      <c r="H285" s="176">
        <v>2792.33</v>
      </c>
      <c r="I285" s="176">
        <v>0</v>
      </c>
      <c r="J285" s="28">
        <f t="shared" si="22"/>
        <v>4331</v>
      </c>
      <c r="K285" s="28">
        <f t="shared" si="23"/>
        <v>122.43</v>
      </c>
      <c r="L285" s="28">
        <f>(D285+E285)*12%</f>
        <v>489.72</v>
      </c>
      <c r="M285" s="28">
        <v>0</v>
      </c>
      <c r="N285" s="28">
        <v>0</v>
      </c>
      <c r="O285" s="28">
        <f t="shared" si="24"/>
        <v>612.15</v>
      </c>
      <c r="P285" s="28">
        <f t="shared" si="25"/>
        <v>3718.85</v>
      </c>
      <c r="Q285" s="73">
        <v>0</v>
      </c>
    </row>
    <row r="286" spans="1:17" ht="25.5" x14ac:dyDescent="0.2">
      <c r="A286" s="139">
        <v>276</v>
      </c>
      <c r="B286" s="25" t="s">
        <v>365</v>
      </c>
      <c r="C286" s="24" t="s">
        <v>498</v>
      </c>
      <c r="D286" s="27">
        <v>2234</v>
      </c>
      <c r="E286" s="27">
        <v>1900</v>
      </c>
      <c r="F286" s="27">
        <v>0</v>
      </c>
      <c r="G286" s="27">
        <v>250</v>
      </c>
      <c r="H286" s="176">
        <v>2792.33</v>
      </c>
      <c r="I286" s="176">
        <v>0</v>
      </c>
      <c r="J286" s="28">
        <f t="shared" si="22"/>
        <v>4384</v>
      </c>
      <c r="K286" s="28">
        <f t="shared" si="23"/>
        <v>124.02</v>
      </c>
      <c r="L286" s="28">
        <f>(D286+E286)*12%</f>
        <v>496.08</v>
      </c>
      <c r="M286" s="28">
        <v>0</v>
      </c>
      <c r="N286" s="28">
        <v>55.56</v>
      </c>
      <c r="O286" s="28">
        <f t="shared" si="24"/>
        <v>675.66</v>
      </c>
      <c r="P286" s="28">
        <f t="shared" si="25"/>
        <v>3708.34</v>
      </c>
      <c r="Q286" s="73">
        <v>0</v>
      </c>
    </row>
    <row r="287" spans="1:17" ht="25.5" x14ac:dyDescent="0.2">
      <c r="A287" s="139">
        <v>277</v>
      </c>
      <c r="B287" s="24" t="s">
        <v>230</v>
      </c>
      <c r="C287" s="24" t="s">
        <v>327</v>
      </c>
      <c r="D287" s="177">
        <v>2425</v>
      </c>
      <c r="E287" s="29">
        <v>0</v>
      </c>
      <c r="F287" s="27">
        <v>0</v>
      </c>
      <c r="G287" s="176">
        <v>0</v>
      </c>
      <c r="H287" s="176">
        <v>2792.33</v>
      </c>
      <c r="I287" s="176">
        <v>0</v>
      </c>
      <c r="J287" s="28">
        <f t="shared" si="22"/>
        <v>2425</v>
      </c>
      <c r="K287" s="28">
        <f t="shared" si="23"/>
        <v>72.75</v>
      </c>
      <c r="L287" s="28">
        <f>D287*11%</f>
        <v>266.75</v>
      </c>
      <c r="M287" s="28">
        <v>0</v>
      </c>
      <c r="N287" s="28">
        <v>0</v>
      </c>
      <c r="O287" s="28">
        <f t="shared" si="24"/>
        <v>339.5</v>
      </c>
      <c r="P287" s="28">
        <f t="shared" si="25"/>
        <v>2085.5</v>
      </c>
      <c r="Q287" s="73">
        <v>0</v>
      </c>
    </row>
    <row r="288" spans="1:17" ht="25.5" x14ac:dyDescent="0.2">
      <c r="A288" s="139">
        <v>278</v>
      </c>
      <c r="B288" s="24" t="s">
        <v>284</v>
      </c>
      <c r="C288" s="24" t="s">
        <v>327</v>
      </c>
      <c r="D288" s="177">
        <v>2425</v>
      </c>
      <c r="E288" s="29">
        <v>0</v>
      </c>
      <c r="F288" s="27">
        <v>0</v>
      </c>
      <c r="G288" s="176">
        <v>0</v>
      </c>
      <c r="H288" s="176">
        <v>2792.33</v>
      </c>
      <c r="I288" s="176">
        <v>0</v>
      </c>
      <c r="J288" s="28">
        <f t="shared" si="22"/>
        <v>2425</v>
      </c>
      <c r="K288" s="28">
        <f t="shared" si="23"/>
        <v>72.75</v>
      </c>
      <c r="L288" s="28">
        <f>D288*11%</f>
        <v>266.75</v>
      </c>
      <c r="M288" s="28">
        <v>0</v>
      </c>
      <c r="N288" s="28">
        <v>0</v>
      </c>
      <c r="O288" s="28">
        <f t="shared" si="24"/>
        <v>339.5</v>
      </c>
      <c r="P288" s="28">
        <f t="shared" si="25"/>
        <v>2085.5</v>
      </c>
      <c r="Q288" s="73">
        <v>0</v>
      </c>
    </row>
    <row r="289" spans="1:17" x14ac:dyDescent="0.2">
      <c r="A289" s="139">
        <v>279</v>
      </c>
      <c r="B289" s="220" t="s">
        <v>1009</v>
      </c>
      <c r="C289" s="228" t="s">
        <v>1010</v>
      </c>
      <c r="D289" s="177">
        <v>5095</v>
      </c>
      <c r="E289" s="29">
        <v>1800</v>
      </c>
      <c r="F289" s="27">
        <v>0</v>
      </c>
      <c r="G289" s="176">
        <v>250</v>
      </c>
      <c r="H289" s="176">
        <v>0</v>
      </c>
      <c r="I289" s="176">
        <v>0</v>
      </c>
      <c r="J289" s="28">
        <f>SUM(D289:I289)</f>
        <v>7145</v>
      </c>
      <c r="K289" s="28">
        <f t="shared" si="23"/>
        <v>206.85</v>
      </c>
      <c r="L289" s="28">
        <f>(D289+E289)*13%</f>
        <v>896.35</v>
      </c>
      <c r="M289" s="28">
        <v>102.92</v>
      </c>
      <c r="N289" s="28">
        <v>92.67</v>
      </c>
      <c r="O289" s="28">
        <f t="shared" si="24"/>
        <v>1298.79</v>
      </c>
      <c r="P289" s="28">
        <f t="shared" si="25"/>
        <v>5846.21</v>
      </c>
      <c r="Q289" s="73">
        <v>0</v>
      </c>
    </row>
    <row r="290" spans="1:17" ht="25.5" x14ac:dyDescent="0.2">
      <c r="A290" s="139">
        <v>280</v>
      </c>
      <c r="B290" s="24" t="s">
        <v>315</v>
      </c>
      <c r="C290" s="26" t="s">
        <v>108</v>
      </c>
      <c r="D290" s="29">
        <v>2920</v>
      </c>
      <c r="E290" s="29">
        <v>1000</v>
      </c>
      <c r="F290" s="27">
        <v>0</v>
      </c>
      <c r="G290" s="176">
        <v>250</v>
      </c>
      <c r="H290" s="176">
        <v>0</v>
      </c>
      <c r="I290" s="176">
        <v>0</v>
      </c>
      <c r="J290" s="28">
        <f t="shared" si="22"/>
        <v>4170</v>
      </c>
      <c r="K290" s="28">
        <f t="shared" si="23"/>
        <v>117.6</v>
      </c>
      <c r="L290" s="28">
        <f>(D290+E290)*11%</f>
        <v>431.2</v>
      </c>
      <c r="M290" s="28">
        <v>0</v>
      </c>
      <c r="N290" s="28">
        <v>52.68</v>
      </c>
      <c r="O290" s="28">
        <f t="shared" si="24"/>
        <v>601.48</v>
      </c>
      <c r="P290" s="28">
        <f t="shared" si="25"/>
        <v>3568.52</v>
      </c>
      <c r="Q290" s="73">
        <f>780+730</f>
        <v>1510</v>
      </c>
    </row>
    <row r="291" spans="1:17" ht="25.5" x14ac:dyDescent="0.2">
      <c r="A291" s="139">
        <v>281</v>
      </c>
      <c r="B291" s="22" t="s">
        <v>85</v>
      </c>
      <c r="C291" s="35" t="s">
        <v>336</v>
      </c>
      <c r="D291" s="29">
        <v>2134</v>
      </c>
      <c r="E291" s="29">
        <v>0</v>
      </c>
      <c r="F291" s="27">
        <v>0</v>
      </c>
      <c r="G291" s="176">
        <v>0</v>
      </c>
      <c r="H291" s="176">
        <v>2792.33</v>
      </c>
      <c r="I291" s="176">
        <v>0</v>
      </c>
      <c r="J291" s="28">
        <f t="shared" si="22"/>
        <v>2134</v>
      </c>
      <c r="K291" s="28">
        <f t="shared" si="23"/>
        <v>64.02</v>
      </c>
      <c r="L291" s="28">
        <f>D291*11%</f>
        <v>234.74</v>
      </c>
      <c r="M291" s="28">
        <v>0</v>
      </c>
      <c r="N291" s="28">
        <v>0</v>
      </c>
      <c r="O291" s="28">
        <f t="shared" si="24"/>
        <v>298.76</v>
      </c>
      <c r="P291" s="28">
        <f t="shared" si="25"/>
        <v>1835.24</v>
      </c>
      <c r="Q291" s="73">
        <v>0</v>
      </c>
    </row>
    <row r="292" spans="1:17" ht="25.5" x14ac:dyDescent="0.2">
      <c r="A292" s="139">
        <v>282</v>
      </c>
      <c r="B292" s="25" t="s">
        <v>35</v>
      </c>
      <c r="C292" s="26" t="s">
        <v>108</v>
      </c>
      <c r="D292" s="27">
        <v>2920</v>
      </c>
      <c r="E292" s="27">
        <v>1000</v>
      </c>
      <c r="F292" s="27">
        <v>0</v>
      </c>
      <c r="G292" s="27">
        <v>250</v>
      </c>
      <c r="H292" s="27">
        <v>0</v>
      </c>
      <c r="I292" s="176">
        <v>0</v>
      </c>
      <c r="J292" s="28">
        <f t="shared" si="22"/>
        <v>4170</v>
      </c>
      <c r="K292" s="28">
        <f t="shared" si="23"/>
        <v>117.6</v>
      </c>
      <c r="L292" s="28">
        <f>(D292+E292)*11%</f>
        <v>431.2</v>
      </c>
      <c r="M292" s="28">
        <v>0</v>
      </c>
      <c r="N292" s="28">
        <v>52.68</v>
      </c>
      <c r="O292" s="28">
        <f t="shared" si="24"/>
        <v>601.48</v>
      </c>
      <c r="P292" s="28">
        <f t="shared" si="25"/>
        <v>3568.52</v>
      </c>
      <c r="Q292" s="73">
        <v>0</v>
      </c>
    </row>
    <row r="293" spans="1:17" ht="25.5" x14ac:dyDescent="0.2">
      <c r="A293" s="139">
        <v>283</v>
      </c>
      <c r="B293" s="24" t="s">
        <v>366</v>
      </c>
      <c r="C293" s="35" t="s">
        <v>350</v>
      </c>
      <c r="D293" s="187">
        <v>1649</v>
      </c>
      <c r="E293" s="29">
        <v>0</v>
      </c>
      <c r="F293" s="27">
        <v>0</v>
      </c>
      <c r="G293" s="176">
        <v>0</v>
      </c>
      <c r="H293" s="176">
        <v>2792.33</v>
      </c>
      <c r="I293" s="176">
        <v>0</v>
      </c>
      <c r="J293" s="28">
        <f t="shared" si="22"/>
        <v>1649</v>
      </c>
      <c r="K293" s="28">
        <f t="shared" si="23"/>
        <v>49.47</v>
      </c>
      <c r="L293" s="28">
        <f>D293*10%</f>
        <v>164.9</v>
      </c>
      <c r="M293" s="28">
        <v>0</v>
      </c>
      <c r="N293" s="28">
        <v>0</v>
      </c>
      <c r="O293" s="28">
        <f t="shared" si="24"/>
        <v>214.37</v>
      </c>
      <c r="P293" s="28">
        <f t="shared" si="25"/>
        <v>1434.63</v>
      </c>
      <c r="Q293" s="73">
        <v>0</v>
      </c>
    </row>
    <row r="294" spans="1:17" ht="25.5" x14ac:dyDescent="0.2">
      <c r="A294" s="139">
        <v>284</v>
      </c>
      <c r="B294" s="24" t="s">
        <v>367</v>
      </c>
      <c r="C294" s="24" t="s">
        <v>330</v>
      </c>
      <c r="D294" s="177">
        <v>1940</v>
      </c>
      <c r="E294" s="29">
        <v>0</v>
      </c>
      <c r="F294" s="27">
        <v>0</v>
      </c>
      <c r="G294" s="176">
        <v>0</v>
      </c>
      <c r="H294" s="176">
        <v>2792.33</v>
      </c>
      <c r="I294" s="176">
        <v>0</v>
      </c>
      <c r="J294" s="28">
        <f t="shared" si="22"/>
        <v>1940</v>
      </c>
      <c r="K294" s="28">
        <f t="shared" si="23"/>
        <v>58.2</v>
      </c>
      <c r="L294" s="28">
        <f>D294*10%</f>
        <v>194</v>
      </c>
      <c r="M294" s="28">
        <v>0</v>
      </c>
      <c r="N294" s="28">
        <v>0</v>
      </c>
      <c r="O294" s="28">
        <f t="shared" si="24"/>
        <v>252.2</v>
      </c>
      <c r="P294" s="28">
        <f t="shared" si="25"/>
        <v>1687.8</v>
      </c>
      <c r="Q294" s="73">
        <v>0</v>
      </c>
    </row>
    <row r="295" spans="1:17" ht="25.5" x14ac:dyDescent="0.2">
      <c r="A295" s="139">
        <v>285</v>
      </c>
      <c r="B295" s="24" t="s">
        <v>88</v>
      </c>
      <c r="C295" s="24" t="s">
        <v>327</v>
      </c>
      <c r="D295" s="177">
        <v>2425</v>
      </c>
      <c r="E295" s="29">
        <v>0</v>
      </c>
      <c r="F295" s="27">
        <v>0</v>
      </c>
      <c r="G295" s="176">
        <v>0</v>
      </c>
      <c r="H295" s="176">
        <v>2792.33</v>
      </c>
      <c r="I295" s="176">
        <v>0</v>
      </c>
      <c r="J295" s="28">
        <f t="shared" si="22"/>
        <v>2425</v>
      </c>
      <c r="K295" s="28">
        <f t="shared" si="23"/>
        <v>72.75</v>
      </c>
      <c r="L295" s="28">
        <f>D295*11%</f>
        <v>266.75</v>
      </c>
      <c r="M295" s="28">
        <v>0</v>
      </c>
      <c r="N295" s="28">
        <v>0</v>
      </c>
      <c r="O295" s="28">
        <f t="shared" si="24"/>
        <v>339.5</v>
      </c>
      <c r="P295" s="28">
        <f t="shared" si="25"/>
        <v>2085.5</v>
      </c>
      <c r="Q295" s="73">
        <v>0</v>
      </c>
    </row>
    <row r="296" spans="1:17" ht="25.5" x14ac:dyDescent="0.2">
      <c r="A296" s="139">
        <v>286</v>
      </c>
      <c r="B296" s="32" t="s">
        <v>231</v>
      </c>
      <c r="C296" s="24" t="s">
        <v>280</v>
      </c>
      <c r="D296" s="198">
        <v>3241</v>
      </c>
      <c r="E296" s="29">
        <v>1000</v>
      </c>
      <c r="F296" s="27">
        <v>0</v>
      </c>
      <c r="G296" s="176">
        <v>250</v>
      </c>
      <c r="H296" s="176">
        <v>0</v>
      </c>
      <c r="I296" s="176">
        <v>0</v>
      </c>
      <c r="J296" s="28">
        <f t="shared" si="22"/>
        <v>4491</v>
      </c>
      <c r="K296" s="28">
        <f t="shared" si="23"/>
        <v>127.23</v>
      </c>
      <c r="L296" s="28">
        <f>(D296+E296)*12%</f>
        <v>508.92</v>
      </c>
      <c r="M296" s="28">
        <v>0</v>
      </c>
      <c r="N296" s="28">
        <v>0</v>
      </c>
      <c r="O296" s="28">
        <f t="shared" si="24"/>
        <v>636.15</v>
      </c>
      <c r="P296" s="28">
        <f t="shared" ref="P296:P327" si="26">J296-O296</f>
        <v>3854.85</v>
      </c>
      <c r="Q296" s="73">
        <v>0</v>
      </c>
    </row>
    <row r="297" spans="1:17" ht="25.5" x14ac:dyDescent="0.2">
      <c r="A297" s="139">
        <v>287</v>
      </c>
      <c r="B297" s="220" t="s">
        <v>1008</v>
      </c>
      <c r="C297" s="226" t="s">
        <v>497</v>
      </c>
      <c r="D297" s="227">
        <v>3241</v>
      </c>
      <c r="E297" s="29">
        <v>1000</v>
      </c>
      <c r="F297" s="27">
        <v>0</v>
      </c>
      <c r="G297" s="176">
        <v>250</v>
      </c>
      <c r="H297" s="176">
        <v>0</v>
      </c>
      <c r="I297" s="176">
        <v>0</v>
      </c>
      <c r="J297" s="28">
        <f t="shared" si="22"/>
        <v>4491</v>
      </c>
      <c r="K297" s="28">
        <f t="shared" si="23"/>
        <v>127.23</v>
      </c>
      <c r="L297" s="28">
        <f>(D297+E297)*12%</f>
        <v>508.92</v>
      </c>
      <c r="M297" s="28">
        <v>0</v>
      </c>
      <c r="N297" s="28">
        <v>0</v>
      </c>
      <c r="O297" s="28">
        <f t="shared" si="24"/>
        <v>636.15</v>
      </c>
      <c r="P297" s="28">
        <f t="shared" si="26"/>
        <v>3854.85</v>
      </c>
      <c r="Q297" s="73">
        <v>0</v>
      </c>
    </row>
    <row r="298" spans="1:17" ht="25.5" x14ac:dyDescent="0.2">
      <c r="A298" s="139">
        <v>288</v>
      </c>
      <c r="B298" s="24" t="s">
        <v>277</v>
      </c>
      <c r="C298" s="24" t="s">
        <v>327</v>
      </c>
      <c r="D298" s="177">
        <v>2425</v>
      </c>
      <c r="E298" s="29">
        <v>0</v>
      </c>
      <c r="F298" s="27">
        <v>0</v>
      </c>
      <c r="G298" s="176">
        <v>0</v>
      </c>
      <c r="H298" s="176">
        <v>2792.33</v>
      </c>
      <c r="I298" s="176">
        <v>0</v>
      </c>
      <c r="J298" s="28">
        <f t="shared" si="22"/>
        <v>2425</v>
      </c>
      <c r="K298" s="28">
        <f t="shared" si="23"/>
        <v>72.75</v>
      </c>
      <c r="L298" s="28">
        <f>D298*1%</f>
        <v>24.25</v>
      </c>
      <c r="M298" s="28">
        <v>0</v>
      </c>
      <c r="N298" s="28">
        <v>0</v>
      </c>
      <c r="O298" s="28">
        <f t="shared" si="24"/>
        <v>97</v>
      </c>
      <c r="P298" s="28">
        <f t="shared" si="26"/>
        <v>2328</v>
      </c>
      <c r="Q298" s="73">
        <v>0</v>
      </c>
    </row>
    <row r="299" spans="1:17" ht="25.5" x14ac:dyDescent="0.2">
      <c r="A299" s="139">
        <v>289</v>
      </c>
      <c r="B299" s="24" t="s">
        <v>60</v>
      </c>
      <c r="C299" s="24" t="s">
        <v>490</v>
      </c>
      <c r="D299" s="29">
        <v>2760</v>
      </c>
      <c r="E299" s="29">
        <v>1000</v>
      </c>
      <c r="F299" s="27">
        <v>0</v>
      </c>
      <c r="G299" s="176">
        <v>250</v>
      </c>
      <c r="H299" s="176">
        <v>0</v>
      </c>
      <c r="I299" s="176">
        <v>0</v>
      </c>
      <c r="J299" s="28">
        <f t="shared" si="22"/>
        <v>4010</v>
      </c>
      <c r="K299" s="28">
        <f t="shared" si="23"/>
        <v>112.8</v>
      </c>
      <c r="L299" s="28">
        <f>(D299+E299)*11%</f>
        <v>413.6</v>
      </c>
      <c r="M299" s="28">
        <v>0</v>
      </c>
      <c r="N299" s="28">
        <v>0</v>
      </c>
      <c r="O299" s="28">
        <f t="shared" si="24"/>
        <v>526.4</v>
      </c>
      <c r="P299" s="28">
        <f t="shared" si="26"/>
        <v>3483.6</v>
      </c>
      <c r="Q299" s="73">
        <v>0</v>
      </c>
    </row>
    <row r="300" spans="1:17" ht="25.5" x14ac:dyDescent="0.2">
      <c r="A300" s="139">
        <v>290</v>
      </c>
      <c r="B300" s="25" t="s">
        <v>46</v>
      </c>
      <c r="C300" s="26" t="s">
        <v>496</v>
      </c>
      <c r="D300" s="27">
        <v>1902</v>
      </c>
      <c r="E300" s="27">
        <v>1000</v>
      </c>
      <c r="F300" s="27">
        <v>0</v>
      </c>
      <c r="G300" s="27">
        <v>250</v>
      </c>
      <c r="H300" s="176">
        <v>2792.33</v>
      </c>
      <c r="I300" s="176">
        <v>0</v>
      </c>
      <c r="J300" s="28">
        <f t="shared" si="22"/>
        <v>3152</v>
      </c>
      <c r="K300" s="28">
        <f t="shared" si="23"/>
        <v>87.06</v>
      </c>
      <c r="L300" s="28">
        <f>(D300+E300)*11%</f>
        <v>319.22000000000003</v>
      </c>
      <c r="M300" s="28">
        <v>0</v>
      </c>
      <c r="N300" s="28">
        <v>0</v>
      </c>
      <c r="O300" s="28">
        <f t="shared" si="24"/>
        <v>406.28</v>
      </c>
      <c r="P300" s="28">
        <f t="shared" si="26"/>
        <v>2745.72</v>
      </c>
      <c r="Q300" s="73">
        <v>0</v>
      </c>
    </row>
    <row r="301" spans="1:17" ht="25.5" x14ac:dyDescent="0.2">
      <c r="A301" s="139">
        <v>291</v>
      </c>
      <c r="B301" s="25" t="s">
        <v>47</v>
      </c>
      <c r="C301" s="33" t="s">
        <v>113</v>
      </c>
      <c r="D301" s="27">
        <v>1902</v>
      </c>
      <c r="E301" s="27">
        <v>1000</v>
      </c>
      <c r="F301" s="27">
        <v>0</v>
      </c>
      <c r="G301" s="27">
        <v>250</v>
      </c>
      <c r="H301" s="176">
        <v>2792.33</v>
      </c>
      <c r="I301" s="176">
        <v>0</v>
      </c>
      <c r="J301" s="28">
        <f t="shared" si="22"/>
        <v>3152</v>
      </c>
      <c r="K301" s="28">
        <f t="shared" si="23"/>
        <v>87.06</v>
      </c>
      <c r="L301" s="28">
        <f>(D301+E301)*11%</f>
        <v>319.22000000000003</v>
      </c>
      <c r="M301" s="28">
        <v>0</v>
      </c>
      <c r="N301" s="28">
        <v>0</v>
      </c>
      <c r="O301" s="28">
        <f t="shared" si="24"/>
        <v>406.28</v>
      </c>
      <c r="P301" s="28">
        <f t="shared" si="26"/>
        <v>2745.72</v>
      </c>
      <c r="Q301" s="73">
        <v>0</v>
      </c>
    </row>
    <row r="302" spans="1:17" ht="25.5" x14ac:dyDescent="0.2">
      <c r="A302" s="139">
        <v>292</v>
      </c>
      <c r="B302" s="24" t="s">
        <v>227</v>
      </c>
      <c r="C302" s="24" t="s">
        <v>327</v>
      </c>
      <c r="D302" s="177">
        <v>2425</v>
      </c>
      <c r="E302" s="29">
        <v>0</v>
      </c>
      <c r="F302" s="27">
        <v>0</v>
      </c>
      <c r="G302" s="176">
        <v>0</v>
      </c>
      <c r="H302" s="176">
        <v>2792.33</v>
      </c>
      <c r="I302" s="176">
        <v>0</v>
      </c>
      <c r="J302" s="28">
        <f t="shared" si="22"/>
        <v>2425</v>
      </c>
      <c r="K302" s="28">
        <f t="shared" si="23"/>
        <v>72.75</v>
      </c>
      <c r="L302" s="28">
        <f>D302*11%</f>
        <v>266.75</v>
      </c>
      <c r="M302" s="28">
        <v>0</v>
      </c>
      <c r="N302" s="28">
        <v>0</v>
      </c>
      <c r="O302" s="28">
        <f t="shared" si="24"/>
        <v>339.5</v>
      </c>
      <c r="P302" s="28">
        <f t="shared" si="26"/>
        <v>2085.5</v>
      </c>
      <c r="Q302" s="73">
        <v>0</v>
      </c>
    </row>
    <row r="303" spans="1:17" ht="25.5" x14ac:dyDescent="0.2">
      <c r="A303" s="139">
        <v>293</v>
      </c>
      <c r="B303" s="24" t="s">
        <v>104</v>
      </c>
      <c r="C303" s="24" t="s">
        <v>335</v>
      </c>
      <c r="D303" s="29">
        <v>3081</v>
      </c>
      <c r="E303" s="29">
        <v>1000</v>
      </c>
      <c r="F303" s="27">
        <v>0</v>
      </c>
      <c r="G303" s="176">
        <v>250</v>
      </c>
      <c r="H303" s="176">
        <v>2792.33</v>
      </c>
      <c r="I303" s="176">
        <v>0</v>
      </c>
      <c r="J303" s="28">
        <f t="shared" si="22"/>
        <v>4331</v>
      </c>
      <c r="K303" s="28">
        <f t="shared" si="23"/>
        <v>122.43</v>
      </c>
      <c r="L303" s="28">
        <f>(D303+E303)*12%</f>
        <v>489.72</v>
      </c>
      <c r="M303" s="28">
        <v>0</v>
      </c>
      <c r="N303" s="28">
        <v>0</v>
      </c>
      <c r="O303" s="28">
        <f t="shared" si="24"/>
        <v>612.15</v>
      </c>
      <c r="P303" s="28">
        <f t="shared" si="26"/>
        <v>3718.85</v>
      </c>
      <c r="Q303" s="73">
        <v>0</v>
      </c>
    </row>
    <row r="304" spans="1:17" ht="25.5" x14ac:dyDescent="0.2">
      <c r="A304" s="139">
        <v>294</v>
      </c>
      <c r="B304" s="24" t="s">
        <v>368</v>
      </c>
      <c r="C304" s="24" t="s">
        <v>110</v>
      </c>
      <c r="D304" s="29">
        <v>2920</v>
      </c>
      <c r="E304" s="29">
        <v>1000</v>
      </c>
      <c r="F304" s="27">
        <v>0</v>
      </c>
      <c r="G304" s="176">
        <v>250</v>
      </c>
      <c r="H304" s="176">
        <v>2792.33</v>
      </c>
      <c r="I304" s="176">
        <v>0</v>
      </c>
      <c r="J304" s="28">
        <f t="shared" si="22"/>
        <v>4170</v>
      </c>
      <c r="K304" s="28">
        <f t="shared" si="23"/>
        <v>117.6</v>
      </c>
      <c r="L304" s="28">
        <f>(D304+E304)*11%</f>
        <v>431.2</v>
      </c>
      <c r="M304" s="28">
        <v>0</v>
      </c>
      <c r="N304" s="28">
        <v>0</v>
      </c>
      <c r="O304" s="28">
        <f t="shared" si="24"/>
        <v>548.79999999999995</v>
      </c>
      <c r="P304" s="28">
        <f t="shared" si="26"/>
        <v>3621.2</v>
      </c>
      <c r="Q304" s="73">
        <v>0</v>
      </c>
    </row>
    <row r="305" spans="1:17" ht="25.5" x14ac:dyDescent="0.2">
      <c r="A305" s="139">
        <v>295</v>
      </c>
      <c r="B305" s="24" t="s">
        <v>454</v>
      </c>
      <c r="C305" s="24" t="s">
        <v>327</v>
      </c>
      <c r="D305" s="29">
        <v>2425</v>
      </c>
      <c r="E305" s="29">
        <v>0</v>
      </c>
      <c r="F305" s="27">
        <v>0</v>
      </c>
      <c r="G305" s="176">
        <v>0</v>
      </c>
      <c r="H305" s="176">
        <v>2792.33</v>
      </c>
      <c r="I305" s="176">
        <v>0</v>
      </c>
      <c r="J305" s="28">
        <f t="shared" si="22"/>
        <v>2425</v>
      </c>
      <c r="K305" s="28">
        <f t="shared" si="23"/>
        <v>72.75</v>
      </c>
      <c r="L305" s="28">
        <f>D305*11%</f>
        <v>266.75</v>
      </c>
      <c r="M305" s="28">
        <v>0</v>
      </c>
      <c r="N305" s="28">
        <v>0</v>
      </c>
      <c r="O305" s="28">
        <f t="shared" si="24"/>
        <v>339.5</v>
      </c>
      <c r="P305" s="28">
        <f t="shared" si="26"/>
        <v>2085.5</v>
      </c>
      <c r="Q305" s="73">
        <v>0</v>
      </c>
    </row>
    <row r="306" spans="1:17" ht="25.5" x14ac:dyDescent="0.2">
      <c r="A306" s="139">
        <v>296</v>
      </c>
      <c r="B306" s="24" t="s">
        <v>424</v>
      </c>
      <c r="C306" s="24" t="s">
        <v>330</v>
      </c>
      <c r="D306" s="177">
        <v>1940</v>
      </c>
      <c r="E306" s="29">
        <v>0</v>
      </c>
      <c r="F306" s="27">
        <v>0</v>
      </c>
      <c r="G306" s="176">
        <v>0</v>
      </c>
      <c r="H306" s="176">
        <v>2792.33</v>
      </c>
      <c r="I306" s="176">
        <v>0</v>
      </c>
      <c r="J306" s="28">
        <f t="shared" si="22"/>
        <v>1940</v>
      </c>
      <c r="K306" s="28">
        <f t="shared" si="23"/>
        <v>58.2</v>
      </c>
      <c r="L306" s="28">
        <f>D306*10%</f>
        <v>194</v>
      </c>
      <c r="M306" s="28">
        <v>0</v>
      </c>
      <c r="N306" s="28">
        <v>0</v>
      </c>
      <c r="O306" s="28">
        <f t="shared" si="24"/>
        <v>252.2</v>
      </c>
      <c r="P306" s="28">
        <f t="shared" si="26"/>
        <v>1687.8</v>
      </c>
      <c r="Q306" s="73">
        <v>0</v>
      </c>
    </row>
    <row r="307" spans="1:17" ht="25.5" x14ac:dyDescent="0.2">
      <c r="A307" s="139">
        <v>297</v>
      </c>
      <c r="B307" s="25" t="s">
        <v>278</v>
      </c>
      <c r="C307" s="22" t="s">
        <v>491</v>
      </c>
      <c r="D307" s="27">
        <v>2760</v>
      </c>
      <c r="E307" s="27">
        <v>1000</v>
      </c>
      <c r="F307" s="27">
        <v>0</v>
      </c>
      <c r="G307" s="27">
        <v>250</v>
      </c>
      <c r="H307" s="176">
        <v>2792.33</v>
      </c>
      <c r="I307" s="176">
        <v>0</v>
      </c>
      <c r="J307" s="28">
        <f t="shared" si="22"/>
        <v>4010</v>
      </c>
      <c r="K307" s="28">
        <f t="shared" si="23"/>
        <v>112.8</v>
      </c>
      <c r="L307" s="28">
        <f>(D307+E307)*11%</f>
        <v>413.6</v>
      </c>
      <c r="M307" s="28">
        <v>0</v>
      </c>
      <c r="N307" s="28">
        <v>0</v>
      </c>
      <c r="O307" s="28">
        <f t="shared" si="24"/>
        <v>526.4</v>
      </c>
      <c r="P307" s="28">
        <f t="shared" si="26"/>
        <v>3483.6</v>
      </c>
      <c r="Q307" s="73">
        <v>0</v>
      </c>
    </row>
    <row r="308" spans="1:17" ht="25.5" x14ac:dyDescent="0.2">
      <c r="A308" s="139">
        <v>298</v>
      </c>
      <c r="B308" s="22" t="s">
        <v>87</v>
      </c>
      <c r="C308" s="24" t="s">
        <v>335</v>
      </c>
      <c r="D308" s="29">
        <v>3081</v>
      </c>
      <c r="E308" s="175">
        <v>1000</v>
      </c>
      <c r="F308" s="27">
        <v>0</v>
      </c>
      <c r="G308" s="176">
        <v>250</v>
      </c>
      <c r="H308" s="176">
        <v>2792.33</v>
      </c>
      <c r="I308" s="176">
        <v>0</v>
      </c>
      <c r="J308" s="28">
        <f t="shared" si="22"/>
        <v>4331</v>
      </c>
      <c r="K308" s="28">
        <f t="shared" si="23"/>
        <v>122.43</v>
      </c>
      <c r="L308" s="28">
        <f>(D308+E308)*12%</f>
        <v>489.72</v>
      </c>
      <c r="M308" s="28">
        <v>0</v>
      </c>
      <c r="N308" s="28">
        <v>0</v>
      </c>
      <c r="O308" s="28">
        <f t="shared" si="24"/>
        <v>612.15</v>
      </c>
      <c r="P308" s="28">
        <f t="shared" si="26"/>
        <v>3718.85</v>
      </c>
      <c r="Q308" s="73">
        <v>0</v>
      </c>
    </row>
    <row r="309" spans="1:17" x14ac:dyDescent="0.2">
      <c r="A309" s="139">
        <v>299</v>
      </c>
      <c r="B309" s="65" t="s">
        <v>485</v>
      </c>
      <c r="C309" s="24" t="s">
        <v>111</v>
      </c>
      <c r="D309" s="27">
        <v>1668</v>
      </c>
      <c r="E309" s="27">
        <v>1000</v>
      </c>
      <c r="F309" s="27">
        <v>0</v>
      </c>
      <c r="G309" s="27">
        <v>250</v>
      </c>
      <c r="H309" s="27">
        <v>0</v>
      </c>
      <c r="I309" s="176">
        <v>0</v>
      </c>
      <c r="J309" s="28">
        <f t="shared" si="22"/>
        <v>2918</v>
      </c>
      <c r="K309" s="28">
        <f t="shared" si="23"/>
        <v>80.040000000000006</v>
      </c>
      <c r="L309" s="28">
        <f>(D309+E309)*11%</f>
        <v>293.48</v>
      </c>
      <c r="M309" s="27">
        <v>0</v>
      </c>
      <c r="N309" s="27">
        <v>0</v>
      </c>
      <c r="O309" s="27">
        <f>SUM(K309:N309)</f>
        <v>373.52</v>
      </c>
      <c r="P309" s="27">
        <f t="shared" si="26"/>
        <v>2544.48</v>
      </c>
      <c r="Q309" s="73">
        <v>0</v>
      </c>
    </row>
    <row r="310" spans="1:17" ht="25.5" x14ac:dyDescent="0.2">
      <c r="A310" s="139">
        <v>300</v>
      </c>
      <c r="B310" s="24" t="s">
        <v>96</v>
      </c>
      <c r="C310" s="24" t="s">
        <v>330</v>
      </c>
      <c r="D310" s="177">
        <v>1940</v>
      </c>
      <c r="E310" s="29">
        <v>0</v>
      </c>
      <c r="F310" s="27">
        <v>0</v>
      </c>
      <c r="G310" s="176">
        <v>0</v>
      </c>
      <c r="H310" s="176">
        <v>2792.33</v>
      </c>
      <c r="I310" s="176">
        <v>0</v>
      </c>
      <c r="J310" s="28">
        <f t="shared" si="22"/>
        <v>1940</v>
      </c>
      <c r="K310" s="28">
        <f t="shared" si="23"/>
        <v>58.2</v>
      </c>
      <c r="L310" s="28">
        <f>D310*10%</f>
        <v>194</v>
      </c>
      <c r="M310" s="28">
        <v>0</v>
      </c>
      <c r="N310" s="28">
        <v>0</v>
      </c>
      <c r="O310" s="28">
        <f t="shared" si="24"/>
        <v>252.2</v>
      </c>
      <c r="P310" s="28">
        <f t="shared" si="26"/>
        <v>1687.8</v>
      </c>
      <c r="Q310" s="73">
        <v>0</v>
      </c>
    </row>
    <row r="311" spans="1:17" ht="25.5" x14ac:dyDescent="0.2">
      <c r="A311" s="139">
        <v>301</v>
      </c>
      <c r="B311" s="24" t="s">
        <v>437</v>
      </c>
      <c r="C311" s="24" t="s">
        <v>327</v>
      </c>
      <c r="D311" s="177">
        <v>2425</v>
      </c>
      <c r="E311" s="29">
        <v>0</v>
      </c>
      <c r="F311" s="27">
        <v>0</v>
      </c>
      <c r="G311" s="176">
        <v>0</v>
      </c>
      <c r="H311" s="176">
        <v>2792.33</v>
      </c>
      <c r="I311" s="176">
        <v>0</v>
      </c>
      <c r="J311" s="28">
        <f t="shared" si="22"/>
        <v>2425</v>
      </c>
      <c r="K311" s="28">
        <f t="shared" si="23"/>
        <v>72.75</v>
      </c>
      <c r="L311" s="28">
        <f>D311*11%</f>
        <v>266.75</v>
      </c>
      <c r="M311" s="28">
        <v>0</v>
      </c>
      <c r="N311" s="28">
        <v>0</v>
      </c>
      <c r="O311" s="28">
        <f t="shared" si="24"/>
        <v>339.5</v>
      </c>
      <c r="P311" s="28">
        <f t="shared" si="26"/>
        <v>2085.5</v>
      </c>
      <c r="Q311" s="73">
        <v>0</v>
      </c>
    </row>
    <row r="312" spans="1:17" ht="25.5" x14ac:dyDescent="0.2">
      <c r="A312" s="139">
        <v>302</v>
      </c>
      <c r="B312" s="24" t="s">
        <v>90</v>
      </c>
      <c r="C312" s="24" t="s">
        <v>327</v>
      </c>
      <c r="D312" s="177">
        <v>2425</v>
      </c>
      <c r="E312" s="29">
        <v>0</v>
      </c>
      <c r="F312" s="27">
        <v>0</v>
      </c>
      <c r="G312" s="176">
        <v>0</v>
      </c>
      <c r="H312" s="176">
        <v>2792.33</v>
      </c>
      <c r="I312" s="176">
        <v>0</v>
      </c>
      <c r="J312" s="28">
        <f t="shared" si="22"/>
        <v>2425</v>
      </c>
      <c r="K312" s="28">
        <f t="shared" si="23"/>
        <v>72.75</v>
      </c>
      <c r="L312" s="28">
        <f>D312*11%</f>
        <v>266.75</v>
      </c>
      <c r="M312" s="28">
        <v>0</v>
      </c>
      <c r="N312" s="28">
        <v>0</v>
      </c>
      <c r="O312" s="28">
        <f t="shared" si="24"/>
        <v>339.5</v>
      </c>
      <c r="P312" s="28">
        <f t="shared" si="26"/>
        <v>2085.5</v>
      </c>
      <c r="Q312" s="73">
        <v>0</v>
      </c>
    </row>
    <row r="313" spans="1:17" x14ac:dyDescent="0.2">
      <c r="A313" s="139">
        <v>303</v>
      </c>
      <c r="B313" s="24"/>
      <c r="C313" s="24"/>
      <c r="D313" s="177"/>
      <c r="E313" s="29"/>
      <c r="F313" s="27"/>
      <c r="G313" s="176"/>
      <c r="H313" s="176">
        <v>0</v>
      </c>
      <c r="I313" s="176"/>
      <c r="J313" s="28"/>
      <c r="K313" s="28"/>
      <c r="L313" s="28"/>
      <c r="M313" s="28"/>
      <c r="N313" s="28"/>
      <c r="O313" s="28"/>
      <c r="P313" s="28"/>
      <c r="Q313" s="73"/>
    </row>
    <row r="314" spans="1:17" x14ac:dyDescent="0.2">
      <c r="A314" s="139">
        <v>304</v>
      </c>
      <c r="B314" s="24" t="s">
        <v>57</v>
      </c>
      <c r="C314" s="24" t="s">
        <v>56</v>
      </c>
      <c r="D314" s="29">
        <v>1668</v>
      </c>
      <c r="E314" s="29">
        <v>1000</v>
      </c>
      <c r="F314" s="27">
        <v>0</v>
      </c>
      <c r="G314" s="176">
        <v>250</v>
      </c>
      <c r="H314" s="176">
        <v>2792.33</v>
      </c>
      <c r="I314" s="176">
        <v>0</v>
      </c>
      <c r="J314" s="28">
        <f t="shared" si="22"/>
        <v>2918</v>
      </c>
      <c r="K314" s="28">
        <f>(D314+E314)*3%</f>
        <v>80.040000000000006</v>
      </c>
      <c r="L314" s="28">
        <f>(D314+E314)*11%</f>
        <v>293.48</v>
      </c>
      <c r="M314" s="28">
        <v>0</v>
      </c>
      <c r="N314" s="28">
        <v>0</v>
      </c>
      <c r="O314" s="28">
        <f>SUM(K314:N314)</f>
        <v>373.52</v>
      </c>
      <c r="P314" s="28">
        <f t="shared" si="26"/>
        <v>2544.48</v>
      </c>
      <c r="Q314" s="73">
        <v>0</v>
      </c>
    </row>
    <row r="315" spans="1:17" ht="25.5" x14ac:dyDescent="0.2">
      <c r="A315" s="139">
        <v>305</v>
      </c>
      <c r="B315" s="25" t="s">
        <v>33</v>
      </c>
      <c r="C315" s="26" t="s">
        <v>154</v>
      </c>
      <c r="D315" s="27">
        <v>2920</v>
      </c>
      <c r="E315" s="27">
        <v>1000</v>
      </c>
      <c r="F315" s="27">
        <v>0</v>
      </c>
      <c r="G315" s="27">
        <v>250</v>
      </c>
      <c r="H315" s="27">
        <v>0</v>
      </c>
      <c r="I315" s="176">
        <v>0</v>
      </c>
      <c r="J315" s="28">
        <f t="shared" ref="J315:J376" si="27">SUM(D315:G315)</f>
        <v>4170</v>
      </c>
      <c r="K315" s="28">
        <f t="shared" si="23"/>
        <v>117.6</v>
      </c>
      <c r="L315" s="28">
        <f>(D315+E315+F315)*11%</f>
        <v>431.2</v>
      </c>
      <c r="M315" s="28">
        <v>0</v>
      </c>
      <c r="N315" s="28">
        <v>52.68</v>
      </c>
      <c r="O315" s="28">
        <f t="shared" si="24"/>
        <v>601.48</v>
      </c>
      <c r="P315" s="28">
        <f t="shared" si="26"/>
        <v>3568.52</v>
      </c>
      <c r="Q315" s="73">
        <v>0</v>
      </c>
    </row>
    <row r="316" spans="1:17" ht="25.5" x14ac:dyDescent="0.2">
      <c r="A316" s="139">
        <v>306</v>
      </c>
      <c r="B316" s="23" t="s">
        <v>279</v>
      </c>
      <c r="C316" s="33" t="s">
        <v>495</v>
      </c>
      <c r="D316" s="29">
        <v>2328</v>
      </c>
      <c r="E316" s="29">
        <v>0</v>
      </c>
      <c r="F316" s="27">
        <v>0</v>
      </c>
      <c r="G316" s="176">
        <v>0</v>
      </c>
      <c r="H316" s="176">
        <v>2792.33</v>
      </c>
      <c r="I316" s="176">
        <v>0</v>
      </c>
      <c r="J316" s="28">
        <f t="shared" si="27"/>
        <v>2328</v>
      </c>
      <c r="K316" s="28">
        <f t="shared" si="23"/>
        <v>69.84</v>
      </c>
      <c r="L316" s="28">
        <f>D316*11%</f>
        <v>256.08</v>
      </c>
      <c r="M316" s="28">
        <v>0</v>
      </c>
      <c r="N316" s="28">
        <v>0</v>
      </c>
      <c r="O316" s="28">
        <f t="shared" si="24"/>
        <v>325.92</v>
      </c>
      <c r="P316" s="28">
        <f t="shared" si="26"/>
        <v>2002.08</v>
      </c>
      <c r="Q316" s="73">
        <v>0</v>
      </c>
    </row>
    <row r="317" spans="1:17" ht="25.5" x14ac:dyDescent="0.2">
      <c r="A317" s="139">
        <v>307</v>
      </c>
      <c r="B317" s="24" t="s">
        <v>39</v>
      </c>
      <c r="C317" s="26" t="s">
        <v>494</v>
      </c>
      <c r="D317" s="27">
        <v>2392</v>
      </c>
      <c r="E317" s="27">
        <v>1900</v>
      </c>
      <c r="F317" s="27">
        <v>0</v>
      </c>
      <c r="G317" s="27">
        <v>250</v>
      </c>
      <c r="H317" s="176">
        <v>2792.33</v>
      </c>
      <c r="I317" s="176">
        <v>0</v>
      </c>
      <c r="J317" s="28">
        <f t="shared" si="27"/>
        <v>4542</v>
      </c>
      <c r="K317" s="28">
        <f t="shared" ref="K317:K375" si="28">(D317+E317+F317)*3%</f>
        <v>128.76</v>
      </c>
      <c r="L317" s="28">
        <f>(D317+E317+F317)*12%</f>
        <v>515.04</v>
      </c>
      <c r="M317" s="28">
        <v>0</v>
      </c>
      <c r="N317" s="28">
        <v>57.68</v>
      </c>
      <c r="O317" s="28">
        <f t="shared" ref="O317:O376" si="29">K317+L317+M317+N317</f>
        <v>701.48</v>
      </c>
      <c r="P317" s="28">
        <f t="shared" si="26"/>
        <v>3840.52</v>
      </c>
      <c r="Q317" s="73">
        <v>0</v>
      </c>
    </row>
    <row r="318" spans="1:17" ht="25.5" x14ac:dyDescent="0.2">
      <c r="A318" s="139">
        <v>308</v>
      </c>
      <c r="B318" s="24" t="s">
        <v>93</v>
      </c>
      <c r="C318" s="24" t="s">
        <v>330</v>
      </c>
      <c r="D318" s="177">
        <v>1940</v>
      </c>
      <c r="E318" s="29">
        <v>0</v>
      </c>
      <c r="F318" s="27">
        <v>0</v>
      </c>
      <c r="G318" s="176">
        <v>0</v>
      </c>
      <c r="H318" s="176">
        <v>2792.33</v>
      </c>
      <c r="I318" s="176">
        <v>0</v>
      </c>
      <c r="J318" s="28">
        <f t="shared" si="27"/>
        <v>1940</v>
      </c>
      <c r="K318" s="28">
        <f t="shared" si="28"/>
        <v>58.2</v>
      </c>
      <c r="L318" s="28">
        <f>D318*10%</f>
        <v>194</v>
      </c>
      <c r="M318" s="28">
        <v>0</v>
      </c>
      <c r="N318" s="28">
        <v>0</v>
      </c>
      <c r="O318" s="28">
        <f t="shared" si="29"/>
        <v>252.2</v>
      </c>
      <c r="P318" s="28">
        <f t="shared" si="26"/>
        <v>1687.8</v>
      </c>
      <c r="Q318" s="73">
        <v>0</v>
      </c>
    </row>
    <row r="319" spans="1:17" ht="25.5" x14ac:dyDescent="0.2">
      <c r="A319" s="139">
        <v>309</v>
      </c>
      <c r="B319" s="37" t="s">
        <v>425</v>
      </c>
      <c r="C319" s="24" t="s">
        <v>330</v>
      </c>
      <c r="D319" s="177">
        <v>1940</v>
      </c>
      <c r="E319" s="29">
        <v>0</v>
      </c>
      <c r="F319" s="27">
        <v>0</v>
      </c>
      <c r="G319" s="176">
        <v>0</v>
      </c>
      <c r="H319" s="176">
        <v>2792.33</v>
      </c>
      <c r="I319" s="176">
        <v>0</v>
      </c>
      <c r="J319" s="28">
        <f t="shared" si="27"/>
        <v>1940</v>
      </c>
      <c r="K319" s="28">
        <f t="shared" si="28"/>
        <v>58.2</v>
      </c>
      <c r="L319" s="28">
        <f>D319*10%</f>
        <v>194</v>
      </c>
      <c r="M319" s="28">
        <v>0</v>
      </c>
      <c r="N319" s="28">
        <v>0</v>
      </c>
      <c r="O319" s="28">
        <f t="shared" si="29"/>
        <v>252.2</v>
      </c>
      <c r="P319" s="28">
        <f t="shared" si="26"/>
        <v>1687.8</v>
      </c>
      <c r="Q319" s="73">
        <v>0</v>
      </c>
    </row>
    <row r="320" spans="1:17" ht="25.5" x14ac:dyDescent="0.2">
      <c r="A320" s="139">
        <v>310</v>
      </c>
      <c r="B320" s="24" t="s">
        <v>316</v>
      </c>
      <c r="C320" s="24" t="s">
        <v>327</v>
      </c>
      <c r="D320" s="177">
        <v>2425</v>
      </c>
      <c r="E320" s="29">
        <v>0</v>
      </c>
      <c r="F320" s="27">
        <v>0</v>
      </c>
      <c r="G320" s="176">
        <v>0</v>
      </c>
      <c r="H320" s="176">
        <v>2792.33</v>
      </c>
      <c r="I320" s="176">
        <v>0</v>
      </c>
      <c r="J320" s="28">
        <f t="shared" si="27"/>
        <v>2425</v>
      </c>
      <c r="K320" s="28">
        <f t="shared" si="28"/>
        <v>72.75</v>
      </c>
      <c r="L320" s="28">
        <f>(D320+E320)*12%</f>
        <v>291</v>
      </c>
      <c r="M320" s="28">
        <v>0</v>
      </c>
      <c r="N320" s="28">
        <v>0</v>
      </c>
      <c r="O320" s="28">
        <f t="shared" si="29"/>
        <v>363.75</v>
      </c>
      <c r="P320" s="28">
        <f t="shared" si="26"/>
        <v>2061.25</v>
      </c>
      <c r="Q320" s="73">
        <v>0</v>
      </c>
    </row>
    <row r="321" spans="1:17" ht="25.5" x14ac:dyDescent="0.2">
      <c r="A321" s="139">
        <v>311</v>
      </c>
      <c r="B321" s="24" t="s">
        <v>317</v>
      </c>
      <c r="C321" s="24" t="s">
        <v>287</v>
      </c>
      <c r="D321" s="29">
        <v>1831</v>
      </c>
      <c r="E321" s="29">
        <v>1000</v>
      </c>
      <c r="F321" s="27">
        <v>0</v>
      </c>
      <c r="G321" s="176">
        <v>250</v>
      </c>
      <c r="H321" s="176">
        <v>2792.33</v>
      </c>
      <c r="I321" s="176">
        <v>0</v>
      </c>
      <c r="J321" s="28">
        <f t="shared" si="27"/>
        <v>3081</v>
      </c>
      <c r="K321" s="28">
        <f t="shared" si="28"/>
        <v>84.93</v>
      </c>
      <c r="L321" s="28">
        <f>(D321+E321)*11%</f>
        <v>311.41000000000003</v>
      </c>
      <c r="M321" s="28">
        <v>0</v>
      </c>
      <c r="N321" s="28">
        <v>0</v>
      </c>
      <c r="O321" s="28">
        <f t="shared" si="29"/>
        <v>396.34</v>
      </c>
      <c r="P321" s="28">
        <f t="shared" si="26"/>
        <v>2684.66</v>
      </c>
      <c r="Q321" s="73">
        <v>0</v>
      </c>
    </row>
    <row r="322" spans="1:17" ht="25.5" x14ac:dyDescent="0.2">
      <c r="A322" s="139">
        <v>312</v>
      </c>
      <c r="B322" s="24" t="s">
        <v>438</v>
      </c>
      <c r="C322" s="24" t="s">
        <v>327</v>
      </c>
      <c r="D322" s="177">
        <v>2425</v>
      </c>
      <c r="E322" s="29">
        <v>0</v>
      </c>
      <c r="F322" s="27">
        <v>0</v>
      </c>
      <c r="G322" s="176">
        <v>0</v>
      </c>
      <c r="H322" s="176">
        <v>2792.33</v>
      </c>
      <c r="I322" s="176">
        <v>0</v>
      </c>
      <c r="J322" s="28">
        <f t="shared" si="27"/>
        <v>2425</v>
      </c>
      <c r="K322" s="28">
        <f t="shared" si="28"/>
        <v>72.75</v>
      </c>
      <c r="L322" s="28">
        <f>D322*11%</f>
        <v>266.75</v>
      </c>
      <c r="M322" s="28">
        <v>0</v>
      </c>
      <c r="N322" s="28">
        <v>0</v>
      </c>
      <c r="O322" s="28">
        <f t="shared" si="29"/>
        <v>339.5</v>
      </c>
      <c r="P322" s="28">
        <f t="shared" si="26"/>
        <v>2085.5</v>
      </c>
      <c r="Q322" s="73">
        <v>0</v>
      </c>
    </row>
    <row r="323" spans="1:17" ht="25.5" x14ac:dyDescent="0.2">
      <c r="A323" s="139">
        <v>313</v>
      </c>
      <c r="B323" s="24" t="s">
        <v>200</v>
      </c>
      <c r="C323" s="24" t="s">
        <v>327</v>
      </c>
      <c r="D323" s="177">
        <v>2425</v>
      </c>
      <c r="E323" s="29">
        <v>0</v>
      </c>
      <c r="F323" s="27">
        <v>0</v>
      </c>
      <c r="G323" s="176">
        <v>0</v>
      </c>
      <c r="H323" s="176">
        <v>2792.33</v>
      </c>
      <c r="I323" s="176">
        <v>0</v>
      </c>
      <c r="J323" s="28">
        <f t="shared" si="27"/>
        <v>2425</v>
      </c>
      <c r="K323" s="28">
        <f t="shared" si="28"/>
        <v>72.75</v>
      </c>
      <c r="L323" s="28">
        <f>D323*11%</f>
        <v>266.75</v>
      </c>
      <c r="M323" s="28">
        <v>0</v>
      </c>
      <c r="N323" s="28">
        <v>0</v>
      </c>
      <c r="O323" s="28">
        <f t="shared" si="29"/>
        <v>339.5</v>
      </c>
      <c r="P323" s="28">
        <f t="shared" si="26"/>
        <v>2085.5</v>
      </c>
      <c r="Q323" s="73">
        <v>0</v>
      </c>
    </row>
    <row r="324" spans="1:17" ht="25.5" x14ac:dyDescent="0.2">
      <c r="A324" s="139">
        <v>314</v>
      </c>
      <c r="B324" s="24" t="s">
        <v>439</v>
      </c>
      <c r="C324" s="24" t="s">
        <v>318</v>
      </c>
      <c r="D324" s="29">
        <v>1981</v>
      </c>
      <c r="E324" s="29">
        <v>1000</v>
      </c>
      <c r="F324" s="27">
        <v>0</v>
      </c>
      <c r="G324" s="176">
        <v>250</v>
      </c>
      <c r="H324" s="176">
        <v>2792.33</v>
      </c>
      <c r="I324" s="176">
        <v>0</v>
      </c>
      <c r="J324" s="28">
        <f t="shared" si="27"/>
        <v>3231</v>
      </c>
      <c r="K324" s="28">
        <f t="shared" si="28"/>
        <v>89.43</v>
      </c>
      <c r="L324" s="28">
        <f>(D324+E324)*11%</f>
        <v>327.91</v>
      </c>
      <c r="M324" s="28">
        <v>102.92</v>
      </c>
      <c r="N324" s="28">
        <v>0</v>
      </c>
      <c r="O324" s="28">
        <f t="shared" si="29"/>
        <v>520.26</v>
      </c>
      <c r="P324" s="28">
        <f t="shared" si="26"/>
        <v>2710.74</v>
      </c>
      <c r="Q324" s="73">
        <v>0</v>
      </c>
    </row>
    <row r="325" spans="1:17" ht="25.5" x14ac:dyDescent="0.2">
      <c r="A325" s="139">
        <v>315</v>
      </c>
      <c r="B325" s="199" t="s">
        <v>510</v>
      </c>
      <c r="C325" s="24" t="s">
        <v>327</v>
      </c>
      <c r="D325" s="177">
        <v>2425</v>
      </c>
      <c r="E325" s="29">
        <v>0</v>
      </c>
      <c r="F325" s="27">
        <v>0</v>
      </c>
      <c r="G325" s="176">
        <v>0</v>
      </c>
      <c r="H325" s="176">
        <v>2792.33</v>
      </c>
      <c r="I325" s="176">
        <v>0</v>
      </c>
      <c r="J325" s="28">
        <f t="shared" si="27"/>
        <v>2425</v>
      </c>
      <c r="K325" s="28">
        <f t="shared" si="28"/>
        <v>72.75</v>
      </c>
      <c r="L325" s="28">
        <f>D325*11%</f>
        <v>266.75</v>
      </c>
      <c r="M325" s="28">
        <v>0</v>
      </c>
      <c r="N325" s="28">
        <v>0</v>
      </c>
      <c r="O325" s="28">
        <f>K325+L325+M325+N325</f>
        <v>339.5</v>
      </c>
      <c r="P325" s="28">
        <f t="shared" si="26"/>
        <v>2085.5</v>
      </c>
      <c r="Q325" s="73">
        <v>0</v>
      </c>
    </row>
    <row r="326" spans="1:17" ht="25.5" x14ac:dyDescent="0.2">
      <c r="A326" s="139">
        <v>316</v>
      </c>
      <c r="B326" s="25" t="s">
        <v>369</v>
      </c>
      <c r="C326" s="26" t="s">
        <v>107</v>
      </c>
      <c r="D326" s="27">
        <v>5095</v>
      </c>
      <c r="E326" s="27">
        <v>1800</v>
      </c>
      <c r="F326" s="27">
        <v>0</v>
      </c>
      <c r="G326" s="27">
        <v>250</v>
      </c>
      <c r="H326" s="27">
        <v>0</v>
      </c>
      <c r="I326" s="176">
        <v>0</v>
      </c>
      <c r="J326" s="28">
        <f t="shared" si="27"/>
        <v>7145</v>
      </c>
      <c r="K326" s="28">
        <f t="shared" si="28"/>
        <v>206.85</v>
      </c>
      <c r="L326" s="28">
        <f>(D326+E326)*13%</f>
        <v>896.35</v>
      </c>
      <c r="M326" s="28">
        <v>102.92</v>
      </c>
      <c r="N326" s="28">
        <v>92.67</v>
      </c>
      <c r="O326" s="28">
        <f t="shared" si="29"/>
        <v>1298.79</v>
      </c>
      <c r="P326" s="28">
        <f t="shared" si="26"/>
        <v>5846.21</v>
      </c>
      <c r="Q326" s="73">
        <v>0</v>
      </c>
    </row>
    <row r="327" spans="1:17" ht="25.5" x14ac:dyDescent="0.2">
      <c r="A327" s="139">
        <v>317</v>
      </c>
      <c r="B327" s="24" t="s">
        <v>201</v>
      </c>
      <c r="C327" s="24" t="s">
        <v>327</v>
      </c>
      <c r="D327" s="177">
        <v>2425</v>
      </c>
      <c r="E327" s="29">
        <v>0</v>
      </c>
      <c r="F327" s="27">
        <v>0</v>
      </c>
      <c r="G327" s="176">
        <v>0</v>
      </c>
      <c r="H327" s="176">
        <v>2792.33</v>
      </c>
      <c r="I327" s="176">
        <v>0</v>
      </c>
      <c r="J327" s="28">
        <f t="shared" si="27"/>
        <v>2425</v>
      </c>
      <c r="K327" s="28">
        <f t="shared" si="28"/>
        <v>72.75</v>
      </c>
      <c r="L327" s="28">
        <f>D327*11%</f>
        <v>266.75</v>
      </c>
      <c r="M327" s="28">
        <v>0</v>
      </c>
      <c r="N327" s="28">
        <v>0</v>
      </c>
      <c r="O327" s="28">
        <f t="shared" si="29"/>
        <v>339.5</v>
      </c>
      <c r="P327" s="28">
        <f t="shared" si="26"/>
        <v>2085.5</v>
      </c>
      <c r="Q327" s="73">
        <v>0</v>
      </c>
    </row>
    <row r="328" spans="1:17" ht="25.5" x14ac:dyDescent="0.2">
      <c r="A328" s="139">
        <v>318</v>
      </c>
      <c r="B328" s="24" t="s">
        <v>202</v>
      </c>
      <c r="C328" s="33" t="s">
        <v>495</v>
      </c>
      <c r="D328" s="177">
        <v>2328</v>
      </c>
      <c r="E328" s="29">
        <v>0</v>
      </c>
      <c r="F328" s="27">
        <v>0</v>
      </c>
      <c r="G328" s="176">
        <v>0</v>
      </c>
      <c r="H328" s="176">
        <v>2792.33</v>
      </c>
      <c r="I328" s="176">
        <v>0</v>
      </c>
      <c r="J328" s="28">
        <f t="shared" si="27"/>
        <v>2328</v>
      </c>
      <c r="K328" s="28">
        <f t="shared" si="28"/>
        <v>69.84</v>
      </c>
      <c r="L328" s="28">
        <f>D328*11%</f>
        <v>256.08</v>
      </c>
      <c r="M328" s="28">
        <v>0</v>
      </c>
      <c r="N328" s="28">
        <v>0</v>
      </c>
      <c r="O328" s="28">
        <f t="shared" si="29"/>
        <v>325.92</v>
      </c>
      <c r="P328" s="28">
        <f>J328-O328</f>
        <v>2002.08</v>
      </c>
      <c r="Q328" s="73">
        <v>0</v>
      </c>
    </row>
    <row r="329" spans="1:17" ht="25.5" x14ac:dyDescent="0.2">
      <c r="A329" s="139">
        <v>319</v>
      </c>
      <c r="B329" s="24" t="s">
        <v>440</v>
      </c>
      <c r="C329" s="24" t="s">
        <v>330</v>
      </c>
      <c r="D329" s="177">
        <v>1940</v>
      </c>
      <c r="E329" s="29">
        <v>0</v>
      </c>
      <c r="F329" s="27">
        <v>0</v>
      </c>
      <c r="G329" s="176">
        <v>0</v>
      </c>
      <c r="H329" s="176">
        <v>2792.33</v>
      </c>
      <c r="I329" s="176">
        <v>0</v>
      </c>
      <c r="J329" s="28">
        <f t="shared" si="27"/>
        <v>1940</v>
      </c>
      <c r="K329" s="28">
        <f t="shared" si="28"/>
        <v>58.2</v>
      </c>
      <c r="L329" s="28">
        <f>D329*10%</f>
        <v>194</v>
      </c>
      <c r="M329" s="28">
        <v>0</v>
      </c>
      <c r="N329" s="28">
        <v>0</v>
      </c>
      <c r="O329" s="28">
        <f t="shared" si="29"/>
        <v>252.2</v>
      </c>
      <c r="P329" s="28">
        <f>J329-O329</f>
        <v>1687.8</v>
      </c>
      <c r="Q329" s="73">
        <v>0</v>
      </c>
    </row>
    <row r="330" spans="1:17" ht="25.5" x14ac:dyDescent="0.2">
      <c r="A330" s="139">
        <v>320</v>
      </c>
      <c r="B330" s="22" t="s">
        <v>203</v>
      </c>
      <c r="C330" s="24" t="s">
        <v>286</v>
      </c>
      <c r="D330" s="29">
        <v>2249</v>
      </c>
      <c r="E330" s="175">
        <v>1000</v>
      </c>
      <c r="F330" s="27">
        <v>0</v>
      </c>
      <c r="G330" s="176">
        <v>250</v>
      </c>
      <c r="H330" s="176">
        <v>2792.33</v>
      </c>
      <c r="I330" s="176">
        <v>0</v>
      </c>
      <c r="J330" s="28">
        <f t="shared" si="27"/>
        <v>3499</v>
      </c>
      <c r="K330" s="28">
        <f t="shared" si="28"/>
        <v>97.47</v>
      </c>
      <c r="L330" s="28">
        <f>(D330+E330)*11%</f>
        <v>357.39</v>
      </c>
      <c r="M330" s="28">
        <v>0</v>
      </c>
      <c r="N330" s="28">
        <v>0</v>
      </c>
      <c r="O330" s="28">
        <f t="shared" si="29"/>
        <v>454.86</v>
      </c>
      <c r="P330" s="28">
        <f>J330-O330</f>
        <v>3044.14</v>
      </c>
      <c r="Q330" s="73">
        <v>0</v>
      </c>
    </row>
    <row r="331" spans="1:17" ht="25.5" x14ac:dyDescent="0.2">
      <c r="A331" s="139">
        <v>321</v>
      </c>
      <c r="B331" s="38" t="s">
        <v>232</v>
      </c>
      <c r="C331" s="24" t="s">
        <v>489</v>
      </c>
      <c r="D331" s="184">
        <v>2920</v>
      </c>
      <c r="E331" s="29">
        <v>1000</v>
      </c>
      <c r="F331" s="27">
        <v>0</v>
      </c>
      <c r="G331" s="176">
        <v>250</v>
      </c>
      <c r="H331" s="176">
        <v>0</v>
      </c>
      <c r="I331" s="176">
        <v>0</v>
      </c>
      <c r="J331" s="28">
        <f t="shared" si="27"/>
        <v>4170</v>
      </c>
      <c r="K331" s="28">
        <f t="shared" si="28"/>
        <v>117.6</v>
      </c>
      <c r="L331" s="28">
        <f>(D331+E331)*12%</f>
        <v>470.4</v>
      </c>
      <c r="M331" s="28">
        <v>0</v>
      </c>
      <c r="N331" s="28">
        <v>52.68</v>
      </c>
      <c r="O331" s="28">
        <f t="shared" si="29"/>
        <v>640.67999999999995</v>
      </c>
      <c r="P331" s="28">
        <f>J331-O331</f>
        <v>3529.32</v>
      </c>
      <c r="Q331" s="73">
        <v>0</v>
      </c>
    </row>
    <row r="332" spans="1:17" ht="25.5" x14ac:dyDescent="0.2">
      <c r="A332" s="139">
        <v>322</v>
      </c>
      <c r="B332" s="24" t="s">
        <v>441</v>
      </c>
      <c r="C332" s="26" t="s">
        <v>486</v>
      </c>
      <c r="D332" s="29">
        <v>3081</v>
      </c>
      <c r="E332" s="175">
        <v>1000</v>
      </c>
      <c r="F332" s="27">
        <v>0</v>
      </c>
      <c r="G332" s="176">
        <v>250</v>
      </c>
      <c r="H332" s="176">
        <v>2792.33</v>
      </c>
      <c r="I332" s="176">
        <v>0</v>
      </c>
      <c r="J332" s="28">
        <f t="shared" si="27"/>
        <v>4331</v>
      </c>
      <c r="K332" s="28">
        <f t="shared" si="28"/>
        <v>122.43</v>
      </c>
      <c r="L332" s="28">
        <f>(D332+E332)*12%</f>
        <v>489.72</v>
      </c>
      <c r="M332" s="28">
        <v>126.89</v>
      </c>
      <c r="N332" s="28">
        <v>101.97</v>
      </c>
      <c r="O332" s="28">
        <f t="shared" si="29"/>
        <v>841.01</v>
      </c>
      <c r="P332" s="28">
        <f>J332-O332</f>
        <v>3489.99</v>
      </c>
      <c r="Q332" s="73">
        <v>0</v>
      </c>
    </row>
    <row r="333" spans="1:17" ht="25.5" x14ac:dyDescent="0.2">
      <c r="A333" s="139">
        <v>323</v>
      </c>
      <c r="B333" s="24" t="s">
        <v>370</v>
      </c>
      <c r="C333" s="24" t="s">
        <v>204</v>
      </c>
      <c r="D333" s="29">
        <v>3241</v>
      </c>
      <c r="E333" s="175">
        <v>1000</v>
      </c>
      <c r="F333" s="27">
        <v>0</v>
      </c>
      <c r="G333" s="176">
        <v>250</v>
      </c>
      <c r="H333" s="176">
        <v>0</v>
      </c>
      <c r="I333" s="176">
        <v>0</v>
      </c>
      <c r="J333" s="28">
        <f t="shared" si="27"/>
        <v>4491</v>
      </c>
      <c r="K333" s="28">
        <f t="shared" si="28"/>
        <v>127.23</v>
      </c>
      <c r="L333" s="28">
        <f>(D333+E333)*12%</f>
        <v>508.92</v>
      </c>
      <c r="M333" s="28">
        <v>0</v>
      </c>
      <c r="N333" s="28">
        <v>0</v>
      </c>
      <c r="O333" s="28">
        <f t="shared" si="29"/>
        <v>636.15</v>
      </c>
      <c r="P333" s="28">
        <f>SUM(D333:O333)</f>
        <v>10254.299999999999</v>
      </c>
      <c r="Q333" s="73">
        <f>1031+157.75</f>
        <v>1188.75</v>
      </c>
    </row>
    <row r="334" spans="1:17" ht="25.5" x14ac:dyDescent="0.2">
      <c r="A334" s="139">
        <v>324</v>
      </c>
      <c r="B334" s="24" t="s">
        <v>205</v>
      </c>
      <c r="C334" s="24" t="s">
        <v>330</v>
      </c>
      <c r="D334" s="29">
        <v>1940</v>
      </c>
      <c r="E334" s="29">
        <v>0</v>
      </c>
      <c r="F334" s="27">
        <v>0</v>
      </c>
      <c r="G334" s="176">
        <v>0</v>
      </c>
      <c r="H334" s="176">
        <v>2792.33</v>
      </c>
      <c r="I334" s="176">
        <v>0</v>
      </c>
      <c r="J334" s="28">
        <f t="shared" si="27"/>
        <v>1940</v>
      </c>
      <c r="K334" s="28">
        <f t="shared" si="28"/>
        <v>58.2</v>
      </c>
      <c r="L334" s="28">
        <f>D334*10%</f>
        <v>194</v>
      </c>
      <c r="M334" s="28">
        <v>0</v>
      </c>
      <c r="N334" s="28">
        <v>0</v>
      </c>
      <c r="O334" s="28">
        <f t="shared" si="29"/>
        <v>252.2</v>
      </c>
      <c r="P334" s="28">
        <f t="shared" ref="P334:P365" si="30">J334-O334</f>
        <v>1687.8</v>
      </c>
      <c r="Q334" s="73">
        <v>0</v>
      </c>
    </row>
    <row r="335" spans="1:17" ht="25.5" x14ac:dyDescent="0.2">
      <c r="A335" s="139">
        <v>325</v>
      </c>
      <c r="B335" s="24" t="s">
        <v>371</v>
      </c>
      <c r="C335" s="24" t="s">
        <v>330</v>
      </c>
      <c r="D335" s="29">
        <v>1940</v>
      </c>
      <c r="E335" s="29">
        <v>0</v>
      </c>
      <c r="F335" s="27">
        <v>0</v>
      </c>
      <c r="G335" s="176">
        <v>0</v>
      </c>
      <c r="H335" s="176">
        <v>2792.33</v>
      </c>
      <c r="I335" s="176">
        <v>0</v>
      </c>
      <c r="J335" s="28">
        <f t="shared" si="27"/>
        <v>1940</v>
      </c>
      <c r="K335" s="28">
        <f t="shared" si="28"/>
        <v>58.2</v>
      </c>
      <c r="L335" s="28">
        <f>D335*10%</f>
        <v>194</v>
      </c>
      <c r="M335" s="28">
        <v>0</v>
      </c>
      <c r="N335" s="28">
        <v>0</v>
      </c>
      <c r="O335" s="28">
        <f t="shared" si="29"/>
        <v>252.2</v>
      </c>
      <c r="P335" s="28">
        <f t="shared" si="30"/>
        <v>1687.8</v>
      </c>
      <c r="Q335" s="73">
        <v>0</v>
      </c>
    </row>
    <row r="336" spans="1:17" ht="25.5" x14ac:dyDescent="0.2">
      <c r="A336" s="139">
        <v>326</v>
      </c>
      <c r="B336" s="34" t="s">
        <v>206</v>
      </c>
      <c r="C336" s="26" t="s">
        <v>108</v>
      </c>
      <c r="D336" s="27">
        <v>2920</v>
      </c>
      <c r="E336" s="27">
        <v>1000</v>
      </c>
      <c r="F336" s="27">
        <v>0</v>
      </c>
      <c r="G336" s="27">
        <v>250</v>
      </c>
      <c r="H336" s="27">
        <v>0</v>
      </c>
      <c r="I336" s="176">
        <v>0</v>
      </c>
      <c r="J336" s="28">
        <f t="shared" si="27"/>
        <v>4170</v>
      </c>
      <c r="K336" s="28">
        <f t="shared" si="28"/>
        <v>117.6</v>
      </c>
      <c r="L336" s="28">
        <f>(D336+E336)*11%</f>
        <v>431.2</v>
      </c>
      <c r="M336" s="28">
        <v>0</v>
      </c>
      <c r="N336" s="28">
        <v>52.68</v>
      </c>
      <c r="O336" s="28">
        <f t="shared" si="29"/>
        <v>601.48</v>
      </c>
      <c r="P336" s="28">
        <f t="shared" si="30"/>
        <v>3568.52</v>
      </c>
      <c r="Q336" s="73">
        <v>0</v>
      </c>
    </row>
    <row r="337" spans="1:17" x14ac:dyDescent="0.2">
      <c r="A337" s="139">
        <v>327</v>
      </c>
      <c r="B337" s="24" t="s">
        <v>372</v>
      </c>
      <c r="C337" s="24" t="s">
        <v>111</v>
      </c>
      <c r="D337" s="29">
        <v>1668</v>
      </c>
      <c r="E337" s="29">
        <v>1000</v>
      </c>
      <c r="F337" s="27">
        <v>0</v>
      </c>
      <c r="G337" s="176">
        <v>250</v>
      </c>
      <c r="H337" s="176">
        <v>2792.33</v>
      </c>
      <c r="I337" s="176">
        <v>0</v>
      </c>
      <c r="J337" s="28">
        <f t="shared" si="27"/>
        <v>2918</v>
      </c>
      <c r="K337" s="28">
        <f t="shared" si="28"/>
        <v>80.040000000000006</v>
      </c>
      <c r="L337" s="28">
        <f>(D337+E337)*11%</f>
        <v>293.48</v>
      </c>
      <c r="M337" s="28">
        <v>0</v>
      </c>
      <c r="N337" s="28">
        <v>0</v>
      </c>
      <c r="O337" s="28">
        <f t="shared" si="29"/>
        <v>373.52</v>
      </c>
      <c r="P337" s="28">
        <f t="shared" si="30"/>
        <v>2544.48</v>
      </c>
      <c r="Q337" s="73">
        <v>0</v>
      </c>
    </row>
    <row r="338" spans="1:17" x14ac:dyDescent="0.2">
      <c r="A338" s="139">
        <v>328</v>
      </c>
      <c r="B338" s="24" t="s">
        <v>207</v>
      </c>
      <c r="C338" s="24" t="s">
        <v>111</v>
      </c>
      <c r="D338" s="28">
        <v>1668</v>
      </c>
      <c r="E338" s="28">
        <v>1000</v>
      </c>
      <c r="F338" s="27">
        <v>0</v>
      </c>
      <c r="G338" s="176">
        <v>250</v>
      </c>
      <c r="H338" s="176">
        <v>2792.33</v>
      </c>
      <c r="I338" s="176">
        <v>0</v>
      </c>
      <c r="J338" s="28">
        <f t="shared" si="27"/>
        <v>2918</v>
      </c>
      <c r="K338" s="28">
        <f t="shared" si="28"/>
        <v>80.040000000000006</v>
      </c>
      <c r="L338" s="28">
        <f>(D338+E338)*11%</f>
        <v>293.48</v>
      </c>
      <c r="M338" s="28">
        <v>0</v>
      </c>
      <c r="N338" s="28">
        <v>0</v>
      </c>
      <c r="O338" s="28">
        <f t="shared" si="29"/>
        <v>373.52</v>
      </c>
      <c r="P338" s="28">
        <f t="shared" si="30"/>
        <v>2544.48</v>
      </c>
      <c r="Q338" s="73">
        <v>0</v>
      </c>
    </row>
    <row r="339" spans="1:17" ht="25.5" x14ac:dyDescent="0.2">
      <c r="A339" s="139">
        <v>329</v>
      </c>
      <c r="B339" s="25" t="s">
        <v>319</v>
      </c>
      <c r="C339" s="24" t="s">
        <v>497</v>
      </c>
      <c r="D339" s="27">
        <v>3241</v>
      </c>
      <c r="E339" s="27">
        <v>1000</v>
      </c>
      <c r="F339" s="27">
        <v>0</v>
      </c>
      <c r="G339" s="27">
        <v>250</v>
      </c>
      <c r="H339" s="27">
        <v>0</v>
      </c>
      <c r="I339" s="176">
        <v>0</v>
      </c>
      <c r="J339" s="28">
        <f t="shared" si="27"/>
        <v>4491</v>
      </c>
      <c r="K339" s="28">
        <f t="shared" si="28"/>
        <v>127.23</v>
      </c>
      <c r="L339" s="28">
        <f>(D339+E339)*12%</f>
        <v>508.92</v>
      </c>
      <c r="M339" s="28">
        <v>0</v>
      </c>
      <c r="N339" s="28">
        <v>0</v>
      </c>
      <c r="O339" s="28">
        <f t="shared" si="29"/>
        <v>636.15</v>
      </c>
      <c r="P339" s="28">
        <f t="shared" si="30"/>
        <v>3854.85</v>
      </c>
      <c r="Q339" s="73">
        <v>0</v>
      </c>
    </row>
    <row r="340" spans="1:17" ht="25.5" x14ac:dyDescent="0.2">
      <c r="A340" s="139">
        <v>330</v>
      </c>
      <c r="B340" s="33" t="s">
        <v>378</v>
      </c>
      <c r="C340" s="26" t="s">
        <v>486</v>
      </c>
      <c r="D340" s="27">
        <v>3081</v>
      </c>
      <c r="E340" s="27">
        <v>1000</v>
      </c>
      <c r="F340" s="27">
        <v>0</v>
      </c>
      <c r="G340" s="27">
        <v>250</v>
      </c>
      <c r="H340" s="176">
        <v>2792.33</v>
      </c>
      <c r="I340" s="176">
        <v>0</v>
      </c>
      <c r="J340" s="28">
        <f t="shared" si="27"/>
        <v>4331</v>
      </c>
      <c r="K340" s="28">
        <f t="shared" si="28"/>
        <v>122.43</v>
      </c>
      <c r="L340" s="28">
        <f>(D340+E340+F340)*12%</f>
        <v>489.72</v>
      </c>
      <c r="M340" s="28">
        <v>0</v>
      </c>
      <c r="N340" s="28">
        <v>54.85</v>
      </c>
      <c r="O340" s="28">
        <f t="shared" si="29"/>
        <v>667</v>
      </c>
      <c r="P340" s="28">
        <f t="shared" si="30"/>
        <v>3664</v>
      </c>
      <c r="Q340" s="73">
        <v>0</v>
      </c>
    </row>
    <row r="341" spans="1:17" ht="25.5" x14ac:dyDescent="0.2">
      <c r="A341" s="139">
        <v>331</v>
      </c>
      <c r="B341" s="23" t="s">
        <v>373</v>
      </c>
      <c r="C341" s="24" t="s">
        <v>294</v>
      </c>
      <c r="D341" s="185">
        <v>2375</v>
      </c>
      <c r="E341" s="186">
        <v>1000</v>
      </c>
      <c r="F341" s="27">
        <v>0</v>
      </c>
      <c r="G341" s="27">
        <v>250</v>
      </c>
      <c r="H341" s="27">
        <v>0</v>
      </c>
      <c r="I341" s="176">
        <v>0</v>
      </c>
      <c r="J341" s="28">
        <f t="shared" si="27"/>
        <v>3625</v>
      </c>
      <c r="K341" s="28">
        <f t="shared" si="28"/>
        <v>101.25</v>
      </c>
      <c r="L341" s="28">
        <f>(D341+E341+F341)*11%</f>
        <v>371.25</v>
      </c>
      <c r="M341" s="28">
        <v>0</v>
      </c>
      <c r="N341" s="28">
        <v>0</v>
      </c>
      <c r="O341" s="28">
        <f t="shared" si="29"/>
        <v>472.5</v>
      </c>
      <c r="P341" s="28">
        <f t="shared" si="30"/>
        <v>3152.5</v>
      </c>
      <c r="Q341" s="73">
        <v>0</v>
      </c>
    </row>
    <row r="342" spans="1:17" ht="25.5" x14ac:dyDescent="0.2">
      <c r="A342" s="139">
        <v>332</v>
      </c>
      <c r="B342" s="24" t="s">
        <v>374</v>
      </c>
      <c r="C342" s="24" t="s">
        <v>105</v>
      </c>
      <c r="D342" s="29">
        <v>2760</v>
      </c>
      <c r="E342" s="29">
        <v>1000</v>
      </c>
      <c r="F342" s="27">
        <v>0</v>
      </c>
      <c r="G342" s="176">
        <v>250</v>
      </c>
      <c r="H342" s="176">
        <v>2792.33</v>
      </c>
      <c r="I342" s="176">
        <v>0</v>
      </c>
      <c r="J342" s="28">
        <f t="shared" si="27"/>
        <v>4010</v>
      </c>
      <c r="K342" s="28">
        <f t="shared" si="28"/>
        <v>112.8</v>
      </c>
      <c r="L342" s="28">
        <f>(D342+E342)*11%</f>
        <v>413.6</v>
      </c>
      <c r="M342" s="28">
        <v>0</v>
      </c>
      <c r="N342" s="28">
        <v>0</v>
      </c>
      <c r="O342" s="28">
        <f t="shared" si="29"/>
        <v>526.4</v>
      </c>
      <c r="P342" s="28">
        <f t="shared" si="30"/>
        <v>3483.6</v>
      </c>
      <c r="Q342" s="73">
        <v>0</v>
      </c>
    </row>
    <row r="343" spans="1:17" ht="25.5" x14ac:dyDescent="0.2">
      <c r="A343" s="139">
        <v>333</v>
      </c>
      <c r="B343" s="24" t="s">
        <v>460</v>
      </c>
      <c r="C343" s="24" t="s">
        <v>327</v>
      </c>
      <c r="D343" s="29">
        <v>2425</v>
      </c>
      <c r="E343" s="29">
        <v>0</v>
      </c>
      <c r="F343" s="27">
        <v>0</v>
      </c>
      <c r="G343" s="176">
        <v>0</v>
      </c>
      <c r="H343" s="176">
        <v>2792.33</v>
      </c>
      <c r="I343" s="176">
        <v>0</v>
      </c>
      <c r="J343" s="28">
        <f t="shared" si="27"/>
        <v>2425</v>
      </c>
      <c r="K343" s="28">
        <f t="shared" si="28"/>
        <v>72.75</v>
      </c>
      <c r="L343" s="28">
        <f>D343*11%</f>
        <v>266.75</v>
      </c>
      <c r="M343" s="28">
        <v>0</v>
      </c>
      <c r="N343" s="28">
        <v>0</v>
      </c>
      <c r="O343" s="28">
        <f t="shared" si="29"/>
        <v>339.5</v>
      </c>
      <c r="P343" s="28">
        <f t="shared" si="30"/>
        <v>2085.5</v>
      </c>
      <c r="Q343" s="73">
        <v>0</v>
      </c>
    </row>
    <row r="344" spans="1:17" ht="25.5" x14ac:dyDescent="0.2">
      <c r="A344" s="139">
        <v>334</v>
      </c>
      <c r="B344" s="22" t="s">
        <v>375</v>
      </c>
      <c r="C344" s="24" t="s">
        <v>470</v>
      </c>
      <c r="D344" s="29">
        <v>3241</v>
      </c>
      <c r="E344" s="175">
        <v>1000</v>
      </c>
      <c r="F344" s="27">
        <v>0</v>
      </c>
      <c r="G344" s="176">
        <v>250</v>
      </c>
      <c r="H344" s="176">
        <v>0</v>
      </c>
      <c r="I344" s="176">
        <v>0</v>
      </c>
      <c r="J344" s="28">
        <f t="shared" si="27"/>
        <v>4491</v>
      </c>
      <c r="K344" s="28">
        <f t="shared" si="28"/>
        <v>127.23</v>
      </c>
      <c r="L344" s="28">
        <f>(D344+E344)*12%</f>
        <v>508.92</v>
      </c>
      <c r="M344" s="28">
        <v>0</v>
      </c>
      <c r="N344" s="28">
        <v>0</v>
      </c>
      <c r="O344" s="28">
        <f t="shared" si="29"/>
        <v>636.15</v>
      </c>
      <c r="P344" s="28">
        <f t="shared" si="30"/>
        <v>3854.85</v>
      </c>
      <c r="Q344" s="73">
        <v>0</v>
      </c>
    </row>
    <row r="345" spans="1:17" ht="25.5" x14ac:dyDescent="0.2">
      <c r="A345" s="139">
        <v>335</v>
      </c>
      <c r="B345" s="22" t="s">
        <v>208</v>
      </c>
      <c r="C345" s="24" t="s">
        <v>327</v>
      </c>
      <c r="D345" s="29">
        <v>2425</v>
      </c>
      <c r="E345" s="29">
        <v>0</v>
      </c>
      <c r="F345" s="27">
        <v>0</v>
      </c>
      <c r="G345" s="176">
        <v>0</v>
      </c>
      <c r="H345" s="176">
        <v>2792.33</v>
      </c>
      <c r="I345" s="176">
        <v>0</v>
      </c>
      <c r="J345" s="28">
        <f t="shared" si="27"/>
        <v>2425</v>
      </c>
      <c r="K345" s="28">
        <f t="shared" si="28"/>
        <v>72.75</v>
      </c>
      <c r="L345" s="28">
        <f>D345*11%</f>
        <v>266.75</v>
      </c>
      <c r="M345" s="28">
        <v>0</v>
      </c>
      <c r="N345" s="28">
        <v>0</v>
      </c>
      <c r="O345" s="28">
        <f t="shared" si="29"/>
        <v>339.5</v>
      </c>
      <c r="P345" s="28">
        <f t="shared" si="30"/>
        <v>2085.5</v>
      </c>
      <c r="Q345" s="73">
        <v>0</v>
      </c>
    </row>
    <row r="346" spans="1:17" ht="25.5" x14ac:dyDescent="0.2">
      <c r="A346" s="139">
        <v>336</v>
      </c>
      <c r="B346" s="24" t="s">
        <v>209</v>
      </c>
      <c r="C346" s="24" t="s">
        <v>327</v>
      </c>
      <c r="D346" s="29">
        <v>2425</v>
      </c>
      <c r="E346" s="29">
        <v>0</v>
      </c>
      <c r="F346" s="27">
        <v>0</v>
      </c>
      <c r="G346" s="176">
        <v>0</v>
      </c>
      <c r="H346" s="176">
        <v>2792.33</v>
      </c>
      <c r="I346" s="176">
        <v>0</v>
      </c>
      <c r="J346" s="28">
        <f t="shared" si="27"/>
        <v>2425</v>
      </c>
      <c r="K346" s="28">
        <f t="shared" si="28"/>
        <v>72.75</v>
      </c>
      <c r="L346" s="28">
        <f>D346*11%</f>
        <v>266.75</v>
      </c>
      <c r="M346" s="28">
        <v>0</v>
      </c>
      <c r="N346" s="28">
        <v>0</v>
      </c>
      <c r="O346" s="28">
        <f t="shared" si="29"/>
        <v>339.5</v>
      </c>
      <c r="P346" s="28">
        <f t="shared" si="30"/>
        <v>2085.5</v>
      </c>
      <c r="Q346" s="73">
        <v>0</v>
      </c>
    </row>
    <row r="347" spans="1:17" ht="25.5" x14ac:dyDescent="0.2">
      <c r="A347" s="139">
        <v>337</v>
      </c>
      <c r="B347" s="38" t="s">
        <v>430</v>
      </c>
      <c r="C347" s="26" t="s">
        <v>108</v>
      </c>
      <c r="D347" s="187">
        <v>2920</v>
      </c>
      <c r="E347" s="175">
        <v>1000</v>
      </c>
      <c r="F347" s="27">
        <v>0</v>
      </c>
      <c r="G347" s="176">
        <v>250</v>
      </c>
      <c r="H347" s="176">
        <v>0</v>
      </c>
      <c r="I347" s="176">
        <v>0</v>
      </c>
      <c r="J347" s="28">
        <f t="shared" si="27"/>
        <v>4170</v>
      </c>
      <c r="K347" s="28">
        <f t="shared" si="28"/>
        <v>117.6</v>
      </c>
      <c r="L347" s="28">
        <f>(D347+E347)*12%</f>
        <v>470.4</v>
      </c>
      <c r="M347" s="28">
        <v>0</v>
      </c>
      <c r="N347" s="28">
        <v>52.68</v>
      </c>
      <c r="O347" s="28">
        <f t="shared" si="29"/>
        <v>640.67999999999995</v>
      </c>
      <c r="P347" s="28">
        <f t="shared" si="30"/>
        <v>3529.32</v>
      </c>
      <c r="Q347" s="73">
        <v>0</v>
      </c>
    </row>
    <row r="348" spans="1:17" ht="25.5" x14ac:dyDescent="0.2">
      <c r="A348" s="139">
        <v>338</v>
      </c>
      <c r="B348" s="37" t="s">
        <v>210</v>
      </c>
      <c r="C348" s="26" t="s">
        <v>486</v>
      </c>
      <c r="D348" s="27">
        <v>3081</v>
      </c>
      <c r="E348" s="27">
        <v>1000</v>
      </c>
      <c r="F348" s="27">
        <v>0</v>
      </c>
      <c r="G348" s="27">
        <v>250</v>
      </c>
      <c r="H348" s="27">
        <v>0</v>
      </c>
      <c r="I348" s="176">
        <v>0</v>
      </c>
      <c r="J348" s="28">
        <f t="shared" si="27"/>
        <v>4331</v>
      </c>
      <c r="K348" s="28">
        <f t="shared" si="28"/>
        <v>122.43</v>
      </c>
      <c r="L348" s="28">
        <f>(D348+E348)*12%</f>
        <v>489.72</v>
      </c>
      <c r="M348" s="28">
        <v>0</v>
      </c>
      <c r="N348" s="28">
        <v>0</v>
      </c>
      <c r="O348" s="28">
        <f t="shared" si="29"/>
        <v>612.15</v>
      </c>
      <c r="P348" s="28">
        <f t="shared" si="30"/>
        <v>3718.85</v>
      </c>
      <c r="Q348" s="73">
        <v>0</v>
      </c>
    </row>
    <row r="349" spans="1:17" ht="25.5" x14ac:dyDescent="0.2">
      <c r="A349" s="139">
        <v>339</v>
      </c>
      <c r="B349" s="24" t="s">
        <v>461</v>
      </c>
      <c r="C349" s="24" t="s">
        <v>327</v>
      </c>
      <c r="D349" s="29">
        <v>2425</v>
      </c>
      <c r="E349" s="29">
        <v>0</v>
      </c>
      <c r="F349" s="27">
        <v>0</v>
      </c>
      <c r="G349" s="176">
        <v>0</v>
      </c>
      <c r="H349" s="176">
        <v>2792.33</v>
      </c>
      <c r="I349" s="176">
        <v>0</v>
      </c>
      <c r="J349" s="28">
        <f t="shared" si="27"/>
        <v>2425</v>
      </c>
      <c r="K349" s="28">
        <f t="shared" si="28"/>
        <v>72.75</v>
      </c>
      <c r="L349" s="28">
        <f>D349*11%</f>
        <v>266.75</v>
      </c>
      <c r="M349" s="28">
        <v>0</v>
      </c>
      <c r="N349" s="28">
        <v>0</v>
      </c>
      <c r="O349" s="28">
        <f t="shared" si="29"/>
        <v>339.5</v>
      </c>
      <c r="P349" s="28">
        <f t="shared" si="30"/>
        <v>2085.5</v>
      </c>
      <c r="Q349" s="73">
        <v>0</v>
      </c>
    </row>
    <row r="350" spans="1:17" ht="25.5" x14ac:dyDescent="0.2">
      <c r="A350" s="139">
        <v>340</v>
      </c>
      <c r="B350" s="24" t="s">
        <v>426</v>
      </c>
      <c r="C350" s="24" t="s">
        <v>105</v>
      </c>
      <c r="D350" s="29">
        <v>2760</v>
      </c>
      <c r="E350" s="29">
        <v>1000</v>
      </c>
      <c r="F350" s="27">
        <v>0</v>
      </c>
      <c r="G350" s="176">
        <v>250</v>
      </c>
      <c r="H350" s="176">
        <v>0</v>
      </c>
      <c r="I350" s="176">
        <v>0</v>
      </c>
      <c r="J350" s="28">
        <f t="shared" si="27"/>
        <v>4010</v>
      </c>
      <c r="K350" s="28">
        <f t="shared" si="28"/>
        <v>112.8</v>
      </c>
      <c r="L350" s="28">
        <f>(D350+E350)*11%</f>
        <v>413.6</v>
      </c>
      <c r="M350" s="28">
        <v>0</v>
      </c>
      <c r="N350" s="28">
        <v>50.53</v>
      </c>
      <c r="O350" s="28">
        <f t="shared" si="29"/>
        <v>576.92999999999995</v>
      </c>
      <c r="P350" s="28">
        <f t="shared" si="30"/>
        <v>3433.07</v>
      </c>
      <c r="Q350" s="73">
        <v>0</v>
      </c>
    </row>
    <row r="351" spans="1:17" ht="25.5" x14ac:dyDescent="0.2">
      <c r="A351" s="139">
        <v>341</v>
      </c>
      <c r="B351" s="33" t="s">
        <v>323</v>
      </c>
      <c r="C351" s="24" t="s">
        <v>470</v>
      </c>
      <c r="D351" s="29">
        <v>3241</v>
      </c>
      <c r="E351" s="29">
        <v>967.74</v>
      </c>
      <c r="F351" s="176">
        <v>0</v>
      </c>
      <c r="G351" s="176">
        <v>250</v>
      </c>
      <c r="H351" s="176">
        <v>2792.33</v>
      </c>
      <c r="I351" s="176">
        <v>0</v>
      </c>
      <c r="J351" s="28">
        <f t="shared" si="27"/>
        <v>4458.74</v>
      </c>
      <c r="K351" s="28">
        <f t="shared" si="28"/>
        <v>126.26</v>
      </c>
      <c r="L351" s="28">
        <f>(D351+E351+F351)*12%</f>
        <v>505.05</v>
      </c>
      <c r="M351" s="28">
        <v>0</v>
      </c>
      <c r="N351" s="28">
        <v>0</v>
      </c>
      <c r="O351" s="28">
        <f t="shared" si="29"/>
        <v>631.30999999999995</v>
      </c>
      <c r="P351" s="28">
        <f t="shared" si="30"/>
        <v>3827.43</v>
      </c>
      <c r="Q351" s="73">
        <v>0</v>
      </c>
    </row>
    <row r="352" spans="1:17" ht="25.5" x14ac:dyDescent="0.2">
      <c r="A352" s="139">
        <v>342</v>
      </c>
      <c r="B352" s="65" t="s">
        <v>482</v>
      </c>
      <c r="C352" s="22" t="s">
        <v>483</v>
      </c>
      <c r="D352" s="27">
        <v>2920</v>
      </c>
      <c r="E352" s="27">
        <v>1000</v>
      </c>
      <c r="F352" s="27">
        <v>0</v>
      </c>
      <c r="G352" s="27">
        <v>250</v>
      </c>
      <c r="H352" s="27">
        <v>0</v>
      </c>
      <c r="I352" s="176">
        <v>0</v>
      </c>
      <c r="J352" s="28">
        <f t="shared" si="27"/>
        <v>4170</v>
      </c>
      <c r="K352" s="28">
        <f t="shared" si="28"/>
        <v>117.6</v>
      </c>
      <c r="L352" s="28">
        <f>(D352+E352)*11%</f>
        <v>431.2</v>
      </c>
      <c r="M352" s="27">
        <v>0</v>
      </c>
      <c r="N352" s="27">
        <v>52.68</v>
      </c>
      <c r="O352" s="27">
        <f>SUM(K352:N352)</f>
        <v>601.48</v>
      </c>
      <c r="P352" s="27">
        <f t="shared" si="30"/>
        <v>3568.52</v>
      </c>
      <c r="Q352" s="73">
        <v>0</v>
      </c>
    </row>
    <row r="353" spans="1:17" ht="25.5" x14ac:dyDescent="0.2">
      <c r="A353" s="139">
        <v>343</v>
      </c>
      <c r="B353" s="31" t="s">
        <v>211</v>
      </c>
      <c r="C353" s="26" t="s">
        <v>500</v>
      </c>
      <c r="D353" s="27">
        <v>5787</v>
      </c>
      <c r="E353" s="27">
        <v>1800</v>
      </c>
      <c r="F353" s="27">
        <v>0</v>
      </c>
      <c r="G353" s="27">
        <v>250</v>
      </c>
      <c r="H353" s="27">
        <v>0</v>
      </c>
      <c r="I353" s="176">
        <v>0</v>
      </c>
      <c r="J353" s="28">
        <f t="shared" si="27"/>
        <v>7837</v>
      </c>
      <c r="K353" s="28">
        <f t="shared" si="28"/>
        <v>227.61</v>
      </c>
      <c r="L353" s="28">
        <f>(D353+E353)*13%</f>
        <v>986.31</v>
      </c>
      <c r="M353" s="28">
        <v>131.99</v>
      </c>
      <c r="N353" s="28">
        <v>101.97</v>
      </c>
      <c r="O353" s="28">
        <f t="shared" si="29"/>
        <v>1447.88</v>
      </c>
      <c r="P353" s="28">
        <f t="shared" si="30"/>
        <v>6389.12</v>
      </c>
      <c r="Q353" s="73">
        <v>0</v>
      </c>
    </row>
    <row r="354" spans="1:17" x14ac:dyDescent="0.2">
      <c r="A354" s="139">
        <v>344</v>
      </c>
      <c r="B354" s="24" t="s">
        <v>212</v>
      </c>
      <c r="C354" s="24" t="s">
        <v>111</v>
      </c>
      <c r="D354" s="29">
        <v>1668</v>
      </c>
      <c r="E354" s="29">
        <v>1000</v>
      </c>
      <c r="F354" s="27">
        <v>0</v>
      </c>
      <c r="G354" s="176">
        <v>250</v>
      </c>
      <c r="H354" s="176">
        <v>2792.33</v>
      </c>
      <c r="I354" s="176">
        <v>0</v>
      </c>
      <c r="J354" s="28">
        <f t="shared" si="27"/>
        <v>2918</v>
      </c>
      <c r="K354" s="28">
        <f t="shared" si="28"/>
        <v>80.040000000000006</v>
      </c>
      <c r="L354" s="28">
        <f>(D354+E354)*11%</f>
        <v>293.48</v>
      </c>
      <c r="M354" s="28">
        <v>0</v>
      </c>
      <c r="N354" s="28">
        <v>0</v>
      </c>
      <c r="O354" s="28">
        <f t="shared" si="29"/>
        <v>373.52</v>
      </c>
      <c r="P354" s="28">
        <f t="shared" si="30"/>
        <v>2544.48</v>
      </c>
      <c r="Q354" s="73">
        <v>0</v>
      </c>
    </row>
    <row r="355" spans="1:17" ht="25.5" x14ac:dyDescent="0.2">
      <c r="A355" s="139">
        <v>345</v>
      </c>
      <c r="B355" s="24" t="s">
        <v>213</v>
      </c>
      <c r="C355" s="24" t="s">
        <v>327</v>
      </c>
      <c r="D355" s="177">
        <v>2425</v>
      </c>
      <c r="E355" s="29">
        <v>0</v>
      </c>
      <c r="F355" s="27">
        <v>0</v>
      </c>
      <c r="G355" s="176">
        <v>0</v>
      </c>
      <c r="H355" s="176">
        <v>2792.33</v>
      </c>
      <c r="I355" s="176">
        <v>0</v>
      </c>
      <c r="J355" s="28">
        <f t="shared" si="27"/>
        <v>2425</v>
      </c>
      <c r="K355" s="28">
        <f t="shared" si="28"/>
        <v>72.75</v>
      </c>
      <c r="L355" s="28">
        <f>D355*11%</f>
        <v>266.75</v>
      </c>
      <c r="M355" s="28">
        <v>0</v>
      </c>
      <c r="N355" s="28">
        <v>0</v>
      </c>
      <c r="O355" s="28">
        <f t="shared" si="29"/>
        <v>339.5</v>
      </c>
      <c r="P355" s="28">
        <f t="shared" si="30"/>
        <v>2085.5</v>
      </c>
      <c r="Q355" s="73">
        <v>0</v>
      </c>
    </row>
    <row r="356" spans="1:17" ht="25.5" x14ac:dyDescent="0.2">
      <c r="A356" s="139">
        <v>346</v>
      </c>
      <c r="B356" s="25" t="s">
        <v>214</v>
      </c>
      <c r="C356" s="26" t="s">
        <v>280</v>
      </c>
      <c r="D356" s="27">
        <v>3241</v>
      </c>
      <c r="E356" s="27">
        <v>1000</v>
      </c>
      <c r="F356" s="27">
        <v>0</v>
      </c>
      <c r="G356" s="27">
        <v>250</v>
      </c>
      <c r="H356" s="27">
        <v>0</v>
      </c>
      <c r="I356" s="176">
        <v>0</v>
      </c>
      <c r="J356" s="28">
        <f t="shared" si="27"/>
        <v>4491</v>
      </c>
      <c r="K356" s="28">
        <f t="shared" si="28"/>
        <v>127.23</v>
      </c>
      <c r="L356" s="28">
        <f>(D356+E356)*12%</f>
        <v>508.92</v>
      </c>
      <c r="M356" s="28">
        <v>0</v>
      </c>
      <c r="N356" s="28">
        <v>0</v>
      </c>
      <c r="O356" s="28">
        <f t="shared" si="29"/>
        <v>636.15</v>
      </c>
      <c r="P356" s="28">
        <f t="shared" si="30"/>
        <v>3854.85</v>
      </c>
      <c r="Q356" s="73">
        <v>0</v>
      </c>
    </row>
    <row r="357" spans="1:17" ht="25.5" x14ac:dyDescent="0.2">
      <c r="A357" s="139">
        <v>347</v>
      </c>
      <c r="B357" s="229" t="s">
        <v>1011</v>
      </c>
      <c r="C357" s="26" t="s">
        <v>489</v>
      </c>
      <c r="D357" s="221">
        <v>2920</v>
      </c>
      <c r="E357" s="27">
        <v>1000</v>
      </c>
      <c r="F357" s="27">
        <v>0</v>
      </c>
      <c r="G357" s="27">
        <v>250</v>
      </c>
      <c r="H357" s="27">
        <v>0</v>
      </c>
      <c r="I357" s="176">
        <v>0</v>
      </c>
      <c r="J357" s="28">
        <f>SUM(D357:I357)</f>
        <v>4170</v>
      </c>
      <c r="K357" s="28">
        <f t="shared" si="28"/>
        <v>117.6</v>
      </c>
      <c r="L357" s="28">
        <f>(D357+E357)*11%</f>
        <v>431.2</v>
      </c>
      <c r="M357" s="28">
        <v>0</v>
      </c>
      <c r="N357" s="28">
        <v>0</v>
      </c>
      <c r="O357" s="28">
        <f t="shared" si="29"/>
        <v>548.79999999999995</v>
      </c>
      <c r="P357" s="28">
        <f t="shared" si="30"/>
        <v>3621.2</v>
      </c>
      <c r="Q357" s="73">
        <v>0</v>
      </c>
    </row>
    <row r="358" spans="1:17" ht="25.5" x14ac:dyDescent="0.2">
      <c r="A358" s="139">
        <v>348</v>
      </c>
      <c r="B358" s="25" t="s">
        <v>281</v>
      </c>
      <c r="C358" s="26" t="s">
        <v>108</v>
      </c>
      <c r="D358" s="27">
        <v>2920</v>
      </c>
      <c r="E358" s="27">
        <v>1000</v>
      </c>
      <c r="F358" s="27">
        <v>0</v>
      </c>
      <c r="G358" s="27">
        <v>250</v>
      </c>
      <c r="H358" s="27">
        <v>0</v>
      </c>
      <c r="I358" s="176">
        <v>0</v>
      </c>
      <c r="J358" s="28">
        <f t="shared" si="27"/>
        <v>4170</v>
      </c>
      <c r="K358" s="28">
        <f t="shared" si="28"/>
        <v>117.6</v>
      </c>
      <c r="L358" s="28">
        <f>(D358+E358)*11%</f>
        <v>431.2</v>
      </c>
      <c r="M358" s="28">
        <v>0</v>
      </c>
      <c r="N358" s="28">
        <v>52.68</v>
      </c>
      <c r="O358" s="28">
        <f t="shared" si="29"/>
        <v>601.48</v>
      </c>
      <c r="P358" s="28">
        <f t="shared" si="30"/>
        <v>3568.52</v>
      </c>
      <c r="Q358" s="73">
        <v>0</v>
      </c>
    </row>
    <row r="359" spans="1:17" ht="25.5" x14ac:dyDescent="0.2">
      <c r="A359" s="139">
        <v>349</v>
      </c>
      <c r="B359" s="24" t="s">
        <v>282</v>
      </c>
      <c r="C359" s="24" t="s">
        <v>330</v>
      </c>
      <c r="D359" s="177">
        <v>1940</v>
      </c>
      <c r="E359" s="29">
        <v>0</v>
      </c>
      <c r="F359" s="27">
        <v>0</v>
      </c>
      <c r="G359" s="176">
        <v>0</v>
      </c>
      <c r="H359" s="176">
        <v>2792.33</v>
      </c>
      <c r="I359" s="176">
        <v>0</v>
      </c>
      <c r="J359" s="28">
        <f t="shared" si="27"/>
        <v>1940</v>
      </c>
      <c r="K359" s="28">
        <f t="shared" si="28"/>
        <v>58.2</v>
      </c>
      <c r="L359" s="28">
        <f>(D359+E359)*10%</f>
        <v>194</v>
      </c>
      <c r="M359" s="28">
        <v>0</v>
      </c>
      <c r="N359" s="28">
        <v>0</v>
      </c>
      <c r="O359" s="28">
        <f t="shared" si="29"/>
        <v>252.2</v>
      </c>
      <c r="P359" s="28">
        <f t="shared" si="30"/>
        <v>1687.8</v>
      </c>
      <c r="Q359" s="73">
        <v>0</v>
      </c>
    </row>
    <row r="360" spans="1:17" ht="25.5" x14ac:dyDescent="0.2">
      <c r="A360" s="139">
        <v>350</v>
      </c>
      <c r="B360" s="24" t="s">
        <v>229</v>
      </c>
      <c r="C360" s="24" t="s">
        <v>327</v>
      </c>
      <c r="D360" s="177">
        <v>2425</v>
      </c>
      <c r="E360" s="29">
        <v>0</v>
      </c>
      <c r="F360" s="27">
        <v>0</v>
      </c>
      <c r="G360" s="176">
        <v>0</v>
      </c>
      <c r="H360" s="176">
        <v>2792.33</v>
      </c>
      <c r="I360" s="176">
        <v>0</v>
      </c>
      <c r="J360" s="28">
        <f t="shared" si="27"/>
        <v>2425</v>
      </c>
      <c r="K360" s="28">
        <f t="shared" si="28"/>
        <v>72.75</v>
      </c>
      <c r="L360" s="28">
        <f>D360*11%</f>
        <v>266.75</v>
      </c>
      <c r="M360" s="28">
        <v>0</v>
      </c>
      <c r="N360" s="28">
        <v>0</v>
      </c>
      <c r="O360" s="28">
        <f t="shared" si="29"/>
        <v>339.5</v>
      </c>
      <c r="P360" s="28">
        <f t="shared" si="30"/>
        <v>2085.5</v>
      </c>
      <c r="Q360" s="73">
        <v>0</v>
      </c>
    </row>
    <row r="361" spans="1:17" ht="25.5" x14ac:dyDescent="0.2">
      <c r="A361" s="139">
        <v>351</v>
      </c>
      <c r="B361" s="36" t="s">
        <v>451</v>
      </c>
      <c r="C361" s="24" t="s">
        <v>327</v>
      </c>
      <c r="D361" s="29">
        <v>2425</v>
      </c>
      <c r="E361" s="29">
        <v>0</v>
      </c>
      <c r="F361" s="27">
        <v>0</v>
      </c>
      <c r="G361" s="176">
        <v>0</v>
      </c>
      <c r="H361" s="176">
        <v>2792.33</v>
      </c>
      <c r="I361" s="176">
        <v>0</v>
      </c>
      <c r="J361" s="28">
        <f t="shared" si="27"/>
        <v>2425</v>
      </c>
      <c r="K361" s="28">
        <f t="shared" si="28"/>
        <v>72.75</v>
      </c>
      <c r="L361" s="28">
        <f>D361*11%</f>
        <v>266.75</v>
      </c>
      <c r="M361" s="28">
        <v>0</v>
      </c>
      <c r="N361" s="28">
        <v>0</v>
      </c>
      <c r="O361" s="28">
        <f t="shared" si="29"/>
        <v>339.5</v>
      </c>
      <c r="P361" s="28">
        <f t="shared" si="30"/>
        <v>2085.5</v>
      </c>
      <c r="Q361" s="73">
        <v>0</v>
      </c>
    </row>
    <row r="362" spans="1:17" x14ac:dyDescent="0.2">
      <c r="A362" s="139">
        <v>352</v>
      </c>
      <c r="B362" s="31" t="s">
        <v>215</v>
      </c>
      <c r="C362" s="24" t="s">
        <v>111</v>
      </c>
      <c r="D362" s="27">
        <v>1668</v>
      </c>
      <c r="E362" s="27">
        <v>1000</v>
      </c>
      <c r="F362" s="27">
        <v>0</v>
      </c>
      <c r="G362" s="27">
        <v>250</v>
      </c>
      <c r="H362" s="176">
        <v>2792.33</v>
      </c>
      <c r="I362" s="176">
        <v>0</v>
      </c>
      <c r="J362" s="28">
        <f t="shared" si="27"/>
        <v>2918</v>
      </c>
      <c r="K362" s="28">
        <f t="shared" si="28"/>
        <v>80.040000000000006</v>
      </c>
      <c r="L362" s="28">
        <f>(D362+E362)*11%</f>
        <v>293.48</v>
      </c>
      <c r="M362" s="28">
        <v>0</v>
      </c>
      <c r="N362" s="28">
        <v>0</v>
      </c>
      <c r="O362" s="28">
        <f t="shared" si="29"/>
        <v>373.52</v>
      </c>
      <c r="P362" s="28">
        <f t="shared" si="30"/>
        <v>2544.48</v>
      </c>
      <c r="Q362" s="73">
        <v>0</v>
      </c>
    </row>
    <row r="363" spans="1:17" ht="25.5" x14ac:dyDescent="0.2">
      <c r="A363" s="139">
        <v>353</v>
      </c>
      <c r="B363" s="24" t="s">
        <v>216</v>
      </c>
      <c r="C363" s="24" t="s">
        <v>470</v>
      </c>
      <c r="D363" s="29">
        <v>3241</v>
      </c>
      <c r="E363" s="175">
        <v>1000</v>
      </c>
      <c r="F363" s="27">
        <v>0</v>
      </c>
      <c r="G363" s="176">
        <v>250</v>
      </c>
      <c r="H363" s="176">
        <v>0</v>
      </c>
      <c r="I363" s="176">
        <v>0</v>
      </c>
      <c r="J363" s="28">
        <f t="shared" si="27"/>
        <v>4491</v>
      </c>
      <c r="K363" s="28">
        <f t="shared" si="28"/>
        <v>127.23</v>
      </c>
      <c r="L363" s="28">
        <f>(D363+E363)*12%</f>
        <v>508.92</v>
      </c>
      <c r="M363" s="28">
        <v>0</v>
      </c>
      <c r="N363" s="28">
        <v>0</v>
      </c>
      <c r="O363" s="28">
        <f t="shared" si="29"/>
        <v>636.15</v>
      </c>
      <c r="P363" s="28">
        <f t="shared" si="30"/>
        <v>3854.85</v>
      </c>
      <c r="Q363" s="73">
        <v>0</v>
      </c>
    </row>
    <row r="364" spans="1:17" x14ac:dyDescent="0.2">
      <c r="A364" s="139">
        <v>354</v>
      </c>
      <c r="B364" s="79" t="s">
        <v>514</v>
      </c>
      <c r="C364" s="22" t="s">
        <v>109</v>
      </c>
      <c r="D364" s="78">
        <v>1902</v>
      </c>
      <c r="E364" s="175">
        <v>1000</v>
      </c>
      <c r="F364" s="27">
        <v>0</v>
      </c>
      <c r="G364" s="176">
        <v>250</v>
      </c>
      <c r="H364" s="176">
        <v>0</v>
      </c>
      <c r="I364" s="176">
        <v>0</v>
      </c>
      <c r="J364" s="28">
        <f t="shared" si="27"/>
        <v>3152</v>
      </c>
      <c r="K364" s="28">
        <f t="shared" si="28"/>
        <v>87.06</v>
      </c>
      <c r="L364" s="28">
        <f>(D364+E364)*11%</f>
        <v>319.22000000000003</v>
      </c>
      <c r="M364" s="28">
        <v>0</v>
      </c>
      <c r="N364" s="28">
        <v>0</v>
      </c>
      <c r="O364" s="28">
        <f t="shared" si="29"/>
        <v>406.28</v>
      </c>
      <c r="P364" s="28">
        <f t="shared" si="30"/>
        <v>2745.72</v>
      </c>
      <c r="Q364" s="73">
        <v>0</v>
      </c>
    </row>
    <row r="365" spans="1:17" ht="25.5" x14ac:dyDescent="0.2">
      <c r="A365" s="139">
        <v>355</v>
      </c>
      <c r="B365" s="24" t="s">
        <v>377</v>
      </c>
      <c r="C365" s="24" t="s">
        <v>327</v>
      </c>
      <c r="D365" s="177">
        <v>2425</v>
      </c>
      <c r="E365" s="29">
        <v>0</v>
      </c>
      <c r="F365" s="27">
        <v>0</v>
      </c>
      <c r="G365" s="176">
        <v>0</v>
      </c>
      <c r="H365" s="176">
        <v>2792.33</v>
      </c>
      <c r="I365" s="176">
        <v>0</v>
      </c>
      <c r="J365" s="28">
        <f t="shared" si="27"/>
        <v>2425</v>
      </c>
      <c r="K365" s="28">
        <f t="shared" si="28"/>
        <v>72.75</v>
      </c>
      <c r="L365" s="28">
        <f>D365*11%</f>
        <v>266.75</v>
      </c>
      <c r="M365" s="28">
        <v>0</v>
      </c>
      <c r="N365" s="28">
        <v>0</v>
      </c>
      <c r="O365" s="28">
        <f t="shared" si="29"/>
        <v>339.5</v>
      </c>
      <c r="P365" s="28">
        <f t="shared" si="30"/>
        <v>2085.5</v>
      </c>
      <c r="Q365" s="73">
        <v>0</v>
      </c>
    </row>
    <row r="366" spans="1:17" ht="25.5" x14ac:dyDescent="0.2">
      <c r="A366" s="139">
        <v>356</v>
      </c>
      <c r="B366" s="22" t="s">
        <v>240</v>
      </c>
      <c r="C366" s="33" t="s">
        <v>113</v>
      </c>
      <c r="D366" s="29">
        <v>1902</v>
      </c>
      <c r="E366" s="175">
        <v>1000</v>
      </c>
      <c r="F366" s="27">
        <v>0</v>
      </c>
      <c r="G366" s="176">
        <v>250</v>
      </c>
      <c r="H366" s="176">
        <v>2792.33</v>
      </c>
      <c r="I366" s="176">
        <v>0</v>
      </c>
      <c r="J366" s="28">
        <f t="shared" si="27"/>
        <v>3152</v>
      </c>
      <c r="K366" s="28">
        <f t="shared" si="28"/>
        <v>87.06</v>
      </c>
      <c r="L366" s="28">
        <f>(D366+E366)*11%</f>
        <v>319.22000000000003</v>
      </c>
      <c r="M366" s="28">
        <v>0</v>
      </c>
      <c r="N366" s="28">
        <v>0</v>
      </c>
      <c r="O366" s="28">
        <f t="shared" si="29"/>
        <v>406.28</v>
      </c>
      <c r="P366" s="28">
        <f>SUM(D366:O366)</f>
        <v>9908.89</v>
      </c>
      <c r="Q366" s="73">
        <f>1013.3</f>
        <v>1013.3</v>
      </c>
    </row>
    <row r="367" spans="1:17" ht="25.5" x14ac:dyDescent="0.2">
      <c r="A367" s="139">
        <v>357</v>
      </c>
      <c r="B367" s="32" t="s">
        <v>217</v>
      </c>
      <c r="C367" s="24" t="s">
        <v>335</v>
      </c>
      <c r="D367" s="29">
        <v>3081</v>
      </c>
      <c r="E367" s="175">
        <v>1000</v>
      </c>
      <c r="F367" s="27">
        <v>0</v>
      </c>
      <c r="G367" s="176">
        <v>250</v>
      </c>
      <c r="H367" s="176">
        <v>2792.33</v>
      </c>
      <c r="I367" s="176">
        <v>0</v>
      </c>
      <c r="J367" s="28">
        <f t="shared" si="27"/>
        <v>4331</v>
      </c>
      <c r="K367" s="28">
        <f t="shared" si="28"/>
        <v>122.43</v>
      </c>
      <c r="L367" s="28">
        <f>(D367+E367)*12%</f>
        <v>489.72</v>
      </c>
      <c r="M367" s="28">
        <v>0</v>
      </c>
      <c r="N367" s="28">
        <v>0</v>
      </c>
      <c r="O367" s="28">
        <f t="shared" si="29"/>
        <v>612.15</v>
      </c>
      <c r="P367" s="28">
        <f>SUM(D367:O367)</f>
        <v>12678.63</v>
      </c>
      <c r="Q367" s="73">
        <v>0</v>
      </c>
    </row>
    <row r="368" spans="1:17" ht="25.5" x14ac:dyDescent="0.2">
      <c r="A368" s="139">
        <v>358</v>
      </c>
      <c r="B368" s="22" t="s">
        <v>218</v>
      </c>
      <c r="C368" s="24" t="s">
        <v>327</v>
      </c>
      <c r="D368" s="29">
        <v>2425</v>
      </c>
      <c r="E368" s="29">
        <v>0</v>
      </c>
      <c r="F368" s="27">
        <v>0</v>
      </c>
      <c r="G368" s="176">
        <v>0</v>
      </c>
      <c r="H368" s="176">
        <v>2792.33</v>
      </c>
      <c r="I368" s="176">
        <v>0</v>
      </c>
      <c r="J368" s="28">
        <f t="shared" si="27"/>
        <v>2425</v>
      </c>
      <c r="K368" s="28">
        <f t="shared" si="28"/>
        <v>72.75</v>
      </c>
      <c r="L368" s="28">
        <f>D368*11%</f>
        <v>266.75</v>
      </c>
      <c r="M368" s="28">
        <v>0</v>
      </c>
      <c r="N368" s="28">
        <v>0</v>
      </c>
      <c r="O368" s="28">
        <f t="shared" si="29"/>
        <v>339.5</v>
      </c>
      <c r="P368" s="28">
        <f>SUM(D368:O368)</f>
        <v>8321.33</v>
      </c>
      <c r="Q368" s="73">
        <v>0</v>
      </c>
    </row>
    <row r="369" spans="1:17" x14ac:dyDescent="0.2">
      <c r="A369" s="139">
        <v>359</v>
      </c>
      <c r="B369" s="238" t="s">
        <v>1020</v>
      </c>
      <c r="C369" t="s">
        <v>1021</v>
      </c>
      <c r="D369" s="29">
        <v>6759</v>
      </c>
      <c r="E369" s="29">
        <v>4000</v>
      </c>
      <c r="F369" s="27">
        <v>0</v>
      </c>
      <c r="G369" s="176">
        <v>250</v>
      </c>
      <c r="H369" s="176">
        <v>0</v>
      </c>
      <c r="I369" s="176"/>
      <c r="J369" s="28">
        <f>SUM(D369:H369)</f>
        <v>11009</v>
      </c>
      <c r="K369" s="28">
        <f t="shared" si="28"/>
        <v>322.77</v>
      </c>
      <c r="L369" s="28">
        <f>(D369+E369)*15%</f>
        <v>1613.85</v>
      </c>
      <c r="M369" s="28">
        <v>254.45</v>
      </c>
      <c r="N369" s="28">
        <v>144.6</v>
      </c>
      <c r="O369" s="28">
        <f t="shared" si="29"/>
        <v>2335.67</v>
      </c>
      <c r="P369" s="28">
        <f>SUM(D369:O369)</f>
        <v>26689.34</v>
      </c>
      <c r="Q369" s="73">
        <v>0</v>
      </c>
    </row>
    <row r="370" spans="1:17" ht="25.5" x14ac:dyDescent="0.2">
      <c r="A370" s="139">
        <v>360</v>
      </c>
      <c r="B370" s="22" t="s">
        <v>219</v>
      </c>
      <c r="C370" s="24" t="s">
        <v>330</v>
      </c>
      <c r="D370" s="29">
        <v>1940</v>
      </c>
      <c r="E370" s="29">
        <v>0</v>
      </c>
      <c r="F370" s="27">
        <v>0</v>
      </c>
      <c r="G370" s="176">
        <v>0</v>
      </c>
      <c r="H370" s="176">
        <v>2792.33</v>
      </c>
      <c r="I370" s="176">
        <v>0</v>
      </c>
      <c r="J370" s="28">
        <f t="shared" si="27"/>
        <v>1940</v>
      </c>
      <c r="K370" s="28">
        <f t="shared" si="28"/>
        <v>58.2</v>
      </c>
      <c r="L370" s="28">
        <f>D370*10%</f>
        <v>194</v>
      </c>
      <c r="M370" s="28">
        <v>0</v>
      </c>
      <c r="N370" s="28">
        <v>0</v>
      </c>
      <c r="O370" s="28">
        <f t="shared" si="29"/>
        <v>252.2</v>
      </c>
      <c r="P370" s="28">
        <f t="shared" ref="P370:P380" si="31">J370-O370</f>
        <v>1687.8</v>
      </c>
      <c r="Q370" s="73">
        <v>0</v>
      </c>
    </row>
    <row r="371" spans="1:17" ht="25.5" x14ac:dyDescent="0.2">
      <c r="A371" s="139">
        <v>361</v>
      </c>
      <c r="B371" s="23" t="s">
        <v>236</v>
      </c>
      <c r="C371" s="33" t="s">
        <v>113</v>
      </c>
      <c r="D371" s="29">
        <v>1902</v>
      </c>
      <c r="E371" s="175">
        <v>1000</v>
      </c>
      <c r="F371" s="27">
        <v>0</v>
      </c>
      <c r="G371" s="176">
        <v>250</v>
      </c>
      <c r="H371" s="176">
        <v>2792.33</v>
      </c>
      <c r="I371" s="176">
        <v>0</v>
      </c>
      <c r="J371" s="28">
        <f t="shared" si="27"/>
        <v>3152</v>
      </c>
      <c r="K371" s="28">
        <f t="shared" si="28"/>
        <v>87.06</v>
      </c>
      <c r="L371" s="28">
        <f>(D371+E371)*11%</f>
        <v>319.22000000000003</v>
      </c>
      <c r="M371" s="28">
        <v>0</v>
      </c>
      <c r="N371" s="28">
        <v>0</v>
      </c>
      <c r="O371" s="28">
        <f t="shared" si="29"/>
        <v>406.28</v>
      </c>
      <c r="P371" s="28">
        <f t="shared" si="31"/>
        <v>2745.72</v>
      </c>
      <c r="Q371" s="73">
        <v>0</v>
      </c>
    </row>
    <row r="372" spans="1:17" ht="25.5" x14ac:dyDescent="0.2">
      <c r="A372" s="139">
        <v>362</v>
      </c>
      <c r="B372" s="22" t="s">
        <v>220</v>
      </c>
      <c r="C372" s="22" t="s">
        <v>984</v>
      </c>
      <c r="D372" s="29">
        <v>2920</v>
      </c>
      <c r="E372" s="175">
        <v>1000</v>
      </c>
      <c r="F372" s="27">
        <v>0</v>
      </c>
      <c r="G372" s="176">
        <v>250</v>
      </c>
      <c r="H372" s="176">
        <v>0</v>
      </c>
      <c r="I372" s="176">
        <v>0</v>
      </c>
      <c r="J372" s="28">
        <f t="shared" si="27"/>
        <v>4170</v>
      </c>
      <c r="K372" s="28">
        <f t="shared" si="28"/>
        <v>117.6</v>
      </c>
      <c r="L372" s="28">
        <f>(D372+E372)*11%</f>
        <v>431.2</v>
      </c>
      <c r="M372" s="28">
        <v>0</v>
      </c>
      <c r="N372" s="28">
        <v>50.53</v>
      </c>
      <c r="O372" s="28">
        <f t="shared" si="29"/>
        <v>599.33000000000004</v>
      </c>
      <c r="P372" s="28">
        <f t="shared" si="31"/>
        <v>3570.67</v>
      </c>
      <c r="Q372" s="73">
        <v>0</v>
      </c>
    </row>
    <row r="373" spans="1:17" ht="25.5" x14ac:dyDescent="0.2">
      <c r="A373" s="139">
        <v>363</v>
      </c>
      <c r="B373" s="24" t="s">
        <v>221</v>
      </c>
      <c r="C373" s="24" t="s">
        <v>327</v>
      </c>
      <c r="D373" s="29">
        <v>2425</v>
      </c>
      <c r="E373" s="29">
        <v>0</v>
      </c>
      <c r="F373" s="27">
        <v>0</v>
      </c>
      <c r="G373" s="176">
        <v>0</v>
      </c>
      <c r="H373" s="176">
        <v>2792.33</v>
      </c>
      <c r="I373" s="176">
        <v>0</v>
      </c>
      <c r="J373" s="28">
        <f t="shared" si="27"/>
        <v>2425</v>
      </c>
      <c r="K373" s="28">
        <f t="shared" si="28"/>
        <v>72.75</v>
      </c>
      <c r="L373" s="28">
        <f>D373*11%</f>
        <v>266.75</v>
      </c>
      <c r="M373" s="28">
        <v>0</v>
      </c>
      <c r="N373" s="28">
        <v>0</v>
      </c>
      <c r="O373" s="28">
        <f t="shared" si="29"/>
        <v>339.5</v>
      </c>
      <c r="P373" s="28">
        <f t="shared" si="31"/>
        <v>2085.5</v>
      </c>
      <c r="Q373" s="73">
        <v>0</v>
      </c>
    </row>
    <row r="374" spans="1:17" ht="25.5" x14ac:dyDescent="0.2">
      <c r="A374" s="139">
        <v>364</v>
      </c>
      <c r="B374" s="24" t="s">
        <v>376</v>
      </c>
      <c r="C374" s="24" t="s">
        <v>327</v>
      </c>
      <c r="D374" s="177">
        <v>2425</v>
      </c>
      <c r="E374" s="29">
        <v>0</v>
      </c>
      <c r="F374" s="27">
        <v>0</v>
      </c>
      <c r="G374" s="176">
        <v>0</v>
      </c>
      <c r="H374" s="176">
        <v>2792.33</v>
      </c>
      <c r="I374" s="176">
        <v>0</v>
      </c>
      <c r="J374" s="28">
        <f t="shared" si="27"/>
        <v>2425</v>
      </c>
      <c r="K374" s="28">
        <f t="shared" si="28"/>
        <v>72.75</v>
      </c>
      <c r="L374" s="28">
        <f>D374*11%</f>
        <v>266.75</v>
      </c>
      <c r="M374" s="28">
        <v>0</v>
      </c>
      <c r="N374" s="28">
        <v>0</v>
      </c>
      <c r="O374" s="28">
        <f t="shared" si="29"/>
        <v>339.5</v>
      </c>
      <c r="P374" s="28">
        <f t="shared" si="31"/>
        <v>2085.5</v>
      </c>
      <c r="Q374" s="73">
        <v>0</v>
      </c>
    </row>
    <row r="375" spans="1:17" ht="25.5" x14ac:dyDescent="0.2">
      <c r="A375" s="139">
        <v>365</v>
      </c>
      <c r="B375" s="41" t="s">
        <v>427</v>
      </c>
      <c r="C375" s="24" t="s">
        <v>327</v>
      </c>
      <c r="D375" s="177">
        <v>2425</v>
      </c>
      <c r="E375" s="29">
        <v>0</v>
      </c>
      <c r="F375" s="27">
        <v>0</v>
      </c>
      <c r="G375" s="176">
        <v>0</v>
      </c>
      <c r="H375" s="176">
        <v>2792.33</v>
      </c>
      <c r="I375" s="176">
        <v>0</v>
      </c>
      <c r="J375" s="28">
        <f t="shared" si="27"/>
        <v>2425</v>
      </c>
      <c r="K375" s="28">
        <f t="shared" si="28"/>
        <v>72.75</v>
      </c>
      <c r="L375" s="28">
        <f>D375*11%</f>
        <v>266.75</v>
      </c>
      <c r="M375" s="28">
        <v>0</v>
      </c>
      <c r="N375" s="28">
        <v>0</v>
      </c>
      <c r="O375" s="28">
        <f t="shared" si="29"/>
        <v>339.5</v>
      </c>
      <c r="P375" s="28">
        <f t="shared" si="31"/>
        <v>2085.5</v>
      </c>
      <c r="Q375" s="73">
        <v>0</v>
      </c>
    </row>
    <row r="376" spans="1:17" ht="25.5" x14ac:dyDescent="0.2">
      <c r="A376" s="139">
        <v>366</v>
      </c>
      <c r="B376" s="32" t="s">
        <v>472</v>
      </c>
      <c r="C376" s="24" t="s">
        <v>335</v>
      </c>
      <c r="D376" s="200">
        <v>3081</v>
      </c>
      <c r="E376" s="27">
        <v>1000</v>
      </c>
      <c r="F376" s="27">
        <v>0</v>
      </c>
      <c r="G376" s="27">
        <v>250</v>
      </c>
      <c r="H376" s="176">
        <v>2792.33</v>
      </c>
      <c r="I376" s="176">
        <v>0</v>
      </c>
      <c r="J376" s="28">
        <f t="shared" si="27"/>
        <v>4331</v>
      </c>
      <c r="K376" s="28">
        <f>(D376+E376+F376)*3%</f>
        <v>122.43</v>
      </c>
      <c r="L376" s="28">
        <f>(D376+E376)*12%</f>
        <v>489.72</v>
      </c>
      <c r="M376" s="28">
        <v>0</v>
      </c>
      <c r="N376" s="28">
        <v>0</v>
      </c>
      <c r="O376" s="28">
        <f t="shared" si="29"/>
        <v>612.15</v>
      </c>
      <c r="P376" s="28">
        <f t="shared" si="31"/>
        <v>3718.85</v>
      </c>
      <c r="Q376" s="73">
        <v>0</v>
      </c>
    </row>
    <row r="377" spans="1:17" ht="25.5" x14ac:dyDescent="0.2">
      <c r="A377" s="139">
        <v>367</v>
      </c>
      <c r="B377" s="24" t="s">
        <v>222</v>
      </c>
      <c r="C377" s="24" t="s">
        <v>330</v>
      </c>
      <c r="D377" s="177">
        <v>1940</v>
      </c>
      <c r="E377" s="29">
        <v>0</v>
      </c>
      <c r="F377" s="27">
        <v>0</v>
      </c>
      <c r="G377" s="176">
        <v>0</v>
      </c>
      <c r="H377" s="176">
        <v>0</v>
      </c>
      <c r="I377" s="176">
        <v>0</v>
      </c>
      <c r="J377" s="28">
        <f>SUM(D377:G377)</f>
        <v>1940</v>
      </c>
      <c r="K377" s="28">
        <f>(D377+E377+F377)*3%</f>
        <v>58.2</v>
      </c>
      <c r="L377" s="28">
        <f>D377*10%</f>
        <v>194</v>
      </c>
      <c r="M377" s="28">
        <v>0</v>
      </c>
      <c r="N377" s="28">
        <v>0</v>
      </c>
      <c r="O377" s="28">
        <f>K377+L377+M377+N377</f>
        <v>252.2</v>
      </c>
      <c r="P377" s="28">
        <f t="shared" si="31"/>
        <v>1687.8</v>
      </c>
      <c r="Q377" s="73">
        <v>0</v>
      </c>
    </row>
    <row r="378" spans="1:17" ht="25.5" x14ac:dyDescent="0.2">
      <c r="A378" s="139">
        <v>368</v>
      </c>
      <c r="B378" s="22" t="s">
        <v>223</v>
      </c>
      <c r="C378" s="22" t="s">
        <v>503</v>
      </c>
      <c r="D378" s="175">
        <v>5095</v>
      </c>
      <c r="E378" s="175">
        <v>1800</v>
      </c>
      <c r="F378" s="27">
        <v>0</v>
      </c>
      <c r="G378" s="196">
        <v>250</v>
      </c>
      <c r="H378" s="196">
        <v>0</v>
      </c>
      <c r="I378" s="176">
        <v>0</v>
      </c>
      <c r="J378" s="28">
        <f>SUM(D378:G378)</f>
        <v>7145</v>
      </c>
      <c r="K378" s="28">
        <f>(D378+E378+F378)*3%</f>
        <v>206.85</v>
      </c>
      <c r="L378" s="43">
        <f>(D378+E378)*13%</f>
        <v>896.35</v>
      </c>
      <c r="M378" s="28">
        <v>102.92</v>
      </c>
      <c r="N378" s="28">
        <v>92.67</v>
      </c>
      <c r="O378" s="28">
        <f>K378+L378+M378+N378</f>
        <v>1298.79</v>
      </c>
      <c r="P378" s="43">
        <f t="shared" si="31"/>
        <v>5846.21</v>
      </c>
      <c r="Q378" s="73">
        <v>0</v>
      </c>
    </row>
    <row r="379" spans="1:17" ht="25.5" x14ac:dyDescent="0.2">
      <c r="A379" s="139">
        <v>369</v>
      </c>
      <c r="B379" s="66" t="s">
        <v>474</v>
      </c>
      <c r="C379" s="24" t="s">
        <v>110</v>
      </c>
      <c r="D379" s="175">
        <v>2920</v>
      </c>
      <c r="E379" s="175">
        <v>1000</v>
      </c>
      <c r="F379" s="27">
        <v>0</v>
      </c>
      <c r="G379" s="196">
        <v>250</v>
      </c>
      <c r="H379" s="196">
        <v>0</v>
      </c>
      <c r="I379" s="176">
        <v>0</v>
      </c>
      <c r="J379" s="28">
        <f>SUM(D379:G379)</f>
        <v>4170</v>
      </c>
      <c r="K379" s="28">
        <f>(D379+E379+F379)*3%</f>
        <v>117.6</v>
      </c>
      <c r="L379" s="43">
        <f>(D379+E379)*11%</f>
        <v>431.2</v>
      </c>
      <c r="M379" s="28">
        <v>0</v>
      </c>
      <c r="N379" s="28">
        <v>0</v>
      </c>
      <c r="O379" s="28">
        <f>K379+L379+M379+N379</f>
        <v>548.79999999999995</v>
      </c>
      <c r="P379" s="43">
        <f t="shared" si="31"/>
        <v>3621.2</v>
      </c>
      <c r="Q379" s="73">
        <v>0</v>
      </c>
    </row>
    <row r="380" spans="1:17" ht="26.25" thickBot="1" x14ac:dyDescent="0.25">
      <c r="A380" s="139">
        <v>370</v>
      </c>
      <c r="B380" s="101" t="s">
        <v>442</v>
      </c>
      <c r="C380" s="101" t="s">
        <v>327</v>
      </c>
      <c r="D380" s="201">
        <v>2425</v>
      </c>
      <c r="E380" s="202">
        <v>0</v>
      </c>
      <c r="F380" s="203">
        <v>0</v>
      </c>
      <c r="G380" s="204">
        <v>0</v>
      </c>
      <c r="H380" s="176">
        <v>2792.33</v>
      </c>
      <c r="I380" s="176">
        <v>0</v>
      </c>
      <c r="J380" s="104">
        <f>SUM(D380:G380)</f>
        <v>2425</v>
      </c>
      <c r="K380" s="104">
        <f>(D380+E380+F380)*3%</f>
        <v>72.75</v>
      </c>
      <c r="L380" s="104">
        <f>D380*11%</f>
        <v>266.75</v>
      </c>
      <c r="M380" s="104">
        <v>0</v>
      </c>
      <c r="N380" s="104">
        <v>0</v>
      </c>
      <c r="O380" s="104">
        <f>K380+L380+M380+N380</f>
        <v>339.5</v>
      </c>
      <c r="P380" s="104">
        <f t="shared" si="31"/>
        <v>2085.5</v>
      </c>
      <c r="Q380" s="73">
        <v>0</v>
      </c>
    </row>
    <row r="381" spans="1:17" ht="13.5" thickBot="1" x14ac:dyDescent="0.25">
      <c r="A381" s="279" t="s">
        <v>465</v>
      </c>
      <c r="B381" s="280"/>
      <c r="C381" s="281"/>
      <c r="D381" s="205">
        <f t="shared" ref="D381:P381" si="32">SUM(D11:D380)</f>
        <v>961186.9</v>
      </c>
      <c r="E381" s="206">
        <f t="shared" si="32"/>
        <v>268167.74</v>
      </c>
      <c r="F381" s="206">
        <f t="shared" si="32"/>
        <v>1500</v>
      </c>
      <c r="G381" s="206">
        <f t="shared" si="32"/>
        <v>53250</v>
      </c>
      <c r="H381" s="206">
        <f>SUM(H11:H380)</f>
        <v>744823.93</v>
      </c>
      <c r="I381" s="206">
        <f>SUM(I11:I380)</f>
        <v>0</v>
      </c>
      <c r="J381" s="206">
        <f t="shared" si="32"/>
        <v>1284104.6399999999</v>
      </c>
      <c r="K381" s="206">
        <f t="shared" si="32"/>
        <v>36925.64</v>
      </c>
      <c r="L381" s="206">
        <f t="shared" si="32"/>
        <v>140957.48000000001</v>
      </c>
      <c r="M381" s="206">
        <f t="shared" si="32"/>
        <v>4481.5200000000004</v>
      </c>
      <c r="N381" s="206">
        <f t="shared" si="32"/>
        <v>5991.03</v>
      </c>
      <c r="O381" s="206">
        <f t="shared" si="32"/>
        <v>187806.87</v>
      </c>
      <c r="P381" s="207">
        <f t="shared" si="32"/>
        <v>1160515.01</v>
      </c>
      <c r="Q381" s="208">
        <f>SUM(Q11:Q380)</f>
        <v>149883.48000000001</v>
      </c>
    </row>
    <row r="382" spans="1:17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ht="34.5" customHeight="1" x14ac:dyDescent="0.2">
      <c r="A383" s="6"/>
      <c r="B383" s="282"/>
      <c r="C383" s="274"/>
      <c r="D383" s="274"/>
      <c r="E383" s="274"/>
      <c r="F383" s="274"/>
      <c r="G383" s="274"/>
      <c r="H383" s="274"/>
      <c r="I383" s="274"/>
      <c r="J383" s="274"/>
      <c r="K383" s="274"/>
      <c r="L383" s="274"/>
      <c r="M383" s="274"/>
      <c r="N383" s="274"/>
      <c r="O383" s="274"/>
      <c r="P383" s="274"/>
      <c r="Q383" s="6"/>
    </row>
    <row r="384" spans="1:17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1:17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1:17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1:17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1:17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1:17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1:17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1:17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1:17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1:17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1:17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1:17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1:17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1:17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1:17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1:17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1:17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1:17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1:17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1:17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1:17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1:17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1:17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1:17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1:17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1:17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1:17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1:17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1:17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1:17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1:17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1:17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1:17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1:17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1:17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1:17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1:17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1:17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1:17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1:17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1:17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1:17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1:17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1:17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1:17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1:17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1:17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1:17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1:17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1:17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1:17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1:17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1:17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1:17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1:17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1:17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1:17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1:17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1:17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1:17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1:17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1:17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1:17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1:17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1:17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1:17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1:17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1:17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1:17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1:17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1:17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1:17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1:17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1:17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1:17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1:17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1:17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1:17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1:17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1:17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1:17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1:17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1:17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1:17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1:17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1:17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1:17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1:17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1:17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1:17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1:17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1:17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1:17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1:17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1:17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1:17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1:17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1:17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1:17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1:17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1:17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1:17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1:17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1:17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1:17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1:17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1:17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1:17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1:17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1:17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1:17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1:17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1:17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1:17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1:17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1:17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1:17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1:17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1:17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1:17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1:17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1:17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1:17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1:17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1:17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1:17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1:17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1:17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1:17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1:17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1:17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1:17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1:17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1:17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1:17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1:17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1:17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1:17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1:17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1:17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1:17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1:17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1:17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1:17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</sheetData>
  <mergeCells count="16">
    <mergeCell ref="D9:D10"/>
    <mergeCell ref="E9:J9"/>
    <mergeCell ref="P9:P10"/>
    <mergeCell ref="A3:Q3"/>
    <mergeCell ref="A7:Q7"/>
    <mergeCell ref="A6:Q6"/>
    <mergeCell ref="A5:Q5"/>
    <mergeCell ref="A4:Q4"/>
    <mergeCell ref="A2:Q2"/>
    <mergeCell ref="Q9:Q10"/>
    <mergeCell ref="A381:C381"/>
    <mergeCell ref="B383:P383"/>
    <mergeCell ref="K9:O9"/>
    <mergeCell ref="A9:A10"/>
    <mergeCell ref="B9:B10"/>
    <mergeCell ref="C9:C10"/>
  </mergeCells>
  <printOptions horizontalCentered="1"/>
  <pageMargins left="1.3385826771653544" right="0.74803149606299213" top="1.1811023622047245" bottom="0.98425196850393704" header="0.78740157480314965" footer="0"/>
  <pageSetup paperSize="5" scale="45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1554"/>
  <sheetViews>
    <sheetView showGridLines="0" zoomScaleNormal="100" workbookViewId="0">
      <selection activeCell="B22" sqref="B22"/>
    </sheetView>
  </sheetViews>
  <sheetFormatPr baseColWidth="10" defaultColWidth="11.5703125" defaultRowHeight="12.75" x14ac:dyDescent="0.2"/>
  <cols>
    <col min="1" max="1" width="7" customWidth="1"/>
    <col min="2" max="2" width="32.140625" customWidth="1"/>
    <col min="3" max="3" width="33.140625" customWidth="1"/>
    <col min="4" max="4" width="13.42578125" customWidth="1"/>
    <col min="5" max="5" width="12.85546875" customWidth="1"/>
    <col min="6" max="6" width="13.5703125" customWidth="1"/>
    <col min="7" max="7" width="13.28515625" customWidth="1"/>
    <col min="8" max="9" width="12.140625" customWidth="1"/>
    <col min="10" max="10" width="13.42578125" customWidth="1"/>
    <col min="11" max="11" width="11.28515625" hidden="1" customWidth="1"/>
    <col min="12" max="12" width="12.28515625" hidden="1" customWidth="1"/>
    <col min="13" max="14" width="11.28515625" hidden="1" customWidth="1"/>
    <col min="15" max="15" width="12.28515625" customWidth="1"/>
    <col min="16" max="16" width="13.5703125" customWidth="1"/>
    <col min="17" max="17" width="13.42578125" customWidth="1"/>
    <col min="18" max="18" width="13.7109375" customWidth="1"/>
    <col min="19" max="19" width="11.5703125" customWidth="1"/>
    <col min="20" max="20" width="13.5703125" customWidth="1"/>
    <col min="21" max="21" width="11.5703125" customWidth="1"/>
  </cols>
  <sheetData>
    <row r="2" spans="1:33" s="257" customFormat="1" x14ac:dyDescent="0.2">
      <c r="A2" s="304" t="s">
        <v>1050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</row>
    <row r="3" spans="1:33" s="257" customFormat="1" x14ac:dyDescent="0.2">
      <c r="A3" s="306" t="s">
        <v>1049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33" x14ac:dyDescent="0.2">
      <c r="A4" s="303" t="s">
        <v>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33" x14ac:dyDescent="0.2">
      <c r="A5" s="302" t="s">
        <v>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</row>
    <row r="6" spans="1:33" ht="14.25" customHeight="1" x14ac:dyDescent="0.2">
      <c r="A6" s="302" t="s">
        <v>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</row>
    <row r="7" spans="1:33" ht="14.25" customHeight="1" x14ac:dyDescent="0.2">
      <c r="A7" s="301" t="s">
        <v>1004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1:33" ht="6.75" customHeight="1" thickBo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33" ht="12.95" customHeight="1" x14ac:dyDescent="0.2">
      <c r="A9" s="297" t="s">
        <v>5</v>
      </c>
      <c r="B9" s="299" t="s">
        <v>11</v>
      </c>
      <c r="C9" s="293"/>
      <c r="D9" s="293" t="s">
        <v>1004</v>
      </c>
      <c r="E9" s="293" t="s">
        <v>1</v>
      </c>
      <c r="F9" s="293"/>
      <c r="G9" s="293"/>
      <c r="H9" s="293"/>
      <c r="I9" s="293"/>
      <c r="J9" s="293"/>
      <c r="K9" s="283" t="s">
        <v>23</v>
      </c>
      <c r="L9" s="284"/>
      <c r="M9" s="284"/>
      <c r="N9" s="284"/>
      <c r="O9" s="284"/>
      <c r="P9" s="293" t="s">
        <v>22</v>
      </c>
      <c r="Q9" s="277" t="s">
        <v>960</v>
      </c>
    </row>
    <row r="10" spans="1:33" ht="33.75" customHeight="1" x14ac:dyDescent="0.2">
      <c r="A10" s="298"/>
      <c r="B10" s="300"/>
      <c r="C10" s="296"/>
      <c r="D10" s="296"/>
      <c r="E10" s="99" t="s">
        <v>14</v>
      </c>
      <c r="F10" s="99" t="s">
        <v>24</v>
      </c>
      <c r="G10" s="99" t="s">
        <v>15</v>
      </c>
      <c r="H10" s="99" t="s">
        <v>17</v>
      </c>
      <c r="I10" s="213" t="s">
        <v>988</v>
      </c>
      <c r="J10" s="99" t="s">
        <v>6</v>
      </c>
      <c r="K10" s="99" t="s">
        <v>18</v>
      </c>
      <c r="L10" s="99" t="s">
        <v>19</v>
      </c>
      <c r="M10" s="99" t="s">
        <v>20</v>
      </c>
      <c r="N10" s="99" t="s">
        <v>150</v>
      </c>
      <c r="O10" s="99" t="s">
        <v>21</v>
      </c>
      <c r="P10" s="296"/>
      <c r="Q10" s="278"/>
    </row>
    <row r="11" spans="1:33" s="6" customFormat="1" ht="27" customHeight="1" x14ac:dyDescent="0.2">
      <c r="A11" s="72">
        <v>1</v>
      </c>
      <c r="B11" s="23" t="s">
        <v>468</v>
      </c>
      <c r="C11" s="33" t="s">
        <v>469</v>
      </c>
      <c r="D11" s="58">
        <v>10261</v>
      </c>
      <c r="E11" s="58">
        <v>5000</v>
      </c>
      <c r="F11" s="29">
        <v>0</v>
      </c>
      <c r="G11" s="59">
        <v>375</v>
      </c>
      <c r="H11" s="60">
        <v>250</v>
      </c>
      <c r="I11" s="60">
        <v>0</v>
      </c>
      <c r="J11" s="28">
        <f>SUM(D11:I11)</f>
        <v>15886</v>
      </c>
      <c r="K11" s="28">
        <f>(D11+E11+G11)*3%</f>
        <v>469.08</v>
      </c>
      <c r="L11" s="28">
        <f>(D11+E11+G11)*15%</f>
        <v>2345.4</v>
      </c>
      <c r="M11" s="28">
        <v>454.34</v>
      </c>
      <c r="N11" s="28">
        <v>210.15</v>
      </c>
      <c r="O11" s="28">
        <f>SUM(K11:N11)</f>
        <v>3478.97</v>
      </c>
      <c r="P11" s="28">
        <f>J11-O11</f>
        <v>12407.03</v>
      </c>
      <c r="Q11" s="73">
        <v>0</v>
      </c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6" customFormat="1" ht="27" customHeight="1" x14ac:dyDescent="0.2">
      <c r="A12" s="72">
        <v>2</v>
      </c>
      <c r="B12" s="51" t="s">
        <v>476</v>
      </c>
      <c r="C12" s="33" t="s">
        <v>457</v>
      </c>
      <c r="D12" s="71">
        <v>10261</v>
      </c>
      <c r="E12" s="58">
        <v>5000</v>
      </c>
      <c r="F12" s="29">
        <v>0</v>
      </c>
      <c r="G12" s="59">
        <v>375</v>
      </c>
      <c r="H12" s="60">
        <v>250</v>
      </c>
      <c r="I12" s="60">
        <v>0</v>
      </c>
      <c r="J12" s="28">
        <f>SUM(D12:H12)</f>
        <v>15886</v>
      </c>
      <c r="K12" s="28">
        <f>(D12+E12+F12+G12)*3%</f>
        <v>469.08</v>
      </c>
      <c r="L12" s="28">
        <f>(D12+E12+F12+G12)*15%+20.16</f>
        <v>2365.56</v>
      </c>
      <c r="M12" s="28">
        <v>454.41</v>
      </c>
      <c r="N12" s="28">
        <v>205.11</v>
      </c>
      <c r="O12" s="28">
        <f>SUM(K12:N12)</f>
        <v>3494.16</v>
      </c>
      <c r="P12" s="28">
        <f>J12-O12</f>
        <v>12391.84</v>
      </c>
      <c r="Q12" s="73">
        <v>0</v>
      </c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6" customFormat="1" ht="27" customHeight="1" thickBot="1" x14ac:dyDescent="0.25">
      <c r="A13" s="72">
        <v>3</v>
      </c>
      <c r="B13" s="101" t="s">
        <v>341</v>
      </c>
      <c r="C13" s="101" t="s">
        <v>920</v>
      </c>
      <c r="D13" s="102">
        <v>10261</v>
      </c>
      <c r="E13" s="103">
        <v>5000</v>
      </c>
      <c r="F13" s="103">
        <v>0</v>
      </c>
      <c r="G13" s="103">
        <v>375</v>
      </c>
      <c r="H13" s="103">
        <v>250</v>
      </c>
      <c r="I13" s="103">
        <v>0</v>
      </c>
      <c r="J13" s="103">
        <f>SUM(D13:I13)</f>
        <v>15886</v>
      </c>
      <c r="K13" s="103">
        <f>(D13+E13+G13)*3%</f>
        <v>469.08</v>
      </c>
      <c r="L13" s="103">
        <f>(D13+E13+G13)*15%</f>
        <v>2345.4</v>
      </c>
      <c r="M13" s="103">
        <v>454.41</v>
      </c>
      <c r="N13" s="103">
        <v>210.15</v>
      </c>
      <c r="O13" s="103">
        <f>SUM(K13:N13)</f>
        <v>3479.04</v>
      </c>
      <c r="P13" s="104">
        <f>J13-O13</f>
        <v>12406.96</v>
      </c>
      <c r="Q13" s="105">
        <v>0</v>
      </c>
      <c r="R13" s="100"/>
      <c r="S13" s="100"/>
      <c r="T13" s="100"/>
      <c r="U13" s="100"/>
      <c r="V13" s="100"/>
      <c r="W13" s="100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6" customFormat="1" ht="27" customHeight="1" thickBot="1" x14ac:dyDescent="0.25">
      <c r="A14" s="294" t="s">
        <v>465</v>
      </c>
      <c r="B14" s="295"/>
      <c r="C14" s="295"/>
      <c r="D14" s="138">
        <f t="shared" ref="D14:P14" si="0">SUM(D11:D13)</f>
        <v>30783</v>
      </c>
      <c r="E14" s="138">
        <f t="shared" si="0"/>
        <v>15000</v>
      </c>
      <c r="F14" s="138">
        <f t="shared" si="0"/>
        <v>0</v>
      </c>
      <c r="G14" s="138">
        <f t="shared" si="0"/>
        <v>1125</v>
      </c>
      <c r="H14" s="138">
        <f t="shared" si="0"/>
        <v>750</v>
      </c>
      <c r="I14" s="138">
        <f>SUM(I11:I13)</f>
        <v>0</v>
      </c>
      <c r="J14" s="138">
        <f t="shared" si="0"/>
        <v>47658</v>
      </c>
      <c r="K14" s="138">
        <f t="shared" si="0"/>
        <v>1407.24</v>
      </c>
      <c r="L14" s="138">
        <f t="shared" si="0"/>
        <v>7056.36</v>
      </c>
      <c r="M14" s="138">
        <f t="shared" si="0"/>
        <v>1363.16</v>
      </c>
      <c r="N14" s="138">
        <f t="shared" si="0"/>
        <v>625.41</v>
      </c>
      <c r="O14" s="138">
        <f t="shared" si="0"/>
        <v>10452.17</v>
      </c>
      <c r="P14" s="138">
        <f t="shared" si="0"/>
        <v>37205.83</v>
      </c>
      <c r="Q14" s="115">
        <v>0</v>
      </c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20" customFormat="1" x14ac:dyDescent="0.2">
      <c r="A15" s="12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/>
      <c r="X15" s="18"/>
      <c r="Y15" s="18"/>
      <c r="Z15" s="18"/>
    </row>
    <row r="16" spans="1:33" s="20" customFormat="1" x14ac:dyDescent="0.2">
      <c r="A16" s="12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8"/>
      <c r="X16" s="18"/>
      <c r="Y16" s="18"/>
      <c r="Z16" s="18"/>
    </row>
    <row r="17" spans="1:26" s="20" customFormat="1" x14ac:dyDescent="0.2">
      <c r="A17" s="12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  <c r="X17" s="18"/>
      <c r="Y17" s="18"/>
      <c r="Z17" s="18"/>
    </row>
    <row r="18" spans="1:26" s="20" customFormat="1" x14ac:dyDescent="0.2">
      <c r="A18" s="12"/>
      <c r="B18" s="1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/>
      <c r="X18" s="18"/>
      <c r="Y18" s="18"/>
      <c r="Z18" s="18"/>
    </row>
    <row r="19" spans="1:26" s="20" customFormat="1" x14ac:dyDescent="0.2">
      <c r="A19" s="12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/>
      <c r="X19" s="18"/>
      <c r="Y19" s="18"/>
      <c r="Z19" s="18"/>
    </row>
    <row r="20" spans="1:26" s="20" customFormat="1" x14ac:dyDescent="0.2">
      <c r="A20" s="12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  <c r="X20" s="18"/>
      <c r="Y20" s="18"/>
      <c r="Z20" s="18"/>
    </row>
    <row r="21" spans="1:26" s="20" customFormat="1" x14ac:dyDescent="0.2">
      <c r="A21" s="12"/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/>
      <c r="X21" s="18"/>
      <c r="Y21" s="18"/>
      <c r="Z21" s="18"/>
    </row>
    <row r="22" spans="1:26" s="20" customFormat="1" x14ac:dyDescent="0.2">
      <c r="A22" s="12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/>
      <c r="X22" s="18"/>
      <c r="Y22" s="18"/>
      <c r="Z22" s="18"/>
    </row>
    <row r="23" spans="1:26" s="20" customFormat="1" x14ac:dyDescent="0.2">
      <c r="A23" s="12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/>
      <c r="X23" s="18"/>
      <c r="Y23" s="18"/>
      <c r="Z23" s="18"/>
    </row>
    <row r="24" spans="1:26" s="20" customFormat="1" x14ac:dyDescent="0.2">
      <c r="A24" s="12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8"/>
      <c r="Y24" s="18"/>
      <c r="Z24" s="18"/>
    </row>
    <row r="25" spans="1:26" s="20" customFormat="1" x14ac:dyDescent="0.2">
      <c r="A25" s="1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20" customFormat="1" x14ac:dyDescent="0.2">
      <c r="A26" s="1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20" customFormat="1" x14ac:dyDescent="0.2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20" customFormat="1" x14ac:dyDescent="0.2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0" customFormat="1" x14ac:dyDescent="0.2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0" customFormat="1" x14ac:dyDescent="0.2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0" customFormat="1" x14ac:dyDescent="0.2">
      <c r="A31" s="1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0" customFormat="1" x14ac:dyDescent="0.2">
      <c r="A32" s="1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20" customFormat="1" x14ac:dyDescent="0.2">
      <c r="A33" s="1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20" customFormat="1" x14ac:dyDescent="0.2">
      <c r="A34" s="1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20" customFormat="1" x14ac:dyDescent="0.2">
      <c r="A35" s="1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20" customFormat="1" x14ac:dyDescent="0.2">
      <c r="A36" s="1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20" customFormat="1" x14ac:dyDescent="0.2">
      <c r="A37" s="1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s="20" customFormat="1" x14ac:dyDescent="0.2">
      <c r="A38" s="1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s="20" customFormat="1" x14ac:dyDescent="0.2">
      <c r="A39" s="1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s="20" customFormat="1" x14ac:dyDescent="0.2">
      <c r="A40" s="1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s="20" customFormat="1" x14ac:dyDescent="0.2">
      <c r="A41" s="1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20" customFormat="1" x14ac:dyDescent="0.2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s="20" customFormat="1" x14ac:dyDescent="0.2">
      <c r="A43" s="1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s="20" customFormat="1" x14ac:dyDescent="0.2">
      <c r="A44" s="1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s="20" customFormat="1" x14ac:dyDescent="0.2">
      <c r="A45" s="1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s="20" customFormat="1" x14ac:dyDescent="0.2">
      <c r="A46" s="1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s="20" customFormat="1" x14ac:dyDescent="0.2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s="20" customFormat="1" x14ac:dyDescent="0.2">
      <c r="A48" s="1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1"/>
      <c r="R48" s="18"/>
      <c r="S48" s="18"/>
      <c r="T48" s="18"/>
      <c r="U48" s="18"/>
      <c r="V48" s="18"/>
      <c r="W48" s="18"/>
      <c r="X48" s="18"/>
      <c r="Y48" s="18"/>
      <c r="Z48" s="18"/>
    </row>
    <row r="49" spans="1:26" s="20" customFormat="1" x14ac:dyDescent="0.2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s="20" customFormat="1" x14ac:dyDescent="0.2">
      <c r="A50" s="1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s="20" customFormat="1" x14ac:dyDescent="0.2">
      <c r="A51" s="1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0" customFormat="1" x14ac:dyDescent="0.2">
      <c r="A52" s="1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0" customFormat="1" x14ac:dyDescent="0.2">
      <c r="A53" s="1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20" customFormat="1" x14ac:dyDescent="0.2">
      <c r="A54" s="1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20" customFormat="1" x14ac:dyDescent="0.2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20" customFormat="1" x14ac:dyDescent="0.2">
      <c r="A56" s="1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20" customFormat="1" x14ac:dyDescent="0.2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20" customFormat="1" x14ac:dyDescent="0.2">
      <c r="A58" s="1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20" customFormat="1" x14ac:dyDescent="0.2">
      <c r="A59" s="1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20" customFormat="1" x14ac:dyDescent="0.2">
      <c r="A60" s="1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20" customFormat="1" x14ac:dyDescent="0.2">
      <c r="A61" s="1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20" customFormat="1" x14ac:dyDescent="0.2">
      <c r="A62" s="1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s="20" customFormat="1" x14ac:dyDescent="0.2">
      <c r="A63" s="1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s="20" customFormat="1" x14ac:dyDescent="0.2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20" customFormat="1" x14ac:dyDescent="0.2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s="20" customFormat="1" x14ac:dyDescent="0.2">
      <c r="A66" s="1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s="20" customFormat="1" x14ac:dyDescent="0.2">
      <c r="A67" s="1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s="20" customFormat="1" x14ac:dyDescent="0.2">
      <c r="A68" s="1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s="20" customFormat="1" x14ac:dyDescent="0.2">
      <c r="A69" s="1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s="20" customFormat="1" x14ac:dyDescent="0.2">
      <c r="A70" s="1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20" customFormat="1" x14ac:dyDescent="0.2">
      <c r="A71" s="1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20" customFormat="1" x14ac:dyDescent="0.2">
      <c r="A72" s="1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0" customFormat="1" x14ac:dyDescent="0.2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0" customFormat="1" x14ac:dyDescent="0.2">
      <c r="A74" s="1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20" customFormat="1" x14ac:dyDescent="0.2">
      <c r="A75" s="1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20" customFormat="1" x14ac:dyDescent="0.2">
      <c r="A76" s="12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20" customFormat="1" x14ac:dyDescent="0.2">
      <c r="A77" s="1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20" customFormat="1" x14ac:dyDescent="0.2">
      <c r="A78" s="1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20" customFormat="1" x14ac:dyDescent="0.2">
      <c r="A79" s="1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20" customFormat="1" x14ac:dyDescent="0.2">
      <c r="A80" s="12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20" customFormat="1" x14ac:dyDescent="0.2">
      <c r="A81" s="1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20" customFormat="1" x14ac:dyDescent="0.2">
      <c r="A82" s="1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s="20" customFormat="1" x14ac:dyDescent="0.2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20" customFormat="1" x14ac:dyDescent="0.2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s="20" customFormat="1" x14ac:dyDescent="0.2">
      <c r="A85" s="12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s="20" customFormat="1" x14ac:dyDescent="0.2">
      <c r="A86" s="12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s="20" customFormat="1" x14ac:dyDescent="0.2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s="20" customFormat="1" x14ac:dyDescent="0.2">
      <c r="A88" s="12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s="20" customFormat="1" x14ac:dyDescent="0.2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s="20" customFormat="1" x14ac:dyDescent="0.2">
      <c r="A90" s="1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20" customFormat="1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20" customFormat="1" x14ac:dyDescent="0.2">
      <c r="A92" s="1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s="20" customFormat="1" x14ac:dyDescent="0.2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s="20" customFormat="1" x14ac:dyDescent="0.2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20" customFormat="1" x14ac:dyDescent="0.2">
      <c r="A95" s="1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0" customFormat="1" x14ac:dyDescent="0.2">
      <c r="A96" s="1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20" customFormat="1" x14ac:dyDescent="0.2">
      <c r="A97" s="1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20" customFormat="1" x14ac:dyDescent="0.2">
      <c r="A98" s="1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20" customFormat="1" x14ac:dyDescent="0.2">
      <c r="A99" s="1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20" customFormat="1" x14ac:dyDescent="0.2">
      <c r="A100" s="1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20" customFormat="1" x14ac:dyDescent="0.2">
      <c r="A101" s="1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s="20" customFormat="1" x14ac:dyDescent="0.2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s="20" customFormat="1" x14ac:dyDescent="0.2">
      <c r="A103" s="1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s="20" customFormat="1" x14ac:dyDescent="0.2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s="20" customFormat="1" x14ac:dyDescent="0.2">
      <c r="A105" s="1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s="20" customFormat="1" x14ac:dyDescent="0.2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s="20" customFormat="1" x14ac:dyDescent="0.2">
      <c r="A107" s="1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s="20" customFormat="1" x14ac:dyDescent="0.2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s="20" customFormat="1" x14ac:dyDescent="0.2">
      <c r="A109" s="1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s="20" customFormat="1" x14ac:dyDescent="0.2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s="20" customFormat="1" x14ac:dyDescent="0.2">
      <c r="A111" s="1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s="20" customFormat="1" x14ac:dyDescent="0.2">
      <c r="A112" s="1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s="20" customFormat="1" x14ac:dyDescent="0.2">
      <c r="A113" s="12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s="20" customFormat="1" x14ac:dyDescent="0.2">
      <c r="A114" s="1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s="20" customFormat="1" x14ac:dyDescent="0.2">
      <c r="A115" s="1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s="20" customFormat="1" x14ac:dyDescent="0.2">
      <c r="A116" s="1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s="20" customFormat="1" x14ac:dyDescent="0.2">
      <c r="A117" s="12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s="20" customFormat="1" x14ac:dyDescent="0.2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s="20" customFormat="1" x14ac:dyDescent="0.2">
      <c r="A119" s="1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s="20" customFormat="1" x14ac:dyDescent="0.2">
      <c r="A120" s="1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s="20" customFormat="1" x14ac:dyDescent="0.2">
      <c r="A121" s="1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s="20" customFormat="1" x14ac:dyDescent="0.2">
      <c r="A122" s="1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s="20" customFormat="1" x14ac:dyDescent="0.2">
      <c r="A123" s="12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s="20" customFormat="1" x14ac:dyDescent="0.2">
      <c r="A124" s="1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s="20" customFormat="1" x14ac:dyDescent="0.2">
      <c r="A125" s="12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s="20" customFormat="1" x14ac:dyDescent="0.2">
      <c r="A126" s="12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s="20" customFormat="1" x14ac:dyDescent="0.2">
      <c r="A127" s="1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s="20" customFormat="1" x14ac:dyDescent="0.2">
      <c r="A128" s="1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s="20" customFormat="1" x14ac:dyDescent="0.2">
      <c r="A129" s="12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s="20" customFormat="1" x14ac:dyDescent="0.2">
      <c r="A130" s="12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s="20" customFormat="1" x14ac:dyDescent="0.2">
      <c r="A131" s="12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s="20" customFormat="1" x14ac:dyDescent="0.2">
      <c r="A132" s="12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s="20" customFormat="1" x14ac:dyDescent="0.2">
      <c r="A133" s="12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s="20" customFormat="1" x14ac:dyDescent="0.2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s="20" customFormat="1" x14ac:dyDescent="0.2">
      <c r="A135" s="12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s="20" customFormat="1" x14ac:dyDescent="0.2">
      <c r="A136" s="1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s="20" customFormat="1" x14ac:dyDescent="0.2">
      <c r="A137" s="1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s="20" customFormat="1" x14ac:dyDescent="0.2">
      <c r="A138" s="12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s="20" customFormat="1" x14ac:dyDescent="0.2">
      <c r="A139" s="12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s="20" customFormat="1" x14ac:dyDescent="0.2">
      <c r="A140" s="12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s="20" customFormat="1" x14ac:dyDescent="0.2">
      <c r="A141" s="1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s="20" customFormat="1" x14ac:dyDescent="0.2">
      <c r="A142" s="1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s="20" customFormat="1" x14ac:dyDescent="0.2">
      <c r="A143" s="12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s="20" customFormat="1" x14ac:dyDescent="0.2">
      <c r="A144" s="12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s="20" customFormat="1" x14ac:dyDescent="0.2">
      <c r="A145" s="12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s="20" customFormat="1" x14ac:dyDescent="0.2">
      <c r="A146" s="12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s="20" customFormat="1" x14ac:dyDescent="0.2">
      <c r="A147" s="1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s="20" customFormat="1" x14ac:dyDescent="0.2">
      <c r="A148" s="1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s="20" customFormat="1" x14ac:dyDescent="0.2">
      <c r="A149" s="12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s="20" customFormat="1" x14ac:dyDescent="0.2">
      <c r="A150" s="1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s="20" customFormat="1" x14ac:dyDescent="0.2">
      <c r="A151" s="1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s="20" customFormat="1" x14ac:dyDescent="0.2">
      <c r="A152" s="12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s="20" customFormat="1" x14ac:dyDescent="0.2">
      <c r="A153" s="1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s="20" customFormat="1" x14ac:dyDescent="0.2">
      <c r="A154" s="12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s="20" customFormat="1" x14ac:dyDescent="0.2">
      <c r="A155" s="1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s="20" customFormat="1" x14ac:dyDescent="0.2">
      <c r="A156" s="1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s="20" customFormat="1" x14ac:dyDescent="0.2">
      <c r="A157" s="1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s="20" customFormat="1" x14ac:dyDescent="0.2">
      <c r="A158" s="1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s="20" customFormat="1" x14ac:dyDescent="0.2">
      <c r="A159" s="1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s="20" customFormat="1" x14ac:dyDescent="0.2">
      <c r="A160" s="1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s="20" customFormat="1" x14ac:dyDescent="0.2">
      <c r="A161" s="1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s="20" customFormat="1" x14ac:dyDescent="0.2">
      <c r="A162" s="1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s="20" customFormat="1" x14ac:dyDescent="0.2">
      <c r="A163" s="1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s="20" customFormat="1" x14ac:dyDescent="0.2">
      <c r="A164" s="1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s="20" customFormat="1" x14ac:dyDescent="0.2">
      <c r="A165" s="1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s="20" customFormat="1" x14ac:dyDescent="0.2">
      <c r="A166" s="1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s="20" customFormat="1" x14ac:dyDescent="0.2">
      <c r="A167" s="1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s="20" customFormat="1" x14ac:dyDescent="0.2">
      <c r="A168" s="1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s="20" customFormat="1" x14ac:dyDescent="0.2">
      <c r="A169" s="1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s="20" customFormat="1" x14ac:dyDescent="0.2">
      <c r="A170" s="1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s="20" customFormat="1" x14ac:dyDescent="0.2">
      <c r="A171" s="1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s="20" customFormat="1" x14ac:dyDescent="0.2">
      <c r="A172" s="1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s="20" customFormat="1" x14ac:dyDescent="0.2">
      <c r="A173" s="1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s="20" customFormat="1" x14ac:dyDescent="0.2">
      <c r="A174" s="1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s="20" customFormat="1" x14ac:dyDescent="0.2">
      <c r="A175" s="1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s="20" customFormat="1" x14ac:dyDescent="0.2">
      <c r="A176" s="1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s="20" customFormat="1" x14ac:dyDescent="0.2">
      <c r="A177" s="1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s="20" customFormat="1" x14ac:dyDescent="0.2">
      <c r="A178" s="1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s="20" customFormat="1" x14ac:dyDescent="0.2">
      <c r="A179" s="1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s="20" customFormat="1" x14ac:dyDescent="0.2">
      <c r="A180" s="1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s="20" customFormat="1" x14ac:dyDescent="0.2">
      <c r="A181" s="1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s="20" customFormat="1" x14ac:dyDescent="0.2">
      <c r="A182" s="1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s="20" customFormat="1" x14ac:dyDescent="0.2">
      <c r="A183" s="1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s="20" customFormat="1" x14ac:dyDescent="0.2">
      <c r="A184" s="1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s="20" customFormat="1" x14ac:dyDescent="0.2">
      <c r="A185" s="1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s="20" customFormat="1" x14ac:dyDescent="0.2">
      <c r="A186" s="1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s="20" customFormat="1" x14ac:dyDescent="0.2">
      <c r="A187" s="1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s="20" customFormat="1" x14ac:dyDescent="0.2">
      <c r="A188" s="1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s="20" customFormat="1" x14ac:dyDescent="0.2">
      <c r="A189" s="1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s="20" customFormat="1" x14ac:dyDescent="0.2">
      <c r="A190" s="1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s="20" customFormat="1" x14ac:dyDescent="0.2">
      <c r="A191" s="1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s="20" customFormat="1" x14ac:dyDescent="0.2">
      <c r="A192" s="1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s="20" customFormat="1" x14ac:dyDescent="0.2">
      <c r="A193" s="1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s="20" customFormat="1" x14ac:dyDescent="0.2">
      <c r="A194" s="1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s="20" customFormat="1" x14ac:dyDescent="0.2">
      <c r="A195" s="1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s="20" customFormat="1" x14ac:dyDescent="0.2">
      <c r="A196" s="1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s="20" customFormat="1" x14ac:dyDescent="0.2">
      <c r="A197" s="1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s="20" customFormat="1" x14ac:dyDescent="0.2">
      <c r="A198" s="1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s="20" customFormat="1" x14ac:dyDescent="0.2">
      <c r="A199" s="1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s="20" customFormat="1" x14ac:dyDescent="0.2">
      <c r="A200" s="1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s="20" customFormat="1" x14ac:dyDescent="0.2">
      <c r="A201" s="1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s="20" customFormat="1" x14ac:dyDescent="0.2">
      <c r="A202" s="1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s="20" customFormat="1" x14ac:dyDescent="0.2">
      <c r="A203" s="1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s="20" customFormat="1" x14ac:dyDescent="0.2">
      <c r="A204" s="1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s="20" customFormat="1" x14ac:dyDescent="0.2">
      <c r="A205" s="1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s="20" customFormat="1" x14ac:dyDescent="0.2">
      <c r="A206" s="1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s="20" customFormat="1" x14ac:dyDescent="0.2">
      <c r="A207" s="1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s="20" customFormat="1" x14ac:dyDescent="0.2">
      <c r="A208" s="1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s="20" customFormat="1" x14ac:dyDescent="0.2">
      <c r="A209" s="1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s="20" customFormat="1" x14ac:dyDescent="0.2">
      <c r="A210" s="12"/>
      <c r="B210" s="18"/>
      <c r="C210" s="18"/>
      <c r="D210" s="18"/>
      <c r="E210" s="18"/>
      <c r="F210" s="21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s="20" customFormat="1" x14ac:dyDescent="0.2">
      <c r="A211" s="1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s="20" customFormat="1" x14ac:dyDescent="0.2">
      <c r="A212" s="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s="20" customFormat="1" x14ac:dyDescent="0.2">
      <c r="A213" s="1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s="20" customFormat="1" x14ac:dyDescent="0.2">
      <c r="A214" s="1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s="20" customFormat="1" x14ac:dyDescent="0.2">
      <c r="A215" s="1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s="20" customFormat="1" x14ac:dyDescent="0.2">
      <c r="A216" s="1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s="20" customFormat="1" x14ac:dyDescent="0.2">
      <c r="A217" s="1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s="20" customFormat="1" x14ac:dyDescent="0.2">
      <c r="A218" s="1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s="20" customFormat="1" x14ac:dyDescent="0.2">
      <c r="A219" s="1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s="20" customFormat="1" x14ac:dyDescent="0.2">
      <c r="A220" s="1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21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s="20" customFormat="1" x14ac:dyDescent="0.2">
      <c r="A221" s="1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0" customFormat="1" x14ac:dyDescent="0.2">
      <c r="A222" s="1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0" customFormat="1" x14ac:dyDescent="0.2">
      <c r="A223" s="1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s="20" customFormat="1" x14ac:dyDescent="0.2">
      <c r="A224" s="1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s="20" customFormat="1" x14ac:dyDescent="0.2">
      <c r="A225" s="1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s="20" customFormat="1" x14ac:dyDescent="0.2">
      <c r="A226" s="1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s="20" customFormat="1" x14ac:dyDescent="0.2">
      <c r="A227" s="1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s="20" customFormat="1" x14ac:dyDescent="0.2">
      <c r="A228" s="1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s="20" customFormat="1" x14ac:dyDescent="0.2">
      <c r="A229" s="1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s="20" customFormat="1" x14ac:dyDescent="0.2">
      <c r="A230" s="1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s="20" customFormat="1" x14ac:dyDescent="0.2">
      <c r="A231" s="1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s="20" customFormat="1" x14ac:dyDescent="0.2">
      <c r="A232" s="1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s="20" customFormat="1" x14ac:dyDescent="0.2">
      <c r="A233" s="1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s="20" customFormat="1" x14ac:dyDescent="0.2">
      <c r="A234" s="1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s="20" customFormat="1" x14ac:dyDescent="0.2">
      <c r="A235" s="1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s="20" customFormat="1" x14ac:dyDescent="0.2">
      <c r="A236" s="1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s="20" customFormat="1" x14ac:dyDescent="0.2">
      <c r="A237" s="1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s="20" customFormat="1" x14ac:dyDescent="0.2">
      <c r="A238" s="1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s="20" customFormat="1" x14ac:dyDescent="0.2">
      <c r="A239" s="12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s="20" customFormat="1" x14ac:dyDescent="0.2">
      <c r="A240" s="12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s="20" customFormat="1" x14ac:dyDescent="0.2">
      <c r="A241" s="12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s="20" customFormat="1" x14ac:dyDescent="0.2">
      <c r="A242" s="1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s="20" customFormat="1" x14ac:dyDescent="0.2">
      <c r="A243" s="12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s="20" customFormat="1" x14ac:dyDescent="0.2">
      <c r="A244" s="12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s="20" customFormat="1" x14ac:dyDescent="0.2">
      <c r="A245" s="12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s="20" customFormat="1" x14ac:dyDescent="0.2">
      <c r="A246" s="12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s="20" customFormat="1" x14ac:dyDescent="0.2">
      <c r="A247" s="1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s="20" customFormat="1" x14ac:dyDescent="0.2">
      <c r="A248" s="12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s="20" customFormat="1" x14ac:dyDescent="0.2">
      <c r="A249" s="12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s="20" customFormat="1" x14ac:dyDescent="0.2">
      <c r="A250" s="12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s="20" customFormat="1" x14ac:dyDescent="0.2">
      <c r="A251" s="12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s="20" customFormat="1" x14ac:dyDescent="0.2">
      <c r="A252" s="1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s="20" customFormat="1" x14ac:dyDescent="0.2">
      <c r="A253" s="12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s="20" customFormat="1" x14ac:dyDescent="0.2">
      <c r="A254" s="1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s="20" customFormat="1" x14ac:dyDescent="0.2">
      <c r="A255" s="12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s="20" customFormat="1" x14ac:dyDescent="0.2">
      <c r="A256" s="12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s="20" customFormat="1" x14ac:dyDescent="0.2">
      <c r="A257" s="12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s="20" customFormat="1" x14ac:dyDescent="0.2">
      <c r="A258" s="12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s="20" customFormat="1" x14ac:dyDescent="0.2">
      <c r="A259" s="12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s="20" customFormat="1" x14ac:dyDescent="0.2">
      <c r="A260" s="12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s="20" customFormat="1" x14ac:dyDescent="0.2">
      <c r="A261" s="12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s="20" customFormat="1" x14ac:dyDescent="0.2">
      <c r="A262" s="1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s="20" customFormat="1" x14ac:dyDescent="0.2">
      <c r="A263" s="12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s="20" customFormat="1" x14ac:dyDescent="0.2">
      <c r="A264" s="12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s="20" customFormat="1" x14ac:dyDescent="0.2">
      <c r="A265" s="12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s="20" customFormat="1" x14ac:dyDescent="0.2">
      <c r="A266" s="12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s="20" customFormat="1" x14ac:dyDescent="0.2">
      <c r="A267" s="12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s="20" customFormat="1" x14ac:dyDescent="0.2">
      <c r="A268" s="12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s="20" customFormat="1" x14ac:dyDescent="0.2">
      <c r="A269" s="12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s="20" customFormat="1" x14ac:dyDescent="0.2">
      <c r="A270" s="12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s="20" customFormat="1" x14ac:dyDescent="0.2">
      <c r="A271" s="12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s="20" customFormat="1" x14ac:dyDescent="0.2">
      <c r="A272" s="1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s="20" customFormat="1" x14ac:dyDescent="0.2">
      <c r="A273" s="12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s="20" customFormat="1" x14ac:dyDescent="0.2">
      <c r="A274" s="12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21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s="20" customFormat="1" ht="25.5" customHeight="1" x14ac:dyDescent="0.2">
      <c r="A275" s="12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s="20" customFormat="1" x14ac:dyDescent="0.2">
      <c r="A276" s="12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s="20" customFormat="1" x14ac:dyDescent="0.2">
      <c r="A277" s="12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s="20" customFormat="1" x14ac:dyDescent="0.2">
      <c r="A278" s="12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s="20" customFormat="1" x14ac:dyDescent="0.2">
      <c r="A279" s="12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s="20" customFormat="1" x14ac:dyDescent="0.2">
      <c r="A280" s="12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s="20" customFormat="1" x14ac:dyDescent="0.2">
      <c r="A281" s="12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s="20" customFormat="1" x14ac:dyDescent="0.2">
      <c r="A282" s="1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s="20" customFormat="1" x14ac:dyDescent="0.2">
      <c r="A283" s="12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s="20" customFormat="1" x14ac:dyDescent="0.2">
      <c r="A284" s="12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s="20" customFormat="1" x14ac:dyDescent="0.2">
      <c r="A285" s="12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s="20" customFormat="1" x14ac:dyDescent="0.2">
      <c r="A286" s="12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s="20" customFormat="1" x14ac:dyDescent="0.2">
      <c r="A287" s="12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s="20" customFormat="1" x14ac:dyDescent="0.2">
      <c r="A288" s="12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s="20" customFormat="1" x14ac:dyDescent="0.2">
      <c r="A289" s="12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s="20" customFormat="1" x14ac:dyDescent="0.2">
      <c r="A290" s="12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s="20" customFormat="1" x14ac:dyDescent="0.2">
      <c r="A291" s="12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s="20" customFormat="1" x14ac:dyDescent="0.2">
      <c r="A292" s="1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s="20" customFormat="1" x14ac:dyDescent="0.2">
      <c r="A293" s="12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s="20" customFormat="1" x14ac:dyDescent="0.2">
      <c r="A294" s="12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s="20" customFormat="1" x14ac:dyDescent="0.2">
      <c r="A295" s="1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s="20" customFormat="1" x14ac:dyDescent="0.2">
      <c r="A296" s="12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s="20" customFormat="1" x14ac:dyDescent="0.2">
      <c r="A297" s="12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s="20" customFormat="1" x14ac:dyDescent="0.2">
      <c r="A298" s="12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s="20" customFormat="1" x14ac:dyDescent="0.2">
      <c r="A299" s="12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s="20" customFormat="1" x14ac:dyDescent="0.2">
      <c r="A300" s="1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s="20" customFormat="1" x14ac:dyDescent="0.2">
      <c r="A301" s="12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s="20" customFormat="1" x14ac:dyDescent="0.2">
      <c r="A302" s="1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s="20" customFormat="1" x14ac:dyDescent="0.2">
      <c r="A303" s="12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s="20" customFormat="1" x14ac:dyDescent="0.2">
      <c r="A304" s="12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s="20" customFormat="1" x14ac:dyDescent="0.2">
      <c r="A305" s="12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s="20" customFormat="1" x14ac:dyDescent="0.2">
      <c r="A306" s="12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s="20" customFormat="1" x14ac:dyDescent="0.2">
      <c r="A307" s="1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s="20" customFormat="1" x14ac:dyDescent="0.2">
      <c r="A308" s="12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s="20" customFormat="1" x14ac:dyDescent="0.2">
      <c r="A309" s="12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s="20" customFormat="1" x14ac:dyDescent="0.2">
      <c r="A310" s="12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s="20" customFormat="1" x14ac:dyDescent="0.2">
      <c r="A311" s="12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s="20" customFormat="1" x14ac:dyDescent="0.2">
      <c r="A312" s="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s="20" customFormat="1" x14ac:dyDescent="0.2">
      <c r="A313" s="1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s="20" customFormat="1" x14ac:dyDescent="0.2">
      <c r="A314" s="12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s="20" customFormat="1" x14ac:dyDescent="0.2">
      <c r="A315" s="12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s="20" customFormat="1" x14ac:dyDescent="0.2">
      <c r="A316" s="12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s="20" customFormat="1" x14ac:dyDescent="0.2">
      <c r="A317" s="12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s="20" customFormat="1" x14ac:dyDescent="0.2">
      <c r="A318" s="12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s="20" customFormat="1" x14ac:dyDescent="0.2">
      <c r="A319" s="1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s="20" customFormat="1" x14ac:dyDescent="0.2">
      <c r="A320" s="12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s="20" customFormat="1" x14ac:dyDescent="0.2">
      <c r="A321" s="12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s="20" customFormat="1" x14ac:dyDescent="0.2">
      <c r="A322" s="1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s="20" customFormat="1" x14ac:dyDescent="0.2">
      <c r="A323" s="12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s="20" customFormat="1" x14ac:dyDescent="0.2">
      <c r="A324" s="12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s="20" customFormat="1" x14ac:dyDescent="0.2">
      <c r="A325" s="12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s="20" customFormat="1" x14ac:dyDescent="0.2">
      <c r="A326" s="12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s="20" customFormat="1" x14ac:dyDescent="0.2">
      <c r="A327" s="12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s="20" customFormat="1" x14ac:dyDescent="0.2">
      <c r="A328" s="12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s="20" customFormat="1" x14ac:dyDescent="0.2">
      <c r="A329" s="1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s="20" customFormat="1" x14ac:dyDescent="0.2">
      <c r="A330" s="12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s="20" customFormat="1" x14ac:dyDescent="0.2">
      <c r="A331" s="12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s="20" customFormat="1" x14ac:dyDescent="0.2">
      <c r="A332" s="12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s="20" customFormat="1" x14ac:dyDescent="0.2">
      <c r="A333" s="12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s="20" customFormat="1" x14ac:dyDescent="0.2">
      <c r="A334" s="12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s="20" customFormat="1" x14ac:dyDescent="0.2">
      <c r="A335" s="12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s="20" customFormat="1" x14ac:dyDescent="0.2">
      <c r="A336" s="12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s="20" customFormat="1" x14ac:dyDescent="0.2">
      <c r="A337" s="12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s="20" customFormat="1" x14ac:dyDescent="0.2">
      <c r="A338" s="12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s="20" customFormat="1" x14ac:dyDescent="0.2">
      <c r="A339" s="12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s="20" customFormat="1" x14ac:dyDescent="0.2">
      <c r="A340" s="12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s="20" customFormat="1" x14ac:dyDescent="0.2">
      <c r="A341" s="12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s="20" customFormat="1" x14ac:dyDescent="0.2">
      <c r="A342" s="12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s="20" customFormat="1" x14ac:dyDescent="0.2">
      <c r="A343" s="12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s="20" customFormat="1" x14ac:dyDescent="0.2">
      <c r="A344" s="12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s="20" customFormat="1" x14ac:dyDescent="0.2">
      <c r="A345" s="12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s="20" customFormat="1" x14ac:dyDescent="0.2">
      <c r="A346" s="12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s="20" customFormat="1" x14ac:dyDescent="0.2">
      <c r="A347" s="1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s="20" customFormat="1" x14ac:dyDescent="0.2">
      <c r="A348" s="12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s="20" customFormat="1" x14ac:dyDescent="0.2">
      <c r="A349" s="12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s="20" customFormat="1" x14ac:dyDescent="0.2">
      <c r="A350" s="12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s="20" customFormat="1" x14ac:dyDescent="0.2">
      <c r="A351" s="12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s="20" customFormat="1" x14ac:dyDescent="0.2">
      <c r="A352" s="12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s="20" customFormat="1" x14ac:dyDescent="0.2">
      <c r="A353" s="12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s="20" customFormat="1" x14ac:dyDescent="0.2">
      <c r="A354" s="12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s="20" customFormat="1" x14ac:dyDescent="0.2">
      <c r="A355" s="12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s="20" customFormat="1" x14ac:dyDescent="0.2">
      <c r="A356" s="12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s="20" customFormat="1" x14ac:dyDescent="0.2">
      <c r="A357" s="12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s="20" customFormat="1" x14ac:dyDescent="0.2">
      <c r="A358" s="12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s="20" customFormat="1" x14ac:dyDescent="0.2">
      <c r="A359" s="12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s="20" customFormat="1" x14ac:dyDescent="0.2">
      <c r="A360" s="1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s="20" customFormat="1" x14ac:dyDescent="0.2">
      <c r="A361" s="12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0" customFormat="1" x14ac:dyDescent="0.2">
      <c r="A362" s="12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0" customFormat="1" x14ac:dyDescent="0.2">
      <c r="A363" s="12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0" customFormat="1" x14ac:dyDescent="0.2">
      <c r="A364" s="12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s="20" customFormat="1" x14ac:dyDescent="0.2">
      <c r="A365" s="12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s="20" customFormat="1" x14ac:dyDescent="0.2">
      <c r="A366" s="12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s="20" customFormat="1" x14ac:dyDescent="0.2">
      <c r="A367" s="12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s="20" customFormat="1" x14ac:dyDescent="0.2">
      <c r="A368" s="12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s="20" customFormat="1" x14ac:dyDescent="0.2">
      <c r="A369" s="12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s="20" customFormat="1" x14ac:dyDescent="0.2">
      <c r="A370" s="12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s="20" customFormat="1" x14ac:dyDescent="0.2">
      <c r="A371" s="12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s="20" customFormat="1" x14ac:dyDescent="0.2">
      <c r="A372" s="1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s="20" customFormat="1" x14ac:dyDescent="0.2">
      <c r="A373" s="12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s="20" customFormat="1" x14ac:dyDescent="0.2">
      <c r="A374" s="12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s="20" customFormat="1" x14ac:dyDescent="0.2">
      <c r="A375" s="12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s="20" customFormat="1" x14ac:dyDescent="0.2">
      <c r="A376" s="12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s="20" customFormat="1" x14ac:dyDescent="0.2">
      <c r="A377" s="12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s="20" customFormat="1" x14ac:dyDescent="0.2">
      <c r="A378" s="12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s="20" customFormat="1" x14ac:dyDescent="0.2">
      <c r="A379" s="12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s="20" customFormat="1" x14ac:dyDescent="0.2">
      <c r="A380" s="12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s="20" customFormat="1" x14ac:dyDescent="0.2">
      <c r="A381" s="12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s="20" customFormat="1" x14ac:dyDescent="0.2">
      <c r="A382" s="12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s="20" customFormat="1" x14ac:dyDescent="0.2">
      <c r="A383" s="12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s="20" customFormat="1" x14ac:dyDescent="0.2">
      <c r="A384" s="1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s="20" customFormat="1" x14ac:dyDescent="0.2">
      <c r="A385" s="12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s="20" customFormat="1" x14ac:dyDescent="0.2">
      <c r="A386" s="12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s="20" customFormat="1" x14ac:dyDescent="0.2">
      <c r="A387" s="12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s="20" customForma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s="20" customForma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s="20" customForma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s="20" customForma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s="20" customForma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s="20" customForma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s="20" customForma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s="20" customForma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s="20" customForma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s="20" customForma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s="20" customForma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s="20" customForma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s="20" customForma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s="20" customForma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s="20" customForma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s="20" customForma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s="20" customForma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s="20" customForma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s="20" customForma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s="20" customForma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s="20" customForma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s="20" customForma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s="20" customForma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s="20" customForma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s="20" customForma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s="20" customForma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s="20" customForma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s="20" customForma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s="20" customForma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s="20" customForma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s="20" customForma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s="20" customForma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s="20" customForma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s="20" customForma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s="20" customForma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s="20" customForma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s="20" customForma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s="20" customForma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s="20" customForma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s="20" customForma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s="20" customForma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s="20" customForma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s="20" customForma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s="20" customForma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s="20" customForma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s="20" customForma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s="20" customForma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s="20" customForma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s="20" customForma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s="20" customForma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s="20" customForma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s="20" customForma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s="20" customForma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s="20" customForma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s="20" customForma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s="20" customForma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s="20" customForma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s="20" customForma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s="20" customForma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s="20" customForma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s="20" customForma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s="20" customForma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s="20" customForma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s="20" customForma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s="20" customForma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s="20" customForma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s="20" customForma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s="20" customForma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s="20" customForma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s="20" customForma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s="20" customForma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s="20" customForma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s="20" customForma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s="20" customForma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s="20" customForma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s="20" customForma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s="20" customForma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s="20" customForma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s="20" customForma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s="20" customForma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s="20" customForma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s="20" customForma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s="20" customForma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s="20" customForma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s="20" customForma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s="20" customForma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s="20" customForma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s="20" customForma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s="20" customForma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s="20" customForma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s="20" customForma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s="20" customForma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s="20" customForma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s="20" customForma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s="20" customForma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s="20" customForma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s="20" customForma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s="20" customForma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s="20" customForma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s="20" customForma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s="20" customForma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s="20" customForma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s="20" customForma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s="20" customForma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s="20" customForma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s="20" customForma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s="20" customForma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s="20" customForma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s="20" customForma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s="20" customForma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s="20" customForma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s="20" customForma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s="20" customForma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s="20" customForma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s="20" customForma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s="20" customForma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s="20" customForma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s="20" customForma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s="20" customForma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s="20" customForma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s="20" customForma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s="20" customForma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s="20" customForma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s="20" customForma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s="20" customForma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s="20" customForma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s="20" customForma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s="20" customForma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s="20" customForma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s="20" customForma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s="20" customForma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s="20" customForma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s="20" customForma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s="20" customForma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s="20" customForma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s="20" customForma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s="20" customForma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s="20" customForma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s="20" customForma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s="20" customForma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s="20" customForma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s="20" customForma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s="20" customForma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s="20" customForma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s="20" customForma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s="20" customForma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s="20" customForma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s="20" customForma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s="20" customForma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s="20" customForma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s="20" customForma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s="20" customForma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s="20" customForma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s="20" customForma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s="20" customForma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s="20" customForma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s="20" customForma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s="20" customForma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s="20" customForma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s="20" customForma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s="20" customForma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s="20" customForma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s="20" customForma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s="20" customForma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s="20" customForma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s="20" customForma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s="20" customForma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s="20" customForma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s="20" customForma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s="20" customForma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s="20" customForma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s="20" customForma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s="20" customForma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s="20" customForma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s="20" customForma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s="20" customForma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s="20" customForma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s="20" customForma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s="20" customForma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s="20" customForma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s="20" customForma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s="20" customForma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s="20" customForma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s="20" customForma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s="20" customForma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s="20" customForma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s="20" customForma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s="20" customForma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s="20" customForma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s="20" customForma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s="20" customForma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s="20" customForma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s="20" customForma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s="20" customForma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s="20" customForma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s="20" customForma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s="20" customForma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s="20" customForma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s="20" customForma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s="20" customForma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s="20" customForma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s="20" customForma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s="20" customForma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s="20" customForma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s="20" customForma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s="20" customForma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s="20" customForma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s="20" customForma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s="20" customForma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s="20" customForma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s="20" customForma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s="20" customForma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s="20" customForma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s="20" customForma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s="20" customForma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s="20" customForma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s="20" customForma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s="20" customForma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s="20" customForma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s="20" customForma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s="20" customForma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s="20" customForma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s="20" customForma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s="20" customForma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s="20" customForma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s="20" customForma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s="20" customForma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s="20" customForma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s="20" customForma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s="20" customForma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s="20" customForma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s="20" customForma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s="20" customForma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s="20" customForma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s="20" customForma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s="20" customForma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s="20" customForma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s="20" customForma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s="20" customForma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s="20" customForma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s="20" customForma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s="20" customForma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s="20" customForma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s="20" customForma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s="20" customForma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s="20" customForma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s="20" customForma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s="20" customForma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s="20" customForma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s="20" customForma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s="20" customForma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s="20" customForma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s="20" customForma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s="20" customForma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s="20" customForma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s="20" customForma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s="20" customForma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s="20" customForma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s="20" customForma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s="20" customForma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s="20" customForma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s="20" customForma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s="20" customForma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s="20" customForma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s="20" customForma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s="20" customForma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s="20" customForma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s="20" customForma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s="20" customForma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s="20" customForma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s="20" customForma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s="20" customForma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s="20" customForma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s="20" customForma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s="20" customForma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s="20" customForma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s="20" customForma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s="20" customForma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s="20" customForma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s="20" customForma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s="20" customForma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s="20" customForma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s="20" customForma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s="20" customForma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s="20" customForma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s="20" customForma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s="20" customForma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s="20" customForma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s="20" customForma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s="20" customForma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s="20" customForma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s="20" customForma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s="20" customForma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s="20" customForma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s="20" customForma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s="20" customForma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s="20" customForma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s="20" customForma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s="20" customForma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s="20" customForma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s="20" customForma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s="20" customForma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s="20" customForma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s="20" customForma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s="20" customForma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s="20" customForma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s="20" customForma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s="20" customForma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s="20" customForma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s="20" customForma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s="20" customForma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s="20" customForma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s="20" customForma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s="20" customForma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s="20" customForma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s="20" customForma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s="20" customForma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s="20" customForma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s="20" customForma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s="20" customForma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s="20" customForma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s="20" customForma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s="20" customForma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s="20" customForma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s="20" customForma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s="20" customForma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s="20" customForma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s="20" customForma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s="20" customForma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s="20" customForma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s="20" customForma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s="20" customForma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s="20" customForma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s="20" customForma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s="20" customForma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s="20" customForma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s="20" customForma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s="20" customForma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s="20" customForma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s="20" customForma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s="20" customForma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s="20" customForma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s="20" customForma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s="20" customForma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s="20" customForma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s="20" customForma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s="20" customForma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s="20" customForma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s="20" customForma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s="20" customForma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s="20" customForma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s="20" customForma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s="20" customForma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s="20" customForma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s="20" customForma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s="20" customForma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s="20" customForma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s="20" customForma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s="20" customForma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s="20" customForma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s="20" customForma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s="20" customForma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s="20" customForma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s="20" customForma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s="20" customForma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s="20" customForma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s="20" customForma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s="20" customForma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s="20" customForma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s="20" customForma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s="20" customForma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s="20" customForma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s="20" customForma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s="20" customForma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s="20" customForma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s="20" customForma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s="20" customForma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s="20" customForma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s="20" customForma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s="20" customForma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s="20" customForma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s="20" customForma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s="20" customForma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s="20" customForma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s="20" customForma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s="20" customForma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s="20" customForma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s="20" customForma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s="20" customForma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s="20" customForma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s="20" customForma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s="20" customForma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s="20" customForma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s="20" customForma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s="20" customForma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s="20" customForma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s="20" customForma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s="20" customForma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s="20" customForma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s="20" customForma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s="20" customForma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s="20" customForma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s="20" customForma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s="20" customForma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s="20" customForma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s="20" customForma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s="20" customForma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s="20" customForma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s="20" customForma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s="20" customForma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s="20" customForma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s="20" customForma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s="20" customForma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s="20" customForma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s="20" customForma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s="20" customForma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s="20" customForma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s="20" customForma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s="20" customForma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s="20" customForma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s="20" customForma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s="20" customForma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6" s="20" customForma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6" s="20" customForma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6" s="20" customForma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6" s="20" customFormat="1" x14ac:dyDescent="0.2"/>
    <row r="814" spans="1:26" s="20" customFormat="1" x14ac:dyDescent="0.2"/>
    <row r="815" spans="1:26" s="20" customFormat="1" x14ac:dyDescent="0.2"/>
    <row r="816" spans="1:2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</sheetData>
  <mergeCells count="15">
    <mergeCell ref="A7:Q7"/>
    <mergeCell ref="A6:Q6"/>
    <mergeCell ref="A5:Q5"/>
    <mergeCell ref="A4:Q4"/>
    <mergeCell ref="A2:Q2"/>
    <mergeCell ref="A3:Q3"/>
    <mergeCell ref="Q9:Q10"/>
    <mergeCell ref="E9:J9"/>
    <mergeCell ref="K9:O9"/>
    <mergeCell ref="A14:C14"/>
    <mergeCell ref="P9:P10"/>
    <mergeCell ref="A9:A10"/>
    <mergeCell ref="B9:B10"/>
    <mergeCell ref="C9:C10"/>
    <mergeCell ref="D9:D10"/>
  </mergeCells>
  <phoneticPr fontId="0" type="noConversion"/>
  <printOptions horizontalCentered="1"/>
  <pageMargins left="1.4960629921259843" right="0.94488188976377963" top="1.1811023622047245" bottom="0.78740157480314965" header="0.78740157480314965" footer="0.51181102362204722"/>
  <pageSetup paperSize="5" scale="5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AU6308"/>
  <sheetViews>
    <sheetView showGridLines="0" zoomScale="80" zoomScaleNormal="80" workbookViewId="0">
      <selection activeCell="A2" sqref="A2:H3"/>
    </sheetView>
  </sheetViews>
  <sheetFormatPr baseColWidth="10" defaultColWidth="11.5703125" defaultRowHeight="12.75" x14ac:dyDescent="0.2"/>
  <cols>
    <col min="1" max="1" width="8.42578125" customWidth="1"/>
    <col min="2" max="2" width="38.42578125" customWidth="1"/>
    <col min="3" max="3" width="32.5703125" customWidth="1"/>
    <col min="4" max="5" width="17.85546875" customWidth="1"/>
    <col min="6" max="6" width="17.5703125" customWidth="1"/>
    <col min="7" max="7" width="18.85546875" customWidth="1"/>
    <col min="8" max="8" width="11.85546875" customWidth="1"/>
    <col min="9" max="9" width="10.5703125" customWidth="1"/>
    <col min="10" max="10" width="10.42578125" customWidth="1"/>
    <col min="11" max="12" width="0" hidden="1" customWidth="1"/>
    <col min="13" max="13" width="8.5703125" hidden="1" customWidth="1"/>
    <col min="14" max="14" width="14.85546875" hidden="1" customWidth="1"/>
    <col min="15" max="16" width="0" hidden="1" customWidth="1"/>
    <col min="18" max="18" width="13.7109375" customWidth="1"/>
    <col min="20" max="20" width="13.5703125" hidden="1" customWidth="1"/>
    <col min="21" max="22" width="0" hidden="1" customWidth="1"/>
  </cols>
  <sheetData>
    <row r="2" spans="1:33" s="257" customFormat="1" x14ac:dyDescent="0.2">
      <c r="A2" s="304" t="s">
        <v>1050</v>
      </c>
      <c r="B2" s="276"/>
      <c r="C2" s="276"/>
      <c r="D2" s="276"/>
      <c r="E2" s="276"/>
      <c r="F2" s="276"/>
      <c r="G2" s="276"/>
      <c r="H2" s="276"/>
      <c r="I2" s="258"/>
      <c r="J2" s="258"/>
      <c r="K2" s="258"/>
      <c r="L2" s="258"/>
      <c r="M2" s="258"/>
      <c r="N2" s="258"/>
      <c r="O2" s="258"/>
      <c r="P2" s="258"/>
      <c r="Q2" s="258"/>
    </row>
    <row r="3" spans="1:33" s="257" customFormat="1" x14ac:dyDescent="0.2">
      <c r="A3" s="306" t="s">
        <v>1049</v>
      </c>
      <c r="B3" s="276"/>
      <c r="C3" s="276"/>
      <c r="D3" s="276"/>
      <c r="E3" s="276"/>
      <c r="F3" s="276"/>
      <c r="G3" s="276"/>
      <c r="H3" s="276"/>
      <c r="I3" s="258"/>
      <c r="J3" s="258"/>
      <c r="K3" s="258"/>
      <c r="L3" s="258"/>
      <c r="M3" s="258"/>
      <c r="N3" s="258"/>
      <c r="O3" s="258"/>
      <c r="P3" s="258"/>
      <c r="Q3" s="258"/>
    </row>
    <row r="4" spans="1:33" ht="15.75" customHeight="1" x14ac:dyDescent="0.2">
      <c r="A4" s="309" t="s">
        <v>29</v>
      </c>
      <c r="B4" s="309"/>
      <c r="C4" s="309"/>
      <c r="D4" s="309"/>
      <c r="E4" s="309"/>
      <c r="F4" s="309"/>
      <c r="G4" s="309"/>
      <c r="H4" s="309"/>
    </row>
    <row r="5" spans="1:33" x14ac:dyDescent="0.2">
      <c r="A5" s="310" t="s">
        <v>9</v>
      </c>
      <c r="B5" s="310"/>
      <c r="C5" s="310"/>
      <c r="D5" s="310"/>
      <c r="E5" s="310"/>
      <c r="F5" s="310"/>
      <c r="G5" s="310"/>
      <c r="H5" s="310"/>
    </row>
    <row r="6" spans="1:33" ht="14.25" customHeight="1" x14ac:dyDescent="0.2">
      <c r="A6" s="310" t="s">
        <v>4</v>
      </c>
      <c r="B6" s="310"/>
      <c r="C6" s="310"/>
      <c r="D6" s="310"/>
      <c r="E6" s="310"/>
      <c r="F6" s="310"/>
      <c r="G6" s="310"/>
      <c r="H6" s="310"/>
    </row>
    <row r="7" spans="1:33" ht="14.25" customHeight="1" x14ac:dyDescent="0.2">
      <c r="A7" s="301" t="s">
        <v>1004</v>
      </c>
      <c r="B7" s="301"/>
      <c r="C7" s="301"/>
      <c r="D7" s="301"/>
      <c r="E7" s="301"/>
      <c r="F7" s="301"/>
      <c r="G7" s="301"/>
      <c r="H7" s="301"/>
      <c r="I7" s="217"/>
      <c r="J7" s="217"/>
      <c r="K7" s="217"/>
      <c r="L7" s="217"/>
      <c r="M7" s="217"/>
      <c r="N7" s="217"/>
    </row>
    <row r="8" spans="1:33" ht="13.5" thickBot="1" x14ac:dyDescent="0.25"/>
    <row r="9" spans="1:33" ht="31.5" customHeight="1" x14ac:dyDescent="0.2">
      <c r="A9" s="214" t="s">
        <v>5</v>
      </c>
      <c r="B9" s="211" t="s">
        <v>11</v>
      </c>
      <c r="C9" s="212"/>
      <c r="D9" s="219" t="s">
        <v>1004</v>
      </c>
      <c r="E9" s="215" t="s">
        <v>988</v>
      </c>
      <c r="F9" s="212" t="s">
        <v>23</v>
      </c>
      <c r="G9" s="212" t="s">
        <v>22</v>
      </c>
      <c r="H9" s="210" t="s">
        <v>989</v>
      </c>
    </row>
    <row r="10" spans="1:33" ht="24" customHeight="1" x14ac:dyDescent="0.2">
      <c r="A10" s="72">
        <v>1</v>
      </c>
      <c r="B10" s="147" t="s">
        <v>1024</v>
      </c>
      <c r="C10" s="147" t="s">
        <v>466</v>
      </c>
      <c r="D10" s="240">
        <v>6500</v>
      </c>
      <c r="E10" s="152">
        <v>0</v>
      </c>
      <c r="F10" s="152">
        <v>0</v>
      </c>
      <c r="G10" s="240">
        <v>6500</v>
      </c>
      <c r="H10" s="140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4" customHeight="1" x14ac:dyDescent="0.2">
      <c r="A11" s="72">
        <v>2</v>
      </c>
      <c r="B11" s="150" t="s">
        <v>993</v>
      </c>
      <c r="C11" s="147" t="s">
        <v>466</v>
      </c>
      <c r="D11" s="157">
        <v>15000</v>
      </c>
      <c r="E11" s="152">
        <v>0</v>
      </c>
      <c r="F11" s="53">
        <v>0</v>
      </c>
      <c r="G11" s="54">
        <f>D11</f>
        <v>15000</v>
      </c>
      <c r="H11" s="140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2">
      <c r="A12" s="72">
        <v>3</v>
      </c>
      <c r="B12" s="146" t="s">
        <v>191</v>
      </c>
      <c r="C12" s="151" t="s">
        <v>466</v>
      </c>
      <c r="D12" s="153">
        <v>7000</v>
      </c>
      <c r="E12" s="152">
        <v>0</v>
      </c>
      <c r="F12" s="53">
        <v>0</v>
      </c>
      <c r="G12" s="54">
        <f>D12</f>
        <v>7000</v>
      </c>
      <c r="H12" s="140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20" customFormat="1" ht="24" customHeight="1" x14ac:dyDescent="0.2">
      <c r="A13" s="72">
        <v>4</v>
      </c>
      <c r="B13" s="145" t="s">
        <v>118</v>
      </c>
      <c r="C13" s="151" t="s">
        <v>466</v>
      </c>
      <c r="D13" s="152">
        <v>7000</v>
      </c>
      <c r="E13" s="152">
        <v>0</v>
      </c>
      <c r="F13" s="53">
        <v>0</v>
      </c>
      <c r="G13" s="54">
        <f>D13</f>
        <v>7000</v>
      </c>
      <c r="H13" s="140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20" customFormat="1" ht="24" customHeight="1" x14ac:dyDescent="0.2">
      <c r="A14" s="72">
        <v>5</v>
      </c>
      <c r="B14" s="147" t="s">
        <v>1028</v>
      </c>
      <c r="C14" s="147" t="s">
        <v>466</v>
      </c>
      <c r="D14" s="240">
        <v>15000</v>
      </c>
      <c r="E14" s="152">
        <v>0</v>
      </c>
      <c r="F14" s="152">
        <v>0</v>
      </c>
      <c r="G14" s="240">
        <v>15000</v>
      </c>
      <c r="H14" s="140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24" customHeight="1" x14ac:dyDescent="0.2">
      <c r="A15" s="72">
        <v>6</v>
      </c>
      <c r="B15" s="147" t="s">
        <v>1029</v>
      </c>
      <c r="C15" s="147" t="s">
        <v>466</v>
      </c>
      <c r="D15" s="240">
        <v>18000</v>
      </c>
      <c r="E15" s="152">
        <v>0</v>
      </c>
      <c r="F15" s="152">
        <v>0</v>
      </c>
      <c r="G15" s="240">
        <v>18000</v>
      </c>
      <c r="H15" s="140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2">
      <c r="A16" s="72">
        <v>7</v>
      </c>
      <c r="B16" s="147" t="s">
        <v>518</v>
      </c>
      <c r="C16" s="151" t="s">
        <v>466</v>
      </c>
      <c r="D16" s="154">
        <v>7800</v>
      </c>
      <c r="E16" s="152">
        <v>0</v>
      </c>
      <c r="F16" s="53">
        <v>0</v>
      </c>
      <c r="G16" s="54">
        <f>D16</f>
        <v>7800</v>
      </c>
      <c r="H16" s="140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2">
      <c r="A17" s="72">
        <v>8</v>
      </c>
      <c r="B17" s="145" t="s">
        <v>193</v>
      </c>
      <c r="C17" s="151" t="s">
        <v>466</v>
      </c>
      <c r="D17" s="152">
        <v>7000</v>
      </c>
      <c r="E17" s="152">
        <v>0</v>
      </c>
      <c r="F17" s="53">
        <v>0</v>
      </c>
      <c r="G17" s="54">
        <f>D17</f>
        <v>7000</v>
      </c>
      <c r="H17" s="140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2">
      <c r="A18" s="72">
        <v>9</v>
      </c>
      <c r="B18" s="147" t="s">
        <v>1027</v>
      </c>
      <c r="C18" s="147" t="s">
        <v>466</v>
      </c>
      <c r="D18" s="240">
        <v>5500</v>
      </c>
      <c r="E18" s="152">
        <v>0</v>
      </c>
      <c r="F18" s="152">
        <v>0</v>
      </c>
      <c r="G18" s="240">
        <v>5500</v>
      </c>
      <c r="H18" s="140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2">
      <c r="A19" s="72">
        <v>10</v>
      </c>
      <c r="B19" s="147" t="s">
        <v>1030</v>
      </c>
      <c r="C19" s="147" t="s">
        <v>466</v>
      </c>
      <c r="D19" s="240">
        <v>10000</v>
      </c>
      <c r="E19" s="152">
        <v>0</v>
      </c>
      <c r="F19" s="152">
        <v>0</v>
      </c>
      <c r="G19" s="240">
        <v>10000</v>
      </c>
      <c r="H19" s="140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2">
      <c r="A20" s="72">
        <v>11</v>
      </c>
      <c r="B20" s="148" t="s">
        <v>138</v>
      </c>
      <c r="C20" s="147" t="s">
        <v>964</v>
      </c>
      <c r="D20" s="153">
        <v>5500</v>
      </c>
      <c r="E20" s="152">
        <v>0</v>
      </c>
      <c r="F20" s="53">
        <v>0</v>
      </c>
      <c r="G20" s="54">
        <f>D20</f>
        <v>5500</v>
      </c>
      <c r="H20" s="140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2">
      <c r="A21" s="72">
        <v>12</v>
      </c>
      <c r="B21" s="147" t="s">
        <v>1023</v>
      </c>
      <c r="C21" s="147" t="s">
        <v>964</v>
      </c>
      <c r="D21" s="240">
        <v>5000</v>
      </c>
      <c r="E21" s="152">
        <v>0</v>
      </c>
      <c r="F21" s="152">
        <v>0</v>
      </c>
      <c r="G21" s="240">
        <v>5000</v>
      </c>
      <c r="H21" s="140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2">
      <c r="A22" s="72">
        <v>13</v>
      </c>
      <c r="B22" s="147" t="s">
        <v>1015</v>
      </c>
      <c r="C22" s="147" t="s">
        <v>964</v>
      </c>
      <c r="D22" s="153">
        <v>3500</v>
      </c>
      <c r="E22" s="152">
        <v>0</v>
      </c>
      <c r="F22" s="53">
        <v>0</v>
      </c>
      <c r="G22" s="54">
        <f>SUM(D22:F22)</f>
        <v>3500</v>
      </c>
      <c r="H22" s="140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2">
      <c r="A23" s="72">
        <v>14</v>
      </c>
      <c r="B23" s="149" t="s">
        <v>123</v>
      </c>
      <c r="C23" s="147" t="s">
        <v>964</v>
      </c>
      <c r="D23" s="156">
        <v>6000</v>
      </c>
      <c r="E23" s="152">
        <v>0</v>
      </c>
      <c r="F23" s="53">
        <v>0</v>
      </c>
      <c r="G23" s="54">
        <f t="shared" ref="G23:G29" si="0">D23</f>
        <v>6000</v>
      </c>
      <c r="H23" s="140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2">
      <c r="A24" s="72">
        <v>15</v>
      </c>
      <c r="B24" s="147" t="s">
        <v>1017</v>
      </c>
      <c r="C24" s="147" t="s">
        <v>964</v>
      </c>
      <c r="D24" s="155">
        <v>4000</v>
      </c>
      <c r="E24" s="152">
        <v>0</v>
      </c>
      <c r="F24" s="53">
        <v>0</v>
      </c>
      <c r="G24" s="54">
        <f t="shared" si="0"/>
        <v>4000</v>
      </c>
      <c r="H24" s="140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20" customFormat="1" ht="24" customHeight="1" x14ac:dyDescent="0.2">
      <c r="A25" s="72">
        <v>16</v>
      </c>
      <c r="B25" s="247" t="s">
        <v>1002</v>
      </c>
      <c r="C25" s="147" t="s">
        <v>964</v>
      </c>
      <c r="D25" s="155">
        <v>4000</v>
      </c>
      <c r="E25" s="152">
        <v>0</v>
      </c>
      <c r="F25" s="53">
        <v>0</v>
      </c>
      <c r="G25" s="54">
        <f t="shared" si="0"/>
        <v>4000</v>
      </c>
      <c r="H25" s="140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24" customHeight="1" x14ac:dyDescent="0.2">
      <c r="A26" s="72">
        <v>17</v>
      </c>
      <c r="B26" s="150" t="s">
        <v>117</v>
      </c>
      <c r="C26" s="147" t="s">
        <v>964</v>
      </c>
      <c r="D26" s="157">
        <v>6000</v>
      </c>
      <c r="E26" s="152">
        <v>0</v>
      </c>
      <c r="F26" s="53">
        <v>0</v>
      </c>
      <c r="G26" s="54">
        <f t="shared" si="0"/>
        <v>6000</v>
      </c>
      <c r="H26" s="140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2">
      <c r="A27" s="72">
        <v>18</v>
      </c>
      <c r="B27" s="161" t="s">
        <v>970</v>
      </c>
      <c r="C27" s="147" t="s">
        <v>964</v>
      </c>
      <c r="D27" s="154">
        <v>15000</v>
      </c>
      <c r="E27" s="152">
        <v>0</v>
      </c>
      <c r="F27" s="76">
        <v>0</v>
      </c>
      <c r="G27" s="54">
        <f t="shared" si="0"/>
        <v>15000</v>
      </c>
      <c r="H27" s="218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7" customFormat="1" ht="24" customHeight="1" x14ac:dyDescent="0.2">
      <c r="A28" s="72">
        <v>19</v>
      </c>
      <c r="B28" s="147" t="s">
        <v>1018</v>
      </c>
      <c r="C28" s="147" t="s">
        <v>964</v>
      </c>
      <c r="D28" s="155">
        <v>4000</v>
      </c>
      <c r="E28" s="152">
        <v>0</v>
      </c>
      <c r="F28" s="53">
        <v>0</v>
      </c>
      <c r="G28" s="54">
        <f t="shared" si="0"/>
        <v>4000</v>
      </c>
      <c r="H28" s="140">
        <v>0</v>
      </c>
    </row>
    <row r="29" spans="1:33" s="7" customFormat="1" ht="24" customHeight="1" x14ac:dyDescent="0.2">
      <c r="A29" s="72">
        <v>20</v>
      </c>
      <c r="B29" s="147" t="s">
        <v>961</v>
      </c>
      <c r="C29" s="147" t="s">
        <v>964</v>
      </c>
      <c r="D29" s="154">
        <v>7000</v>
      </c>
      <c r="E29" s="152">
        <v>0</v>
      </c>
      <c r="F29" s="76">
        <v>0</v>
      </c>
      <c r="G29" s="54">
        <f t="shared" si="0"/>
        <v>7000</v>
      </c>
      <c r="H29" s="141">
        <v>0</v>
      </c>
    </row>
    <row r="30" spans="1:33" s="7" customFormat="1" ht="24" customHeight="1" x14ac:dyDescent="0.2">
      <c r="A30" s="72">
        <v>21</v>
      </c>
      <c r="B30" s="147" t="s">
        <v>1034</v>
      </c>
      <c r="C30" s="147" t="s">
        <v>964</v>
      </c>
      <c r="D30" s="154">
        <v>4000</v>
      </c>
      <c r="E30" s="152">
        <v>0</v>
      </c>
      <c r="F30" s="76">
        <v>0</v>
      </c>
      <c r="G30" s="54">
        <v>4000</v>
      </c>
      <c r="H30" s="141"/>
    </row>
    <row r="31" spans="1:33" s="7" customFormat="1" ht="24" customHeight="1" x14ac:dyDescent="0.2">
      <c r="A31" s="72">
        <v>22</v>
      </c>
      <c r="B31" s="147" t="s">
        <v>1016</v>
      </c>
      <c r="C31" s="147" t="s">
        <v>964</v>
      </c>
      <c r="D31" s="153">
        <v>3500</v>
      </c>
      <c r="E31" s="152">
        <v>0</v>
      </c>
      <c r="F31" s="53">
        <v>0</v>
      </c>
      <c r="G31" s="54">
        <v>3500</v>
      </c>
      <c r="H31" s="140">
        <v>0</v>
      </c>
    </row>
    <row r="32" spans="1:33" s="7" customFormat="1" ht="24" customHeight="1" x14ac:dyDescent="0.2">
      <c r="A32" s="72">
        <v>23</v>
      </c>
      <c r="B32" s="147" t="s">
        <v>1031</v>
      </c>
      <c r="C32" s="147" t="s">
        <v>964</v>
      </c>
      <c r="D32" s="240">
        <v>5000</v>
      </c>
      <c r="E32" s="152">
        <v>0</v>
      </c>
      <c r="F32" s="152">
        <v>0</v>
      </c>
      <c r="G32" s="240">
        <v>5000</v>
      </c>
      <c r="H32" s="140">
        <v>0</v>
      </c>
    </row>
    <row r="33" spans="1:47" s="7" customFormat="1" ht="24" customHeight="1" x14ac:dyDescent="0.2">
      <c r="A33" s="72">
        <v>24</v>
      </c>
      <c r="B33" s="147" t="s">
        <v>512</v>
      </c>
      <c r="C33" s="147" t="s">
        <v>964</v>
      </c>
      <c r="D33" s="154">
        <v>7000</v>
      </c>
      <c r="E33" s="152">
        <v>0</v>
      </c>
      <c r="F33" s="53">
        <v>0</v>
      </c>
      <c r="G33" s="54">
        <f>D33</f>
        <v>7000</v>
      </c>
      <c r="H33" s="140">
        <v>0</v>
      </c>
    </row>
    <row r="34" spans="1:47" s="7" customFormat="1" ht="24" customHeight="1" x14ac:dyDescent="0.2">
      <c r="A34" s="72">
        <v>25</v>
      </c>
      <c r="B34" s="147" t="s">
        <v>962</v>
      </c>
      <c r="C34" s="147" t="s">
        <v>964</v>
      </c>
      <c r="D34" s="154">
        <v>3500</v>
      </c>
      <c r="E34" s="152">
        <v>0</v>
      </c>
      <c r="F34" s="76">
        <v>0</v>
      </c>
      <c r="G34" s="54">
        <f>D34</f>
        <v>3500</v>
      </c>
      <c r="H34" s="141">
        <v>0</v>
      </c>
    </row>
    <row r="35" spans="1:47" s="7" customFormat="1" ht="24" customHeight="1" x14ac:dyDescent="0.2">
      <c r="A35" s="72">
        <v>26</v>
      </c>
      <c r="B35" s="147" t="s">
        <v>125</v>
      </c>
      <c r="C35" s="147" t="s">
        <v>964</v>
      </c>
      <c r="D35" s="158">
        <v>5000</v>
      </c>
      <c r="E35" s="152">
        <v>0</v>
      </c>
      <c r="F35" s="53">
        <v>0</v>
      </c>
      <c r="G35" s="54">
        <f>D35</f>
        <v>5000</v>
      </c>
      <c r="H35" s="140">
        <v>0</v>
      </c>
    </row>
    <row r="36" spans="1:47" s="7" customFormat="1" ht="24" customHeight="1" x14ac:dyDescent="0.2">
      <c r="A36" s="72">
        <v>27</v>
      </c>
      <c r="B36" s="147" t="s">
        <v>1032</v>
      </c>
      <c r="C36" s="147" t="s">
        <v>964</v>
      </c>
      <c r="D36" s="158">
        <v>3500</v>
      </c>
      <c r="E36" s="152">
        <v>0</v>
      </c>
      <c r="F36" s="53">
        <v>0</v>
      </c>
      <c r="G36" s="54">
        <v>3500</v>
      </c>
      <c r="H36" s="140">
        <v>0</v>
      </c>
    </row>
    <row r="37" spans="1:47" s="7" customFormat="1" ht="24" customHeight="1" x14ac:dyDescent="0.2">
      <c r="A37" s="72">
        <v>28</v>
      </c>
      <c r="B37" s="147" t="s">
        <v>991</v>
      </c>
      <c r="C37" s="147" t="s">
        <v>964</v>
      </c>
      <c r="D37" s="158">
        <v>6500</v>
      </c>
      <c r="E37" s="152">
        <v>0</v>
      </c>
      <c r="F37" s="53">
        <v>0</v>
      </c>
      <c r="G37" s="54">
        <f>D37</f>
        <v>6500</v>
      </c>
      <c r="H37" s="140">
        <v>0</v>
      </c>
    </row>
    <row r="38" spans="1:47" s="7" customFormat="1" ht="24" customHeight="1" x14ac:dyDescent="0.2">
      <c r="A38" s="72">
        <v>29</v>
      </c>
      <c r="B38" s="148" t="s">
        <v>161</v>
      </c>
      <c r="C38" s="147" t="s">
        <v>964</v>
      </c>
      <c r="D38" s="153">
        <v>8000</v>
      </c>
      <c r="E38" s="152">
        <v>0</v>
      </c>
      <c r="F38" s="53">
        <v>0</v>
      </c>
      <c r="G38" s="54">
        <f>D38</f>
        <v>8000</v>
      </c>
      <c r="H38" s="140">
        <v>0</v>
      </c>
    </row>
    <row r="39" spans="1:47" s="7" customFormat="1" ht="24" customHeight="1" x14ac:dyDescent="0.2">
      <c r="A39" s="72">
        <v>30</v>
      </c>
      <c r="B39" s="148" t="s">
        <v>192</v>
      </c>
      <c r="C39" s="147" t="s">
        <v>964</v>
      </c>
      <c r="D39" s="153">
        <v>4000</v>
      </c>
      <c r="E39" s="152">
        <v>0</v>
      </c>
      <c r="F39" s="53">
        <v>0</v>
      </c>
      <c r="G39" s="54">
        <f>D39</f>
        <v>4000</v>
      </c>
      <c r="H39" s="140">
        <v>0</v>
      </c>
    </row>
    <row r="40" spans="1:47" s="7" customFormat="1" ht="24" customHeight="1" x14ac:dyDescent="0.2">
      <c r="A40" s="72">
        <v>31</v>
      </c>
      <c r="B40" s="148" t="s">
        <v>992</v>
      </c>
      <c r="C40" s="147" t="s">
        <v>964</v>
      </c>
      <c r="D40" s="153">
        <v>7000</v>
      </c>
      <c r="E40" s="152">
        <v>0</v>
      </c>
      <c r="F40" s="53">
        <v>0</v>
      </c>
      <c r="G40" s="54">
        <f>D40</f>
        <v>7000</v>
      </c>
      <c r="H40" s="140">
        <v>0</v>
      </c>
    </row>
    <row r="41" spans="1:47" s="7" customFormat="1" ht="24" customHeight="1" x14ac:dyDescent="0.2">
      <c r="A41" s="72">
        <v>32</v>
      </c>
      <c r="B41" s="147" t="s">
        <v>1026</v>
      </c>
      <c r="C41" s="147" t="s">
        <v>964</v>
      </c>
      <c r="D41" s="240">
        <v>5000</v>
      </c>
      <c r="E41" s="152">
        <v>0</v>
      </c>
      <c r="F41" s="152">
        <v>0</v>
      </c>
      <c r="G41" s="240">
        <v>5000</v>
      </c>
      <c r="H41" s="140">
        <v>0</v>
      </c>
    </row>
    <row r="42" spans="1:47" s="7" customFormat="1" ht="24" customHeight="1" x14ac:dyDescent="0.2">
      <c r="A42" s="72">
        <v>33</v>
      </c>
      <c r="B42" s="148" t="s">
        <v>122</v>
      </c>
      <c r="C42" s="147" t="s">
        <v>964</v>
      </c>
      <c r="D42" s="153">
        <v>12000</v>
      </c>
      <c r="E42" s="152">
        <v>0</v>
      </c>
      <c r="F42" s="53">
        <v>0</v>
      </c>
      <c r="G42" s="54">
        <f>D42</f>
        <v>12000</v>
      </c>
      <c r="H42" s="140">
        <v>0</v>
      </c>
    </row>
    <row r="43" spans="1:47" s="7" customFormat="1" ht="24" customHeight="1" x14ac:dyDescent="0.2">
      <c r="A43" s="72">
        <v>34</v>
      </c>
      <c r="B43" s="148" t="s">
        <v>121</v>
      </c>
      <c r="C43" s="147" t="s">
        <v>964</v>
      </c>
      <c r="D43" s="153">
        <v>5500</v>
      </c>
      <c r="E43" s="152">
        <v>0</v>
      </c>
      <c r="F43" s="53">
        <v>0</v>
      </c>
      <c r="G43" s="54">
        <f>D43</f>
        <v>5500</v>
      </c>
      <c r="H43" s="140">
        <v>0</v>
      </c>
    </row>
    <row r="44" spans="1:47" s="7" customFormat="1" ht="24" customHeight="1" x14ac:dyDescent="0.2">
      <c r="A44" s="72">
        <v>35</v>
      </c>
      <c r="B44" s="147" t="s">
        <v>963</v>
      </c>
      <c r="C44" s="147" t="s">
        <v>964</v>
      </c>
      <c r="D44" s="154">
        <v>12000</v>
      </c>
      <c r="E44" s="152">
        <v>0</v>
      </c>
      <c r="F44" s="76">
        <v>0</v>
      </c>
      <c r="G44" s="54">
        <f>D44</f>
        <v>12000</v>
      </c>
      <c r="H44" s="141">
        <v>0</v>
      </c>
    </row>
    <row r="45" spans="1:47" s="20" customFormat="1" x14ac:dyDescent="0.2">
      <c r="A45" s="72">
        <v>36</v>
      </c>
      <c r="B45" s="246" t="s">
        <v>990</v>
      </c>
      <c r="C45" s="151" t="s">
        <v>964</v>
      </c>
      <c r="D45" s="152">
        <v>4500</v>
      </c>
      <c r="E45" s="152">
        <v>0</v>
      </c>
      <c r="F45" s="53">
        <v>0</v>
      </c>
      <c r="G45" s="54">
        <f>D45</f>
        <v>4500</v>
      </c>
      <c r="H45" s="140"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s="20" customFormat="1" ht="25.5" x14ac:dyDescent="0.2">
      <c r="A46" s="72">
        <v>37</v>
      </c>
      <c r="B46" s="150" t="s">
        <v>116</v>
      </c>
      <c r="C46" s="239" t="s">
        <v>964</v>
      </c>
      <c r="D46" s="152">
        <v>7000</v>
      </c>
      <c r="E46" s="152">
        <v>0</v>
      </c>
      <c r="F46" s="53">
        <v>0</v>
      </c>
      <c r="G46" s="54">
        <f>D46</f>
        <v>7000</v>
      </c>
      <c r="H46" s="140"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s="20" customFormat="1" x14ac:dyDescent="0.2">
      <c r="A47" s="72">
        <v>38</v>
      </c>
      <c r="B47" s="147" t="s">
        <v>1022</v>
      </c>
      <c r="C47" s="239" t="s">
        <v>964</v>
      </c>
      <c r="D47" s="240">
        <v>5000</v>
      </c>
      <c r="E47" s="152">
        <v>0</v>
      </c>
      <c r="F47" s="152">
        <v>0</v>
      </c>
      <c r="G47" s="240">
        <v>5000</v>
      </c>
      <c r="H47" s="140"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s="20" customFormat="1" x14ac:dyDescent="0.2">
      <c r="A48" s="72">
        <v>39</v>
      </c>
      <c r="B48" s="248" t="s">
        <v>471</v>
      </c>
      <c r="C48" s="239" t="s">
        <v>964</v>
      </c>
      <c r="D48" s="154">
        <v>7000</v>
      </c>
      <c r="E48" s="152">
        <v>0</v>
      </c>
      <c r="F48" s="76">
        <v>0</v>
      </c>
      <c r="G48" s="54">
        <f>D48</f>
        <v>7000</v>
      </c>
      <c r="H48" s="218"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s="20" customFormat="1" x14ac:dyDescent="0.2">
      <c r="A49" s="72">
        <v>40</v>
      </c>
      <c r="B49" s="148" t="s">
        <v>124</v>
      </c>
      <c r="C49" s="239" t="s">
        <v>964</v>
      </c>
      <c r="D49" s="153">
        <v>7000</v>
      </c>
      <c r="E49" s="152">
        <v>0</v>
      </c>
      <c r="F49" s="53">
        <v>0</v>
      </c>
      <c r="G49" s="54">
        <f>D49</f>
        <v>7000</v>
      </c>
      <c r="H49" s="140"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s="20" customFormat="1" x14ac:dyDescent="0.2">
      <c r="A50" s="72">
        <v>41</v>
      </c>
      <c r="B50" s="148" t="s">
        <v>194</v>
      </c>
      <c r="C50" s="239" t="s">
        <v>964</v>
      </c>
      <c r="D50" s="153">
        <v>6000</v>
      </c>
      <c r="E50" s="152">
        <v>0</v>
      </c>
      <c r="F50" s="53">
        <v>0</v>
      </c>
      <c r="G50" s="54">
        <f>D50</f>
        <v>6000</v>
      </c>
      <c r="H50" s="140"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s="20" customFormat="1" ht="25.5" x14ac:dyDescent="0.2">
      <c r="A51" s="72">
        <v>42</v>
      </c>
      <c r="B51" s="145" t="s">
        <v>119</v>
      </c>
      <c r="C51" s="239" t="s">
        <v>964</v>
      </c>
      <c r="D51" s="152">
        <v>5000</v>
      </c>
      <c r="E51" s="152">
        <v>0</v>
      </c>
      <c r="F51" s="53">
        <v>0</v>
      </c>
      <c r="G51" s="54">
        <f>D51</f>
        <v>5000</v>
      </c>
      <c r="H51" s="140"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s="20" customFormat="1" x14ac:dyDescent="0.2">
      <c r="A52" s="72">
        <v>43</v>
      </c>
      <c r="B52" s="147" t="s">
        <v>1014</v>
      </c>
      <c r="C52" s="239" t="s">
        <v>964</v>
      </c>
      <c r="D52" s="232">
        <v>5000</v>
      </c>
      <c r="E52" s="233">
        <v>0</v>
      </c>
      <c r="F52" s="234">
        <v>0</v>
      </c>
      <c r="G52" s="54">
        <f>D52</f>
        <v>5000</v>
      </c>
      <c r="H52" s="140"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s="20" customFormat="1" ht="25.5" x14ac:dyDescent="0.2">
      <c r="A53" s="72">
        <v>44</v>
      </c>
      <c r="B53" s="147" t="s">
        <v>1025</v>
      </c>
      <c r="C53" s="239" t="s">
        <v>964</v>
      </c>
      <c r="D53" s="240">
        <v>3000</v>
      </c>
      <c r="E53" s="152">
        <v>0</v>
      </c>
      <c r="F53" s="152">
        <v>0</v>
      </c>
      <c r="G53" s="240">
        <v>3000</v>
      </c>
      <c r="H53" s="140">
        <v>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s="20" customFormat="1" x14ac:dyDescent="0.2">
      <c r="A54" s="72">
        <v>45</v>
      </c>
      <c r="B54" s="147" t="s">
        <v>1033</v>
      </c>
      <c r="C54" s="147" t="s">
        <v>964</v>
      </c>
      <c r="D54" s="240">
        <v>3800</v>
      </c>
      <c r="E54" s="152">
        <v>0</v>
      </c>
      <c r="F54" s="152">
        <v>0</v>
      </c>
      <c r="G54" s="240">
        <v>3800</v>
      </c>
      <c r="H54" s="140"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s="20" customFormat="1" ht="26.25" thickBot="1" x14ac:dyDescent="0.25">
      <c r="A55" s="72">
        <v>46</v>
      </c>
      <c r="B55" s="252" t="s">
        <v>120</v>
      </c>
      <c r="C55" s="241" t="s">
        <v>964</v>
      </c>
      <c r="D55" s="249">
        <v>5500</v>
      </c>
      <c r="E55" s="242">
        <v>0</v>
      </c>
      <c r="F55" s="250">
        <v>0</v>
      </c>
      <c r="G55" s="251">
        <f>D55</f>
        <v>5500</v>
      </c>
      <c r="H55" s="243"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s="20" customFormat="1" ht="13.5" thickBot="1" x14ac:dyDescent="0.25">
      <c r="A56" s="12"/>
      <c r="B56" s="307" t="s">
        <v>6</v>
      </c>
      <c r="C56" s="308"/>
      <c r="D56" s="253">
        <f>SUM(D10:D55)</f>
        <v>309100</v>
      </c>
      <c r="E56" s="244"/>
      <c r="F56" s="244"/>
      <c r="G56" s="254">
        <f>SUM(G10:G55)</f>
        <v>309100</v>
      </c>
      <c r="H56" s="245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s="20" customFormat="1" x14ac:dyDescent="0.2">
      <c r="A57" s="12"/>
      <c r="B57" s="6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1">
        <v>1879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s="20" customFormat="1" x14ac:dyDescent="0.2">
      <c r="A58" s="12"/>
      <c r="B58" s="6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s="20" customFormat="1" x14ac:dyDescent="0.2">
      <c r="A59" s="12"/>
      <c r="B59" s="7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s="20" customFormat="1" x14ac:dyDescent="0.2">
      <c r="A60" s="12"/>
      <c r="B60" s="7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s="20" customFormat="1" x14ac:dyDescent="0.2">
      <c r="A61" s="12"/>
      <c r="B61" s="7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s="20" customFormat="1" x14ac:dyDescent="0.2">
      <c r="A62" s="12"/>
      <c r="B62" s="1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s="20" customFormat="1" x14ac:dyDescent="0.2">
      <c r="A63" s="12"/>
      <c r="B63" s="1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s="20" customFormat="1" x14ac:dyDescent="0.2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spans="1:47" s="20" customFormat="1" x14ac:dyDescent="0.2">
      <c r="A65" s="12"/>
      <c r="B65" s="1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</row>
    <row r="66" spans="1:47" s="20" customFormat="1" x14ac:dyDescent="0.2">
      <c r="A66" s="12"/>
      <c r="B66" s="7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1:47" s="20" customFormat="1" x14ac:dyDescent="0.2">
      <c r="A67" s="1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s="20" customFormat="1" x14ac:dyDescent="0.2">
      <c r="A68" s="1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</row>
    <row r="69" spans="1:47" s="20" customFormat="1" x14ac:dyDescent="0.2">
      <c r="A69" s="1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 s="20" customFormat="1" x14ac:dyDescent="0.2">
      <c r="A70" s="1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</row>
    <row r="71" spans="1:47" s="20" customFormat="1" x14ac:dyDescent="0.2">
      <c r="A71" s="1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</row>
    <row r="72" spans="1:47" s="20" customFormat="1" x14ac:dyDescent="0.2">
      <c r="A72" s="1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</row>
    <row r="73" spans="1:47" s="20" customFormat="1" x14ac:dyDescent="0.2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s="20" customFormat="1" x14ac:dyDescent="0.2">
      <c r="A74" s="1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</row>
    <row r="75" spans="1:47" s="20" customFormat="1" x14ac:dyDescent="0.2">
      <c r="A75" s="1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s="20" customFormat="1" x14ac:dyDescent="0.2">
      <c r="A76" s="12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</row>
    <row r="77" spans="1:47" s="20" customFormat="1" x14ac:dyDescent="0.2">
      <c r="A77" s="1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</row>
    <row r="78" spans="1:47" s="20" customFormat="1" x14ac:dyDescent="0.2">
      <c r="A78" s="1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</row>
    <row r="79" spans="1:47" s="20" customFormat="1" x14ac:dyDescent="0.2">
      <c r="A79" s="1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</row>
    <row r="80" spans="1:47" s="20" customFormat="1" x14ac:dyDescent="0.2">
      <c r="A80" s="12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47" s="20" customFormat="1" x14ac:dyDescent="0.2">
      <c r="A81" s="1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</row>
    <row r="82" spans="1:47" s="20" customFormat="1" x14ac:dyDescent="0.2">
      <c r="A82" s="1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</row>
    <row r="83" spans="1:47" s="20" customFormat="1" x14ac:dyDescent="0.2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</row>
    <row r="84" spans="1:47" s="20" customFormat="1" x14ac:dyDescent="0.2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</row>
    <row r="85" spans="1:47" s="20" customFormat="1" x14ac:dyDescent="0.2">
      <c r="A85" s="12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</row>
    <row r="86" spans="1:47" s="20" customFormat="1" x14ac:dyDescent="0.2">
      <c r="A86" s="12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7" spans="1:47" s="20" customFormat="1" x14ac:dyDescent="0.2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</row>
    <row r="88" spans="1:47" s="20" customFormat="1" x14ac:dyDescent="0.2">
      <c r="A88" s="12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</row>
    <row r="89" spans="1:47" s="20" customFormat="1" x14ac:dyDescent="0.2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</row>
    <row r="90" spans="1:47" s="20" customFormat="1" x14ac:dyDescent="0.2">
      <c r="A90" s="1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</row>
    <row r="91" spans="1:47" s="20" customFormat="1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</row>
    <row r="92" spans="1:47" s="20" customFormat="1" x14ac:dyDescent="0.2">
      <c r="A92" s="1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</row>
    <row r="93" spans="1:47" s="20" customFormat="1" x14ac:dyDescent="0.2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</row>
    <row r="94" spans="1:47" s="20" customFormat="1" x14ac:dyDescent="0.2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</row>
    <row r="95" spans="1:47" s="20" customFormat="1" x14ac:dyDescent="0.2">
      <c r="A95" s="1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</row>
    <row r="96" spans="1:47" s="20" customFormat="1" x14ac:dyDescent="0.2">
      <c r="A96" s="1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</row>
    <row r="97" spans="1:47" s="20" customFormat="1" x14ac:dyDescent="0.2">
      <c r="A97" s="1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</row>
    <row r="98" spans="1:47" s="20" customFormat="1" x14ac:dyDescent="0.2">
      <c r="A98" s="1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</row>
    <row r="99" spans="1:47" s="20" customFormat="1" x14ac:dyDescent="0.2">
      <c r="A99" s="1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</row>
    <row r="100" spans="1:47" s="20" customFormat="1" x14ac:dyDescent="0.2">
      <c r="A100" s="1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</row>
    <row r="101" spans="1:47" s="20" customFormat="1" x14ac:dyDescent="0.2">
      <c r="A101" s="1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</row>
    <row r="102" spans="1:47" s="20" customFormat="1" x14ac:dyDescent="0.2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</row>
    <row r="103" spans="1:47" s="20" customFormat="1" x14ac:dyDescent="0.2">
      <c r="A103" s="1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</row>
    <row r="104" spans="1:47" s="20" customFormat="1" x14ac:dyDescent="0.2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</row>
    <row r="105" spans="1:47" s="20" customFormat="1" x14ac:dyDescent="0.2">
      <c r="A105" s="1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</row>
    <row r="106" spans="1:47" s="20" customFormat="1" x14ac:dyDescent="0.2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</row>
    <row r="107" spans="1:47" s="20" customFormat="1" x14ac:dyDescent="0.2">
      <c r="A107" s="1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1:47" s="20" customFormat="1" x14ac:dyDescent="0.2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47" s="20" customFormat="1" x14ac:dyDescent="0.2">
      <c r="A109" s="1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</row>
    <row r="110" spans="1:47" s="20" customFormat="1" x14ac:dyDescent="0.2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</row>
    <row r="111" spans="1:47" s="20" customFormat="1" x14ac:dyDescent="0.2">
      <c r="A111" s="1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</row>
    <row r="112" spans="1:47" s="20" customFormat="1" x14ac:dyDescent="0.2">
      <c r="A112" s="1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</row>
    <row r="113" spans="1:47" s="20" customFormat="1" x14ac:dyDescent="0.2">
      <c r="A113" s="12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</row>
    <row r="114" spans="1:47" s="20" customFormat="1" x14ac:dyDescent="0.2">
      <c r="A114" s="1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47" s="20" customFormat="1" x14ac:dyDescent="0.2">
      <c r="A115" s="1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</row>
    <row r="116" spans="1:47" s="20" customFormat="1" x14ac:dyDescent="0.2">
      <c r="A116" s="1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</row>
    <row r="117" spans="1:47" s="20" customFormat="1" x14ac:dyDescent="0.2">
      <c r="A117" s="12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</row>
    <row r="118" spans="1:47" s="20" customFormat="1" x14ac:dyDescent="0.2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</row>
    <row r="119" spans="1:47" s="20" customFormat="1" x14ac:dyDescent="0.2">
      <c r="A119" s="1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</row>
    <row r="120" spans="1:47" s="20" customFormat="1" x14ac:dyDescent="0.2">
      <c r="A120" s="1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</row>
    <row r="121" spans="1:47" s="20" customFormat="1" x14ac:dyDescent="0.2">
      <c r="A121" s="1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</row>
    <row r="122" spans="1:47" s="20" customFormat="1" x14ac:dyDescent="0.2">
      <c r="A122" s="1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</row>
    <row r="123" spans="1:47" s="20" customFormat="1" x14ac:dyDescent="0.2">
      <c r="A123" s="12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</row>
    <row r="124" spans="1:47" s="20" customFormat="1" x14ac:dyDescent="0.2">
      <c r="A124" s="1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</row>
    <row r="125" spans="1:47" s="20" customFormat="1" x14ac:dyDescent="0.2">
      <c r="A125" s="12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</row>
    <row r="126" spans="1:47" s="20" customFormat="1" x14ac:dyDescent="0.2">
      <c r="A126" s="12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</row>
    <row r="127" spans="1:47" s="20" customFormat="1" x14ac:dyDescent="0.2">
      <c r="A127" s="1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</row>
    <row r="128" spans="1:47" s="20" customFormat="1" x14ac:dyDescent="0.2">
      <c r="A128" s="1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</row>
    <row r="129" spans="1:47" s="20" customFormat="1" x14ac:dyDescent="0.2">
      <c r="A129" s="12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</row>
    <row r="130" spans="1:47" s="20" customFormat="1" x14ac:dyDescent="0.2">
      <c r="A130" s="12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</row>
    <row r="131" spans="1:47" s="20" customFormat="1" x14ac:dyDescent="0.2">
      <c r="A131" s="12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</row>
    <row r="132" spans="1:47" s="20" customFormat="1" x14ac:dyDescent="0.2">
      <c r="A132" s="12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</row>
    <row r="133" spans="1:47" s="20" customFormat="1" x14ac:dyDescent="0.2">
      <c r="A133" s="12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</row>
    <row r="134" spans="1:47" s="20" customFormat="1" x14ac:dyDescent="0.2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</row>
    <row r="135" spans="1:47" s="20" customFormat="1" x14ac:dyDescent="0.2">
      <c r="A135" s="12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</row>
    <row r="136" spans="1:47" s="20" customFormat="1" x14ac:dyDescent="0.2">
      <c r="A136" s="1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</row>
    <row r="137" spans="1:47" s="20" customFormat="1" x14ac:dyDescent="0.2">
      <c r="A137" s="1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</row>
    <row r="138" spans="1:47" s="20" customFormat="1" x14ac:dyDescent="0.2">
      <c r="A138" s="12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</row>
    <row r="139" spans="1:47" s="20" customFormat="1" x14ac:dyDescent="0.2">
      <c r="A139" s="12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</row>
    <row r="140" spans="1:47" s="20" customFormat="1" x14ac:dyDescent="0.2">
      <c r="A140" s="12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</row>
    <row r="141" spans="1:47" s="20" customFormat="1" x14ac:dyDescent="0.2">
      <c r="A141" s="1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</row>
    <row r="142" spans="1:47" s="20" customFormat="1" x14ac:dyDescent="0.2">
      <c r="A142" s="1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</row>
    <row r="143" spans="1:47" s="20" customFormat="1" x14ac:dyDescent="0.2">
      <c r="A143" s="12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</row>
    <row r="144" spans="1:47" s="20" customFormat="1" x14ac:dyDescent="0.2">
      <c r="A144" s="12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</row>
    <row r="145" spans="1:47" s="20" customFormat="1" x14ac:dyDescent="0.2">
      <c r="A145" s="12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</row>
    <row r="146" spans="1:47" s="20" customFormat="1" x14ac:dyDescent="0.2">
      <c r="A146" s="12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</row>
    <row r="147" spans="1:47" s="20" customFormat="1" x14ac:dyDescent="0.2">
      <c r="A147" s="1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</row>
    <row r="148" spans="1:47" s="20" customFormat="1" x14ac:dyDescent="0.2">
      <c r="A148" s="1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</row>
    <row r="149" spans="1:47" s="20" customFormat="1" x14ac:dyDescent="0.2">
      <c r="A149" s="12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</row>
    <row r="150" spans="1:47" s="20" customFormat="1" x14ac:dyDescent="0.2">
      <c r="A150" s="1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</row>
    <row r="151" spans="1:47" s="20" customFormat="1" x14ac:dyDescent="0.2">
      <c r="A151" s="1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</row>
    <row r="152" spans="1:47" s="20" customFormat="1" x14ac:dyDescent="0.2">
      <c r="A152" s="12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</row>
    <row r="153" spans="1:47" s="20" customFormat="1" x14ac:dyDescent="0.2">
      <c r="A153" s="1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</row>
    <row r="154" spans="1:47" s="20" customFormat="1" x14ac:dyDescent="0.2">
      <c r="A154" s="12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</row>
    <row r="155" spans="1:47" s="20" customFormat="1" x14ac:dyDescent="0.2">
      <c r="A155" s="1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</row>
    <row r="156" spans="1:47" s="20" customFormat="1" x14ac:dyDescent="0.2">
      <c r="A156" s="1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</row>
    <row r="157" spans="1:47" s="20" customFormat="1" x14ac:dyDescent="0.2">
      <c r="A157" s="1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</row>
    <row r="158" spans="1:47" s="20" customFormat="1" x14ac:dyDescent="0.2">
      <c r="A158" s="1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</row>
    <row r="159" spans="1:47" s="20" customFormat="1" x14ac:dyDescent="0.2">
      <c r="A159" s="1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</row>
    <row r="160" spans="1:47" s="20" customFormat="1" x14ac:dyDescent="0.2">
      <c r="A160" s="1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</row>
    <row r="161" spans="1:47" s="20" customFormat="1" x14ac:dyDescent="0.2">
      <c r="A161" s="1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</row>
    <row r="162" spans="1:47" s="20" customFormat="1" x14ac:dyDescent="0.2">
      <c r="A162" s="1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</row>
    <row r="163" spans="1:47" s="20" customFormat="1" x14ac:dyDescent="0.2">
      <c r="A163" s="1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</row>
    <row r="164" spans="1:47" s="20" customFormat="1" x14ac:dyDescent="0.2">
      <c r="A164" s="1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</row>
    <row r="165" spans="1:47" s="20" customFormat="1" x14ac:dyDescent="0.2">
      <c r="A165" s="1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</row>
    <row r="166" spans="1:47" s="20" customFormat="1" x14ac:dyDescent="0.2">
      <c r="A166" s="1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</row>
    <row r="167" spans="1:47" s="20" customFormat="1" x14ac:dyDescent="0.2">
      <c r="A167" s="1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</row>
    <row r="168" spans="1:47" s="20" customFormat="1" x14ac:dyDescent="0.2">
      <c r="A168" s="1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</row>
    <row r="169" spans="1:47" s="20" customFormat="1" x14ac:dyDescent="0.2">
      <c r="A169" s="1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</row>
    <row r="170" spans="1:47" s="20" customFormat="1" x14ac:dyDescent="0.2">
      <c r="A170" s="1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</row>
    <row r="171" spans="1:47" s="20" customFormat="1" x14ac:dyDescent="0.2">
      <c r="A171" s="1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</row>
    <row r="172" spans="1:47" s="20" customFormat="1" x14ac:dyDescent="0.2">
      <c r="A172" s="1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</row>
    <row r="173" spans="1:47" s="20" customFormat="1" x14ac:dyDescent="0.2">
      <c r="A173" s="1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</row>
    <row r="174" spans="1:47" s="20" customFormat="1" x14ac:dyDescent="0.2">
      <c r="A174" s="1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</row>
    <row r="175" spans="1:47" s="20" customFormat="1" x14ac:dyDescent="0.2">
      <c r="A175" s="1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</row>
    <row r="176" spans="1:47" s="20" customFormat="1" x14ac:dyDescent="0.2">
      <c r="A176" s="1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</row>
    <row r="177" spans="1:47" s="20" customFormat="1" x14ac:dyDescent="0.2">
      <c r="A177" s="1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</row>
    <row r="178" spans="1:47" s="20" customFormat="1" x14ac:dyDescent="0.2">
      <c r="A178" s="1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</row>
    <row r="179" spans="1:47" s="20" customFormat="1" x14ac:dyDescent="0.2">
      <c r="A179" s="1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</row>
    <row r="180" spans="1:47" s="20" customFormat="1" x14ac:dyDescent="0.2">
      <c r="A180" s="1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</row>
    <row r="181" spans="1:47" s="20" customFormat="1" x14ac:dyDescent="0.2">
      <c r="A181" s="1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</row>
    <row r="182" spans="1:47" s="20" customFormat="1" x14ac:dyDescent="0.2">
      <c r="A182" s="1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</row>
    <row r="183" spans="1:47" s="20" customFormat="1" x14ac:dyDescent="0.2">
      <c r="A183" s="1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</row>
    <row r="184" spans="1:47" s="20" customFormat="1" x14ac:dyDescent="0.2">
      <c r="A184" s="1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</row>
    <row r="185" spans="1:47" s="20" customFormat="1" x14ac:dyDescent="0.2">
      <c r="A185" s="1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</row>
    <row r="186" spans="1:47" s="20" customFormat="1" x14ac:dyDescent="0.2">
      <c r="A186" s="1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</row>
    <row r="187" spans="1:47" s="20" customFormat="1" x14ac:dyDescent="0.2">
      <c r="A187" s="1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</row>
    <row r="188" spans="1:47" s="20" customFormat="1" x14ac:dyDescent="0.2">
      <c r="A188" s="1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</row>
    <row r="189" spans="1:47" s="20" customFormat="1" x14ac:dyDescent="0.2">
      <c r="A189" s="1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</row>
    <row r="190" spans="1:47" s="20" customFormat="1" x14ac:dyDescent="0.2">
      <c r="A190" s="1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</row>
    <row r="191" spans="1:47" s="20" customFormat="1" x14ac:dyDescent="0.2">
      <c r="A191" s="1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</row>
    <row r="192" spans="1:47" s="20" customFormat="1" x14ac:dyDescent="0.2">
      <c r="A192" s="1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</row>
    <row r="193" spans="1:47" s="20" customFormat="1" x14ac:dyDescent="0.2">
      <c r="A193" s="1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</row>
    <row r="194" spans="1:47" s="20" customFormat="1" x14ac:dyDescent="0.2">
      <c r="A194" s="1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</row>
    <row r="195" spans="1:47" s="20" customFormat="1" x14ac:dyDescent="0.2">
      <c r="A195" s="1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</row>
    <row r="196" spans="1:47" s="20" customFormat="1" x14ac:dyDescent="0.2">
      <c r="A196" s="1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</row>
    <row r="197" spans="1:47" s="20" customFormat="1" x14ac:dyDescent="0.2">
      <c r="A197" s="1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</row>
    <row r="198" spans="1:47" s="20" customFormat="1" x14ac:dyDescent="0.2">
      <c r="A198" s="1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</row>
    <row r="199" spans="1:47" s="20" customFormat="1" x14ac:dyDescent="0.2">
      <c r="A199" s="1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</row>
    <row r="200" spans="1:47" s="20" customFormat="1" x14ac:dyDescent="0.2">
      <c r="A200" s="1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</row>
    <row r="201" spans="1:47" s="20" customFormat="1" x14ac:dyDescent="0.2">
      <c r="A201" s="1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</row>
    <row r="202" spans="1:47" s="20" customFormat="1" x14ac:dyDescent="0.2">
      <c r="A202" s="1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</row>
    <row r="203" spans="1:47" s="20" customFormat="1" x14ac:dyDescent="0.2">
      <c r="A203" s="1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</row>
    <row r="204" spans="1:47" s="20" customFormat="1" x14ac:dyDescent="0.2">
      <c r="A204" s="1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</row>
    <row r="205" spans="1:47" s="20" customFormat="1" x14ac:dyDescent="0.2">
      <c r="A205" s="1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</row>
    <row r="206" spans="1:47" s="20" customFormat="1" x14ac:dyDescent="0.2">
      <c r="A206" s="1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</row>
    <row r="207" spans="1:47" s="20" customFormat="1" x14ac:dyDescent="0.2">
      <c r="A207" s="12"/>
      <c r="B207" s="18"/>
      <c r="C207" s="18"/>
      <c r="D207" s="18"/>
      <c r="E207" s="18"/>
      <c r="F207" s="18"/>
      <c r="G207" s="2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</row>
    <row r="208" spans="1:47" s="20" customFormat="1" x14ac:dyDescent="0.2">
      <c r="A208" s="1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</row>
    <row r="209" spans="1:47" s="20" customFormat="1" x14ac:dyDescent="0.2">
      <c r="A209" s="1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</row>
    <row r="210" spans="1:47" s="20" customFormat="1" x14ac:dyDescent="0.2">
      <c r="A210" s="1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</row>
    <row r="211" spans="1:47" s="20" customFormat="1" x14ac:dyDescent="0.2">
      <c r="A211" s="1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</row>
    <row r="212" spans="1:47" s="20" customFormat="1" x14ac:dyDescent="0.2">
      <c r="A212" s="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</row>
    <row r="213" spans="1:47" s="20" customFormat="1" x14ac:dyDescent="0.2">
      <c r="A213" s="1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</row>
    <row r="214" spans="1:47" s="20" customFormat="1" x14ac:dyDescent="0.2">
      <c r="A214" s="1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</row>
    <row r="215" spans="1:47" s="20" customFormat="1" x14ac:dyDescent="0.2">
      <c r="A215" s="1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</row>
    <row r="216" spans="1:47" s="20" customFormat="1" x14ac:dyDescent="0.2">
      <c r="A216" s="1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</row>
    <row r="217" spans="1:47" s="20" customFormat="1" x14ac:dyDescent="0.2">
      <c r="A217" s="1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</row>
    <row r="218" spans="1:47" s="20" customFormat="1" x14ac:dyDescent="0.2">
      <c r="A218" s="1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</row>
    <row r="219" spans="1:47" s="20" customFormat="1" x14ac:dyDescent="0.2">
      <c r="A219" s="1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</row>
    <row r="220" spans="1:47" s="20" customFormat="1" x14ac:dyDescent="0.2">
      <c r="A220" s="1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</row>
    <row r="221" spans="1:47" s="20" customFormat="1" x14ac:dyDescent="0.2">
      <c r="A221" s="1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</row>
    <row r="222" spans="1:47" s="20" customFormat="1" x14ac:dyDescent="0.2">
      <c r="A222" s="1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</row>
    <row r="223" spans="1:47" s="20" customFormat="1" x14ac:dyDescent="0.2">
      <c r="A223" s="1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</row>
    <row r="224" spans="1:47" s="20" customFormat="1" x14ac:dyDescent="0.2">
      <c r="A224" s="1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</row>
    <row r="225" spans="1:47" s="20" customFormat="1" x14ac:dyDescent="0.2">
      <c r="A225" s="1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</row>
    <row r="226" spans="1:47" s="20" customFormat="1" x14ac:dyDescent="0.2">
      <c r="A226" s="1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</row>
    <row r="227" spans="1:47" s="20" customFormat="1" x14ac:dyDescent="0.2">
      <c r="A227" s="1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</row>
    <row r="228" spans="1:47" s="20" customFormat="1" x14ac:dyDescent="0.2">
      <c r="A228" s="1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</row>
    <row r="229" spans="1:47" s="20" customFormat="1" x14ac:dyDescent="0.2">
      <c r="A229" s="1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21">
        <v>1575</v>
      </c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</row>
    <row r="230" spans="1:47" s="20" customFormat="1" x14ac:dyDescent="0.2">
      <c r="A230" s="1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</row>
    <row r="231" spans="1:47" s="20" customFormat="1" x14ac:dyDescent="0.2">
      <c r="A231" s="1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</row>
    <row r="232" spans="1:47" s="20" customFormat="1" x14ac:dyDescent="0.2">
      <c r="A232" s="1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s="20" customFormat="1" x14ac:dyDescent="0.2">
      <c r="A233" s="1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s="20" customFormat="1" x14ac:dyDescent="0.2">
      <c r="A234" s="1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</row>
    <row r="235" spans="1:47" s="20" customFormat="1" x14ac:dyDescent="0.2">
      <c r="A235" s="1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</row>
    <row r="236" spans="1:47" s="20" customFormat="1" x14ac:dyDescent="0.2">
      <c r="A236" s="1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</row>
    <row r="237" spans="1:47" s="20" customFormat="1" x14ac:dyDescent="0.2">
      <c r="A237" s="1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</row>
    <row r="238" spans="1:47" s="20" customFormat="1" x14ac:dyDescent="0.2">
      <c r="A238" s="1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</row>
    <row r="239" spans="1:47" s="20" customFormat="1" x14ac:dyDescent="0.2">
      <c r="A239" s="12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</row>
    <row r="240" spans="1:47" s="20" customFormat="1" x14ac:dyDescent="0.2">
      <c r="A240" s="12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</row>
    <row r="241" spans="1:47" s="20" customFormat="1" x14ac:dyDescent="0.2">
      <c r="A241" s="12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</row>
    <row r="242" spans="1:47" s="20" customFormat="1" x14ac:dyDescent="0.2">
      <c r="A242" s="1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</row>
    <row r="243" spans="1:47" s="20" customFormat="1" x14ac:dyDescent="0.2">
      <c r="A243" s="12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</row>
    <row r="244" spans="1:47" s="20" customFormat="1" x14ac:dyDescent="0.2">
      <c r="A244" s="12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</row>
    <row r="245" spans="1:47" s="20" customFormat="1" x14ac:dyDescent="0.2">
      <c r="A245" s="12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</row>
    <row r="246" spans="1:47" s="20" customFormat="1" x14ac:dyDescent="0.2">
      <c r="A246" s="12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</row>
    <row r="247" spans="1:47" s="20" customFormat="1" x14ac:dyDescent="0.2">
      <c r="A247" s="1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</row>
    <row r="248" spans="1:47" s="20" customFormat="1" x14ac:dyDescent="0.2">
      <c r="A248" s="12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</row>
    <row r="249" spans="1:47" s="20" customFormat="1" x14ac:dyDescent="0.2">
      <c r="A249" s="12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</row>
    <row r="250" spans="1:47" s="20" customFormat="1" x14ac:dyDescent="0.2">
      <c r="A250" s="12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</row>
    <row r="251" spans="1:47" s="20" customFormat="1" x14ac:dyDescent="0.2">
      <c r="A251" s="12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</row>
    <row r="252" spans="1:47" s="20" customFormat="1" x14ac:dyDescent="0.2">
      <c r="A252" s="1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</row>
    <row r="253" spans="1:47" s="20" customFormat="1" x14ac:dyDescent="0.2">
      <c r="A253" s="12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</row>
    <row r="254" spans="1:47" s="20" customFormat="1" x14ac:dyDescent="0.2">
      <c r="A254" s="1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</row>
    <row r="255" spans="1:47" s="20" customFormat="1" x14ac:dyDescent="0.2">
      <c r="A255" s="12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</row>
    <row r="256" spans="1:47" s="20" customFormat="1" x14ac:dyDescent="0.2">
      <c r="A256" s="12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</row>
    <row r="257" spans="1:47" s="20" customFormat="1" x14ac:dyDescent="0.2">
      <c r="A257" s="12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</row>
    <row r="258" spans="1:47" s="20" customFormat="1" x14ac:dyDescent="0.2">
      <c r="A258" s="12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</row>
    <row r="259" spans="1:47" s="20" customFormat="1" x14ac:dyDescent="0.2">
      <c r="A259" s="12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</row>
    <row r="260" spans="1:47" s="20" customFormat="1" x14ac:dyDescent="0.2">
      <c r="A260" s="12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</row>
    <row r="261" spans="1:47" s="20" customFormat="1" x14ac:dyDescent="0.2">
      <c r="A261" s="12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</row>
    <row r="262" spans="1:47" s="20" customFormat="1" x14ac:dyDescent="0.2">
      <c r="A262" s="1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</row>
    <row r="263" spans="1:47" s="20" customFormat="1" x14ac:dyDescent="0.2">
      <c r="A263" s="12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</row>
    <row r="264" spans="1:47" s="20" customFormat="1" x14ac:dyDescent="0.2">
      <c r="A264" s="12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</row>
    <row r="265" spans="1:47" s="20" customFormat="1" x14ac:dyDescent="0.2">
      <c r="A265" s="12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</row>
    <row r="266" spans="1:47" s="20" customFormat="1" x14ac:dyDescent="0.2">
      <c r="A266" s="12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</row>
    <row r="267" spans="1:47" s="20" customFormat="1" x14ac:dyDescent="0.2">
      <c r="A267" s="12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</row>
    <row r="268" spans="1:47" s="20" customFormat="1" x14ac:dyDescent="0.2">
      <c r="A268" s="12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</row>
    <row r="269" spans="1:47" s="20" customFormat="1" x14ac:dyDescent="0.2">
      <c r="A269" s="12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</row>
    <row r="270" spans="1:47" s="20" customFormat="1" x14ac:dyDescent="0.2">
      <c r="A270" s="12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</row>
    <row r="271" spans="1:47" s="20" customFormat="1" x14ac:dyDescent="0.2">
      <c r="A271" s="12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</row>
    <row r="272" spans="1:47" s="20" customFormat="1" x14ac:dyDescent="0.2">
      <c r="A272" s="1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</row>
    <row r="273" spans="1:47" s="20" customFormat="1" x14ac:dyDescent="0.2">
      <c r="A273" s="12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</row>
    <row r="274" spans="1:47" s="20" customFormat="1" x14ac:dyDescent="0.2">
      <c r="A274" s="12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</row>
    <row r="275" spans="1:47" s="20" customFormat="1" x14ac:dyDescent="0.2">
      <c r="A275" s="12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</row>
    <row r="276" spans="1:47" s="20" customFormat="1" x14ac:dyDescent="0.2">
      <c r="A276" s="12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</row>
    <row r="277" spans="1:47" s="20" customFormat="1" x14ac:dyDescent="0.2">
      <c r="A277" s="12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</row>
    <row r="278" spans="1:47" s="20" customFormat="1" x14ac:dyDescent="0.2">
      <c r="A278" s="12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</row>
    <row r="279" spans="1:47" s="20" customFormat="1" x14ac:dyDescent="0.2">
      <c r="A279" s="12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</row>
    <row r="280" spans="1:47" s="20" customFormat="1" x14ac:dyDescent="0.2">
      <c r="A280" s="12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</row>
    <row r="281" spans="1:47" s="20" customFormat="1" x14ac:dyDescent="0.2">
      <c r="A281" s="12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</row>
    <row r="282" spans="1:47" s="20" customFormat="1" x14ac:dyDescent="0.2">
      <c r="A282" s="1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</row>
    <row r="283" spans="1:47" s="20" customFormat="1" x14ac:dyDescent="0.2">
      <c r="A283" s="12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21">
        <v>1575</v>
      </c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</row>
    <row r="284" spans="1:47" s="20" customFormat="1" ht="25.5" customHeight="1" x14ac:dyDescent="0.2">
      <c r="A284" s="12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</row>
    <row r="285" spans="1:47" s="20" customFormat="1" x14ac:dyDescent="0.2">
      <c r="A285" s="12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</row>
    <row r="286" spans="1:47" s="20" customFormat="1" x14ac:dyDescent="0.2">
      <c r="A286" s="12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</row>
    <row r="287" spans="1:47" s="20" customFormat="1" x14ac:dyDescent="0.2">
      <c r="A287" s="12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</row>
    <row r="288" spans="1:47" s="20" customFormat="1" x14ac:dyDescent="0.2">
      <c r="A288" s="12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</row>
    <row r="289" spans="1:47" s="20" customFormat="1" x14ac:dyDescent="0.2">
      <c r="A289" s="12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</row>
    <row r="290" spans="1:47" s="20" customFormat="1" x14ac:dyDescent="0.2">
      <c r="A290" s="12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</row>
    <row r="291" spans="1:47" s="20" customFormat="1" x14ac:dyDescent="0.2">
      <c r="A291" s="12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</row>
    <row r="292" spans="1:47" s="20" customFormat="1" x14ac:dyDescent="0.2">
      <c r="A292" s="1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</row>
    <row r="293" spans="1:47" s="20" customFormat="1" x14ac:dyDescent="0.2">
      <c r="A293" s="12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</row>
    <row r="294" spans="1:47" s="20" customFormat="1" x14ac:dyDescent="0.2">
      <c r="A294" s="12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</row>
    <row r="295" spans="1:47" s="20" customFormat="1" x14ac:dyDescent="0.2">
      <c r="A295" s="1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</row>
    <row r="296" spans="1:47" s="20" customFormat="1" x14ac:dyDescent="0.2">
      <c r="A296" s="12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</row>
    <row r="297" spans="1:47" s="20" customFormat="1" x14ac:dyDescent="0.2">
      <c r="A297" s="12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</row>
    <row r="298" spans="1:47" s="20" customFormat="1" x14ac:dyDescent="0.2">
      <c r="A298" s="12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</row>
    <row r="299" spans="1:47" s="20" customFormat="1" x14ac:dyDescent="0.2">
      <c r="A299" s="12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</row>
    <row r="300" spans="1:47" s="20" customFormat="1" x14ac:dyDescent="0.2">
      <c r="A300" s="1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</row>
    <row r="301" spans="1:47" s="20" customFormat="1" x14ac:dyDescent="0.2">
      <c r="A301" s="12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</row>
    <row r="302" spans="1:47" s="20" customFormat="1" x14ac:dyDescent="0.2">
      <c r="A302" s="1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</row>
    <row r="303" spans="1:47" s="20" customFormat="1" x14ac:dyDescent="0.2">
      <c r="A303" s="12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</row>
    <row r="304" spans="1:47" s="20" customFormat="1" x14ac:dyDescent="0.2">
      <c r="A304" s="12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</row>
    <row r="305" spans="1:47" s="20" customFormat="1" x14ac:dyDescent="0.2">
      <c r="A305" s="12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</row>
    <row r="306" spans="1:47" s="20" customFormat="1" x14ac:dyDescent="0.2">
      <c r="A306" s="12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</row>
    <row r="307" spans="1:47" s="20" customFormat="1" x14ac:dyDescent="0.2">
      <c r="A307" s="1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</row>
    <row r="308" spans="1:47" s="20" customFormat="1" x14ac:dyDescent="0.2">
      <c r="A308" s="12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</row>
    <row r="309" spans="1:47" s="20" customFormat="1" x14ac:dyDescent="0.2">
      <c r="A309" s="12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</row>
    <row r="310" spans="1:47" s="20" customFormat="1" x14ac:dyDescent="0.2">
      <c r="A310" s="12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</row>
    <row r="311" spans="1:47" s="20" customFormat="1" x14ac:dyDescent="0.2">
      <c r="A311" s="12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</row>
    <row r="312" spans="1:47" s="20" customFormat="1" x14ac:dyDescent="0.2">
      <c r="A312" s="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</row>
    <row r="313" spans="1:47" s="20" customFormat="1" x14ac:dyDescent="0.2">
      <c r="A313" s="1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</row>
    <row r="314" spans="1:47" s="20" customFormat="1" x14ac:dyDescent="0.2">
      <c r="A314" s="12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</row>
    <row r="315" spans="1:47" s="20" customFormat="1" x14ac:dyDescent="0.2">
      <c r="A315" s="12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</row>
    <row r="316" spans="1:47" s="20" customFormat="1" x14ac:dyDescent="0.2">
      <c r="A316" s="12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</row>
    <row r="317" spans="1:47" s="20" customFormat="1" x14ac:dyDescent="0.2">
      <c r="A317" s="12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</row>
    <row r="318" spans="1:47" s="20" customFormat="1" x14ac:dyDescent="0.2">
      <c r="A318" s="12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</row>
    <row r="319" spans="1:47" s="20" customFormat="1" x14ac:dyDescent="0.2">
      <c r="A319" s="1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</row>
    <row r="320" spans="1:47" s="20" customFormat="1" x14ac:dyDescent="0.2">
      <c r="A320" s="12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</row>
    <row r="321" spans="1:47" s="20" customFormat="1" x14ac:dyDescent="0.2">
      <c r="A321" s="12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</row>
    <row r="322" spans="1:47" s="20" customFormat="1" x14ac:dyDescent="0.2">
      <c r="A322" s="1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</row>
    <row r="323" spans="1:47" s="20" customFormat="1" x14ac:dyDescent="0.2">
      <c r="A323" s="12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</row>
    <row r="324" spans="1:47" s="20" customFormat="1" x14ac:dyDescent="0.2">
      <c r="A324" s="12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</row>
    <row r="325" spans="1:47" s="20" customFormat="1" x14ac:dyDescent="0.2">
      <c r="A325" s="12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</row>
    <row r="326" spans="1:47" s="20" customFormat="1" x14ac:dyDescent="0.2">
      <c r="A326" s="12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</row>
    <row r="327" spans="1:47" s="20" customFormat="1" x14ac:dyDescent="0.2">
      <c r="A327" s="12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</row>
    <row r="328" spans="1:47" s="20" customFormat="1" x14ac:dyDescent="0.2">
      <c r="A328" s="12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</row>
    <row r="329" spans="1:47" s="20" customFormat="1" x14ac:dyDescent="0.2">
      <c r="A329" s="1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</row>
    <row r="330" spans="1:47" s="20" customFormat="1" x14ac:dyDescent="0.2">
      <c r="A330" s="12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</row>
    <row r="331" spans="1:47" s="20" customFormat="1" x14ac:dyDescent="0.2">
      <c r="A331" s="12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</row>
    <row r="332" spans="1:47" s="20" customFormat="1" x14ac:dyDescent="0.2">
      <c r="A332" s="12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</row>
    <row r="333" spans="1:47" s="20" customFormat="1" x14ac:dyDescent="0.2">
      <c r="A333" s="12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</row>
    <row r="334" spans="1:47" s="20" customFormat="1" x14ac:dyDescent="0.2">
      <c r="A334" s="12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</row>
    <row r="335" spans="1:47" s="20" customFormat="1" x14ac:dyDescent="0.2">
      <c r="A335" s="12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</row>
    <row r="336" spans="1:47" s="20" customFormat="1" x14ac:dyDescent="0.2">
      <c r="A336" s="12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</row>
    <row r="337" spans="1:47" s="20" customFormat="1" x14ac:dyDescent="0.2">
      <c r="A337" s="12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</row>
    <row r="338" spans="1:47" s="20" customFormat="1" x14ac:dyDescent="0.2">
      <c r="A338" s="12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</row>
    <row r="339" spans="1:47" s="20" customFormat="1" x14ac:dyDescent="0.2">
      <c r="A339" s="12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</row>
    <row r="340" spans="1:47" s="20" customFormat="1" x14ac:dyDescent="0.2">
      <c r="A340" s="12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</row>
    <row r="341" spans="1:47" s="20" customFormat="1" x14ac:dyDescent="0.2">
      <c r="A341" s="12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</row>
    <row r="342" spans="1:47" s="20" customFormat="1" x14ac:dyDescent="0.2">
      <c r="A342" s="12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</row>
    <row r="343" spans="1:47" s="20" customFormat="1" x14ac:dyDescent="0.2">
      <c r="A343" s="12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</row>
    <row r="344" spans="1:47" s="20" customFormat="1" x14ac:dyDescent="0.2">
      <c r="A344" s="12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</row>
    <row r="345" spans="1:47" s="20" customFormat="1" x14ac:dyDescent="0.2">
      <c r="A345" s="12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</row>
    <row r="346" spans="1:47" s="20" customFormat="1" x14ac:dyDescent="0.2">
      <c r="A346" s="12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</row>
    <row r="347" spans="1:47" s="20" customFormat="1" x14ac:dyDescent="0.2">
      <c r="A347" s="1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</row>
    <row r="348" spans="1:47" s="20" customFormat="1" x14ac:dyDescent="0.2">
      <c r="A348" s="12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</row>
    <row r="349" spans="1:47" s="20" customFormat="1" x14ac:dyDescent="0.2">
      <c r="A349" s="12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</row>
    <row r="350" spans="1:47" s="20" customFormat="1" x14ac:dyDescent="0.2">
      <c r="A350" s="12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</row>
    <row r="351" spans="1:47" s="20" customFormat="1" x14ac:dyDescent="0.2">
      <c r="A351" s="12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</row>
    <row r="352" spans="1:47" s="20" customFormat="1" x14ac:dyDescent="0.2">
      <c r="A352" s="12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</row>
    <row r="353" spans="1:47" s="20" customFormat="1" x14ac:dyDescent="0.2">
      <c r="A353" s="12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</row>
    <row r="354" spans="1:47" s="20" customFormat="1" x14ac:dyDescent="0.2">
      <c r="A354" s="12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</row>
    <row r="355" spans="1:47" s="20" customFormat="1" x14ac:dyDescent="0.2">
      <c r="A355" s="12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</row>
    <row r="356" spans="1:47" s="20" customFormat="1" x14ac:dyDescent="0.2">
      <c r="A356" s="12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</row>
    <row r="357" spans="1:47" s="20" customFormat="1" x14ac:dyDescent="0.2">
      <c r="A357" s="12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</row>
    <row r="358" spans="1:47" s="20" customFormat="1" x14ac:dyDescent="0.2">
      <c r="A358" s="12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</row>
    <row r="359" spans="1:47" s="20" customFormat="1" x14ac:dyDescent="0.2">
      <c r="A359" s="12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</row>
    <row r="360" spans="1:47" s="20" customFormat="1" x14ac:dyDescent="0.2">
      <c r="A360" s="1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</row>
    <row r="361" spans="1:47" s="20" customFormat="1" x14ac:dyDescent="0.2">
      <c r="A361" s="12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</row>
    <row r="362" spans="1:47" s="20" customFormat="1" x14ac:dyDescent="0.2">
      <c r="A362" s="12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</row>
    <row r="363" spans="1:47" s="20" customFormat="1" x14ac:dyDescent="0.2">
      <c r="A363" s="12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</row>
    <row r="364" spans="1:47" s="20" customFormat="1" x14ac:dyDescent="0.2">
      <c r="A364" s="12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</row>
    <row r="365" spans="1:47" s="20" customFormat="1" x14ac:dyDescent="0.2">
      <c r="A365" s="12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</row>
    <row r="366" spans="1:47" s="20" customFormat="1" x14ac:dyDescent="0.2">
      <c r="A366" s="12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</row>
    <row r="367" spans="1:47" s="20" customFormat="1" x14ac:dyDescent="0.2">
      <c r="A367" s="12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</row>
    <row r="368" spans="1:47" s="20" customFormat="1" x14ac:dyDescent="0.2">
      <c r="A368" s="12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</row>
    <row r="369" spans="1:47" s="20" customFormat="1" x14ac:dyDescent="0.2">
      <c r="A369" s="12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</row>
    <row r="370" spans="1:47" s="20" customFormat="1" x14ac:dyDescent="0.2">
      <c r="A370" s="12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</row>
    <row r="371" spans="1:47" s="20" customFormat="1" x14ac:dyDescent="0.2">
      <c r="A371" s="12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</row>
    <row r="372" spans="1:47" s="20" customFormat="1" x14ac:dyDescent="0.2">
      <c r="A372" s="1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</row>
    <row r="373" spans="1:47" s="20" customFormat="1" x14ac:dyDescent="0.2">
      <c r="A373" s="12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</row>
    <row r="374" spans="1:47" s="20" customFormat="1" x14ac:dyDescent="0.2">
      <c r="A374" s="12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</row>
    <row r="375" spans="1:47" s="20" customFormat="1" x14ac:dyDescent="0.2">
      <c r="A375" s="12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</row>
    <row r="376" spans="1:47" s="20" customFormat="1" x14ac:dyDescent="0.2">
      <c r="A376" s="12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</row>
    <row r="377" spans="1:47" s="20" customFormat="1" x14ac:dyDescent="0.2">
      <c r="A377" s="12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</row>
    <row r="378" spans="1:47" s="20" customFormat="1" x14ac:dyDescent="0.2">
      <c r="A378" s="12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</row>
    <row r="379" spans="1:47" s="20" customFormat="1" x14ac:dyDescent="0.2">
      <c r="A379" s="12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</row>
    <row r="380" spans="1:47" s="20" customFormat="1" x14ac:dyDescent="0.2">
      <c r="A380" s="12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</row>
    <row r="381" spans="1:47" s="20" customFormat="1" x14ac:dyDescent="0.2">
      <c r="A381" s="12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</row>
    <row r="382" spans="1:47" s="20" customFormat="1" x14ac:dyDescent="0.2">
      <c r="A382" s="12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</row>
    <row r="383" spans="1:47" s="20" customFormat="1" x14ac:dyDescent="0.2">
      <c r="A383" s="12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</row>
    <row r="384" spans="1:47" s="20" customFormat="1" x14ac:dyDescent="0.2">
      <c r="A384" s="1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</row>
    <row r="385" spans="1:47" s="20" customFormat="1" x14ac:dyDescent="0.2">
      <c r="A385" s="12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</row>
    <row r="386" spans="1:47" s="20" customFormat="1" x14ac:dyDescent="0.2">
      <c r="A386" s="12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</row>
    <row r="387" spans="1:47" s="20" customFormat="1" x14ac:dyDescent="0.2">
      <c r="A387" s="12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</row>
    <row r="388" spans="1:47" s="20" customForma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</row>
    <row r="389" spans="1:47" s="20" customForma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</row>
    <row r="390" spans="1:47" s="20" customForma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</row>
    <row r="391" spans="1:47" s="20" customForma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</row>
    <row r="392" spans="1:47" s="20" customForma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</row>
    <row r="393" spans="1:47" s="20" customForma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</row>
    <row r="394" spans="1:47" s="20" customForma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</row>
    <row r="395" spans="1:47" s="20" customForma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</row>
    <row r="396" spans="1:47" s="20" customForma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</row>
    <row r="397" spans="1:47" s="20" customForma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</row>
    <row r="398" spans="1:47" s="20" customForma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</row>
    <row r="399" spans="1:47" s="20" customForma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</row>
    <row r="400" spans="1:47" s="20" customForma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</row>
    <row r="401" spans="1:47" s="20" customForma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</row>
    <row r="402" spans="1:47" s="20" customForma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</row>
    <row r="403" spans="1:47" s="20" customFormat="1" x14ac:dyDescent="0.2">
      <c r="A403" s="18"/>
      <c r="B403" s="18"/>
      <c r="C403" s="18"/>
      <c r="D403" s="18"/>
      <c r="E403" s="18"/>
      <c r="F403" s="18"/>
      <c r="G403" s="18"/>
      <c r="H403" s="18"/>
    </row>
    <row r="404" spans="1:47" s="20" customFormat="1" x14ac:dyDescent="0.2">
      <c r="A404" s="18"/>
      <c r="B404" s="18"/>
      <c r="C404" s="18"/>
      <c r="D404" s="18"/>
      <c r="E404" s="18"/>
      <c r="F404" s="18"/>
      <c r="G404" s="18"/>
      <c r="H404" s="18"/>
    </row>
    <row r="405" spans="1:47" s="20" customFormat="1" x14ac:dyDescent="0.2">
      <c r="A405" s="18"/>
      <c r="B405" s="18"/>
      <c r="C405" s="18"/>
      <c r="D405" s="18"/>
      <c r="E405" s="18"/>
      <c r="F405" s="18"/>
      <c r="G405" s="18"/>
      <c r="H405" s="18"/>
    </row>
    <row r="406" spans="1:47" s="20" customFormat="1" x14ac:dyDescent="0.2">
      <c r="A406" s="18"/>
      <c r="B406" s="18"/>
      <c r="C406" s="18"/>
      <c r="D406" s="18"/>
      <c r="E406" s="18"/>
      <c r="F406" s="18"/>
      <c r="G406" s="18"/>
      <c r="H406" s="18"/>
    </row>
    <row r="407" spans="1:47" s="20" customFormat="1" x14ac:dyDescent="0.2">
      <c r="A407" s="18"/>
      <c r="B407" s="18"/>
      <c r="C407" s="18"/>
      <c r="D407" s="18"/>
      <c r="E407" s="18"/>
      <c r="F407" s="18"/>
      <c r="G407" s="18"/>
      <c r="H407" s="18"/>
    </row>
    <row r="408" spans="1:47" s="20" customFormat="1" x14ac:dyDescent="0.2">
      <c r="A408" s="18"/>
      <c r="B408" s="18"/>
      <c r="C408" s="18"/>
      <c r="D408" s="18"/>
      <c r="E408" s="18"/>
      <c r="F408" s="18"/>
      <c r="G408" s="18"/>
      <c r="H408" s="18"/>
    </row>
    <row r="409" spans="1:47" s="20" customFormat="1" x14ac:dyDescent="0.2">
      <c r="A409" s="18"/>
      <c r="B409" s="18"/>
      <c r="C409" s="18"/>
      <c r="D409" s="18"/>
      <c r="E409" s="18"/>
      <c r="F409" s="18"/>
      <c r="G409" s="18"/>
      <c r="H409" s="18"/>
    </row>
    <row r="410" spans="1:47" s="20" customFormat="1" x14ac:dyDescent="0.2">
      <c r="A410" s="18"/>
      <c r="B410" s="18"/>
      <c r="C410" s="18"/>
      <c r="D410" s="18"/>
      <c r="E410" s="18"/>
      <c r="F410" s="18"/>
      <c r="G410" s="18"/>
      <c r="H410" s="18"/>
    </row>
    <row r="411" spans="1:47" s="20" customFormat="1" x14ac:dyDescent="0.2">
      <c r="A411" s="18"/>
      <c r="B411" s="18"/>
      <c r="C411" s="18"/>
      <c r="D411" s="18"/>
      <c r="E411" s="18"/>
      <c r="F411" s="18"/>
      <c r="G411" s="18"/>
      <c r="H411" s="18"/>
    </row>
    <row r="412" spans="1:47" s="20" customFormat="1" x14ac:dyDescent="0.2">
      <c r="A412" s="18"/>
      <c r="B412" s="18"/>
      <c r="C412" s="18"/>
      <c r="D412" s="18"/>
      <c r="E412" s="18"/>
      <c r="F412" s="18"/>
      <c r="G412" s="18"/>
      <c r="H412" s="18"/>
    </row>
    <row r="413" spans="1:47" s="20" customFormat="1" x14ac:dyDescent="0.2">
      <c r="A413" s="18"/>
      <c r="B413" s="18"/>
      <c r="C413" s="18"/>
      <c r="D413" s="18"/>
      <c r="E413" s="18"/>
      <c r="F413" s="18"/>
      <c r="G413" s="18"/>
      <c r="H413" s="18"/>
    </row>
    <row r="414" spans="1:47" s="20" customFormat="1" x14ac:dyDescent="0.2">
      <c r="A414" s="18"/>
      <c r="B414" s="18"/>
      <c r="C414" s="18"/>
      <c r="D414" s="18"/>
      <c r="E414" s="18"/>
      <c r="F414" s="18"/>
      <c r="G414" s="18"/>
      <c r="H414" s="18"/>
    </row>
    <row r="415" spans="1:47" s="20" customFormat="1" x14ac:dyDescent="0.2">
      <c r="A415" s="18"/>
      <c r="B415" s="18"/>
      <c r="C415" s="18"/>
      <c r="D415" s="18"/>
      <c r="E415" s="18"/>
      <c r="F415" s="18"/>
      <c r="G415" s="18"/>
      <c r="H415" s="18"/>
    </row>
    <row r="416" spans="1:47" s="20" customFormat="1" x14ac:dyDescent="0.2">
      <c r="A416" s="18"/>
      <c r="B416" s="18"/>
      <c r="C416" s="18"/>
      <c r="D416" s="18"/>
      <c r="E416" s="18"/>
      <c r="F416" s="18"/>
      <c r="G416" s="18"/>
      <c r="H416" s="18"/>
    </row>
    <row r="417" spans="1:8" s="20" customFormat="1" x14ac:dyDescent="0.2">
      <c r="A417" s="18"/>
      <c r="B417" s="18"/>
      <c r="C417" s="18"/>
      <c r="D417" s="18"/>
      <c r="E417" s="18"/>
      <c r="F417" s="18"/>
      <c r="G417" s="18"/>
      <c r="H417" s="18"/>
    </row>
    <row r="418" spans="1:8" s="20" customFormat="1" x14ac:dyDescent="0.2">
      <c r="A418" s="18"/>
      <c r="B418" s="18"/>
      <c r="C418" s="18"/>
      <c r="D418" s="18"/>
      <c r="E418" s="18"/>
      <c r="F418" s="18"/>
      <c r="G418" s="18"/>
      <c r="H418" s="18"/>
    </row>
    <row r="419" spans="1:8" s="20" customFormat="1" x14ac:dyDescent="0.2">
      <c r="A419" s="18"/>
      <c r="B419" s="18"/>
      <c r="C419" s="18"/>
      <c r="D419" s="18"/>
      <c r="E419" s="18"/>
      <c r="F419" s="18"/>
      <c r="G419" s="18"/>
      <c r="H419" s="18"/>
    </row>
    <row r="420" spans="1:8" s="20" customFormat="1" x14ac:dyDescent="0.2">
      <c r="A420" s="18"/>
      <c r="B420" s="18"/>
      <c r="C420" s="18"/>
      <c r="D420" s="18"/>
      <c r="E420" s="18"/>
      <c r="F420" s="18"/>
      <c r="G420" s="18"/>
      <c r="H420" s="18"/>
    </row>
    <row r="421" spans="1:8" s="20" customFormat="1" x14ac:dyDescent="0.2">
      <c r="A421" s="18"/>
      <c r="B421" s="18"/>
      <c r="C421" s="18"/>
      <c r="D421" s="18"/>
      <c r="E421" s="18"/>
      <c r="F421" s="18"/>
      <c r="G421" s="18"/>
      <c r="H421" s="18"/>
    </row>
    <row r="422" spans="1:8" s="20" customFormat="1" x14ac:dyDescent="0.2">
      <c r="A422" s="18"/>
      <c r="B422" s="18"/>
      <c r="C422" s="18"/>
      <c r="D422" s="18"/>
      <c r="E422" s="18"/>
      <c r="F422" s="18"/>
      <c r="G422" s="18"/>
      <c r="H422" s="18"/>
    </row>
    <row r="423" spans="1:8" s="20" customFormat="1" x14ac:dyDescent="0.2">
      <c r="A423" s="18"/>
      <c r="B423" s="18"/>
      <c r="C423" s="18"/>
      <c r="D423" s="18"/>
      <c r="E423" s="18"/>
      <c r="F423" s="18"/>
      <c r="G423" s="18"/>
      <c r="H423" s="18"/>
    </row>
    <row r="424" spans="1:8" s="20" customFormat="1" x14ac:dyDescent="0.2">
      <c r="A424" s="18"/>
      <c r="B424" s="18"/>
      <c r="C424" s="18"/>
      <c r="D424" s="18"/>
      <c r="E424" s="18"/>
      <c r="F424" s="18"/>
      <c r="G424" s="18"/>
      <c r="H424" s="18"/>
    </row>
    <row r="425" spans="1:8" s="20" customFormat="1" x14ac:dyDescent="0.2">
      <c r="A425" s="18"/>
      <c r="B425" s="18"/>
      <c r="C425" s="18"/>
      <c r="D425" s="18"/>
      <c r="E425" s="18"/>
      <c r="F425" s="18"/>
      <c r="G425" s="18"/>
      <c r="H425" s="18"/>
    </row>
    <row r="426" spans="1:8" s="20" customFormat="1" x14ac:dyDescent="0.2">
      <c r="A426" s="18"/>
      <c r="B426" s="18"/>
      <c r="C426" s="18"/>
      <c r="D426" s="18"/>
      <c r="E426" s="18"/>
      <c r="F426" s="18"/>
      <c r="G426" s="18"/>
      <c r="H426" s="18"/>
    </row>
    <row r="427" spans="1:8" s="20" customFormat="1" x14ac:dyDescent="0.2">
      <c r="A427" s="18"/>
      <c r="B427" s="18"/>
      <c r="C427" s="18"/>
      <c r="D427" s="18"/>
      <c r="E427" s="18"/>
      <c r="F427" s="18"/>
      <c r="G427" s="18"/>
      <c r="H427" s="18"/>
    </row>
    <row r="428" spans="1:8" s="20" customFormat="1" x14ac:dyDescent="0.2">
      <c r="A428" s="18"/>
      <c r="B428" s="18"/>
      <c r="C428" s="18"/>
      <c r="D428" s="18"/>
      <c r="E428" s="18"/>
      <c r="F428" s="18"/>
      <c r="G428" s="18"/>
      <c r="H428" s="18"/>
    </row>
    <row r="429" spans="1:8" s="20" customFormat="1" x14ac:dyDescent="0.2">
      <c r="A429" s="18"/>
      <c r="B429" s="18"/>
      <c r="C429" s="18"/>
      <c r="D429" s="18"/>
      <c r="E429" s="18"/>
      <c r="F429" s="18"/>
      <c r="G429" s="18"/>
      <c r="H429" s="18"/>
    </row>
    <row r="430" spans="1:8" s="20" customFormat="1" x14ac:dyDescent="0.2">
      <c r="A430" s="18"/>
      <c r="B430" s="18"/>
      <c r="C430" s="18"/>
      <c r="D430" s="18"/>
      <c r="E430" s="18"/>
      <c r="F430" s="18"/>
      <c r="G430" s="18"/>
      <c r="H430" s="18"/>
    </row>
    <row r="431" spans="1:8" s="20" customFormat="1" x14ac:dyDescent="0.2">
      <c r="A431" s="18"/>
      <c r="B431" s="18"/>
      <c r="C431" s="18"/>
      <c r="D431" s="18"/>
      <c r="E431" s="18"/>
      <c r="F431" s="18"/>
      <c r="G431" s="18"/>
      <c r="H431" s="18"/>
    </row>
    <row r="432" spans="1:8" s="20" customFormat="1" x14ac:dyDescent="0.2">
      <c r="A432" s="18"/>
      <c r="B432" s="18"/>
      <c r="C432" s="18"/>
      <c r="D432" s="18"/>
      <c r="E432" s="18"/>
      <c r="F432" s="18"/>
      <c r="G432" s="18"/>
      <c r="H432" s="18"/>
    </row>
    <row r="433" spans="1:8" s="20" customFormat="1" x14ac:dyDescent="0.2">
      <c r="A433" s="18"/>
      <c r="B433" s="18"/>
      <c r="C433" s="18"/>
      <c r="D433" s="18"/>
      <c r="E433" s="18"/>
      <c r="F433" s="18"/>
      <c r="G433" s="18"/>
      <c r="H433" s="18"/>
    </row>
    <row r="434" spans="1:8" s="20" customFormat="1" x14ac:dyDescent="0.2">
      <c r="A434" s="18"/>
      <c r="B434" s="18"/>
      <c r="C434" s="18"/>
      <c r="D434" s="18"/>
      <c r="E434" s="18"/>
      <c r="F434" s="18"/>
      <c r="G434" s="18"/>
      <c r="H434" s="18"/>
    </row>
    <row r="435" spans="1:8" s="20" customFormat="1" x14ac:dyDescent="0.2">
      <c r="A435" s="18"/>
      <c r="B435" s="18"/>
      <c r="C435" s="18"/>
      <c r="D435" s="18"/>
      <c r="E435" s="18"/>
      <c r="F435" s="18"/>
      <c r="G435" s="18"/>
      <c r="H435" s="18"/>
    </row>
    <row r="436" spans="1:8" s="20" customFormat="1" x14ac:dyDescent="0.2">
      <c r="A436" s="18"/>
      <c r="B436" s="18"/>
      <c r="C436" s="18"/>
      <c r="D436" s="18"/>
      <c r="E436" s="18"/>
      <c r="F436" s="18"/>
      <c r="G436" s="18"/>
      <c r="H436" s="18"/>
    </row>
    <row r="437" spans="1:8" s="20" customFormat="1" x14ac:dyDescent="0.2">
      <c r="A437" s="18"/>
      <c r="B437" s="18"/>
      <c r="C437" s="18"/>
      <c r="D437" s="18"/>
      <c r="E437" s="18"/>
      <c r="F437" s="18"/>
      <c r="G437" s="18"/>
      <c r="H437" s="18"/>
    </row>
    <row r="438" spans="1:8" s="20" customFormat="1" x14ac:dyDescent="0.2">
      <c r="A438" s="18"/>
      <c r="B438" s="18"/>
      <c r="C438" s="18"/>
      <c r="D438" s="18"/>
      <c r="E438" s="18"/>
      <c r="F438" s="18"/>
      <c r="G438" s="18"/>
      <c r="H438" s="18"/>
    </row>
    <row r="439" spans="1:8" s="20" customFormat="1" x14ac:dyDescent="0.2">
      <c r="A439" s="18"/>
      <c r="B439" s="18"/>
      <c r="C439" s="18"/>
      <c r="D439" s="18"/>
      <c r="E439" s="18"/>
      <c r="F439" s="18"/>
      <c r="G439" s="18"/>
      <c r="H439" s="18"/>
    </row>
    <row r="440" spans="1:8" s="20" customFormat="1" x14ac:dyDescent="0.2">
      <c r="A440" s="18"/>
      <c r="B440" s="18"/>
      <c r="C440" s="18"/>
      <c r="D440" s="18"/>
      <c r="E440" s="18"/>
      <c r="F440" s="18"/>
      <c r="G440" s="18"/>
      <c r="H440" s="18"/>
    </row>
    <row r="441" spans="1:8" s="20" customFormat="1" x14ac:dyDescent="0.2">
      <c r="A441" s="18"/>
      <c r="B441" s="18"/>
      <c r="C441" s="18"/>
      <c r="D441" s="18"/>
      <c r="E441" s="18"/>
      <c r="F441" s="18"/>
      <c r="G441" s="18"/>
      <c r="H441" s="18"/>
    </row>
    <row r="442" spans="1:8" s="20" customFormat="1" x14ac:dyDescent="0.2">
      <c r="A442" s="18"/>
      <c r="B442" s="18"/>
      <c r="C442" s="18"/>
      <c r="D442" s="18"/>
      <c r="E442" s="18"/>
      <c r="F442" s="18"/>
      <c r="G442" s="18"/>
      <c r="H442" s="18"/>
    </row>
    <row r="443" spans="1:8" s="20" customFormat="1" x14ac:dyDescent="0.2">
      <c r="A443" s="18"/>
      <c r="B443" s="18"/>
      <c r="C443" s="18"/>
      <c r="D443" s="18"/>
      <c r="E443" s="18"/>
      <c r="F443" s="18"/>
      <c r="G443" s="18"/>
      <c r="H443" s="18"/>
    </row>
    <row r="444" spans="1:8" s="20" customFormat="1" x14ac:dyDescent="0.2">
      <c r="A444" s="18"/>
      <c r="B444" s="18"/>
      <c r="C444" s="18"/>
      <c r="D444" s="18"/>
      <c r="E444" s="18"/>
      <c r="F444" s="18"/>
      <c r="G444" s="18"/>
      <c r="H444" s="18"/>
    </row>
    <row r="445" spans="1:8" s="20" customFormat="1" x14ac:dyDescent="0.2">
      <c r="A445" s="18"/>
      <c r="B445" s="18"/>
      <c r="C445" s="18"/>
      <c r="D445" s="18"/>
      <c r="E445" s="18"/>
      <c r="F445" s="18"/>
      <c r="G445" s="18"/>
      <c r="H445" s="18"/>
    </row>
    <row r="446" spans="1:8" s="20" customFormat="1" x14ac:dyDescent="0.2">
      <c r="A446" s="18"/>
      <c r="B446" s="18"/>
      <c r="C446" s="18"/>
      <c r="D446" s="18"/>
      <c r="E446" s="18"/>
      <c r="F446" s="18"/>
      <c r="G446" s="18"/>
      <c r="H446" s="18"/>
    </row>
    <row r="447" spans="1:8" s="20" customFormat="1" x14ac:dyDescent="0.2">
      <c r="A447" s="18"/>
      <c r="B447" s="18"/>
      <c r="C447" s="18"/>
      <c r="D447" s="18"/>
      <c r="E447" s="18"/>
      <c r="F447" s="18"/>
      <c r="G447" s="18"/>
      <c r="H447" s="18"/>
    </row>
    <row r="448" spans="1:8" s="20" customFormat="1" x14ac:dyDescent="0.2">
      <c r="A448" s="18"/>
      <c r="B448" s="18"/>
      <c r="C448" s="18"/>
      <c r="D448" s="18"/>
      <c r="E448" s="18"/>
      <c r="F448" s="18"/>
      <c r="G448" s="18"/>
      <c r="H448" s="18"/>
    </row>
    <row r="449" spans="1:8" s="20" customFormat="1" x14ac:dyDescent="0.2">
      <c r="A449" s="18"/>
      <c r="B449" s="18"/>
      <c r="C449" s="18"/>
      <c r="D449" s="18"/>
      <c r="E449" s="18"/>
      <c r="F449" s="18"/>
      <c r="G449" s="18"/>
      <c r="H449" s="18"/>
    </row>
    <row r="450" spans="1:8" s="20" customFormat="1" x14ac:dyDescent="0.2">
      <c r="A450" s="18"/>
      <c r="B450" s="18"/>
      <c r="C450" s="18"/>
      <c r="D450" s="18"/>
      <c r="E450" s="18"/>
      <c r="F450" s="18"/>
      <c r="G450" s="18"/>
      <c r="H450" s="18"/>
    </row>
    <row r="451" spans="1:8" s="20" customFormat="1" x14ac:dyDescent="0.2">
      <c r="A451" s="18"/>
      <c r="B451" s="18"/>
      <c r="C451" s="18"/>
      <c r="D451" s="18"/>
      <c r="E451" s="18"/>
      <c r="F451" s="18"/>
      <c r="G451" s="18"/>
      <c r="H451" s="18"/>
    </row>
    <row r="452" spans="1:8" s="20" customFormat="1" x14ac:dyDescent="0.2">
      <c r="A452" s="18"/>
      <c r="B452" s="18"/>
      <c r="C452" s="18"/>
      <c r="D452" s="18"/>
      <c r="E452" s="18"/>
      <c r="F452" s="18"/>
      <c r="G452" s="18"/>
      <c r="H452" s="18"/>
    </row>
    <row r="453" spans="1:8" s="20" customFormat="1" x14ac:dyDescent="0.2">
      <c r="A453" s="18"/>
      <c r="B453" s="18"/>
      <c r="C453" s="18"/>
      <c r="D453" s="18"/>
      <c r="E453" s="18"/>
      <c r="F453" s="18"/>
      <c r="G453" s="18"/>
      <c r="H453" s="18"/>
    </row>
    <row r="454" spans="1:8" s="20" customFormat="1" x14ac:dyDescent="0.2">
      <c r="A454" s="18"/>
      <c r="B454" s="18"/>
      <c r="C454" s="18"/>
      <c r="D454" s="18"/>
      <c r="E454" s="18"/>
      <c r="F454" s="18"/>
      <c r="G454" s="18"/>
      <c r="H454" s="18"/>
    </row>
    <row r="455" spans="1:8" s="20" customFormat="1" x14ac:dyDescent="0.2">
      <c r="A455" s="18"/>
      <c r="B455" s="18"/>
      <c r="C455" s="18"/>
      <c r="D455" s="18"/>
      <c r="E455" s="18"/>
      <c r="F455" s="18"/>
      <c r="G455" s="18"/>
      <c r="H455" s="18"/>
    </row>
    <row r="456" spans="1:8" s="20" customFormat="1" x14ac:dyDescent="0.2">
      <c r="A456" s="18"/>
      <c r="B456" s="18"/>
      <c r="C456" s="18"/>
      <c r="D456" s="18"/>
      <c r="E456" s="18"/>
      <c r="F456" s="18"/>
      <c r="G456" s="18"/>
      <c r="H456" s="18"/>
    </row>
    <row r="457" spans="1:8" s="20" customFormat="1" x14ac:dyDescent="0.2">
      <c r="A457" s="18"/>
      <c r="B457" s="18"/>
      <c r="C457" s="18"/>
      <c r="D457" s="18"/>
      <c r="E457" s="18"/>
      <c r="F457" s="18"/>
      <c r="G457" s="18"/>
      <c r="H457" s="18"/>
    </row>
    <row r="458" spans="1:8" s="20" customFormat="1" x14ac:dyDescent="0.2">
      <c r="A458" s="18"/>
      <c r="B458" s="18"/>
      <c r="C458" s="18"/>
      <c r="D458" s="18"/>
      <c r="E458" s="18"/>
      <c r="F458" s="18"/>
      <c r="G458" s="18"/>
      <c r="H458" s="18"/>
    </row>
    <row r="459" spans="1:8" s="20" customFormat="1" x14ac:dyDescent="0.2">
      <c r="A459" s="18"/>
      <c r="B459" s="18"/>
      <c r="C459" s="18"/>
      <c r="D459" s="18"/>
      <c r="E459" s="18"/>
      <c r="F459" s="18"/>
      <c r="G459" s="18"/>
      <c r="H459" s="18"/>
    </row>
    <row r="460" spans="1:8" s="20" customFormat="1" x14ac:dyDescent="0.2">
      <c r="A460" s="18"/>
      <c r="B460" s="18"/>
      <c r="C460" s="18"/>
      <c r="D460" s="18"/>
      <c r="E460" s="18"/>
      <c r="F460" s="18"/>
      <c r="G460" s="18"/>
      <c r="H460" s="18"/>
    </row>
    <row r="461" spans="1:8" s="20" customFormat="1" x14ac:dyDescent="0.2">
      <c r="A461" s="18"/>
      <c r="B461" s="18"/>
      <c r="C461" s="18"/>
      <c r="D461" s="18"/>
      <c r="E461" s="18"/>
      <c r="F461" s="18"/>
      <c r="G461" s="18"/>
      <c r="H461" s="18"/>
    </row>
    <row r="462" spans="1:8" s="20" customFormat="1" x14ac:dyDescent="0.2">
      <c r="A462" s="18"/>
      <c r="B462" s="18"/>
      <c r="C462" s="18"/>
      <c r="D462" s="18"/>
      <c r="E462" s="18"/>
      <c r="F462" s="18"/>
      <c r="G462" s="18"/>
      <c r="H462" s="18"/>
    </row>
    <row r="463" spans="1:8" s="20" customFormat="1" x14ac:dyDescent="0.2">
      <c r="A463" s="18"/>
      <c r="B463" s="18"/>
      <c r="C463" s="18"/>
      <c r="D463" s="18"/>
      <c r="E463" s="18"/>
      <c r="F463" s="18"/>
      <c r="G463" s="18"/>
      <c r="H463" s="18"/>
    </row>
    <row r="464" spans="1:8" s="20" customFormat="1" x14ac:dyDescent="0.2">
      <c r="A464" s="18"/>
      <c r="B464" s="18"/>
      <c r="C464" s="18"/>
      <c r="D464" s="18"/>
      <c r="E464" s="18"/>
      <c r="F464" s="18"/>
      <c r="G464" s="18"/>
      <c r="H464" s="18"/>
    </row>
    <row r="465" spans="1:8" s="20" customFormat="1" x14ac:dyDescent="0.2">
      <c r="A465" s="18"/>
      <c r="B465" s="18"/>
      <c r="C465" s="18"/>
      <c r="D465" s="18"/>
      <c r="E465" s="18"/>
      <c r="F465" s="18"/>
      <c r="G465" s="18"/>
      <c r="H465" s="18"/>
    </row>
    <row r="466" spans="1:8" s="20" customFormat="1" x14ac:dyDescent="0.2">
      <c r="A466" s="18"/>
      <c r="B466" s="18"/>
      <c r="C466" s="18"/>
      <c r="D466" s="18"/>
      <c r="E466" s="18"/>
      <c r="F466" s="18"/>
      <c r="G466" s="18"/>
      <c r="H466" s="18"/>
    </row>
    <row r="467" spans="1:8" s="20" customFormat="1" x14ac:dyDescent="0.2">
      <c r="A467" s="18"/>
      <c r="B467" s="18"/>
      <c r="C467" s="18"/>
      <c r="D467" s="18"/>
      <c r="E467" s="18"/>
      <c r="F467" s="18"/>
      <c r="G467" s="18"/>
      <c r="H467" s="18"/>
    </row>
    <row r="468" spans="1:8" s="20" customFormat="1" x14ac:dyDescent="0.2">
      <c r="A468" s="18"/>
      <c r="B468" s="18"/>
      <c r="C468" s="18"/>
      <c r="D468" s="18"/>
      <c r="E468" s="18"/>
      <c r="F468" s="18"/>
      <c r="G468" s="18"/>
      <c r="H468" s="18"/>
    </row>
    <row r="469" spans="1:8" s="20" customFormat="1" x14ac:dyDescent="0.2">
      <c r="A469" s="18"/>
      <c r="B469" s="18"/>
      <c r="C469" s="18"/>
      <c r="D469" s="18"/>
      <c r="E469" s="18"/>
      <c r="F469" s="18"/>
      <c r="G469" s="18"/>
      <c r="H469" s="18"/>
    </row>
    <row r="470" spans="1:8" s="20" customFormat="1" x14ac:dyDescent="0.2">
      <c r="A470" s="18"/>
      <c r="B470" s="18"/>
      <c r="C470" s="18"/>
      <c r="D470" s="18"/>
      <c r="E470" s="18"/>
      <c r="F470" s="18"/>
      <c r="G470" s="18"/>
      <c r="H470" s="18"/>
    </row>
    <row r="471" spans="1:8" s="20" customFormat="1" x14ac:dyDescent="0.2">
      <c r="A471" s="18"/>
      <c r="B471" s="18"/>
      <c r="C471" s="18"/>
      <c r="D471" s="18"/>
      <c r="E471" s="18"/>
      <c r="F471" s="18"/>
      <c r="G471" s="18"/>
      <c r="H471" s="18"/>
    </row>
    <row r="472" spans="1:8" s="20" customFormat="1" x14ac:dyDescent="0.2">
      <c r="A472" s="18"/>
      <c r="B472" s="18"/>
      <c r="C472" s="18"/>
      <c r="D472" s="18"/>
      <c r="E472" s="18"/>
      <c r="F472" s="18"/>
      <c r="G472" s="18"/>
      <c r="H472" s="18"/>
    </row>
    <row r="473" spans="1:8" s="20" customFormat="1" x14ac:dyDescent="0.2">
      <c r="A473" s="18"/>
      <c r="B473" s="18"/>
      <c r="C473" s="18"/>
      <c r="D473" s="18"/>
      <c r="E473" s="18"/>
      <c r="F473" s="18"/>
      <c r="G473" s="18"/>
      <c r="H473" s="18"/>
    </row>
    <row r="474" spans="1:8" s="20" customFormat="1" x14ac:dyDescent="0.2">
      <c r="A474" s="18"/>
      <c r="B474" s="18"/>
      <c r="C474" s="18"/>
      <c r="D474" s="18"/>
      <c r="E474" s="18"/>
      <c r="F474" s="18"/>
      <c r="G474" s="18"/>
      <c r="H474" s="18"/>
    </row>
    <row r="475" spans="1:8" s="20" customFormat="1" x14ac:dyDescent="0.2">
      <c r="A475" s="18"/>
      <c r="B475" s="18"/>
      <c r="C475" s="18"/>
      <c r="D475" s="18"/>
      <c r="E475" s="18"/>
      <c r="F475" s="18"/>
      <c r="G475" s="18"/>
      <c r="H475" s="18"/>
    </row>
    <row r="476" spans="1:8" s="20" customFormat="1" x14ac:dyDescent="0.2">
      <c r="A476" s="18"/>
      <c r="B476" s="18"/>
      <c r="C476" s="18"/>
      <c r="D476" s="18"/>
      <c r="E476" s="18"/>
      <c r="F476" s="18"/>
      <c r="G476" s="18"/>
      <c r="H476" s="18"/>
    </row>
    <row r="477" spans="1:8" s="20" customFormat="1" x14ac:dyDescent="0.2">
      <c r="A477" s="18"/>
      <c r="B477" s="18"/>
      <c r="C477" s="18"/>
      <c r="D477" s="18"/>
      <c r="E477" s="18"/>
      <c r="F477" s="18"/>
      <c r="G477" s="18"/>
      <c r="H477" s="18"/>
    </row>
    <row r="478" spans="1:8" s="20" customFormat="1" x14ac:dyDescent="0.2">
      <c r="A478" s="18"/>
      <c r="B478" s="18"/>
      <c r="C478" s="18"/>
      <c r="D478" s="18"/>
      <c r="E478" s="18"/>
      <c r="F478" s="18"/>
      <c r="G478" s="18"/>
      <c r="H478" s="18"/>
    </row>
    <row r="479" spans="1:8" s="20" customFormat="1" x14ac:dyDescent="0.2">
      <c r="A479" s="18"/>
      <c r="B479" s="18"/>
      <c r="C479" s="18"/>
      <c r="D479" s="18"/>
      <c r="E479" s="18"/>
      <c r="F479" s="18"/>
      <c r="G479" s="18"/>
      <c r="H479" s="18"/>
    </row>
    <row r="480" spans="1:8" s="20" customFormat="1" x14ac:dyDescent="0.2">
      <c r="A480" s="18"/>
      <c r="B480" s="18"/>
      <c r="C480" s="18"/>
      <c r="D480" s="18"/>
      <c r="E480" s="18"/>
      <c r="F480" s="18"/>
      <c r="G480" s="18"/>
      <c r="H480" s="18"/>
    </row>
    <row r="481" spans="1:8" s="20" customFormat="1" x14ac:dyDescent="0.2">
      <c r="A481" s="18"/>
      <c r="B481" s="18"/>
      <c r="C481" s="18"/>
      <c r="D481" s="18"/>
      <c r="E481" s="18"/>
      <c r="F481" s="18"/>
      <c r="G481" s="18"/>
      <c r="H481" s="18"/>
    </row>
    <row r="482" spans="1:8" s="20" customFormat="1" x14ac:dyDescent="0.2">
      <c r="A482" s="18"/>
      <c r="B482" s="18"/>
      <c r="C482" s="18"/>
      <c r="D482" s="18"/>
      <c r="E482" s="18"/>
      <c r="F482" s="18"/>
      <c r="G482" s="18"/>
      <c r="H482" s="18"/>
    </row>
    <row r="483" spans="1:8" s="20" customFormat="1" x14ac:dyDescent="0.2">
      <c r="A483" s="18"/>
      <c r="B483" s="18"/>
      <c r="C483" s="18"/>
      <c r="D483" s="18"/>
      <c r="E483" s="18"/>
      <c r="F483" s="18"/>
      <c r="G483" s="18"/>
      <c r="H483" s="18"/>
    </row>
    <row r="484" spans="1:8" s="20" customFormat="1" x14ac:dyDescent="0.2">
      <c r="A484" s="18"/>
      <c r="B484" s="18"/>
      <c r="C484" s="18"/>
      <c r="D484" s="18"/>
      <c r="E484" s="18"/>
      <c r="F484" s="18"/>
      <c r="G484" s="18"/>
      <c r="H484" s="18"/>
    </row>
    <row r="485" spans="1:8" s="20" customFormat="1" x14ac:dyDescent="0.2">
      <c r="A485" s="18"/>
      <c r="B485" s="18"/>
      <c r="C485" s="18"/>
      <c r="D485" s="18"/>
      <c r="E485" s="18"/>
      <c r="F485" s="18"/>
      <c r="G485" s="18"/>
      <c r="H485" s="18"/>
    </row>
    <row r="486" spans="1:8" s="20" customFormat="1" x14ac:dyDescent="0.2">
      <c r="A486" s="18"/>
      <c r="B486" s="18"/>
      <c r="C486" s="18"/>
      <c r="D486" s="18"/>
      <c r="E486" s="18"/>
      <c r="F486" s="18"/>
      <c r="G486" s="18"/>
      <c r="H486" s="18"/>
    </row>
    <row r="487" spans="1:8" s="20" customFormat="1" x14ac:dyDescent="0.2">
      <c r="A487" s="18"/>
      <c r="B487" s="18"/>
      <c r="C487" s="18"/>
      <c r="D487" s="18"/>
      <c r="E487" s="18"/>
      <c r="F487" s="18"/>
      <c r="G487" s="18"/>
      <c r="H487" s="18"/>
    </row>
    <row r="488" spans="1:8" s="20" customFormat="1" x14ac:dyDescent="0.2">
      <c r="A488" s="18"/>
      <c r="B488" s="18"/>
      <c r="C488" s="18"/>
      <c r="D488" s="18"/>
      <c r="E488" s="18"/>
      <c r="F488" s="18"/>
      <c r="G488" s="18"/>
      <c r="H488" s="18"/>
    </row>
    <row r="489" spans="1:8" s="20" customFormat="1" x14ac:dyDescent="0.2">
      <c r="A489" s="18"/>
      <c r="B489" s="18"/>
      <c r="C489" s="18"/>
      <c r="D489" s="18"/>
      <c r="E489" s="18"/>
      <c r="F489" s="18"/>
      <c r="G489" s="18"/>
      <c r="H489" s="18"/>
    </row>
    <row r="490" spans="1:8" s="20" customFormat="1" x14ac:dyDescent="0.2">
      <c r="A490" s="18"/>
      <c r="B490" s="18"/>
      <c r="C490" s="18"/>
      <c r="D490" s="18"/>
      <c r="E490" s="18"/>
      <c r="F490" s="18"/>
      <c r="G490" s="18"/>
      <c r="H490" s="18"/>
    </row>
    <row r="491" spans="1:8" s="20" customFormat="1" x14ac:dyDescent="0.2">
      <c r="A491" s="18"/>
      <c r="B491" s="18"/>
      <c r="C491" s="18"/>
      <c r="D491" s="18"/>
      <c r="E491" s="18"/>
      <c r="F491" s="18"/>
      <c r="G491" s="18"/>
      <c r="H491" s="18"/>
    </row>
    <row r="492" spans="1:8" s="20" customFormat="1" x14ac:dyDescent="0.2">
      <c r="A492" s="18"/>
      <c r="B492" s="18"/>
      <c r="C492" s="18"/>
      <c r="D492" s="18"/>
      <c r="E492" s="18"/>
      <c r="F492" s="18"/>
      <c r="G492" s="18"/>
      <c r="H492" s="18"/>
    </row>
    <row r="493" spans="1:8" s="20" customFormat="1" x14ac:dyDescent="0.2">
      <c r="A493" s="18"/>
      <c r="B493" s="18"/>
      <c r="C493" s="18"/>
      <c r="D493" s="18"/>
      <c r="E493" s="18"/>
      <c r="F493" s="18"/>
      <c r="G493" s="18"/>
      <c r="H493" s="18"/>
    </row>
    <row r="494" spans="1:8" s="20" customFormat="1" x14ac:dyDescent="0.2">
      <c r="A494" s="18"/>
      <c r="B494" s="18"/>
      <c r="C494" s="18"/>
      <c r="D494" s="18"/>
      <c r="E494" s="18"/>
      <c r="F494" s="18"/>
      <c r="G494" s="18"/>
      <c r="H494" s="18"/>
    </row>
    <row r="495" spans="1:8" s="20" customFormat="1" x14ac:dyDescent="0.2">
      <c r="A495" s="18"/>
      <c r="B495" s="18"/>
      <c r="C495" s="18"/>
      <c r="D495" s="18"/>
      <c r="E495" s="18"/>
      <c r="F495" s="18"/>
      <c r="G495" s="18"/>
      <c r="H495" s="18"/>
    </row>
    <row r="496" spans="1:8" s="20" customFormat="1" x14ac:dyDescent="0.2">
      <c r="A496" s="18"/>
      <c r="B496" s="18"/>
      <c r="C496" s="18"/>
      <c r="D496" s="18"/>
      <c r="E496" s="18"/>
      <c r="F496" s="18"/>
      <c r="G496" s="18"/>
      <c r="H496" s="18"/>
    </row>
    <row r="497" spans="1:8" s="20" customFormat="1" x14ac:dyDescent="0.2">
      <c r="A497" s="18"/>
      <c r="B497" s="18"/>
      <c r="C497" s="18"/>
      <c r="D497" s="18"/>
      <c r="E497" s="18"/>
      <c r="F497" s="18"/>
      <c r="G497" s="18"/>
      <c r="H497" s="18"/>
    </row>
    <row r="498" spans="1:8" s="20" customFormat="1" x14ac:dyDescent="0.2">
      <c r="A498" s="18"/>
      <c r="B498" s="18"/>
      <c r="C498" s="18"/>
      <c r="D498" s="18"/>
      <c r="E498" s="18"/>
      <c r="F498" s="18"/>
      <c r="G498" s="18"/>
      <c r="H498" s="18"/>
    </row>
    <row r="499" spans="1:8" s="20" customFormat="1" x14ac:dyDescent="0.2">
      <c r="A499" s="18"/>
      <c r="B499" s="18"/>
      <c r="C499" s="18"/>
      <c r="D499" s="18"/>
      <c r="E499" s="18"/>
      <c r="F499" s="18"/>
      <c r="G499" s="18"/>
      <c r="H499" s="18"/>
    </row>
    <row r="500" spans="1:8" s="20" customFormat="1" x14ac:dyDescent="0.2">
      <c r="A500" s="18"/>
      <c r="B500" s="18"/>
      <c r="C500" s="18"/>
      <c r="D500" s="18"/>
      <c r="E500" s="18"/>
      <c r="F500" s="18"/>
      <c r="G500" s="18"/>
      <c r="H500" s="18"/>
    </row>
    <row r="501" spans="1:8" s="20" customFormat="1" x14ac:dyDescent="0.2">
      <c r="A501" s="18"/>
      <c r="B501" s="18"/>
      <c r="C501" s="18"/>
      <c r="D501" s="18"/>
      <c r="E501" s="18"/>
      <c r="F501" s="18"/>
      <c r="G501" s="18"/>
      <c r="H501" s="18"/>
    </row>
    <row r="502" spans="1:8" s="20" customFormat="1" x14ac:dyDescent="0.2">
      <c r="A502" s="18"/>
      <c r="B502" s="18"/>
      <c r="C502" s="18"/>
      <c r="D502" s="18"/>
      <c r="E502" s="18"/>
      <c r="F502" s="18"/>
      <c r="G502" s="18"/>
      <c r="H502" s="18"/>
    </row>
    <row r="503" spans="1:8" s="20" customFormat="1" x14ac:dyDescent="0.2">
      <c r="A503" s="18"/>
      <c r="B503" s="18"/>
      <c r="C503" s="18"/>
      <c r="D503" s="18"/>
      <c r="E503" s="18"/>
      <c r="F503" s="18"/>
      <c r="G503" s="18"/>
      <c r="H503" s="18"/>
    </row>
    <row r="504" spans="1:8" s="20" customFormat="1" x14ac:dyDescent="0.2">
      <c r="A504" s="18"/>
      <c r="B504" s="18"/>
      <c r="C504" s="18"/>
      <c r="D504" s="18"/>
      <c r="E504" s="18"/>
      <c r="F504" s="18"/>
      <c r="G504" s="18"/>
      <c r="H504" s="18"/>
    </row>
    <row r="505" spans="1:8" s="20" customFormat="1" x14ac:dyDescent="0.2">
      <c r="A505" s="18"/>
      <c r="B505" s="18"/>
      <c r="C505" s="18"/>
      <c r="D505" s="18"/>
      <c r="E505" s="18"/>
      <c r="F505" s="18"/>
      <c r="G505" s="18"/>
      <c r="H505" s="18"/>
    </row>
    <row r="506" spans="1:8" s="20" customFormat="1" x14ac:dyDescent="0.2">
      <c r="A506" s="18"/>
      <c r="B506" s="18"/>
      <c r="C506" s="18"/>
      <c r="D506" s="18"/>
      <c r="E506" s="18"/>
      <c r="F506" s="18"/>
      <c r="G506" s="18"/>
      <c r="H506" s="18"/>
    </row>
    <row r="507" spans="1:8" s="20" customFormat="1" x14ac:dyDescent="0.2">
      <c r="A507" s="18"/>
      <c r="B507" s="18"/>
      <c r="C507" s="18"/>
      <c r="D507" s="18"/>
      <c r="E507" s="18"/>
      <c r="F507" s="18"/>
      <c r="G507" s="18"/>
      <c r="H507" s="18"/>
    </row>
    <row r="508" spans="1:8" s="20" customFormat="1" x14ac:dyDescent="0.2">
      <c r="A508" s="18"/>
      <c r="B508" s="18"/>
      <c r="C508" s="18"/>
      <c r="D508" s="18"/>
      <c r="E508" s="18"/>
      <c r="F508" s="18"/>
      <c r="G508" s="18"/>
      <c r="H508" s="18"/>
    </row>
    <row r="509" spans="1:8" s="20" customFormat="1" x14ac:dyDescent="0.2">
      <c r="A509" s="18"/>
      <c r="B509" s="18"/>
      <c r="C509" s="18"/>
      <c r="D509" s="18"/>
      <c r="E509" s="18"/>
      <c r="F509" s="18"/>
      <c r="G509" s="18"/>
      <c r="H509" s="18"/>
    </row>
    <row r="510" spans="1:8" s="20" customFormat="1" x14ac:dyDescent="0.2">
      <c r="A510" s="18"/>
      <c r="B510" s="18"/>
      <c r="C510" s="18"/>
      <c r="D510" s="18"/>
      <c r="E510" s="18"/>
      <c r="F510" s="18"/>
      <c r="G510" s="18"/>
      <c r="H510" s="18"/>
    </row>
    <row r="511" spans="1:8" s="20" customFormat="1" x14ac:dyDescent="0.2">
      <c r="A511" s="18"/>
      <c r="B511" s="18"/>
      <c r="C511" s="18"/>
      <c r="D511" s="18"/>
      <c r="E511" s="18"/>
      <c r="F511" s="18"/>
      <c r="G511" s="18"/>
      <c r="H511" s="18"/>
    </row>
    <row r="512" spans="1:8" s="20" customFormat="1" x14ac:dyDescent="0.2">
      <c r="A512" s="18"/>
      <c r="B512" s="18"/>
      <c r="C512" s="18"/>
      <c r="D512" s="18"/>
      <c r="E512" s="18"/>
      <c r="F512" s="18"/>
      <c r="G512" s="18"/>
      <c r="H512" s="18"/>
    </row>
    <row r="513" spans="1:8" s="20" customFormat="1" x14ac:dyDescent="0.2">
      <c r="A513" s="18"/>
      <c r="B513" s="18"/>
      <c r="C513" s="18"/>
      <c r="D513" s="18"/>
      <c r="E513" s="18"/>
      <c r="F513" s="18"/>
      <c r="G513" s="18"/>
      <c r="H513" s="18"/>
    </row>
    <row r="514" spans="1:8" s="20" customFormat="1" x14ac:dyDescent="0.2">
      <c r="A514" s="18"/>
      <c r="B514" s="18"/>
      <c r="C514" s="18"/>
      <c r="D514" s="18"/>
      <c r="E514" s="18"/>
      <c r="F514" s="18"/>
      <c r="G514" s="18"/>
      <c r="H514" s="18"/>
    </row>
    <row r="515" spans="1:8" s="20" customFormat="1" x14ac:dyDescent="0.2">
      <c r="A515" s="18"/>
      <c r="B515" s="18"/>
      <c r="C515" s="18"/>
      <c r="D515" s="18"/>
      <c r="E515" s="18"/>
      <c r="F515" s="18"/>
      <c r="G515" s="18"/>
      <c r="H515" s="18"/>
    </row>
    <row r="516" spans="1:8" s="20" customFormat="1" x14ac:dyDescent="0.2">
      <c r="A516" s="18"/>
      <c r="B516" s="18"/>
      <c r="C516" s="18"/>
      <c r="D516" s="18"/>
      <c r="E516" s="18"/>
      <c r="F516" s="18"/>
      <c r="G516" s="18"/>
      <c r="H516" s="18"/>
    </row>
    <row r="517" spans="1:8" s="20" customFormat="1" x14ac:dyDescent="0.2">
      <c r="A517" s="18"/>
      <c r="B517" s="18"/>
      <c r="C517" s="18"/>
      <c r="D517" s="18"/>
      <c r="E517" s="18"/>
      <c r="F517" s="18"/>
      <c r="G517" s="18"/>
      <c r="H517" s="18"/>
    </row>
    <row r="518" spans="1:8" s="20" customFormat="1" x14ac:dyDescent="0.2">
      <c r="A518" s="18"/>
      <c r="B518" s="18"/>
      <c r="C518" s="18"/>
      <c r="D518" s="18"/>
      <c r="E518" s="18"/>
      <c r="F518" s="18"/>
      <c r="G518" s="18"/>
      <c r="H518" s="18"/>
    </row>
    <row r="519" spans="1:8" s="20" customFormat="1" x14ac:dyDescent="0.2">
      <c r="A519" s="18"/>
      <c r="B519" s="18"/>
      <c r="C519" s="18"/>
      <c r="D519" s="18"/>
      <c r="E519" s="18"/>
      <c r="F519" s="18"/>
      <c r="G519" s="18"/>
      <c r="H519" s="18"/>
    </row>
    <row r="520" spans="1:8" s="20" customFormat="1" x14ac:dyDescent="0.2">
      <c r="A520" s="18"/>
      <c r="B520" s="18"/>
      <c r="C520" s="18"/>
      <c r="D520" s="18"/>
      <c r="E520" s="18"/>
      <c r="F520" s="18"/>
      <c r="G520" s="18"/>
      <c r="H520" s="18"/>
    </row>
    <row r="521" spans="1:8" s="20" customFormat="1" x14ac:dyDescent="0.2">
      <c r="A521" s="18"/>
      <c r="B521" s="18"/>
      <c r="C521" s="18"/>
      <c r="D521" s="18"/>
      <c r="E521" s="18"/>
      <c r="F521" s="18"/>
      <c r="G521" s="18"/>
      <c r="H521" s="18"/>
    </row>
    <row r="522" spans="1:8" s="20" customFormat="1" x14ac:dyDescent="0.2">
      <c r="A522" s="18"/>
      <c r="B522" s="18"/>
      <c r="C522" s="18"/>
      <c r="D522" s="18"/>
      <c r="E522" s="18"/>
      <c r="F522" s="18"/>
      <c r="G522" s="18"/>
      <c r="H522" s="18"/>
    </row>
    <row r="523" spans="1:8" s="20" customFormat="1" x14ac:dyDescent="0.2">
      <c r="A523" s="18"/>
      <c r="B523" s="18"/>
      <c r="C523" s="18"/>
      <c r="D523" s="18"/>
      <c r="E523" s="18"/>
      <c r="F523" s="18"/>
      <c r="G523" s="18"/>
      <c r="H523" s="18"/>
    </row>
    <row r="524" spans="1:8" s="20" customFormat="1" x14ac:dyDescent="0.2">
      <c r="A524" s="18"/>
      <c r="B524" s="18"/>
      <c r="C524" s="18"/>
      <c r="D524" s="18"/>
      <c r="E524" s="18"/>
      <c r="F524" s="18"/>
      <c r="G524" s="18"/>
      <c r="H524" s="18"/>
    </row>
    <row r="525" spans="1:8" s="20" customFormat="1" x14ac:dyDescent="0.2">
      <c r="A525" s="18"/>
      <c r="B525" s="18"/>
      <c r="C525" s="18"/>
      <c r="D525" s="18"/>
      <c r="E525" s="18"/>
      <c r="F525" s="18"/>
      <c r="G525" s="18"/>
      <c r="H525" s="18"/>
    </row>
    <row r="526" spans="1:8" s="20" customFormat="1" x14ac:dyDescent="0.2">
      <c r="A526" s="18"/>
      <c r="B526" s="18"/>
      <c r="C526" s="18"/>
      <c r="D526" s="18"/>
      <c r="E526" s="18"/>
      <c r="F526" s="18"/>
      <c r="G526" s="18"/>
      <c r="H526" s="18"/>
    </row>
    <row r="527" spans="1:8" s="20" customFormat="1" x14ac:dyDescent="0.2">
      <c r="A527" s="18"/>
      <c r="B527" s="18"/>
      <c r="C527" s="18"/>
      <c r="D527" s="18"/>
      <c r="E527" s="18"/>
      <c r="F527" s="18"/>
      <c r="G527" s="18"/>
      <c r="H527" s="18"/>
    </row>
    <row r="528" spans="1:8" s="20" customFormat="1" x14ac:dyDescent="0.2">
      <c r="A528" s="18"/>
      <c r="B528" s="18"/>
      <c r="C528" s="18"/>
      <c r="D528" s="18"/>
      <c r="E528" s="18"/>
      <c r="F528" s="18"/>
      <c r="G528" s="18"/>
      <c r="H528" s="18"/>
    </row>
    <row r="529" spans="1:8" s="20" customFormat="1" x14ac:dyDescent="0.2">
      <c r="A529" s="18"/>
      <c r="B529" s="18"/>
      <c r="C529" s="18"/>
      <c r="D529" s="18"/>
      <c r="E529" s="18"/>
      <c r="F529" s="18"/>
      <c r="G529" s="18"/>
      <c r="H529" s="18"/>
    </row>
    <row r="530" spans="1:8" s="20" customFormat="1" x14ac:dyDescent="0.2">
      <c r="A530" s="18"/>
      <c r="B530" s="18"/>
      <c r="C530" s="18"/>
      <c r="D530" s="18"/>
      <c r="E530" s="18"/>
      <c r="F530" s="18"/>
      <c r="G530" s="18"/>
      <c r="H530" s="18"/>
    </row>
    <row r="531" spans="1:8" s="20" customFormat="1" x14ac:dyDescent="0.2">
      <c r="A531" s="18"/>
      <c r="B531" s="18"/>
      <c r="C531" s="18"/>
      <c r="D531" s="18"/>
      <c r="E531" s="18"/>
      <c r="F531" s="18"/>
      <c r="G531" s="18"/>
      <c r="H531" s="18"/>
    </row>
    <row r="532" spans="1:8" s="20" customFormat="1" x14ac:dyDescent="0.2">
      <c r="A532" s="18"/>
      <c r="B532" s="18"/>
      <c r="C532" s="18"/>
      <c r="D532" s="18"/>
      <c r="E532" s="18"/>
      <c r="F532" s="18"/>
      <c r="G532" s="18"/>
      <c r="H532" s="18"/>
    </row>
    <row r="533" spans="1:8" s="20" customFormat="1" x14ac:dyDescent="0.2">
      <c r="A533" s="18"/>
      <c r="B533" s="18"/>
      <c r="C533" s="18"/>
      <c r="D533" s="18"/>
      <c r="E533" s="18"/>
      <c r="F533" s="18"/>
      <c r="G533" s="18"/>
      <c r="H533" s="18"/>
    </row>
    <row r="534" spans="1:8" s="20" customFormat="1" x14ac:dyDescent="0.2">
      <c r="A534" s="18"/>
      <c r="B534" s="18"/>
      <c r="C534" s="18"/>
      <c r="D534" s="18"/>
      <c r="E534" s="18"/>
      <c r="F534" s="18"/>
      <c r="G534" s="18"/>
      <c r="H534" s="18"/>
    </row>
    <row r="535" spans="1:8" s="20" customFormat="1" x14ac:dyDescent="0.2">
      <c r="A535" s="18"/>
      <c r="B535" s="18"/>
      <c r="C535" s="18"/>
      <c r="D535" s="18"/>
      <c r="E535" s="18"/>
      <c r="F535" s="18"/>
      <c r="G535" s="18"/>
      <c r="H535" s="18"/>
    </row>
    <row r="536" spans="1:8" s="20" customFormat="1" x14ac:dyDescent="0.2">
      <c r="A536" s="18"/>
      <c r="B536" s="18"/>
      <c r="C536" s="18"/>
      <c r="D536" s="18"/>
      <c r="E536" s="18"/>
      <c r="F536" s="18"/>
      <c r="G536" s="18"/>
      <c r="H536" s="18"/>
    </row>
    <row r="537" spans="1:8" s="20" customFormat="1" x14ac:dyDescent="0.2">
      <c r="A537" s="18"/>
      <c r="B537" s="18"/>
      <c r="C537" s="18"/>
      <c r="D537" s="18"/>
      <c r="E537" s="18"/>
      <c r="F537" s="18"/>
      <c r="G537" s="18"/>
      <c r="H537" s="18"/>
    </row>
    <row r="538" spans="1:8" s="20" customFormat="1" x14ac:dyDescent="0.2">
      <c r="A538" s="18"/>
      <c r="B538" s="18"/>
      <c r="C538" s="18"/>
      <c r="D538" s="18"/>
      <c r="E538" s="18"/>
      <c r="F538" s="18"/>
      <c r="G538" s="18"/>
      <c r="H538" s="18"/>
    </row>
    <row r="539" spans="1:8" s="20" customFormat="1" x14ac:dyDescent="0.2">
      <c r="A539" s="18"/>
      <c r="B539" s="18"/>
      <c r="C539" s="18"/>
      <c r="D539" s="18"/>
      <c r="E539" s="18"/>
      <c r="F539" s="18"/>
      <c r="G539" s="18"/>
      <c r="H539" s="18"/>
    </row>
    <row r="540" spans="1:8" s="20" customFormat="1" x14ac:dyDescent="0.2">
      <c r="A540" s="18"/>
      <c r="B540" s="18"/>
      <c r="C540" s="18"/>
      <c r="D540" s="18"/>
      <c r="E540" s="18"/>
      <c r="F540" s="18"/>
      <c r="G540" s="18"/>
      <c r="H540" s="18"/>
    </row>
    <row r="541" spans="1:8" s="20" customFormat="1" x14ac:dyDescent="0.2">
      <c r="A541" s="18"/>
      <c r="B541" s="18"/>
      <c r="C541" s="18"/>
      <c r="D541" s="18"/>
      <c r="E541" s="18"/>
      <c r="F541" s="18"/>
      <c r="G541" s="18"/>
      <c r="H541" s="18"/>
    </row>
    <row r="542" spans="1:8" s="20" customFormat="1" x14ac:dyDescent="0.2">
      <c r="A542" s="18"/>
      <c r="B542" s="18"/>
      <c r="C542" s="18"/>
      <c r="D542" s="18"/>
      <c r="E542" s="18"/>
      <c r="F542" s="18"/>
      <c r="G542" s="18"/>
      <c r="H542" s="18"/>
    </row>
    <row r="543" spans="1:8" s="20" customFormat="1" x14ac:dyDescent="0.2">
      <c r="A543" s="18"/>
      <c r="B543" s="18"/>
      <c r="C543" s="18"/>
      <c r="D543" s="18"/>
      <c r="E543" s="18"/>
      <c r="F543" s="18"/>
      <c r="G543" s="18"/>
      <c r="H543" s="18"/>
    </row>
    <row r="544" spans="1:8" s="20" customFormat="1" x14ac:dyDescent="0.2">
      <c r="A544" s="18"/>
      <c r="B544" s="18"/>
      <c r="C544" s="18"/>
      <c r="D544" s="18"/>
      <c r="E544" s="18"/>
      <c r="F544" s="18"/>
      <c r="G544" s="18"/>
      <c r="H544" s="18"/>
    </row>
    <row r="545" spans="1:8" s="20" customFormat="1" x14ac:dyDescent="0.2">
      <c r="A545" s="18"/>
      <c r="B545" s="18"/>
      <c r="C545" s="18"/>
      <c r="D545" s="18"/>
      <c r="E545" s="18"/>
      <c r="F545" s="18"/>
      <c r="G545" s="18"/>
      <c r="H545" s="18"/>
    </row>
    <row r="546" spans="1:8" s="20" customFormat="1" x14ac:dyDescent="0.2">
      <c r="A546" s="18"/>
      <c r="B546" s="18"/>
      <c r="C546" s="18"/>
      <c r="D546" s="18"/>
      <c r="E546" s="18"/>
      <c r="F546" s="18"/>
      <c r="G546" s="18"/>
      <c r="H546" s="18"/>
    </row>
    <row r="547" spans="1:8" s="20" customFormat="1" x14ac:dyDescent="0.2">
      <c r="A547" s="18"/>
      <c r="B547" s="18"/>
      <c r="C547" s="18"/>
      <c r="D547" s="18"/>
      <c r="E547" s="18"/>
      <c r="F547" s="18"/>
      <c r="G547" s="18"/>
      <c r="H547" s="18"/>
    </row>
    <row r="548" spans="1:8" s="20" customFormat="1" x14ac:dyDescent="0.2">
      <c r="A548" s="18"/>
      <c r="B548" s="18"/>
      <c r="C548" s="18"/>
      <c r="D548" s="18"/>
      <c r="E548" s="18"/>
      <c r="F548" s="18"/>
      <c r="G548" s="18"/>
      <c r="H548" s="18"/>
    </row>
    <row r="549" spans="1:8" s="20" customFormat="1" x14ac:dyDescent="0.2">
      <c r="A549" s="18"/>
      <c r="B549" s="18"/>
      <c r="C549" s="18"/>
      <c r="D549" s="18"/>
      <c r="E549" s="18"/>
      <c r="F549" s="18"/>
      <c r="G549" s="18"/>
      <c r="H549" s="18"/>
    </row>
    <row r="550" spans="1:8" s="20" customFormat="1" x14ac:dyDescent="0.2">
      <c r="A550" s="18"/>
      <c r="B550" s="18"/>
      <c r="C550" s="18"/>
      <c r="D550" s="18"/>
      <c r="E550" s="18"/>
      <c r="F550" s="18"/>
      <c r="G550" s="18"/>
      <c r="H550" s="18"/>
    </row>
    <row r="551" spans="1:8" s="20" customFormat="1" x14ac:dyDescent="0.2">
      <c r="A551" s="18"/>
      <c r="B551" s="18"/>
      <c r="C551" s="18"/>
      <c r="D551" s="18"/>
      <c r="E551" s="18"/>
      <c r="F551" s="18"/>
      <c r="G551" s="18"/>
      <c r="H551" s="18"/>
    </row>
    <row r="552" spans="1:8" s="20" customFormat="1" x14ac:dyDescent="0.2">
      <c r="A552" s="18"/>
      <c r="B552" s="18"/>
      <c r="C552" s="18"/>
      <c r="D552" s="18"/>
      <c r="E552" s="18"/>
      <c r="F552" s="18"/>
      <c r="G552" s="18"/>
      <c r="H552" s="18"/>
    </row>
    <row r="553" spans="1:8" s="20" customFormat="1" x14ac:dyDescent="0.2">
      <c r="A553" s="18"/>
      <c r="B553" s="18"/>
      <c r="C553" s="18"/>
      <c r="D553" s="18"/>
      <c r="E553" s="18"/>
      <c r="F553" s="18"/>
      <c r="G553" s="18"/>
      <c r="H553" s="18"/>
    </row>
    <row r="554" spans="1:8" s="20" customFormat="1" x14ac:dyDescent="0.2">
      <c r="A554" s="18"/>
      <c r="B554" s="18"/>
      <c r="C554" s="18"/>
      <c r="D554" s="18"/>
      <c r="E554" s="18"/>
      <c r="F554" s="18"/>
      <c r="G554" s="18"/>
      <c r="H554" s="18"/>
    </row>
    <row r="555" spans="1:8" s="20" customFormat="1" x14ac:dyDescent="0.2">
      <c r="A555" s="18"/>
      <c r="B555" s="18"/>
      <c r="C555" s="18"/>
      <c r="D555" s="18"/>
      <c r="E555" s="18"/>
      <c r="F555" s="18"/>
      <c r="G555" s="18"/>
      <c r="H555" s="18"/>
    </row>
    <row r="556" spans="1:8" s="20" customFormat="1" x14ac:dyDescent="0.2">
      <c r="A556" s="18"/>
      <c r="B556" s="18"/>
      <c r="C556" s="18"/>
      <c r="D556" s="18"/>
      <c r="E556" s="18"/>
      <c r="F556" s="18"/>
      <c r="G556" s="18"/>
      <c r="H556" s="18"/>
    </row>
    <row r="557" spans="1:8" s="20" customFormat="1" x14ac:dyDescent="0.2">
      <c r="A557" s="18"/>
      <c r="B557" s="18"/>
      <c r="C557" s="18"/>
      <c r="D557" s="18"/>
      <c r="E557" s="18"/>
      <c r="F557" s="18"/>
      <c r="G557" s="18"/>
      <c r="H557" s="18"/>
    </row>
    <row r="558" spans="1:8" s="20" customFormat="1" x14ac:dyDescent="0.2">
      <c r="A558" s="18"/>
      <c r="B558" s="18"/>
      <c r="C558" s="18"/>
      <c r="D558" s="18"/>
      <c r="E558" s="18"/>
      <c r="F558" s="18"/>
      <c r="G558" s="18"/>
      <c r="H558" s="18"/>
    </row>
    <row r="559" spans="1:8" s="20" customFormat="1" x14ac:dyDescent="0.2">
      <c r="A559" s="18"/>
      <c r="B559" s="18"/>
      <c r="C559" s="18"/>
      <c r="D559" s="18"/>
      <c r="E559" s="18"/>
      <c r="F559" s="18"/>
      <c r="G559" s="18"/>
      <c r="H559" s="18"/>
    </row>
    <row r="560" spans="1:8" s="20" customFormat="1" x14ac:dyDescent="0.2">
      <c r="A560" s="18"/>
      <c r="B560" s="18"/>
      <c r="C560" s="18"/>
      <c r="D560" s="18"/>
      <c r="E560" s="18"/>
      <c r="F560" s="18"/>
      <c r="G560" s="18"/>
      <c r="H560" s="18"/>
    </row>
    <row r="561" spans="1:8" s="20" customFormat="1" x14ac:dyDescent="0.2">
      <c r="A561" s="18"/>
      <c r="B561" s="18"/>
      <c r="C561" s="18"/>
      <c r="D561" s="18"/>
      <c r="E561" s="18"/>
      <c r="F561" s="18"/>
      <c r="G561" s="18"/>
      <c r="H561" s="18"/>
    </row>
    <row r="562" spans="1:8" s="20" customFormat="1" x14ac:dyDescent="0.2">
      <c r="A562" s="18"/>
      <c r="B562" s="18"/>
      <c r="C562" s="18"/>
      <c r="D562" s="18"/>
      <c r="E562" s="18"/>
      <c r="F562" s="18"/>
      <c r="G562" s="18"/>
      <c r="H562" s="18"/>
    </row>
    <row r="563" spans="1:8" s="20" customFormat="1" x14ac:dyDescent="0.2">
      <c r="A563" s="18"/>
      <c r="B563" s="18"/>
      <c r="C563" s="18"/>
      <c r="D563" s="18"/>
      <c r="E563" s="18"/>
      <c r="F563" s="18"/>
      <c r="G563" s="18"/>
      <c r="H563" s="18"/>
    </row>
    <row r="564" spans="1:8" s="20" customFormat="1" x14ac:dyDescent="0.2">
      <c r="A564" s="18"/>
      <c r="B564" s="18"/>
      <c r="C564" s="18"/>
      <c r="D564" s="18"/>
      <c r="E564" s="18"/>
      <c r="F564" s="18"/>
      <c r="G564" s="18"/>
      <c r="H564" s="18"/>
    </row>
    <row r="565" spans="1:8" s="20" customFormat="1" x14ac:dyDescent="0.2">
      <c r="A565" s="18"/>
      <c r="B565" s="18"/>
      <c r="C565" s="18"/>
      <c r="D565" s="18"/>
      <c r="E565" s="18"/>
      <c r="F565" s="18"/>
      <c r="G565" s="18"/>
      <c r="H565" s="18"/>
    </row>
    <row r="566" spans="1:8" s="20" customFormat="1" x14ac:dyDescent="0.2">
      <c r="A566" s="18"/>
      <c r="B566" s="18"/>
      <c r="C566" s="18"/>
      <c r="D566" s="18"/>
      <c r="E566" s="18"/>
      <c r="F566" s="18"/>
      <c r="G566" s="18"/>
      <c r="H566" s="18"/>
    </row>
    <row r="567" spans="1:8" s="20" customFormat="1" x14ac:dyDescent="0.2">
      <c r="A567" s="18"/>
      <c r="B567" s="18"/>
      <c r="C567" s="18"/>
      <c r="D567" s="18"/>
      <c r="E567" s="18"/>
      <c r="F567" s="18"/>
      <c r="G567" s="18"/>
      <c r="H567" s="18"/>
    </row>
    <row r="568" spans="1:8" s="20" customFormat="1" x14ac:dyDescent="0.2">
      <c r="A568" s="18"/>
      <c r="B568" s="18"/>
      <c r="C568" s="18"/>
      <c r="D568" s="18"/>
      <c r="E568" s="18"/>
      <c r="F568" s="18"/>
      <c r="G568" s="18"/>
      <c r="H568" s="18"/>
    </row>
    <row r="569" spans="1:8" s="20" customFormat="1" x14ac:dyDescent="0.2">
      <c r="A569" s="18"/>
      <c r="B569" s="18"/>
      <c r="C569" s="18"/>
      <c r="D569" s="18"/>
      <c r="E569" s="18"/>
      <c r="F569" s="18"/>
      <c r="G569" s="18"/>
      <c r="H569" s="18"/>
    </row>
    <row r="570" spans="1:8" s="20" customFormat="1" x14ac:dyDescent="0.2">
      <c r="A570" s="18"/>
      <c r="B570" s="18"/>
      <c r="C570" s="18"/>
      <c r="D570" s="18"/>
      <c r="E570" s="18"/>
      <c r="F570" s="18"/>
      <c r="G570" s="18"/>
      <c r="H570" s="18"/>
    </row>
    <row r="571" spans="1:8" s="20" customFormat="1" x14ac:dyDescent="0.2">
      <c r="A571" s="18"/>
      <c r="B571" s="18"/>
      <c r="C571" s="18"/>
      <c r="D571" s="18"/>
      <c r="E571" s="18"/>
      <c r="F571" s="18"/>
      <c r="G571" s="18"/>
      <c r="H571" s="18"/>
    </row>
    <row r="572" spans="1:8" s="20" customFormat="1" x14ac:dyDescent="0.2">
      <c r="A572" s="18"/>
      <c r="B572" s="18"/>
      <c r="C572" s="18"/>
      <c r="D572" s="18"/>
      <c r="E572" s="18"/>
      <c r="F572" s="18"/>
      <c r="G572" s="18"/>
      <c r="H572" s="18"/>
    </row>
    <row r="573" spans="1:8" s="20" customFormat="1" x14ac:dyDescent="0.2">
      <c r="A573" s="18"/>
      <c r="B573" s="18"/>
      <c r="C573" s="18"/>
      <c r="D573" s="18"/>
      <c r="E573" s="18"/>
      <c r="F573" s="18"/>
      <c r="G573" s="18"/>
      <c r="H573" s="18"/>
    </row>
    <row r="574" spans="1:8" s="20" customFormat="1" x14ac:dyDescent="0.2">
      <c r="A574" s="18"/>
      <c r="B574" s="18"/>
      <c r="C574" s="18"/>
      <c r="D574" s="18"/>
      <c r="E574" s="18"/>
      <c r="F574" s="18"/>
      <c r="G574" s="18"/>
      <c r="H574" s="18"/>
    </row>
    <row r="575" spans="1:8" s="20" customFormat="1" x14ac:dyDescent="0.2">
      <c r="A575" s="18"/>
      <c r="B575" s="18"/>
      <c r="C575" s="18"/>
      <c r="D575" s="18"/>
      <c r="E575" s="18"/>
      <c r="F575" s="18"/>
      <c r="G575" s="18"/>
      <c r="H575" s="18"/>
    </row>
    <row r="576" spans="1:8" s="20" customFormat="1" x14ac:dyDescent="0.2">
      <c r="A576" s="18"/>
      <c r="B576" s="18"/>
      <c r="C576" s="18"/>
      <c r="D576" s="18"/>
      <c r="E576" s="18"/>
      <c r="F576" s="18"/>
      <c r="G576" s="18"/>
      <c r="H576" s="18"/>
    </row>
    <row r="577" spans="1:8" s="20" customFormat="1" x14ac:dyDescent="0.2">
      <c r="A577" s="18"/>
      <c r="B577" s="18"/>
      <c r="C577" s="18"/>
      <c r="D577" s="18"/>
      <c r="E577" s="18"/>
      <c r="F577" s="18"/>
      <c r="G577" s="18"/>
      <c r="H577" s="18"/>
    </row>
    <row r="578" spans="1:8" s="20" customFormat="1" x14ac:dyDescent="0.2">
      <c r="A578" s="18"/>
      <c r="B578" s="18"/>
      <c r="C578" s="18"/>
      <c r="D578" s="18"/>
      <c r="E578" s="18"/>
      <c r="F578" s="18"/>
      <c r="G578" s="18"/>
      <c r="H578" s="18"/>
    </row>
    <row r="579" spans="1:8" s="20" customFormat="1" x14ac:dyDescent="0.2">
      <c r="A579" s="18"/>
      <c r="B579" s="18"/>
      <c r="C579" s="18"/>
      <c r="D579" s="18"/>
      <c r="E579" s="18"/>
      <c r="F579" s="18"/>
      <c r="G579" s="18"/>
      <c r="H579" s="18"/>
    </row>
    <row r="580" spans="1:8" s="20" customFormat="1" x14ac:dyDescent="0.2">
      <c r="A580" s="18"/>
      <c r="B580" s="18"/>
      <c r="C580" s="18"/>
      <c r="D580" s="18"/>
      <c r="E580" s="18"/>
      <c r="F580" s="18"/>
      <c r="G580" s="18"/>
      <c r="H580" s="18"/>
    </row>
    <row r="581" spans="1:8" s="20" customFormat="1" x14ac:dyDescent="0.2">
      <c r="A581" s="18"/>
      <c r="B581" s="18"/>
      <c r="C581" s="18"/>
      <c r="D581" s="18"/>
      <c r="E581" s="18"/>
      <c r="F581" s="18"/>
      <c r="G581" s="18"/>
      <c r="H581" s="18"/>
    </row>
    <row r="582" spans="1:8" s="20" customFormat="1" x14ac:dyDescent="0.2">
      <c r="A582" s="18"/>
      <c r="B582" s="18"/>
      <c r="C582" s="18"/>
      <c r="D582" s="18"/>
      <c r="E582" s="18"/>
      <c r="F582" s="18"/>
      <c r="G582" s="18"/>
      <c r="H582" s="18"/>
    </row>
    <row r="583" spans="1:8" s="20" customFormat="1" x14ac:dyDescent="0.2">
      <c r="A583" s="18"/>
      <c r="B583" s="18"/>
      <c r="C583" s="18"/>
      <c r="D583" s="18"/>
      <c r="E583" s="18"/>
      <c r="F583" s="18"/>
      <c r="G583" s="18"/>
      <c r="H583" s="18"/>
    </row>
    <row r="584" spans="1:8" s="20" customFormat="1" x14ac:dyDescent="0.2">
      <c r="A584" s="18"/>
      <c r="B584" s="18"/>
      <c r="C584" s="18"/>
      <c r="D584" s="18"/>
      <c r="E584" s="18"/>
      <c r="F584" s="18"/>
      <c r="G584" s="18"/>
      <c r="H584" s="18"/>
    </row>
    <row r="585" spans="1:8" s="20" customFormat="1" x14ac:dyDescent="0.2">
      <c r="A585" s="18"/>
      <c r="B585" s="18"/>
      <c r="C585" s="18"/>
      <c r="D585" s="18"/>
      <c r="E585" s="18"/>
      <c r="F585" s="18"/>
      <c r="G585" s="18"/>
      <c r="H585" s="18"/>
    </row>
    <row r="586" spans="1:8" s="20" customFormat="1" x14ac:dyDescent="0.2">
      <c r="A586" s="18"/>
      <c r="B586" s="18"/>
      <c r="C586" s="18"/>
      <c r="D586" s="18"/>
      <c r="E586" s="18"/>
      <c r="F586" s="18"/>
      <c r="G586" s="18"/>
      <c r="H586" s="18"/>
    </row>
    <row r="587" spans="1:8" s="20" customFormat="1" x14ac:dyDescent="0.2">
      <c r="A587" s="18"/>
      <c r="B587" s="18"/>
      <c r="C587" s="18"/>
      <c r="D587" s="18"/>
      <c r="E587" s="18"/>
      <c r="F587" s="18"/>
      <c r="G587" s="18"/>
      <c r="H587" s="18"/>
    </row>
    <row r="588" spans="1:8" s="20" customFormat="1" x14ac:dyDescent="0.2">
      <c r="A588" s="18"/>
      <c r="B588" s="18"/>
      <c r="C588" s="18"/>
      <c r="D588" s="18"/>
      <c r="E588" s="18"/>
      <c r="F588" s="18"/>
      <c r="G588" s="18"/>
      <c r="H588" s="18"/>
    </row>
    <row r="589" spans="1:8" s="20" customFormat="1" x14ac:dyDescent="0.2">
      <c r="A589" s="18"/>
      <c r="B589" s="18"/>
      <c r="C589" s="18"/>
      <c r="D589" s="18"/>
      <c r="E589" s="18"/>
      <c r="F589" s="18"/>
      <c r="G589" s="18"/>
      <c r="H589" s="18"/>
    </row>
    <row r="590" spans="1:8" s="20" customFormat="1" x14ac:dyDescent="0.2">
      <c r="A590" s="18"/>
      <c r="B590" s="18"/>
      <c r="C590" s="18"/>
      <c r="D590" s="18"/>
      <c r="E590" s="18"/>
      <c r="F590" s="18"/>
      <c r="G590" s="18"/>
      <c r="H590" s="18"/>
    </row>
    <row r="591" spans="1:8" s="20" customFormat="1" x14ac:dyDescent="0.2">
      <c r="A591" s="18"/>
      <c r="B591" s="18"/>
      <c r="C591" s="18"/>
      <c r="D591" s="18"/>
      <c r="E591" s="18"/>
      <c r="F591" s="18"/>
      <c r="G591" s="18"/>
      <c r="H591" s="18"/>
    </row>
    <row r="592" spans="1:8" s="20" customFormat="1" x14ac:dyDescent="0.2">
      <c r="A592" s="18"/>
      <c r="B592" s="18"/>
      <c r="C592" s="18"/>
      <c r="D592" s="18"/>
      <c r="E592" s="18"/>
      <c r="F592" s="18"/>
      <c r="G592" s="18"/>
      <c r="H592" s="18"/>
    </row>
    <row r="593" spans="1:8" s="20" customFormat="1" x14ac:dyDescent="0.2">
      <c r="A593" s="18"/>
      <c r="B593" s="18"/>
      <c r="C593" s="18"/>
      <c r="D593" s="18"/>
      <c r="E593" s="18"/>
      <c r="F593" s="18"/>
      <c r="G593" s="18"/>
      <c r="H593" s="18"/>
    </row>
    <row r="594" spans="1:8" s="20" customFormat="1" x14ac:dyDescent="0.2">
      <c r="A594" s="18"/>
      <c r="B594" s="18"/>
      <c r="C594" s="18"/>
      <c r="D594" s="18"/>
      <c r="E594" s="18"/>
      <c r="F594" s="18"/>
      <c r="G594" s="18"/>
      <c r="H594" s="18"/>
    </row>
    <row r="595" spans="1:8" s="20" customFormat="1" x14ac:dyDescent="0.2">
      <c r="A595" s="18"/>
      <c r="B595" s="18"/>
      <c r="C595" s="18"/>
      <c r="D595" s="18"/>
      <c r="E595" s="18"/>
      <c r="F595" s="18"/>
      <c r="G595" s="18"/>
      <c r="H595" s="18"/>
    </row>
    <row r="596" spans="1:8" s="20" customFormat="1" x14ac:dyDescent="0.2">
      <c r="A596" s="18"/>
      <c r="B596" s="18"/>
      <c r="C596" s="18"/>
      <c r="D596" s="18"/>
      <c r="E596" s="18"/>
      <c r="F596" s="18"/>
      <c r="G596" s="18"/>
      <c r="H596" s="18"/>
    </row>
    <row r="597" spans="1:8" s="20" customFormat="1" x14ac:dyDescent="0.2">
      <c r="A597" s="18"/>
      <c r="B597" s="18"/>
      <c r="C597" s="18"/>
      <c r="D597" s="18"/>
      <c r="E597" s="18"/>
      <c r="F597" s="18"/>
      <c r="G597" s="18"/>
      <c r="H597" s="18"/>
    </row>
    <row r="598" spans="1:8" s="20" customFormat="1" x14ac:dyDescent="0.2">
      <c r="A598" s="18"/>
      <c r="B598" s="18"/>
      <c r="C598" s="18"/>
      <c r="D598" s="18"/>
      <c r="E598" s="18"/>
      <c r="F598" s="18"/>
      <c r="G598" s="18"/>
      <c r="H598" s="18"/>
    </row>
    <row r="599" spans="1:8" s="20" customFormat="1" x14ac:dyDescent="0.2">
      <c r="A599" s="18"/>
      <c r="B599" s="18"/>
      <c r="C599" s="18"/>
      <c r="D599" s="18"/>
      <c r="E599" s="18"/>
      <c r="F599" s="18"/>
      <c r="G599" s="18"/>
      <c r="H599" s="18"/>
    </row>
    <row r="600" spans="1:8" s="20" customFormat="1" x14ac:dyDescent="0.2">
      <c r="A600" s="18"/>
      <c r="B600" s="18"/>
      <c r="C600" s="18"/>
      <c r="D600" s="18"/>
      <c r="E600" s="18"/>
      <c r="F600" s="18"/>
      <c r="G600" s="18"/>
      <c r="H600" s="18"/>
    </row>
    <row r="601" spans="1:8" s="20" customFormat="1" x14ac:dyDescent="0.2">
      <c r="A601" s="18"/>
      <c r="B601" s="18"/>
      <c r="C601" s="18"/>
      <c r="D601" s="18"/>
      <c r="E601" s="18"/>
      <c r="F601" s="18"/>
      <c r="G601" s="18"/>
      <c r="H601" s="18"/>
    </row>
    <row r="602" spans="1:8" s="20" customFormat="1" x14ac:dyDescent="0.2">
      <c r="A602" s="18"/>
      <c r="B602" s="18"/>
      <c r="C602" s="18"/>
      <c r="D602" s="18"/>
      <c r="E602" s="18"/>
      <c r="F602" s="18"/>
      <c r="G602" s="18"/>
      <c r="H602" s="18"/>
    </row>
    <row r="603" spans="1:8" s="20" customFormat="1" x14ac:dyDescent="0.2">
      <c r="A603" s="18"/>
      <c r="B603" s="18"/>
      <c r="C603" s="18"/>
      <c r="D603" s="18"/>
      <c r="E603" s="18"/>
      <c r="F603" s="18"/>
      <c r="G603" s="18"/>
      <c r="H603" s="18"/>
    </row>
    <row r="604" spans="1:8" s="20" customFormat="1" x14ac:dyDescent="0.2">
      <c r="A604" s="18"/>
      <c r="B604" s="18"/>
      <c r="C604" s="18"/>
      <c r="D604" s="18"/>
      <c r="E604" s="18"/>
      <c r="F604" s="18"/>
      <c r="G604" s="18"/>
      <c r="H604" s="18"/>
    </row>
    <row r="605" spans="1:8" s="20" customFormat="1" x14ac:dyDescent="0.2">
      <c r="A605" s="18"/>
      <c r="B605" s="18"/>
      <c r="C605" s="18"/>
      <c r="D605" s="18"/>
      <c r="E605" s="18"/>
      <c r="F605" s="18"/>
      <c r="G605" s="18"/>
      <c r="H605" s="18"/>
    </row>
    <row r="606" spans="1:8" s="20" customFormat="1" x14ac:dyDescent="0.2">
      <c r="A606" s="18"/>
      <c r="B606" s="18"/>
      <c r="C606" s="18"/>
      <c r="D606" s="18"/>
      <c r="E606" s="18"/>
      <c r="F606" s="18"/>
      <c r="G606" s="18"/>
      <c r="H606" s="18"/>
    </row>
    <row r="607" spans="1:8" s="20" customFormat="1" x14ac:dyDescent="0.2">
      <c r="A607" s="18"/>
      <c r="B607" s="18"/>
      <c r="C607" s="18"/>
      <c r="D607" s="18"/>
      <c r="E607" s="18"/>
      <c r="F607" s="18"/>
      <c r="G607" s="18"/>
      <c r="H607" s="18"/>
    </row>
    <row r="608" spans="1:8" s="20" customFormat="1" x14ac:dyDescent="0.2">
      <c r="A608" s="18"/>
      <c r="B608" s="18"/>
      <c r="C608" s="18"/>
      <c r="D608" s="18"/>
      <c r="E608" s="18"/>
      <c r="F608" s="18"/>
      <c r="G608" s="18"/>
      <c r="H608" s="18"/>
    </row>
    <row r="609" spans="1:8" s="20" customFormat="1" x14ac:dyDescent="0.2">
      <c r="A609" s="18"/>
      <c r="B609" s="18"/>
      <c r="C609" s="18"/>
      <c r="D609" s="18"/>
      <c r="E609" s="18"/>
      <c r="F609" s="18"/>
      <c r="G609" s="18"/>
      <c r="H609" s="18"/>
    </row>
    <row r="610" spans="1:8" s="20" customFormat="1" x14ac:dyDescent="0.2">
      <c r="A610" s="18"/>
      <c r="B610" s="18"/>
      <c r="C610" s="18"/>
      <c r="D610" s="18"/>
      <c r="E610" s="18"/>
      <c r="F610" s="18"/>
      <c r="G610" s="18"/>
      <c r="H610" s="18"/>
    </row>
    <row r="611" spans="1:8" s="20" customFormat="1" x14ac:dyDescent="0.2">
      <c r="A611" s="18"/>
      <c r="B611" s="18"/>
      <c r="C611" s="18"/>
      <c r="D611" s="18"/>
      <c r="E611" s="18"/>
      <c r="F611" s="18"/>
      <c r="G611" s="18"/>
      <c r="H611" s="18"/>
    </row>
    <row r="612" spans="1:8" s="20" customFormat="1" x14ac:dyDescent="0.2">
      <c r="A612" s="18"/>
      <c r="B612" s="18"/>
      <c r="C612" s="18"/>
      <c r="D612" s="18"/>
      <c r="E612" s="18"/>
      <c r="F612" s="18"/>
      <c r="G612" s="18"/>
      <c r="H612" s="18"/>
    </row>
    <row r="613" spans="1:8" s="20" customFormat="1" x14ac:dyDescent="0.2">
      <c r="A613" s="18"/>
      <c r="B613" s="18"/>
      <c r="C613" s="18"/>
      <c r="D613" s="18"/>
      <c r="E613" s="18"/>
      <c r="F613" s="18"/>
      <c r="G613" s="18"/>
      <c r="H613" s="18"/>
    </row>
    <row r="614" spans="1:8" s="20" customFormat="1" x14ac:dyDescent="0.2">
      <c r="A614" s="18"/>
      <c r="B614" s="18"/>
      <c r="C614" s="18"/>
      <c r="D614" s="18"/>
      <c r="E614" s="18"/>
      <c r="F614" s="18"/>
      <c r="G614" s="18"/>
      <c r="H614" s="18"/>
    </row>
    <row r="615" spans="1:8" s="20" customFormat="1" x14ac:dyDescent="0.2">
      <c r="A615" s="18"/>
      <c r="B615" s="18"/>
      <c r="C615" s="18"/>
      <c r="D615" s="18"/>
      <c r="E615" s="18"/>
      <c r="F615" s="18"/>
      <c r="G615" s="18"/>
      <c r="H615" s="18"/>
    </row>
    <row r="616" spans="1:8" s="20" customFormat="1" x14ac:dyDescent="0.2">
      <c r="A616" s="18"/>
      <c r="B616" s="18"/>
      <c r="C616" s="18"/>
      <c r="D616" s="18"/>
      <c r="E616" s="18"/>
      <c r="F616" s="18"/>
      <c r="G616" s="18"/>
      <c r="H616" s="18"/>
    </row>
    <row r="617" spans="1:8" s="20" customFormat="1" x14ac:dyDescent="0.2">
      <c r="A617" s="18"/>
      <c r="B617" s="18"/>
      <c r="C617" s="18"/>
      <c r="D617" s="18"/>
      <c r="E617" s="18"/>
      <c r="F617" s="18"/>
      <c r="G617" s="18"/>
      <c r="H617" s="18"/>
    </row>
    <row r="618" spans="1:8" s="20" customFormat="1" x14ac:dyDescent="0.2">
      <c r="A618" s="18"/>
      <c r="B618" s="18"/>
      <c r="C618" s="18"/>
      <c r="D618" s="18"/>
      <c r="E618" s="18"/>
      <c r="F618" s="18"/>
      <c r="G618" s="18"/>
      <c r="H618" s="18"/>
    </row>
    <row r="619" spans="1:8" s="20" customFormat="1" x14ac:dyDescent="0.2">
      <c r="A619" s="18"/>
      <c r="B619" s="18"/>
      <c r="C619" s="18"/>
      <c r="D619" s="18"/>
      <c r="E619" s="18"/>
      <c r="F619" s="18"/>
      <c r="G619" s="18"/>
      <c r="H619" s="18"/>
    </row>
    <row r="620" spans="1:8" s="20" customFormat="1" x14ac:dyDescent="0.2">
      <c r="A620" s="18"/>
      <c r="B620" s="18"/>
      <c r="C620" s="18"/>
      <c r="D620" s="18"/>
      <c r="E620" s="18"/>
      <c r="F620" s="18"/>
      <c r="G620" s="18"/>
      <c r="H620" s="18"/>
    </row>
    <row r="621" spans="1:8" s="20" customFormat="1" x14ac:dyDescent="0.2">
      <c r="A621" s="18"/>
      <c r="B621" s="18"/>
      <c r="C621" s="18"/>
      <c r="D621" s="18"/>
      <c r="E621" s="18"/>
      <c r="F621" s="18"/>
      <c r="G621" s="18"/>
      <c r="H621" s="18"/>
    </row>
    <row r="622" spans="1:8" s="20" customFormat="1" x14ac:dyDescent="0.2">
      <c r="A622" s="18"/>
      <c r="B622" s="18"/>
      <c r="C622" s="18"/>
      <c r="D622" s="18"/>
      <c r="E622" s="18"/>
      <c r="F622" s="18"/>
      <c r="G622" s="18"/>
      <c r="H622" s="18"/>
    </row>
    <row r="623" spans="1:8" s="20" customFormat="1" x14ac:dyDescent="0.2">
      <c r="A623" s="18"/>
      <c r="B623" s="18"/>
      <c r="C623" s="18"/>
      <c r="D623" s="18"/>
      <c r="E623" s="18"/>
      <c r="F623" s="18"/>
      <c r="G623" s="18"/>
      <c r="H623" s="18"/>
    </row>
    <row r="624" spans="1:8" s="20" customFormat="1" x14ac:dyDescent="0.2">
      <c r="A624" s="18"/>
      <c r="B624" s="18"/>
      <c r="C624" s="18"/>
      <c r="D624" s="18"/>
      <c r="E624" s="18"/>
      <c r="F624" s="18"/>
      <c r="G624" s="18"/>
      <c r="H624" s="18"/>
    </row>
    <row r="625" spans="1:8" s="20" customFormat="1" x14ac:dyDescent="0.2">
      <c r="A625" s="18"/>
      <c r="B625" s="18"/>
      <c r="C625" s="18"/>
      <c r="D625" s="18"/>
      <c r="E625" s="18"/>
      <c r="F625" s="18"/>
      <c r="G625" s="18"/>
      <c r="H625" s="18"/>
    </row>
    <row r="626" spans="1:8" s="20" customFormat="1" x14ac:dyDescent="0.2">
      <c r="A626" s="18"/>
      <c r="B626" s="18"/>
      <c r="C626" s="18"/>
      <c r="D626" s="18"/>
      <c r="E626" s="18"/>
      <c r="F626" s="18"/>
      <c r="G626" s="18"/>
      <c r="H626" s="18"/>
    </row>
    <row r="627" spans="1:8" s="20" customFormat="1" x14ac:dyDescent="0.2">
      <c r="A627" s="18"/>
      <c r="B627" s="18"/>
      <c r="C627" s="18"/>
      <c r="D627" s="18"/>
      <c r="E627" s="18"/>
      <c r="F627" s="18"/>
      <c r="G627" s="18"/>
      <c r="H627" s="18"/>
    </row>
    <row r="628" spans="1:8" s="20" customFormat="1" x14ac:dyDescent="0.2">
      <c r="A628" s="18"/>
      <c r="B628" s="18"/>
      <c r="C628" s="18"/>
      <c r="D628" s="18"/>
      <c r="E628" s="18"/>
      <c r="F628" s="18"/>
      <c r="G628" s="18"/>
      <c r="H628" s="18"/>
    </row>
    <row r="629" spans="1:8" s="20" customFormat="1" x14ac:dyDescent="0.2">
      <c r="A629" s="18"/>
      <c r="B629" s="18"/>
      <c r="C629" s="18"/>
      <c r="D629" s="18"/>
      <c r="E629" s="18"/>
      <c r="F629" s="18"/>
      <c r="G629" s="18"/>
      <c r="H629" s="18"/>
    </row>
    <row r="630" spans="1:8" s="20" customFormat="1" x14ac:dyDescent="0.2">
      <c r="A630" s="18"/>
      <c r="B630" s="18"/>
      <c r="C630" s="18"/>
      <c r="D630" s="18"/>
      <c r="E630" s="18"/>
      <c r="F630" s="18"/>
      <c r="G630" s="18"/>
      <c r="H630" s="18"/>
    </row>
    <row r="631" spans="1:8" s="20" customFormat="1" x14ac:dyDescent="0.2">
      <c r="A631" s="18"/>
      <c r="B631" s="18"/>
      <c r="C631" s="18"/>
      <c r="D631" s="18"/>
      <c r="E631" s="18"/>
      <c r="F631" s="18"/>
      <c r="G631" s="18"/>
      <c r="H631" s="18"/>
    </row>
    <row r="632" spans="1:8" s="20" customFormat="1" x14ac:dyDescent="0.2">
      <c r="A632" s="18"/>
      <c r="B632" s="18"/>
      <c r="C632" s="18"/>
      <c r="D632" s="18"/>
      <c r="E632" s="18"/>
      <c r="F632" s="18"/>
      <c r="G632" s="18"/>
      <c r="H632" s="18"/>
    </row>
    <row r="633" spans="1:8" s="20" customFormat="1" x14ac:dyDescent="0.2">
      <c r="A633" s="18"/>
      <c r="B633" s="18"/>
      <c r="C633" s="18"/>
      <c r="D633" s="18"/>
      <c r="E633" s="18"/>
      <c r="F633" s="18"/>
      <c r="G633" s="18"/>
      <c r="H633" s="18"/>
    </row>
    <row r="634" spans="1:8" s="20" customFormat="1" x14ac:dyDescent="0.2">
      <c r="A634" s="18"/>
      <c r="B634" s="18"/>
      <c r="C634" s="18"/>
      <c r="D634" s="18"/>
      <c r="E634" s="18"/>
      <c r="F634" s="18"/>
      <c r="G634" s="18"/>
      <c r="H634" s="18"/>
    </row>
    <row r="635" spans="1:8" s="20" customFormat="1" x14ac:dyDescent="0.2">
      <c r="A635" s="18"/>
      <c r="B635" s="18"/>
      <c r="C635" s="18"/>
      <c r="D635" s="18"/>
      <c r="E635" s="18"/>
      <c r="F635" s="18"/>
      <c r="G635" s="18"/>
      <c r="H635" s="18"/>
    </row>
    <row r="636" spans="1:8" s="20" customFormat="1" x14ac:dyDescent="0.2">
      <c r="A636" s="18"/>
      <c r="B636" s="18"/>
      <c r="C636" s="18"/>
      <c r="D636" s="18"/>
      <c r="E636" s="18"/>
      <c r="F636" s="18"/>
      <c r="G636" s="18"/>
      <c r="H636" s="18"/>
    </row>
    <row r="637" spans="1:8" s="20" customFormat="1" x14ac:dyDescent="0.2">
      <c r="A637" s="18"/>
      <c r="B637" s="18"/>
      <c r="C637" s="18"/>
      <c r="D637" s="18"/>
      <c r="E637" s="18"/>
      <c r="F637" s="18"/>
      <c r="G637" s="18"/>
      <c r="H637" s="18"/>
    </row>
    <row r="638" spans="1:8" s="20" customFormat="1" x14ac:dyDescent="0.2">
      <c r="A638" s="18"/>
      <c r="B638" s="18"/>
      <c r="C638" s="18"/>
      <c r="D638" s="18"/>
      <c r="E638" s="18"/>
      <c r="F638" s="18"/>
      <c r="G638" s="18"/>
      <c r="H638" s="18"/>
    </row>
    <row r="639" spans="1:8" s="20" customFormat="1" x14ac:dyDescent="0.2">
      <c r="A639" s="18"/>
      <c r="B639" s="18"/>
      <c r="C639" s="18"/>
      <c r="D639" s="18"/>
      <c r="E639" s="18"/>
      <c r="F639" s="18"/>
      <c r="G639" s="18"/>
      <c r="H639" s="18"/>
    </row>
    <row r="640" spans="1:8" s="20" customFormat="1" x14ac:dyDescent="0.2">
      <c r="A640" s="18"/>
      <c r="B640" s="18"/>
      <c r="C640" s="18"/>
      <c r="D640" s="18"/>
      <c r="E640" s="18"/>
      <c r="F640" s="18"/>
      <c r="G640" s="18"/>
      <c r="H640" s="18"/>
    </row>
    <row r="641" spans="1:8" s="20" customFormat="1" x14ac:dyDescent="0.2">
      <c r="A641" s="18"/>
      <c r="B641" s="18"/>
      <c r="C641" s="18"/>
      <c r="D641" s="18"/>
      <c r="E641" s="18"/>
      <c r="F641" s="18"/>
      <c r="G641" s="18"/>
      <c r="H641" s="18"/>
    </row>
    <row r="642" spans="1:8" s="20" customFormat="1" x14ac:dyDescent="0.2">
      <c r="A642" s="18"/>
      <c r="B642" s="18"/>
      <c r="C642" s="18"/>
      <c r="D642" s="18"/>
      <c r="E642" s="18"/>
      <c r="F642" s="18"/>
      <c r="G642" s="18"/>
      <c r="H642" s="18"/>
    </row>
    <row r="643" spans="1:8" s="20" customFormat="1" x14ac:dyDescent="0.2">
      <c r="A643" s="18"/>
      <c r="B643" s="18"/>
      <c r="C643" s="18"/>
      <c r="D643" s="18"/>
      <c r="E643" s="18"/>
      <c r="F643" s="18"/>
      <c r="G643" s="18"/>
      <c r="H643" s="18"/>
    </row>
    <row r="644" spans="1:8" s="20" customFormat="1" x14ac:dyDescent="0.2">
      <c r="A644" s="18"/>
      <c r="B644" s="18"/>
      <c r="C644" s="18"/>
      <c r="D644" s="18"/>
      <c r="E644" s="18"/>
      <c r="F644" s="18"/>
      <c r="G644" s="18"/>
      <c r="H644" s="18"/>
    </row>
    <row r="645" spans="1:8" s="20" customFormat="1" x14ac:dyDescent="0.2">
      <c r="A645" s="18"/>
      <c r="B645" s="18"/>
      <c r="C645" s="18"/>
      <c r="D645" s="18"/>
      <c r="E645" s="18"/>
      <c r="F645" s="18"/>
      <c r="G645" s="18"/>
      <c r="H645" s="18"/>
    </row>
    <row r="646" spans="1:8" s="20" customFormat="1" x14ac:dyDescent="0.2">
      <c r="A646" s="18"/>
      <c r="B646" s="18"/>
      <c r="C646" s="18"/>
      <c r="D646" s="18"/>
      <c r="E646" s="18"/>
      <c r="F646" s="18"/>
      <c r="G646" s="18"/>
      <c r="H646" s="18"/>
    </row>
    <row r="647" spans="1:8" s="20" customFormat="1" x14ac:dyDescent="0.2">
      <c r="A647" s="18"/>
      <c r="B647" s="18"/>
      <c r="C647" s="18"/>
      <c r="D647" s="18"/>
      <c r="E647" s="18"/>
      <c r="F647" s="18"/>
      <c r="G647" s="18"/>
      <c r="H647" s="18"/>
    </row>
    <row r="648" spans="1:8" s="20" customFormat="1" x14ac:dyDescent="0.2">
      <c r="A648" s="18"/>
      <c r="B648" s="18"/>
      <c r="C648" s="18"/>
      <c r="D648" s="18"/>
      <c r="E648" s="18"/>
      <c r="F648" s="18"/>
      <c r="G648" s="18"/>
      <c r="H648" s="18"/>
    </row>
    <row r="649" spans="1:8" s="20" customFormat="1" x14ac:dyDescent="0.2">
      <c r="A649" s="18"/>
      <c r="B649" s="18"/>
      <c r="C649" s="18"/>
      <c r="D649" s="18"/>
      <c r="E649" s="18"/>
      <c r="F649" s="18"/>
      <c r="G649" s="18"/>
      <c r="H649" s="18"/>
    </row>
    <row r="650" spans="1:8" s="20" customFormat="1" x14ac:dyDescent="0.2">
      <c r="A650" s="18"/>
      <c r="B650" s="18"/>
      <c r="C650" s="18"/>
      <c r="D650" s="18"/>
      <c r="E650" s="18"/>
      <c r="F650" s="18"/>
      <c r="G650" s="18"/>
      <c r="H650" s="18"/>
    </row>
    <row r="651" spans="1:8" s="20" customFormat="1" x14ac:dyDescent="0.2">
      <c r="A651" s="18"/>
      <c r="B651" s="18"/>
      <c r="C651" s="18"/>
      <c r="D651" s="18"/>
      <c r="E651" s="18"/>
      <c r="F651" s="18"/>
      <c r="G651" s="18"/>
      <c r="H651" s="18"/>
    </row>
    <row r="652" spans="1:8" s="20" customFormat="1" x14ac:dyDescent="0.2">
      <c r="A652" s="18"/>
      <c r="B652" s="18"/>
      <c r="C652" s="18"/>
      <c r="D652" s="18"/>
      <c r="E652" s="18"/>
      <c r="F652" s="18"/>
      <c r="G652" s="18"/>
      <c r="H652" s="18"/>
    </row>
    <row r="653" spans="1:8" s="20" customFormat="1" x14ac:dyDescent="0.2">
      <c r="A653" s="18"/>
      <c r="B653" s="18"/>
      <c r="C653" s="18"/>
      <c r="D653" s="18"/>
      <c r="E653" s="18"/>
      <c r="F653" s="18"/>
      <c r="G653" s="18"/>
      <c r="H653" s="18"/>
    </row>
    <row r="654" spans="1:8" s="20" customFormat="1" x14ac:dyDescent="0.2">
      <c r="A654" s="18"/>
      <c r="B654" s="18"/>
      <c r="C654" s="18"/>
      <c r="D654" s="18"/>
      <c r="E654" s="18"/>
      <c r="F654" s="18"/>
      <c r="G654" s="18"/>
      <c r="H654" s="18"/>
    </row>
    <row r="655" spans="1:8" s="20" customFormat="1" x14ac:dyDescent="0.2">
      <c r="A655" s="18"/>
      <c r="B655" s="18"/>
      <c r="C655" s="18"/>
      <c r="D655" s="18"/>
      <c r="E655" s="18"/>
      <c r="F655" s="18"/>
      <c r="G655" s="18"/>
      <c r="H655" s="18"/>
    </row>
    <row r="656" spans="1:8" s="20" customFormat="1" x14ac:dyDescent="0.2">
      <c r="A656" s="18"/>
      <c r="B656" s="18"/>
      <c r="C656" s="18"/>
      <c r="D656" s="18"/>
      <c r="E656" s="18"/>
      <c r="F656" s="18"/>
      <c r="G656" s="18"/>
      <c r="H656" s="18"/>
    </row>
    <row r="657" spans="1:8" s="20" customFormat="1" x14ac:dyDescent="0.2">
      <c r="A657" s="18"/>
      <c r="B657" s="18"/>
      <c r="C657" s="18"/>
      <c r="D657" s="18"/>
      <c r="E657" s="18"/>
      <c r="F657" s="18"/>
      <c r="G657" s="18"/>
      <c r="H657" s="18"/>
    </row>
    <row r="658" spans="1:8" s="20" customFormat="1" x14ac:dyDescent="0.2">
      <c r="A658" s="18"/>
      <c r="B658" s="18"/>
      <c r="C658" s="18"/>
      <c r="D658" s="18"/>
      <c r="E658" s="18"/>
      <c r="F658" s="18"/>
      <c r="G658" s="18"/>
      <c r="H658" s="18"/>
    </row>
    <row r="659" spans="1:8" s="20" customFormat="1" x14ac:dyDescent="0.2">
      <c r="A659" s="18"/>
      <c r="B659" s="18"/>
      <c r="C659" s="18"/>
      <c r="D659" s="18"/>
      <c r="E659" s="18"/>
      <c r="F659" s="18"/>
      <c r="G659" s="18"/>
      <c r="H659" s="18"/>
    </row>
    <row r="660" spans="1:8" s="20" customFormat="1" x14ac:dyDescent="0.2">
      <c r="A660" s="18"/>
      <c r="B660" s="18"/>
      <c r="C660" s="18"/>
      <c r="D660" s="18"/>
      <c r="E660" s="18"/>
      <c r="F660" s="18"/>
      <c r="G660" s="18"/>
      <c r="H660" s="18"/>
    </row>
    <row r="661" spans="1:8" s="20" customFormat="1" x14ac:dyDescent="0.2">
      <c r="A661" s="18"/>
      <c r="B661" s="18"/>
      <c r="C661" s="18"/>
      <c r="D661" s="18"/>
      <c r="E661" s="18"/>
      <c r="F661" s="18"/>
      <c r="G661" s="18"/>
      <c r="H661" s="18"/>
    </row>
    <row r="662" spans="1:8" s="20" customFormat="1" x14ac:dyDescent="0.2">
      <c r="A662" s="18"/>
      <c r="B662" s="18"/>
      <c r="C662" s="18"/>
      <c r="D662" s="18"/>
      <c r="E662" s="18"/>
      <c r="F662" s="18"/>
      <c r="G662" s="18"/>
      <c r="H662" s="18"/>
    </row>
    <row r="663" spans="1:8" s="20" customFormat="1" x14ac:dyDescent="0.2">
      <c r="A663" s="18"/>
      <c r="B663" s="18"/>
      <c r="C663" s="18"/>
      <c r="D663" s="18"/>
      <c r="E663" s="18"/>
      <c r="F663" s="18"/>
      <c r="G663" s="18"/>
      <c r="H663" s="18"/>
    </row>
    <row r="664" spans="1:8" s="20" customFormat="1" x14ac:dyDescent="0.2">
      <c r="A664" s="18"/>
      <c r="B664" s="18"/>
      <c r="C664" s="18"/>
      <c r="D664" s="18"/>
      <c r="E664" s="18"/>
      <c r="F664" s="18"/>
      <c r="G664" s="18"/>
      <c r="H664" s="18"/>
    </row>
    <row r="665" spans="1:8" s="20" customFormat="1" x14ac:dyDescent="0.2">
      <c r="A665" s="18"/>
      <c r="B665" s="18"/>
      <c r="C665" s="18"/>
      <c r="D665" s="18"/>
      <c r="E665" s="18"/>
      <c r="F665" s="18"/>
      <c r="G665" s="18"/>
      <c r="H665" s="18"/>
    </row>
    <row r="666" spans="1:8" s="20" customFormat="1" x14ac:dyDescent="0.2">
      <c r="A666" s="18"/>
      <c r="B666" s="18"/>
      <c r="C666" s="18"/>
      <c r="D666" s="18"/>
      <c r="E666" s="18"/>
      <c r="F666" s="18"/>
      <c r="G666" s="18"/>
      <c r="H666" s="18"/>
    </row>
    <row r="667" spans="1:8" s="20" customFormat="1" x14ac:dyDescent="0.2">
      <c r="A667" s="18"/>
      <c r="B667" s="18"/>
      <c r="C667" s="18"/>
      <c r="D667" s="18"/>
      <c r="E667" s="18"/>
      <c r="F667" s="18"/>
      <c r="G667" s="18"/>
      <c r="H667" s="18"/>
    </row>
    <row r="668" spans="1:8" s="20" customFormat="1" x14ac:dyDescent="0.2">
      <c r="A668" s="18"/>
      <c r="B668" s="18"/>
      <c r="C668" s="18"/>
      <c r="D668" s="18"/>
      <c r="E668" s="18"/>
      <c r="F668" s="18"/>
      <c r="G668" s="18"/>
      <c r="H668" s="18"/>
    </row>
    <row r="669" spans="1:8" s="20" customFormat="1" x14ac:dyDescent="0.2">
      <c r="A669" s="18"/>
      <c r="B669" s="18"/>
      <c r="C669" s="18"/>
      <c r="D669" s="18"/>
      <c r="E669" s="18"/>
      <c r="F669" s="18"/>
      <c r="G669" s="18"/>
      <c r="H669" s="18"/>
    </row>
    <row r="670" spans="1:8" s="20" customFormat="1" x14ac:dyDescent="0.2">
      <c r="A670" s="18"/>
      <c r="B670" s="18"/>
      <c r="C670" s="18"/>
      <c r="D670" s="18"/>
      <c r="E670" s="18"/>
      <c r="F670" s="18"/>
      <c r="G670" s="18"/>
      <c r="H670" s="18"/>
    </row>
    <row r="671" spans="1:8" s="20" customFormat="1" x14ac:dyDescent="0.2">
      <c r="A671" s="18"/>
      <c r="B671" s="18"/>
      <c r="C671" s="18"/>
      <c r="D671" s="18"/>
      <c r="E671" s="18"/>
      <c r="F671" s="18"/>
      <c r="G671" s="18"/>
      <c r="H671" s="18"/>
    </row>
    <row r="672" spans="1:8" s="20" customFormat="1" x14ac:dyDescent="0.2">
      <c r="A672" s="18"/>
      <c r="B672" s="18"/>
      <c r="C672" s="18"/>
      <c r="D672" s="18"/>
      <c r="E672" s="18"/>
      <c r="F672" s="18"/>
      <c r="G672" s="18"/>
      <c r="H672" s="18"/>
    </row>
    <row r="673" spans="1:8" s="20" customFormat="1" x14ac:dyDescent="0.2">
      <c r="A673" s="18"/>
      <c r="B673" s="18"/>
      <c r="C673" s="18"/>
      <c r="D673" s="18"/>
      <c r="E673" s="18"/>
      <c r="F673" s="18"/>
      <c r="G673" s="18"/>
      <c r="H673" s="18"/>
    </row>
    <row r="674" spans="1:8" s="20" customFormat="1" x14ac:dyDescent="0.2">
      <c r="A674" s="18"/>
      <c r="B674" s="18"/>
      <c r="C674" s="18"/>
      <c r="D674" s="18"/>
      <c r="E674" s="18"/>
      <c r="F674" s="18"/>
      <c r="G674" s="18"/>
      <c r="H674" s="18"/>
    </row>
    <row r="675" spans="1:8" s="20" customFormat="1" x14ac:dyDescent="0.2">
      <c r="A675" s="18"/>
      <c r="B675" s="18"/>
      <c r="C675" s="18"/>
      <c r="D675" s="18"/>
      <c r="E675" s="18"/>
      <c r="F675" s="18"/>
      <c r="G675" s="18"/>
      <c r="H675" s="18"/>
    </row>
    <row r="676" spans="1:8" s="20" customFormat="1" x14ac:dyDescent="0.2">
      <c r="A676" s="18"/>
      <c r="B676" s="18"/>
      <c r="C676" s="18"/>
      <c r="D676" s="18"/>
      <c r="E676" s="18"/>
      <c r="F676" s="18"/>
      <c r="G676" s="18"/>
      <c r="H676" s="18"/>
    </row>
    <row r="677" spans="1:8" s="20" customFormat="1" x14ac:dyDescent="0.2">
      <c r="A677" s="18"/>
      <c r="B677" s="18"/>
      <c r="C677" s="18"/>
      <c r="D677" s="18"/>
      <c r="E677" s="18"/>
      <c r="F677" s="18"/>
      <c r="G677" s="18"/>
      <c r="H677" s="18"/>
    </row>
    <row r="678" spans="1:8" s="20" customFormat="1" x14ac:dyDescent="0.2">
      <c r="A678" s="18"/>
      <c r="B678" s="18"/>
      <c r="C678" s="18"/>
      <c r="D678" s="18"/>
      <c r="E678" s="18"/>
      <c r="F678" s="18"/>
      <c r="G678" s="18"/>
      <c r="H678" s="18"/>
    </row>
    <row r="679" spans="1:8" s="20" customFormat="1" x14ac:dyDescent="0.2">
      <c r="A679" s="18"/>
      <c r="B679" s="18"/>
      <c r="C679" s="18"/>
      <c r="D679" s="18"/>
      <c r="E679" s="18"/>
      <c r="F679" s="18"/>
      <c r="G679" s="18"/>
      <c r="H679" s="18"/>
    </row>
    <row r="680" spans="1:8" s="20" customFormat="1" x14ac:dyDescent="0.2">
      <c r="A680" s="18"/>
      <c r="B680" s="18"/>
      <c r="C680" s="18"/>
      <c r="D680" s="18"/>
      <c r="E680" s="18"/>
      <c r="F680" s="18"/>
      <c r="G680" s="18"/>
      <c r="H680" s="18"/>
    </row>
    <row r="681" spans="1:8" s="20" customFormat="1" x14ac:dyDescent="0.2">
      <c r="A681" s="18"/>
      <c r="B681" s="18"/>
      <c r="C681" s="18"/>
      <c r="D681" s="18"/>
      <c r="E681" s="18"/>
      <c r="F681" s="18"/>
      <c r="G681" s="18"/>
      <c r="H681" s="18"/>
    </row>
    <row r="682" spans="1:8" s="20" customFormat="1" x14ac:dyDescent="0.2">
      <c r="A682" s="18"/>
      <c r="B682" s="18"/>
      <c r="C682" s="18"/>
      <c r="D682" s="18"/>
      <c r="E682" s="18"/>
      <c r="F682" s="18"/>
      <c r="G682" s="18"/>
      <c r="H682" s="18"/>
    </row>
    <row r="683" spans="1:8" s="20" customFormat="1" x14ac:dyDescent="0.2">
      <c r="A683" s="18"/>
      <c r="B683" s="18"/>
      <c r="C683" s="18"/>
      <c r="D683" s="18"/>
      <c r="E683" s="18"/>
      <c r="F683" s="18"/>
      <c r="G683" s="18"/>
      <c r="H683" s="18"/>
    </row>
    <row r="684" spans="1:8" s="20" customFormat="1" x14ac:dyDescent="0.2">
      <c r="A684" s="18"/>
      <c r="B684" s="18"/>
      <c r="C684" s="18"/>
      <c r="D684" s="18"/>
      <c r="E684" s="18"/>
      <c r="F684" s="18"/>
      <c r="G684" s="18"/>
      <c r="H684" s="18"/>
    </row>
    <row r="685" spans="1:8" s="20" customFormat="1" x14ac:dyDescent="0.2">
      <c r="A685" s="18"/>
      <c r="B685" s="18"/>
      <c r="C685" s="18"/>
      <c r="D685" s="18"/>
      <c r="E685" s="18"/>
      <c r="F685" s="18"/>
      <c r="G685" s="18"/>
      <c r="H685" s="18"/>
    </row>
    <row r="686" spans="1:8" s="20" customFormat="1" x14ac:dyDescent="0.2">
      <c r="A686" s="18"/>
      <c r="B686" s="18"/>
      <c r="C686" s="18"/>
      <c r="D686" s="18"/>
      <c r="E686" s="18"/>
      <c r="F686" s="18"/>
      <c r="G686" s="18"/>
      <c r="H686" s="18"/>
    </row>
    <row r="687" spans="1:8" s="20" customFormat="1" x14ac:dyDescent="0.2">
      <c r="A687" s="18"/>
      <c r="B687" s="18"/>
      <c r="C687" s="18"/>
      <c r="D687" s="18"/>
      <c r="E687" s="18"/>
      <c r="F687" s="18"/>
      <c r="G687" s="18"/>
      <c r="H687" s="18"/>
    </row>
    <row r="688" spans="1:8" s="20" customFormat="1" x14ac:dyDescent="0.2">
      <c r="A688" s="18"/>
      <c r="B688" s="18"/>
      <c r="C688" s="18"/>
      <c r="D688" s="18"/>
      <c r="E688" s="18"/>
      <c r="F688" s="18"/>
      <c r="G688" s="18"/>
      <c r="H688" s="18"/>
    </row>
    <row r="689" spans="1:8" s="20" customFormat="1" x14ac:dyDescent="0.2">
      <c r="A689" s="18"/>
      <c r="B689" s="18"/>
      <c r="C689" s="18"/>
      <c r="D689" s="18"/>
      <c r="E689" s="18"/>
      <c r="F689" s="18"/>
      <c r="G689" s="18"/>
      <c r="H689" s="18"/>
    </row>
    <row r="690" spans="1:8" s="20" customFormat="1" x14ac:dyDescent="0.2">
      <c r="A690" s="18"/>
      <c r="B690" s="18"/>
      <c r="C690" s="18"/>
      <c r="D690" s="18"/>
      <c r="E690" s="18"/>
      <c r="F690" s="18"/>
      <c r="G690" s="18"/>
      <c r="H690" s="18"/>
    </row>
    <row r="691" spans="1:8" s="20" customFormat="1" x14ac:dyDescent="0.2">
      <c r="A691" s="18"/>
      <c r="B691" s="18"/>
      <c r="C691" s="18"/>
      <c r="D691" s="18"/>
      <c r="E691" s="18"/>
      <c r="F691" s="18"/>
      <c r="G691" s="18"/>
      <c r="H691" s="18"/>
    </row>
    <row r="692" spans="1:8" s="20" customFormat="1" x14ac:dyDescent="0.2">
      <c r="A692" s="18"/>
      <c r="B692" s="18"/>
      <c r="C692" s="18"/>
      <c r="D692" s="18"/>
      <c r="E692" s="18"/>
      <c r="F692" s="18"/>
      <c r="G692" s="18"/>
      <c r="H692" s="18"/>
    </row>
    <row r="693" spans="1:8" s="20" customFormat="1" x14ac:dyDescent="0.2">
      <c r="A693" s="18"/>
      <c r="B693" s="18"/>
      <c r="C693" s="18"/>
      <c r="D693" s="18"/>
      <c r="E693" s="18"/>
      <c r="F693" s="18"/>
      <c r="G693" s="18"/>
      <c r="H693" s="18"/>
    </row>
    <row r="694" spans="1:8" s="20" customFormat="1" x14ac:dyDescent="0.2">
      <c r="A694" s="18"/>
      <c r="B694" s="18"/>
      <c r="C694" s="18"/>
      <c r="D694" s="18"/>
      <c r="E694" s="18"/>
      <c r="F694" s="18"/>
      <c r="G694" s="18"/>
      <c r="H694" s="18"/>
    </row>
    <row r="695" spans="1:8" s="20" customFormat="1" x14ac:dyDescent="0.2">
      <c r="A695" s="18"/>
      <c r="B695" s="18"/>
      <c r="C695" s="18"/>
      <c r="D695" s="18"/>
      <c r="E695" s="18"/>
      <c r="F695" s="18"/>
      <c r="G695" s="18"/>
      <c r="H695" s="18"/>
    </row>
    <row r="696" spans="1:8" s="20" customFormat="1" x14ac:dyDescent="0.2">
      <c r="A696" s="18"/>
      <c r="B696" s="18"/>
      <c r="C696" s="18"/>
      <c r="D696" s="18"/>
      <c r="E696" s="18"/>
      <c r="F696" s="18"/>
      <c r="G696" s="18"/>
      <c r="H696" s="18"/>
    </row>
    <row r="697" spans="1:8" s="20" customFormat="1" x14ac:dyDescent="0.2">
      <c r="A697" s="18"/>
      <c r="B697" s="18"/>
      <c r="C697" s="18"/>
      <c r="D697" s="18"/>
      <c r="E697" s="18"/>
      <c r="F697" s="18"/>
      <c r="G697" s="18"/>
      <c r="H697" s="18"/>
    </row>
    <row r="698" spans="1:8" s="20" customFormat="1" x14ac:dyDescent="0.2">
      <c r="A698" s="18"/>
      <c r="B698" s="18"/>
      <c r="C698" s="18"/>
      <c r="D698" s="18"/>
      <c r="E698" s="18"/>
      <c r="F698" s="18"/>
      <c r="G698" s="18"/>
      <c r="H698" s="18"/>
    </row>
    <row r="699" spans="1:8" s="20" customFormat="1" x14ac:dyDescent="0.2">
      <c r="A699" s="18"/>
      <c r="B699" s="18"/>
      <c r="C699" s="18"/>
      <c r="D699" s="18"/>
      <c r="E699" s="18"/>
      <c r="F699" s="18"/>
      <c r="G699" s="18"/>
      <c r="H699" s="18"/>
    </row>
    <row r="700" spans="1:8" s="20" customFormat="1" x14ac:dyDescent="0.2">
      <c r="A700" s="18"/>
      <c r="B700" s="18"/>
      <c r="C700" s="18"/>
      <c r="D700" s="18"/>
      <c r="E700" s="18"/>
      <c r="F700" s="18"/>
      <c r="G700" s="18"/>
      <c r="H700" s="18"/>
    </row>
    <row r="701" spans="1:8" s="20" customFormat="1" x14ac:dyDescent="0.2">
      <c r="A701" s="18"/>
      <c r="B701" s="18"/>
      <c r="C701" s="18"/>
      <c r="D701" s="18"/>
      <c r="E701" s="18"/>
      <c r="F701" s="18"/>
      <c r="G701" s="18"/>
      <c r="H701" s="18"/>
    </row>
    <row r="702" spans="1:8" s="20" customFormat="1" x14ac:dyDescent="0.2">
      <c r="A702" s="18"/>
      <c r="B702" s="18"/>
      <c r="C702" s="18"/>
      <c r="D702" s="18"/>
      <c r="E702" s="18"/>
      <c r="F702" s="18"/>
      <c r="G702" s="18"/>
      <c r="H702" s="18"/>
    </row>
    <row r="703" spans="1:8" s="20" customFormat="1" x14ac:dyDescent="0.2">
      <c r="A703" s="18"/>
      <c r="B703" s="18"/>
      <c r="C703" s="18"/>
      <c r="D703" s="18"/>
      <c r="E703" s="18"/>
      <c r="F703" s="18"/>
      <c r="G703" s="18"/>
      <c r="H703" s="18"/>
    </row>
    <row r="704" spans="1:8" s="20" customFormat="1" x14ac:dyDescent="0.2">
      <c r="A704" s="18"/>
      <c r="B704" s="18"/>
      <c r="C704" s="18"/>
      <c r="D704" s="18"/>
      <c r="E704" s="18"/>
      <c r="F704" s="18"/>
      <c r="G704" s="18"/>
      <c r="H704" s="18"/>
    </row>
    <row r="705" spans="1:8" s="20" customFormat="1" x14ac:dyDescent="0.2">
      <c r="A705" s="18"/>
      <c r="B705" s="18"/>
      <c r="C705" s="18"/>
      <c r="D705" s="18"/>
      <c r="E705" s="18"/>
      <c r="F705" s="18"/>
      <c r="G705" s="18"/>
      <c r="H705" s="18"/>
    </row>
    <row r="706" spans="1:8" s="20" customFormat="1" x14ac:dyDescent="0.2">
      <c r="A706" s="18"/>
      <c r="B706" s="18"/>
      <c r="C706" s="18"/>
      <c r="D706" s="18"/>
      <c r="E706" s="18"/>
      <c r="F706" s="18"/>
      <c r="G706" s="18"/>
      <c r="H706" s="18"/>
    </row>
    <row r="707" spans="1:8" s="20" customFormat="1" x14ac:dyDescent="0.2">
      <c r="A707" s="18"/>
      <c r="B707" s="18"/>
      <c r="C707" s="18"/>
      <c r="D707" s="18"/>
      <c r="E707" s="18"/>
      <c r="F707" s="18"/>
      <c r="G707" s="18"/>
      <c r="H707" s="18"/>
    </row>
    <row r="708" spans="1:8" s="20" customFormat="1" x14ac:dyDescent="0.2">
      <c r="A708" s="18"/>
      <c r="B708" s="18"/>
      <c r="C708" s="18"/>
      <c r="D708" s="18"/>
      <c r="E708" s="18"/>
      <c r="F708" s="18"/>
      <c r="G708" s="18"/>
      <c r="H708" s="18"/>
    </row>
    <row r="709" spans="1:8" s="20" customFormat="1" x14ac:dyDescent="0.2">
      <c r="A709" s="18"/>
      <c r="B709" s="18"/>
      <c r="C709" s="18"/>
      <c r="D709" s="18"/>
      <c r="E709" s="18"/>
      <c r="F709" s="18"/>
      <c r="G709" s="18"/>
      <c r="H709" s="18"/>
    </row>
    <row r="710" spans="1:8" s="20" customFormat="1" x14ac:dyDescent="0.2">
      <c r="A710" s="18"/>
      <c r="B710" s="18"/>
      <c r="C710" s="18"/>
      <c r="D710" s="18"/>
      <c r="E710" s="18"/>
      <c r="F710" s="18"/>
      <c r="G710" s="18"/>
      <c r="H710" s="18"/>
    </row>
    <row r="711" spans="1:8" s="20" customFormat="1" x14ac:dyDescent="0.2">
      <c r="A711" s="18"/>
      <c r="B711" s="18"/>
      <c r="C711" s="18"/>
      <c r="D711" s="18"/>
      <c r="E711" s="18"/>
      <c r="F711" s="18"/>
      <c r="G711" s="18"/>
      <c r="H711" s="18"/>
    </row>
    <row r="712" spans="1:8" s="20" customFormat="1" x14ac:dyDescent="0.2">
      <c r="A712" s="18"/>
      <c r="B712" s="18"/>
      <c r="C712" s="18"/>
      <c r="D712" s="18"/>
      <c r="E712" s="18"/>
      <c r="F712" s="18"/>
      <c r="G712" s="18"/>
      <c r="H712" s="18"/>
    </row>
    <row r="713" spans="1:8" s="20" customFormat="1" x14ac:dyDescent="0.2">
      <c r="A713" s="18"/>
      <c r="B713" s="18"/>
      <c r="C713" s="18"/>
      <c r="D713" s="18"/>
      <c r="E713" s="18"/>
      <c r="F713" s="18"/>
      <c r="G713" s="18"/>
      <c r="H713" s="18"/>
    </row>
    <row r="714" spans="1:8" s="20" customFormat="1" x14ac:dyDescent="0.2">
      <c r="A714" s="18"/>
      <c r="B714" s="18"/>
      <c r="C714" s="18"/>
      <c r="D714" s="18"/>
      <c r="E714" s="18"/>
      <c r="F714" s="18"/>
      <c r="G714" s="18"/>
      <c r="H714" s="18"/>
    </row>
    <row r="715" spans="1:8" s="20" customFormat="1" x14ac:dyDescent="0.2">
      <c r="A715" s="18"/>
      <c r="B715" s="18"/>
      <c r="C715" s="18"/>
      <c r="D715" s="18"/>
      <c r="E715" s="18"/>
      <c r="F715" s="18"/>
      <c r="G715" s="18"/>
      <c r="H715" s="18"/>
    </row>
    <row r="716" spans="1:8" s="20" customFormat="1" x14ac:dyDescent="0.2">
      <c r="A716" s="18"/>
      <c r="B716" s="18"/>
      <c r="C716" s="18"/>
      <c r="D716" s="18"/>
      <c r="E716" s="18"/>
      <c r="F716" s="18"/>
      <c r="G716" s="18"/>
      <c r="H716" s="18"/>
    </row>
    <row r="717" spans="1:8" s="20" customFormat="1" x14ac:dyDescent="0.2">
      <c r="A717" s="18"/>
      <c r="B717" s="18"/>
      <c r="C717" s="18"/>
      <c r="D717" s="18"/>
      <c r="E717" s="18"/>
      <c r="F717" s="18"/>
      <c r="G717" s="18"/>
      <c r="H717" s="18"/>
    </row>
    <row r="718" spans="1:8" s="20" customFormat="1" x14ac:dyDescent="0.2">
      <c r="A718" s="18"/>
      <c r="B718" s="18"/>
      <c r="C718" s="18"/>
      <c r="D718" s="18"/>
      <c r="E718" s="18"/>
      <c r="F718" s="18"/>
      <c r="G718" s="18"/>
      <c r="H718" s="18"/>
    </row>
    <row r="719" spans="1:8" s="20" customFormat="1" x14ac:dyDescent="0.2">
      <c r="A719" s="18"/>
      <c r="B719" s="18"/>
      <c r="C719" s="18"/>
      <c r="D719" s="18"/>
      <c r="E719" s="18"/>
      <c r="F719" s="18"/>
      <c r="G719" s="18"/>
      <c r="H719" s="18"/>
    </row>
    <row r="720" spans="1:8" s="20" customFormat="1" x14ac:dyDescent="0.2">
      <c r="A720" s="18"/>
      <c r="B720" s="18"/>
      <c r="C720" s="18"/>
      <c r="D720" s="18"/>
      <c r="E720" s="18"/>
      <c r="F720" s="18"/>
      <c r="G720" s="18"/>
      <c r="H720" s="18"/>
    </row>
    <row r="721" spans="1:8" s="20" customFormat="1" x14ac:dyDescent="0.2">
      <c r="A721" s="18"/>
      <c r="B721" s="18"/>
      <c r="C721" s="18"/>
      <c r="D721" s="18"/>
      <c r="E721" s="18"/>
      <c r="F721" s="18"/>
      <c r="G721" s="18"/>
      <c r="H721" s="18"/>
    </row>
    <row r="722" spans="1:8" s="20" customFormat="1" x14ac:dyDescent="0.2">
      <c r="A722" s="18"/>
      <c r="B722" s="18"/>
      <c r="C722" s="18"/>
      <c r="D722" s="18"/>
      <c r="E722" s="18"/>
      <c r="F722" s="18"/>
      <c r="G722" s="18"/>
      <c r="H722" s="18"/>
    </row>
    <row r="723" spans="1:8" s="20" customFormat="1" x14ac:dyDescent="0.2">
      <c r="A723" s="18"/>
      <c r="B723" s="18"/>
      <c r="C723" s="18"/>
      <c r="D723" s="18"/>
      <c r="E723" s="18"/>
      <c r="F723" s="18"/>
      <c r="G723" s="18"/>
      <c r="H723" s="18"/>
    </row>
    <row r="724" spans="1:8" s="20" customFormat="1" x14ac:dyDescent="0.2">
      <c r="A724" s="18"/>
      <c r="B724" s="18"/>
      <c r="C724" s="18"/>
      <c r="D724" s="18"/>
      <c r="E724" s="18"/>
      <c r="F724" s="18"/>
      <c r="G724" s="18"/>
      <c r="H724" s="18"/>
    </row>
    <row r="725" spans="1:8" s="20" customFormat="1" x14ac:dyDescent="0.2">
      <c r="A725" s="18"/>
      <c r="B725" s="18"/>
      <c r="C725" s="18"/>
      <c r="D725" s="18"/>
      <c r="E725" s="18"/>
      <c r="F725" s="18"/>
      <c r="G725" s="18"/>
      <c r="H725" s="18"/>
    </row>
    <row r="726" spans="1:8" s="20" customFormat="1" x14ac:dyDescent="0.2">
      <c r="A726" s="18"/>
      <c r="B726" s="18"/>
      <c r="C726" s="18"/>
      <c r="D726" s="18"/>
      <c r="E726" s="18"/>
      <c r="F726" s="18"/>
      <c r="G726" s="18"/>
      <c r="H726" s="18"/>
    </row>
    <row r="727" spans="1:8" s="20" customFormat="1" x14ac:dyDescent="0.2">
      <c r="A727" s="18"/>
      <c r="B727" s="18"/>
      <c r="C727" s="18"/>
      <c r="D727" s="18"/>
      <c r="E727" s="18"/>
      <c r="F727" s="18"/>
      <c r="G727" s="18"/>
      <c r="H727" s="18"/>
    </row>
    <row r="728" spans="1:8" s="20" customFormat="1" x14ac:dyDescent="0.2">
      <c r="A728" s="18"/>
      <c r="B728" s="18"/>
      <c r="C728" s="18"/>
      <c r="D728" s="18"/>
      <c r="E728" s="18"/>
      <c r="F728" s="18"/>
      <c r="G728" s="18"/>
      <c r="H728" s="18"/>
    </row>
    <row r="729" spans="1:8" s="20" customFormat="1" x14ac:dyDescent="0.2">
      <c r="A729" s="18"/>
      <c r="B729" s="18"/>
      <c r="C729" s="18"/>
      <c r="D729" s="18"/>
      <c r="E729" s="18"/>
      <c r="F729" s="18"/>
      <c r="G729" s="18"/>
      <c r="H729" s="18"/>
    </row>
    <row r="730" spans="1:8" s="20" customFormat="1" x14ac:dyDescent="0.2">
      <c r="A730" s="18"/>
      <c r="B730" s="18"/>
      <c r="C730" s="18"/>
      <c r="D730" s="18"/>
      <c r="E730" s="18"/>
      <c r="F730" s="18"/>
      <c r="G730" s="18"/>
      <c r="H730" s="18"/>
    </row>
    <row r="731" spans="1:8" s="20" customFormat="1" x14ac:dyDescent="0.2">
      <c r="A731" s="18"/>
      <c r="B731" s="18"/>
      <c r="C731" s="18"/>
      <c r="D731" s="18"/>
      <c r="E731" s="18"/>
      <c r="F731" s="18"/>
      <c r="G731" s="18"/>
      <c r="H731" s="18"/>
    </row>
    <row r="732" spans="1:8" s="20" customFormat="1" x14ac:dyDescent="0.2">
      <c r="A732" s="18"/>
      <c r="B732" s="18"/>
      <c r="C732" s="18"/>
      <c r="D732" s="18"/>
      <c r="E732" s="18"/>
      <c r="F732" s="18"/>
      <c r="G732" s="18"/>
      <c r="H732" s="18"/>
    </row>
    <row r="733" spans="1:8" s="20" customFormat="1" x14ac:dyDescent="0.2">
      <c r="A733" s="18"/>
      <c r="B733" s="18"/>
      <c r="C733" s="18"/>
      <c r="D733" s="18"/>
      <c r="E733" s="18"/>
      <c r="F733" s="18"/>
      <c r="G733" s="18"/>
      <c r="H733" s="18"/>
    </row>
    <row r="734" spans="1:8" s="20" customFormat="1" x14ac:dyDescent="0.2">
      <c r="A734" s="18"/>
      <c r="B734" s="18"/>
      <c r="C734" s="18"/>
      <c r="D734" s="18"/>
      <c r="E734" s="18"/>
      <c r="F734" s="18"/>
      <c r="G734" s="18"/>
      <c r="H734" s="18"/>
    </row>
    <row r="735" spans="1:8" s="20" customFormat="1" x14ac:dyDescent="0.2">
      <c r="A735" s="18"/>
      <c r="B735" s="18"/>
      <c r="C735" s="18"/>
      <c r="D735" s="18"/>
      <c r="E735" s="18"/>
      <c r="F735" s="18"/>
      <c r="G735" s="18"/>
      <c r="H735" s="18"/>
    </row>
    <row r="736" spans="1:8" s="20" customFormat="1" x14ac:dyDescent="0.2">
      <c r="A736" s="18"/>
      <c r="B736" s="18"/>
      <c r="C736" s="18"/>
      <c r="D736" s="18"/>
      <c r="E736" s="18"/>
      <c r="F736" s="18"/>
      <c r="G736" s="18"/>
      <c r="H736" s="18"/>
    </row>
    <row r="737" spans="1:8" s="20" customFormat="1" x14ac:dyDescent="0.2">
      <c r="A737" s="18"/>
      <c r="B737" s="18"/>
      <c r="C737" s="18"/>
      <c r="D737" s="18"/>
      <c r="E737" s="18"/>
      <c r="F737" s="18"/>
      <c r="G737" s="18"/>
      <c r="H737" s="18"/>
    </row>
    <row r="738" spans="1:8" s="20" customFormat="1" x14ac:dyDescent="0.2">
      <c r="A738" s="18"/>
      <c r="B738" s="18"/>
      <c r="C738" s="18"/>
      <c r="D738" s="18"/>
      <c r="E738" s="18"/>
      <c r="F738" s="18"/>
      <c r="G738" s="18"/>
      <c r="H738" s="18"/>
    </row>
    <row r="739" spans="1:8" s="20" customFormat="1" x14ac:dyDescent="0.2">
      <c r="A739" s="18"/>
      <c r="B739" s="18"/>
      <c r="C739" s="18"/>
      <c r="D739" s="18"/>
      <c r="E739" s="18"/>
      <c r="F739" s="18"/>
      <c r="G739" s="18"/>
      <c r="H739" s="18"/>
    </row>
    <row r="740" spans="1:8" s="20" customFormat="1" x14ac:dyDescent="0.2">
      <c r="A740" s="18"/>
      <c r="B740" s="18"/>
      <c r="C740" s="18"/>
      <c r="D740" s="18"/>
      <c r="E740" s="18"/>
      <c r="F740" s="18"/>
      <c r="G740" s="18"/>
      <c r="H740" s="18"/>
    </row>
    <row r="741" spans="1:8" s="20" customFormat="1" x14ac:dyDescent="0.2">
      <c r="A741" s="18"/>
      <c r="B741" s="18"/>
      <c r="C741" s="18"/>
      <c r="D741" s="18"/>
      <c r="E741" s="18"/>
      <c r="F741" s="18"/>
      <c r="G741" s="18"/>
      <c r="H741" s="18"/>
    </row>
    <row r="742" spans="1:8" s="20" customFormat="1" x14ac:dyDescent="0.2">
      <c r="A742" s="18"/>
      <c r="B742" s="18"/>
      <c r="C742" s="18"/>
      <c r="D742" s="18"/>
      <c r="E742" s="18"/>
      <c r="F742" s="18"/>
      <c r="G742" s="18"/>
      <c r="H742" s="18"/>
    </row>
    <row r="743" spans="1:8" s="20" customFormat="1" x14ac:dyDescent="0.2">
      <c r="A743" s="18"/>
      <c r="B743" s="18"/>
      <c r="C743" s="18"/>
      <c r="D743" s="18"/>
      <c r="E743" s="18"/>
      <c r="F743" s="18"/>
      <c r="G743" s="18"/>
      <c r="H743" s="18"/>
    </row>
    <row r="744" spans="1:8" s="20" customFormat="1" x14ac:dyDescent="0.2"/>
    <row r="745" spans="1:8" s="20" customFormat="1" x14ac:dyDescent="0.2"/>
    <row r="746" spans="1:8" s="20" customFormat="1" x14ac:dyDescent="0.2"/>
    <row r="747" spans="1:8" s="20" customFormat="1" x14ac:dyDescent="0.2"/>
    <row r="748" spans="1:8" s="20" customFormat="1" x14ac:dyDescent="0.2"/>
    <row r="749" spans="1:8" s="20" customFormat="1" x14ac:dyDescent="0.2"/>
    <row r="750" spans="1:8" s="20" customFormat="1" x14ac:dyDescent="0.2"/>
    <row r="751" spans="1:8" s="20" customFormat="1" x14ac:dyDescent="0.2"/>
    <row r="752" spans="1:8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="20" customFormat="1" x14ac:dyDescent="0.2"/>
    <row r="1858" s="20" customFormat="1" x14ac:dyDescent="0.2"/>
    <row r="1859" s="20" customFormat="1" x14ac:dyDescent="0.2"/>
    <row r="1860" s="20" customFormat="1" x14ac:dyDescent="0.2"/>
    <row r="1861" s="20" customFormat="1" x14ac:dyDescent="0.2"/>
    <row r="1862" s="20" customFormat="1" x14ac:dyDescent="0.2"/>
    <row r="1863" s="20" customFormat="1" x14ac:dyDescent="0.2"/>
    <row r="1864" s="20" customFormat="1" x14ac:dyDescent="0.2"/>
    <row r="1865" s="20" customFormat="1" x14ac:dyDescent="0.2"/>
    <row r="1866" s="20" customFormat="1" x14ac:dyDescent="0.2"/>
    <row r="1867" s="20" customFormat="1" x14ac:dyDescent="0.2"/>
    <row r="1868" s="20" customFormat="1" x14ac:dyDescent="0.2"/>
    <row r="1869" s="20" customFormat="1" x14ac:dyDescent="0.2"/>
    <row r="1870" s="20" customFormat="1" x14ac:dyDescent="0.2"/>
    <row r="1871" s="20" customFormat="1" x14ac:dyDescent="0.2"/>
    <row r="1872" s="20" customFormat="1" x14ac:dyDescent="0.2"/>
    <row r="1873" s="20" customFormat="1" x14ac:dyDescent="0.2"/>
    <row r="1874" s="20" customFormat="1" x14ac:dyDescent="0.2"/>
    <row r="1875" s="20" customFormat="1" x14ac:dyDescent="0.2"/>
    <row r="1876" s="20" customFormat="1" x14ac:dyDescent="0.2"/>
    <row r="1877" s="20" customFormat="1" x14ac:dyDescent="0.2"/>
    <row r="1878" s="20" customFormat="1" x14ac:dyDescent="0.2"/>
    <row r="1879" s="20" customFormat="1" x14ac:dyDescent="0.2"/>
    <row r="1880" s="20" customFormat="1" x14ac:dyDescent="0.2"/>
    <row r="1881" s="20" customFormat="1" x14ac:dyDescent="0.2"/>
    <row r="1882" s="20" customFormat="1" x14ac:dyDescent="0.2"/>
    <row r="1883" s="20" customFormat="1" x14ac:dyDescent="0.2"/>
    <row r="1884" s="20" customFormat="1" x14ac:dyDescent="0.2"/>
    <row r="1885" s="20" customFormat="1" x14ac:dyDescent="0.2"/>
    <row r="1886" s="20" customFormat="1" x14ac:dyDescent="0.2"/>
    <row r="1887" s="20" customFormat="1" x14ac:dyDescent="0.2"/>
    <row r="1888" s="20" customFormat="1" x14ac:dyDescent="0.2"/>
    <row r="1889" s="20" customFormat="1" x14ac:dyDescent="0.2"/>
    <row r="1890" s="20" customFormat="1" x14ac:dyDescent="0.2"/>
    <row r="1891" s="20" customFormat="1" x14ac:dyDescent="0.2"/>
    <row r="1892" s="20" customFormat="1" x14ac:dyDescent="0.2"/>
    <row r="1893" s="20" customFormat="1" x14ac:dyDescent="0.2"/>
    <row r="1894" s="20" customFormat="1" x14ac:dyDescent="0.2"/>
    <row r="1895" s="20" customFormat="1" x14ac:dyDescent="0.2"/>
    <row r="1896" s="20" customFormat="1" x14ac:dyDescent="0.2"/>
    <row r="1897" s="20" customFormat="1" x14ac:dyDescent="0.2"/>
    <row r="1898" s="20" customFormat="1" x14ac:dyDescent="0.2"/>
    <row r="1899" s="20" customFormat="1" x14ac:dyDescent="0.2"/>
    <row r="1900" s="20" customFormat="1" x14ac:dyDescent="0.2"/>
    <row r="1901" s="20" customFormat="1" x14ac:dyDescent="0.2"/>
    <row r="1902" s="20" customFormat="1" x14ac:dyDescent="0.2"/>
    <row r="1903" s="20" customFormat="1" x14ac:dyDescent="0.2"/>
    <row r="1904" s="20" customFormat="1" x14ac:dyDescent="0.2"/>
    <row r="1905" s="20" customFormat="1" x14ac:dyDescent="0.2"/>
    <row r="1906" s="20" customFormat="1" x14ac:dyDescent="0.2"/>
    <row r="1907" s="20" customFormat="1" x14ac:dyDescent="0.2"/>
    <row r="1908" s="20" customFormat="1" x14ac:dyDescent="0.2"/>
    <row r="1909" s="20" customFormat="1" x14ac:dyDescent="0.2"/>
    <row r="1910" s="20" customFormat="1" x14ac:dyDescent="0.2"/>
    <row r="1911" s="20" customFormat="1" x14ac:dyDescent="0.2"/>
    <row r="1912" s="20" customFormat="1" x14ac:dyDescent="0.2"/>
    <row r="1913" s="20" customFormat="1" x14ac:dyDescent="0.2"/>
    <row r="1914" s="20" customFormat="1" x14ac:dyDescent="0.2"/>
    <row r="1915" s="20" customFormat="1" x14ac:dyDescent="0.2"/>
    <row r="1916" s="20" customFormat="1" x14ac:dyDescent="0.2"/>
    <row r="1917" s="20" customFormat="1" x14ac:dyDescent="0.2"/>
    <row r="1918" s="20" customFormat="1" x14ac:dyDescent="0.2"/>
    <row r="1919" s="20" customFormat="1" x14ac:dyDescent="0.2"/>
    <row r="1920" s="20" customFormat="1" x14ac:dyDescent="0.2"/>
    <row r="1921" s="20" customFormat="1" x14ac:dyDescent="0.2"/>
    <row r="1922" s="20" customFormat="1" x14ac:dyDescent="0.2"/>
    <row r="1923" s="20" customFormat="1" x14ac:dyDescent="0.2"/>
    <row r="1924" s="20" customFormat="1" x14ac:dyDescent="0.2"/>
    <row r="1925" s="20" customFormat="1" x14ac:dyDescent="0.2"/>
    <row r="1926" s="20" customFormat="1" x14ac:dyDescent="0.2"/>
    <row r="1927" s="20" customFormat="1" x14ac:dyDescent="0.2"/>
    <row r="1928" s="20" customFormat="1" x14ac:dyDescent="0.2"/>
    <row r="1929" s="20" customFormat="1" x14ac:dyDescent="0.2"/>
    <row r="1930" s="20" customFormat="1" x14ac:dyDescent="0.2"/>
    <row r="1931" s="20" customFormat="1" x14ac:dyDescent="0.2"/>
    <row r="1932" s="20" customFormat="1" x14ac:dyDescent="0.2"/>
    <row r="1933" s="20" customFormat="1" x14ac:dyDescent="0.2"/>
    <row r="1934" s="20" customFormat="1" x14ac:dyDescent="0.2"/>
    <row r="1935" s="20" customFormat="1" x14ac:dyDescent="0.2"/>
    <row r="1936" s="20" customFormat="1" x14ac:dyDescent="0.2"/>
    <row r="1937" s="20" customFormat="1" x14ac:dyDescent="0.2"/>
    <row r="1938" s="20" customFormat="1" x14ac:dyDescent="0.2"/>
    <row r="1939" s="20" customFormat="1" x14ac:dyDescent="0.2"/>
    <row r="1940" s="20" customFormat="1" x14ac:dyDescent="0.2"/>
    <row r="1941" s="20" customFormat="1" x14ac:dyDescent="0.2"/>
    <row r="1942" s="20" customFormat="1" x14ac:dyDescent="0.2"/>
    <row r="1943" s="20" customFormat="1" x14ac:dyDescent="0.2"/>
    <row r="1944" s="20" customFormat="1" x14ac:dyDescent="0.2"/>
    <row r="1945" s="20" customFormat="1" x14ac:dyDescent="0.2"/>
    <row r="1946" s="20" customFormat="1" x14ac:dyDescent="0.2"/>
    <row r="1947" s="20" customFormat="1" x14ac:dyDescent="0.2"/>
    <row r="1948" s="20" customFormat="1" x14ac:dyDescent="0.2"/>
    <row r="1949" s="20" customFormat="1" x14ac:dyDescent="0.2"/>
    <row r="1950" s="20" customFormat="1" x14ac:dyDescent="0.2"/>
    <row r="1951" s="20" customFormat="1" x14ac:dyDescent="0.2"/>
    <row r="1952" s="20" customFormat="1" x14ac:dyDescent="0.2"/>
    <row r="1953" s="20" customFormat="1" x14ac:dyDescent="0.2"/>
    <row r="1954" s="20" customFormat="1" x14ac:dyDescent="0.2"/>
    <row r="1955" s="20" customFormat="1" x14ac:dyDescent="0.2"/>
    <row r="1956" s="20" customFormat="1" x14ac:dyDescent="0.2"/>
    <row r="1957" s="20" customFormat="1" x14ac:dyDescent="0.2"/>
    <row r="1958" s="20" customFormat="1" x14ac:dyDescent="0.2"/>
    <row r="1959" s="20" customFormat="1" x14ac:dyDescent="0.2"/>
    <row r="1960" s="20" customFormat="1" x14ac:dyDescent="0.2"/>
    <row r="1961" s="20" customFormat="1" x14ac:dyDescent="0.2"/>
    <row r="1962" s="20" customFormat="1" x14ac:dyDescent="0.2"/>
    <row r="1963" s="20" customFormat="1" x14ac:dyDescent="0.2"/>
    <row r="1964" s="20" customFormat="1" x14ac:dyDescent="0.2"/>
    <row r="1965" s="20" customFormat="1" x14ac:dyDescent="0.2"/>
    <row r="1966" s="20" customFormat="1" x14ac:dyDescent="0.2"/>
    <row r="1967" s="20" customFormat="1" x14ac:dyDescent="0.2"/>
    <row r="1968" s="20" customFormat="1" x14ac:dyDescent="0.2"/>
    <row r="1969" s="20" customFormat="1" x14ac:dyDescent="0.2"/>
    <row r="1970" s="20" customFormat="1" x14ac:dyDescent="0.2"/>
    <row r="1971" s="20" customFormat="1" x14ac:dyDescent="0.2"/>
    <row r="1972" s="20" customFormat="1" x14ac:dyDescent="0.2"/>
    <row r="1973" s="20" customFormat="1" x14ac:dyDescent="0.2"/>
    <row r="1974" s="20" customFormat="1" x14ac:dyDescent="0.2"/>
    <row r="1975" s="20" customFormat="1" x14ac:dyDescent="0.2"/>
    <row r="1976" s="20" customFormat="1" x14ac:dyDescent="0.2"/>
    <row r="1977" s="20" customFormat="1" x14ac:dyDescent="0.2"/>
    <row r="1978" s="20" customFormat="1" x14ac:dyDescent="0.2"/>
    <row r="1979" s="20" customFormat="1" x14ac:dyDescent="0.2"/>
    <row r="1980" s="20" customFormat="1" x14ac:dyDescent="0.2"/>
    <row r="1981" s="20" customFormat="1" x14ac:dyDescent="0.2"/>
    <row r="1982" s="20" customFormat="1" x14ac:dyDescent="0.2"/>
    <row r="1983" s="20" customFormat="1" x14ac:dyDescent="0.2"/>
    <row r="1984" s="20" customFormat="1" x14ac:dyDescent="0.2"/>
    <row r="1985" s="20" customFormat="1" x14ac:dyDescent="0.2"/>
    <row r="1986" s="20" customFormat="1" x14ac:dyDescent="0.2"/>
    <row r="1987" s="20" customFormat="1" x14ac:dyDescent="0.2"/>
    <row r="1988" s="20" customFormat="1" x14ac:dyDescent="0.2"/>
    <row r="1989" s="20" customFormat="1" x14ac:dyDescent="0.2"/>
    <row r="1990" s="20" customFormat="1" x14ac:dyDescent="0.2"/>
    <row r="1991" s="20" customFormat="1" x14ac:dyDescent="0.2"/>
    <row r="1992" s="20" customFormat="1" x14ac:dyDescent="0.2"/>
    <row r="1993" s="20" customFormat="1" x14ac:dyDescent="0.2"/>
    <row r="1994" s="20" customFormat="1" x14ac:dyDescent="0.2"/>
    <row r="1995" s="20" customFormat="1" x14ac:dyDescent="0.2"/>
    <row r="1996" s="20" customFormat="1" x14ac:dyDescent="0.2"/>
    <row r="1997" s="20" customFormat="1" x14ac:dyDescent="0.2"/>
    <row r="1998" s="20" customFormat="1" x14ac:dyDescent="0.2"/>
    <row r="1999" s="20" customFormat="1" x14ac:dyDescent="0.2"/>
    <row r="2000" s="20" customFormat="1" x14ac:dyDescent="0.2"/>
    <row r="2001" s="20" customFormat="1" x14ac:dyDescent="0.2"/>
    <row r="2002" s="20" customFormat="1" x14ac:dyDescent="0.2"/>
    <row r="2003" s="20" customFormat="1" x14ac:dyDescent="0.2"/>
    <row r="2004" s="20" customFormat="1" x14ac:dyDescent="0.2"/>
    <row r="2005" s="20" customFormat="1" x14ac:dyDescent="0.2"/>
    <row r="2006" s="20" customFormat="1" x14ac:dyDescent="0.2"/>
    <row r="2007" s="20" customFormat="1" x14ac:dyDescent="0.2"/>
    <row r="2008" s="20" customFormat="1" x14ac:dyDescent="0.2"/>
    <row r="2009" s="20" customFormat="1" x14ac:dyDescent="0.2"/>
    <row r="2010" s="20" customFormat="1" x14ac:dyDescent="0.2"/>
    <row r="2011" s="20" customFormat="1" x14ac:dyDescent="0.2"/>
    <row r="2012" s="20" customFormat="1" x14ac:dyDescent="0.2"/>
    <row r="2013" s="20" customFormat="1" x14ac:dyDescent="0.2"/>
    <row r="2014" s="20" customFormat="1" x14ac:dyDescent="0.2"/>
    <row r="2015" s="20" customFormat="1" x14ac:dyDescent="0.2"/>
    <row r="2016" s="20" customFormat="1" x14ac:dyDescent="0.2"/>
    <row r="2017" s="20" customFormat="1" x14ac:dyDescent="0.2"/>
    <row r="2018" s="20" customFormat="1" x14ac:dyDescent="0.2"/>
    <row r="2019" s="20" customFormat="1" x14ac:dyDescent="0.2"/>
    <row r="2020" s="20" customFormat="1" x14ac:dyDescent="0.2"/>
    <row r="2021" s="20" customFormat="1" x14ac:dyDescent="0.2"/>
    <row r="2022" s="20" customFormat="1" x14ac:dyDescent="0.2"/>
    <row r="2023" s="20" customFormat="1" x14ac:dyDescent="0.2"/>
    <row r="2024" s="20" customFormat="1" x14ac:dyDescent="0.2"/>
    <row r="2025" s="20" customFormat="1" x14ac:dyDescent="0.2"/>
    <row r="2026" s="20" customFormat="1" x14ac:dyDescent="0.2"/>
    <row r="2027" s="20" customFormat="1" x14ac:dyDescent="0.2"/>
    <row r="2028" s="20" customFormat="1" x14ac:dyDescent="0.2"/>
    <row r="2029" s="20" customFormat="1" x14ac:dyDescent="0.2"/>
    <row r="2030" s="20" customFormat="1" x14ac:dyDescent="0.2"/>
    <row r="2031" s="20" customFormat="1" x14ac:dyDescent="0.2"/>
    <row r="2032" s="20" customFormat="1" x14ac:dyDescent="0.2"/>
    <row r="2033" s="20" customFormat="1" x14ac:dyDescent="0.2"/>
    <row r="2034" s="20" customFormat="1" x14ac:dyDescent="0.2"/>
    <row r="2035" s="20" customFormat="1" x14ac:dyDescent="0.2"/>
    <row r="2036" s="20" customFormat="1" x14ac:dyDescent="0.2"/>
    <row r="2037" s="20" customFormat="1" x14ac:dyDescent="0.2"/>
    <row r="2038" s="20" customFormat="1" x14ac:dyDescent="0.2"/>
    <row r="2039" s="20" customFormat="1" x14ac:dyDescent="0.2"/>
    <row r="2040" s="20" customFormat="1" x14ac:dyDescent="0.2"/>
    <row r="2041" s="20" customFormat="1" x14ac:dyDescent="0.2"/>
    <row r="2042" s="20" customFormat="1" x14ac:dyDescent="0.2"/>
    <row r="2043" s="20" customFormat="1" x14ac:dyDescent="0.2"/>
    <row r="2044" s="20" customFormat="1" x14ac:dyDescent="0.2"/>
    <row r="2045" s="20" customFormat="1" x14ac:dyDescent="0.2"/>
    <row r="2046" s="20" customFormat="1" x14ac:dyDescent="0.2"/>
    <row r="2047" s="20" customFormat="1" x14ac:dyDescent="0.2"/>
    <row r="2048" s="20" customFormat="1" x14ac:dyDescent="0.2"/>
    <row r="2049" s="20" customFormat="1" x14ac:dyDescent="0.2"/>
    <row r="2050" s="20" customFormat="1" x14ac:dyDescent="0.2"/>
    <row r="2051" s="20" customFormat="1" x14ac:dyDescent="0.2"/>
    <row r="2052" s="20" customFormat="1" x14ac:dyDescent="0.2"/>
    <row r="2053" s="20" customFormat="1" x14ac:dyDescent="0.2"/>
    <row r="2054" s="20" customFormat="1" x14ac:dyDescent="0.2"/>
    <row r="2055" s="20" customFormat="1" x14ac:dyDescent="0.2"/>
    <row r="2056" s="20" customFormat="1" x14ac:dyDescent="0.2"/>
    <row r="2057" s="20" customFormat="1" x14ac:dyDescent="0.2"/>
    <row r="2058" s="20" customFormat="1" x14ac:dyDescent="0.2"/>
    <row r="2059" s="20" customFormat="1" x14ac:dyDescent="0.2"/>
    <row r="2060" s="20" customFormat="1" x14ac:dyDescent="0.2"/>
    <row r="2061" s="20" customFormat="1" x14ac:dyDescent="0.2"/>
    <row r="2062" s="20" customFormat="1" x14ac:dyDescent="0.2"/>
    <row r="2063" s="20" customFormat="1" x14ac:dyDescent="0.2"/>
    <row r="2064" s="20" customFormat="1" x14ac:dyDescent="0.2"/>
    <row r="2065" s="20" customFormat="1" x14ac:dyDescent="0.2"/>
    <row r="2066" s="20" customFormat="1" x14ac:dyDescent="0.2"/>
    <row r="2067" s="20" customFormat="1" x14ac:dyDescent="0.2"/>
    <row r="2068" s="20" customFormat="1" x14ac:dyDescent="0.2"/>
    <row r="2069" s="20" customFormat="1" x14ac:dyDescent="0.2"/>
    <row r="2070" s="20" customFormat="1" x14ac:dyDescent="0.2"/>
    <row r="2071" s="20" customFormat="1" x14ac:dyDescent="0.2"/>
    <row r="2072" s="20" customFormat="1" x14ac:dyDescent="0.2"/>
    <row r="2073" s="20" customFormat="1" x14ac:dyDescent="0.2"/>
    <row r="2074" s="20" customFormat="1" x14ac:dyDescent="0.2"/>
    <row r="2075" s="20" customFormat="1" x14ac:dyDescent="0.2"/>
    <row r="2076" s="20" customFormat="1" x14ac:dyDescent="0.2"/>
    <row r="2077" s="20" customFormat="1" x14ac:dyDescent="0.2"/>
    <row r="2078" s="20" customFormat="1" x14ac:dyDescent="0.2"/>
    <row r="2079" s="20" customFormat="1" x14ac:dyDescent="0.2"/>
    <row r="2080" s="20" customFormat="1" x14ac:dyDescent="0.2"/>
    <row r="2081" s="20" customFormat="1" x14ac:dyDescent="0.2"/>
    <row r="2082" s="20" customFormat="1" x14ac:dyDescent="0.2"/>
    <row r="2083" s="20" customFormat="1" x14ac:dyDescent="0.2"/>
    <row r="2084" s="20" customFormat="1" x14ac:dyDescent="0.2"/>
    <row r="2085" s="20" customFormat="1" x14ac:dyDescent="0.2"/>
    <row r="2086" s="20" customFormat="1" x14ac:dyDescent="0.2"/>
    <row r="2087" s="20" customFormat="1" x14ac:dyDescent="0.2"/>
    <row r="2088" s="20" customFormat="1" x14ac:dyDescent="0.2"/>
    <row r="2089" s="20" customFormat="1" x14ac:dyDescent="0.2"/>
    <row r="2090" s="20" customFormat="1" x14ac:dyDescent="0.2"/>
    <row r="2091" s="20" customFormat="1" x14ac:dyDescent="0.2"/>
    <row r="2092" s="20" customFormat="1" x14ac:dyDescent="0.2"/>
    <row r="2093" s="20" customFormat="1" x14ac:dyDescent="0.2"/>
    <row r="2094" s="20" customFormat="1" x14ac:dyDescent="0.2"/>
    <row r="2095" s="20" customFormat="1" x14ac:dyDescent="0.2"/>
    <row r="2096" s="20" customFormat="1" x14ac:dyDescent="0.2"/>
    <row r="2097" s="20" customFormat="1" x14ac:dyDescent="0.2"/>
    <row r="2098" s="20" customFormat="1" x14ac:dyDescent="0.2"/>
    <row r="2099" s="20" customFormat="1" x14ac:dyDescent="0.2"/>
    <row r="2100" s="20" customFormat="1" x14ac:dyDescent="0.2"/>
    <row r="2101" s="20" customFormat="1" x14ac:dyDescent="0.2"/>
    <row r="2102" s="20" customFormat="1" x14ac:dyDescent="0.2"/>
    <row r="2103" s="20" customFormat="1" x14ac:dyDescent="0.2"/>
    <row r="2104" s="20" customFormat="1" x14ac:dyDescent="0.2"/>
    <row r="2105" s="20" customFormat="1" x14ac:dyDescent="0.2"/>
    <row r="2106" s="20" customFormat="1" x14ac:dyDescent="0.2"/>
    <row r="2107" s="20" customFormat="1" x14ac:dyDescent="0.2"/>
    <row r="2108" s="20" customFormat="1" x14ac:dyDescent="0.2"/>
    <row r="2109" s="20" customFormat="1" x14ac:dyDescent="0.2"/>
    <row r="2110" s="20" customFormat="1" x14ac:dyDescent="0.2"/>
    <row r="2111" s="20" customFormat="1" x14ac:dyDescent="0.2"/>
    <row r="2112" s="20" customFormat="1" x14ac:dyDescent="0.2"/>
    <row r="2113" s="20" customFormat="1" x14ac:dyDescent="0.2"/>
    <row r="2114" s="20" customFormat="1" x14ac:dyDescent="0.2"/>
    <row r="2115" s="20" customFormat="1" x14ac:dyDescent="0.2"/>
    <row r="2116" s="20" customFormat="1" x14ac:dyDescent="0.2"/>
    <row r="2117" s="20" customFormat="1" x14ac:dyDescent="0.2"/>
    <row r="2118" s="20" customFormat="1" x14ac:dyDescent="0.2"/>
    <row r="2119" s="20" customFormat="1" x14ac:dyDescent="0.2"/>
    <row r="2120" s="20" customFormat="1" x14ac:dyDescent="0.2"/>
    <row r="2121" s="20" customFormat="1" x14ac:dyDescent="0.2"/>
    <row r="2122" s="20" customFormat="1" x14ac:dyDescent="0.2"/>
    <row r="2123" s="20" customFormat="1" x14ac:dyDescent="0.2"/>
    <row r="2124" s="20" customFormat="1" x14ac:dyDescent="0.2"/>
    <row r="2125" s="20" customFormat="1" x14ac:dyDescent="0.2"/>
    <row r="2126" s="20" customFormat="1" x14ac:dyDescent="0.2"/>
    <row r="2127" s="20" customFormat="1" x14ac:dyDescent="0.2"/>
    <row r="2128" s="20" customFormat="1" x14ac:dyDescent="0.2"/>
    <row r="2129" s="20" customFormat="1" x14ac:dyDescent="0.2"/>
    <row r="2130" s="20" customFormat="1" x14ac:dyDescent="0.2"/>
    <row r="2131" s="20" customFormat="1" x14ac:dyDescent="0.2"/>
    <row r="2132" s="20" customFormat="1" x14ac:dyDescent="0.2"/>
    <row r="2133" s="20" customFormat="1" x14ac:dyDescent="0.2"/>
    <row r="2134" s="20" customFormat="1" x14ac:dyDescent="0.2"/>
    <row r="2135" s="20" customFormat="1" x14ac:dyDescent="0.2"/>
    <row r="2136" s="20" customFormat="1" x14ac:dyDescent="0.2"/>
    <row r="2137" s="20" customFormat="1" x14ac:dyDescent="0.2"/>
    <row r="2138" s="20" customFormat="1" x14ac:dyDescent="0.2"/>
    <row r="2139" s="20" customFormat="1" x14ac:dyDescent="0.2"/>
    <row r="2140" s="20" customFormat="1" x14ac:dyDescent="0.2"/>
    <row r="2141" s="20" customFormat="1" x14ac:dyDescent="0.2"/>
    <row r="2142" s="20" customFormat="1" x14ac:dyDescent="0.2"/>
    <row r="2143" s="20" customFormat="1" x14ac:dyDescent="0.2"/>
    <row r="2144" s="20" customFormat="1" x14ac:dyDescent="0.2"/>
    <row r="2145" s="20" customFormat="1" x14ac:dyDescent="0.2"/>
    <row r="2146" s="20" customFormat="1" x14ac:dyDescent="0.2"/>
    <row r="2147" s="20" customFormat="1" x14ac:dyDescent="0.2"/>
    <row r="2148" s="20" customFormat="1" x14ac:dyDescent="0.2"/>
    <row r="2149" s="20" customFormat="1" x14ac:dyDescent="0.2"/>
    <row r="2150" s="20" customFormat="1" x14ac:dyDescent="0.2"/>
    <row r="2151" s="20" customFormat="1" x14ac:dyDescent="0.2"/>
    <row r="2152" s="20" customFormat="1" x14ac:dyDescent="0.2"/>
    <row r="2153" s="20" customFormat="1" x14ac:dyDescent="0.2"/>
    <row r="2154" s="20" customFormat="1" x14ac:dyDescent="0.2"/>
    <row r="2155" s="20" customFormat="1" x14ac:dyDescent="0.2"/>
    <row r="2156" s="20" customFormat="1" x14ac:dyDescent="0.2"/>
    <row r="2157" s="20" customFormat="1" x14ac:dyDescent="0.2"/>
    <row r="2158" s="20" customFormat="1" x14ac:dyDescent="0.2"/>
    <row r="2159" s="20" customFormat="1" x14ac:dyDescent="0.2"/>
    <row r="2160" s="20" customFormat="1" x14ac:dyDescent="0.2"/>
    <row r="2161" s="20" customFormat="1" x14ac:dyDescent="0.2"/>
    <row r="2162" s="20" customFormat="1" x14ac:dyDescent="0.2"/>
    <row r="2163" s="20" customFormat="1" x14ac:dyDescent="0.2"/>
    <row r="2164" s="20" customFormat="1" x14ac:dyDescent="0.2"/>
    <row r="2165" s="20" customFormat="1" x14ac:dyDescent="0.2"/>
    <row r="2166" s="20" customFormat="1" x14ac:dyDescent="0.2"/>
    <row r="2167" s="20" customFormat="1" x14ac:dyDescent="0.2"/>
    <row r="2168" s="20" customFormat="1" x14ac:dyDescent="0.2"/>
    <row r="2169" s="20" customFormat="1" x14ac:dyDescent="0.2"/>
    <row r="2170" s="20" customFormat="1" x14ac:dyDescent="0.2"/>
    <row r="2171" s="20" customFormat="1" x14ac:dyDescent="0.2"/>
    <row r="2172" s="20" customFormat="1" x14ac:dyDescent="0.2"/>
    <row r="2173" s="20" customFormat="1" x14ac:dyDescent="0.2"/>
    <row r="2174" s="20" customFormat="1" x14ac:dyDescent="0.2"/>
    <row r="2175" s="20" customFormat="1" x14ac:dyDescent="0.2"/>
    <row r="2176" s="20" customFormat="1" x14ac:dyDescent="0.2"/>
    <row r="2177" s="20" customFormat="1" x14ac:dyDescent="0.2"/>
    <row r="2178" s="20" customFormat="1" x14ac:dyDescent="0.2"/>
    <row r="2179" s="20" customFormat="1" x14ac:dyDescent="0.2"/>
    <row r="2180" s="20" customFormat="1" x14ac:dyDescent="0.2"/>
    <row r="2181" s="20" customFormat="1" x14ac:dyDescent="0.2"/>
    <row r="2182" s="20" customFormat="1" x14ac:dyDescent="0.2"/>
    <row r="2183" s="20" customFormat="1" x14ac:dyDescent="0.2"/>
    <row r="2184" s="20" customFormat="1" x14ac:dyDescent="0.2"/>
    <row r="2185" s="20" customFormat="1" x14ac:dyDescent="0.2"/>
    <row r="2186" s="20" customFormat="1" x14ac:dyDescent="0.2"/>
    <row r="2187" s="20" customFormat="1" x14ac:dyDescent="0.2"/>
    <row r="2188" s="20" customFormat="1" x14ac:dyDescent="0.2"/>
    <row r="2189" s="20" customFormat="1" x14ac:dyDescent="0.2"/>
    <row r="2190" s="20" customFormat="1" x14ac:dyDescent="0.2"/>
    <row r="2191" s="20" customFormat="1" x14ac:dyDescent="0.2"/>
    <row r="2192" s="20" customFormat="1" x14ac:dyDescent="0.2"/>
    <row r="2193" s="20" customFormat="1" x14ac:dyDescent="0.2"/>
    <row r="2194" s="20" customFormat="1" x14ac:dyDescent="0.2"/>
    <row r="2195" s="20" customFormat="1" x14ac:dyDescent="0.2"/>
    <row r="2196" s="20" customFormat="1" x14ac:dyDescent="0.2"/>
    <row r="2197" s="20" customFormat="1" x14ac:dyDescent="0.2"/>
    <row r="2198" s="20" customFormat="1" x14ac:dyDescent="0.2"/>
    <row r="2199" s="20" customFormat="1" x14ac:dyDescent="0.2"/>
    <row r="2200" s="20" customFormat="1" x14ac:dyDescent="0.2"/>
    <row r="2201" s="20" customFormat="1" x14ac:dyDescent="0.2"/>
    <row r="2202" s="20" customFormat="1" x14ac:dyDescent="0.2"/>
    <row r="2203" s="20" customFormat="1" x14ac:dyDescent="0.2"/>
    <row r="2204" s="20" customFormat="1" x14ac:dyDescent="0.2"/>
    <row r="2205" s="20" customFormat="1" x14ac:dyDescent="0.2"/>
    <row r="2206" s="20" customFormat="1" x14ac:dyDescent="0.2"/>
    <row r="2207" s="20" customFormat="1" x14ac:dyDescent="0.2"/>
    <row r="2208" s="20" customFormat="1" x14ac:dyDescent="0.2"/>
    <row r="2209" s="20" customFormat="1" x14ac:dyDescent="0.2"/>
    <row r="2210" s="20" customFormat="1" x14ac:dyDescent="0.2"/>
    <row r="2211" s="20" customFormat="1" x14ac:dyDescent="0.2"/>
    <row r="2212" s="20" customFormat="1" x14ac:dyDescent="0.2"/>
    <row r="2213" s="20" customFormat="1" x14ac:dyDescent="0.2"/>
    <row r="2214" s="20" customFormat="1" x14ac:dyDescent="0.2"/>
    <row r="2215" s="20" customFormat="1" x14ac:dyDescent="0.2"/>
    <row r="2216" s="20" customFormat="1" x14ac:dyDescent="0.2"/>
    <row r="2217" s="20" customFormat="1" x14ac:dyDescent="0.2"/>
    <row r="2218" s="20" customFormat="1" x14ac:dyDescent="0.2"/>
    <row r="2219" s="20" customFormat="1" x14ac:dyDescent="0.2"/>
    <row r="2220" s="20" customFormat="1" x14ac:dyDescent="0.2"/>
    <row r="2221" s="20" customFormat="1" x14ac:dyDescent="0.2"/>
    <row r="2222" s="20" customFormat="1" x14ac:dyDescent="0.2"/>
    <row r="2223" s="20" customFormat="1" x14ac:dyDescent="0.2"/>
    <row r="2224" s="20" customFormat="1" x14ac:dyDescent="0.2"/>
    <row r="2225" s="20" customFormat="1" x14ac:dyDescent="0.2"/>
    <row r="2226" s="20" customFormat="1" x14ac:dyDescent="0.2"/>
    <row r="2227" s="20" customFormat="1" x14ac:dyDescent="0.2"/>
    <row r="2228" s="20" customFormat="1" x14ac:dyDescent="0.2"/>
    <row r="2229" s="20" customFormat="1" x14ac:dyDescent="0.2"/>
    <row r="2230" s="20" customFormat="1" x14ac:dyDescent="0.2"/>
    <row r="2231" s="20" customFormat="1" x14ac:dyDescent="0.2"/>
    <row r="2232" s="20" customFormat="1" x14ac:dyDescent="0.2"/>
    <row r="2233" s="20" customFormat="1" x14ac:dyDescent="0.2"/>
    <row r="2234" s="20" customFormat="1" x14ac:dyDescent="0.2"/>
    <row r="2235" s="20" customFormat="1" x14ac:dyDescent="0.2"/>
    <row r="2236" s="20" customFormat="1" x14ac:dyDescent="0.2"/>
    <row r="2237" s="20" customFormat="1" x14ac:dyDescent="0.2"/>
    <row r="2238" s="20" customFormat="1" x14ac:dyDescent="0.2"/>
    <row r="2239" s="20" customFormat="1" x14ac:dyDescent="0.2"/>
    <row r="2240" s="20" customFormat="1" x14ac:dyDescent="0.2"/>
    <row r="2241" s="20" customFormat="1" x14ac:dyDescent="0.2"/>
    <row r="2242" s="20" customFormat="1" x14ac:dyDescent="0.2"/>
    <row r="2243" s="20" customFormat="1" x14ac:dyDescent="0.2"/>
    <row r="2244" s="20" customFormat="1" x14ac:dyDescent="0.2"/>
    <row r="2245" s="20" customFormat="1" x14ac:dyDescent="0.2"/>
    <row r="2246" s="20" customFormat="1" x14ac:dyDescent="0.2"/>
    <row r="2247" s="20" customFormat="1" x14ac:dyDescent="0.2"/>
    <row r="2248" s="20" customFormat="1" x14ac:dyDescent="0.2"/>
    <row r="2249" s="20" customFormat="1" x14ac:dyDescent="0.2"/>
    <row r="2250" s="20" customFormat="1" x14ac:dyDescent="0.2"/>
    <row r="2251" s="20" customFormat="1" x14ac:dyDescent="0.2"/>
    <row r="2252" s="20" customFormat="1" x14ac:dyDescent="0.2"/>
    <row r="2253" s="20" customFormat="1" x14ac:dyDescent="0.2"/>
    <row r="2254" s="20" customFormat="1" x14ac:dyDescent="0.2"/>
    <row r="2255" s="20" customFormat="1" x14ac:dyDescent="0.2"/>
    <row r="2256" s="20" customFormat="1" x14ac:dyDescent="0.2"/>
    <row r="2257" s="20" customFormat="1" x14ac:dyDescent="0.2"/>
    <row r="2258" s="20" customFormat="1" x14ac:dyDescent="0.2"/>
    <row r="2259" s="20" customFormat="1" x14ac:dyDescent="0.2"/>
    <row r="2260" s="20" customFormat="1" x14ac:dyDescent="0.2"/>
    <row r="2261" s="20" customFormat="1" x14ac:dyDescent="0.2"/>
    <row r="2262" s="20" customFormat="1" x14ac:dyDescent="0.2"/>
    <row r="2263" s="20" customFormat="1" x14ac:dyDescent="0.2"/>
    <row r="2264" s="20" customFormat="1" x14ac:dyDescent="0.2"/>
    <row r="2265" s="20" customFormat="1" x14ac:dyDescent="0.2"/>
    <row r="2266" s="20" customFormat="1" x14ac:dyDescent="0.2"/>
    <row r="2267" s="20" customFormat="1" x14ac:dyDescent="0.2"/>
    <row r="2268" s="20" customFormat="1" x14ac:dyDescent="0.2"/>
    <row r="2269" s="20" customFormat="1" x14ac:dyDescent="0.2"/>
    <row r="2270" s="20" customFormat="1" x14ac:dyDescent="0.2"/>
    <row r="2271" s="20" customFormat="1" x14ac:dyDescent="0.2"/>
    <row r="2272" s="20" customFormat="1" x14ac:dyDescent="0.2"/>
    <row r="2273" s="20" customFormat="1" x14ac:dyDescent="0.2"/>
    <row r="2274" s="20" customFormat="1" x14ac:dyDescent="0.2"/>
    <row r="2275" s="20" customFormat="1" x14ac:dyDescent="0.2"/>
    <row r="2276" s="20" customFormat="1" x14ac:dyDescent="0.2"/>
    <row r="2277" s="20" customFormat="1" x14ac:dyDescent="0.2"/>
    <row r="2278" s="20" customFormat="1" x14ac:dyDescent="0.2"/>
    <row r="2279" s="20" customFormat="1" x14ac:dyDescent="0.2"/>
    <row r="2280" s="20" customFormat="1" x14ac:dyDescent="0.2"/>
    <row r="2281" s="20" customFormat="1" x14ac:dyDescent="0.2"/>
    <row r="2282" s="20" customFormat="1" x14ac:dyDescent="0.2"/>
    <row r="2283" s="20" customFormat="1" x14ac:dyDescent="0.2"/>
    <row r="2284" s="20" customFormat="1" x14ac:dyDescent="0.2"/>
    <row r="2285" s="20" customFormat="1" x14ac:dyDescent="0.2"/>
    <row r="2286" s="20" customFormat="1" x14ac:dyDescent="0.2"/>
    <row r="2287" s="20" customFormat="1" x14ac:dyDescent="0.2"/>
    <row r="2288" s="20" customFormat="1" x14ac:dyDescent="0.2"/>
    <row r="2289" s="20" customFormat="1" x14ac:dyDescent="0.2"/>
    <row r="2290" s="20" customFormat="1" x14ac:dyDescent="0.2"/>
    <row r="2291" s="20" customFormat="1" x14ac:dyDescent="0.2"/>
    <row r="2292" s="20" customFormat="1" x14ac:dyDescent="0.2"/>
    <row r="2293" s="20" customFormat="1" x14ac:dyDescent="0.2"/>
    <row r="2294" s="20" customFormat="1" x14ac:dyDescent="0.2"/>
    <row r="2295" s="20" customFormat="1" x14ac:dyDescent="0.2"/>
    <row r="2296" s="20" customFormat="1" x14ac:dyDescent="0.2"/>
    <row r="2297" s="20" customFormat="1" x14ac:dyDescent="0.2"/>
    <row r="2298" s="20" customFormat="1" x14ac:dyDescent="0.2"/>
    <row r="2299" s="20" customFormat="1" x14ac:dyDescent="0.2"/>
    <row r="2300" s="20" customFormat="1" x14ac:dyDescent="0.2"/>
    <row r="2301" s="20" customFormat="1" x14ac:dyDescent="0.2"/>
    <row r="2302" s="20" customFormat="1" x14ac:dyDescent="0.2"/>
    <row r="2303" s="20" customFormat="1" x14ac:dyDescent="0.2"/>
    <row r="2304" s="20" customFormat="1" x14ac:dyDescent="0.2"/>
    <row r="2305" s="20" customFormat="1" x14ac:dyDescent="0.2"/>
    <row r="2306" s="20" customFormat="1" x14ac:dyDescent="0.2"/>
    <row r="2307" s="20" customFormat="1" x14ac:dyDescent="0.2"/>
    <row r="2308" s="20" customFormat="1" x14ac:dyDescent="0.2"/>
    <row r="2309" s="20" customFormat="1" x14ac:dyDescent="0.2"/>
    <row r="2310" s="20" customFormat="1" x14ac:dyDescent="0.2"/>
    <row r="2311" s="20" customFormat="1" x14ac:dyDescent="0.2"/>
    <row r="2312" s="20" customFormat="1" x14ac:dyDescent="0.2"/>
    <row r="2313" s="20" customFormat="1" x14ac:dyDescent="0.2"/>
    <row r="2314" s="20" customFormat="1" x14ac:dyDescent="0.2"/>
    <row r="2315" s="20" customFormat="1" x14ac:dyDescent="0.2"/>
    <row r="2316" s="20" customFormat="1" x14ac:dyDescent="0.2"/>
    <row r="2317" s="20" customFormat="1" x14ac:dyDescent="0.2"/>
    <row r="2318" s="20" customFormat="1" x14ac:dyDescent="0.2"/>
    <row r="2319" s="20" customFormat="1" x14ac:dyDescent="0.2"/>
    <row r="2320" s="20" customFormat="1" x14ac:dyDescent="0.2"/>
    <row r="2321" s="20" customFormat="1" x14ac:dyDescent="0.2"/>
    <row r="2322" s="20" customFormat="1" x14ac:dyDescent="0.2"/>
    <row r="2323" s="20" customFormat="1" x14ac:dyDescent="0.2"/>
    <row r="2324" s="20" customFormat="1" x14ac:dyDescent="0.2"/>
    <row r="2325" s="20" customFormat="1" x14ac:dyDescent="0.2"/>
    <row r="2326" s="20" customFormat="1" x14ac:dyDescent="0.2"/>
    <row r="2327" s="20" customFormat="1" x14ac:dyDescent="0.2"/>
    <row r="2328" s="20" customFormat="1" x14ac:dyDescent="0.2"/>
    <row r="2329" s="20" customFormat="1" x14ac:dyDescent="0.2"/>
    <row r="2330" s="20" customFormat="1" x14ac:dyDescent="0.2"/>
    <row r="2331" s="20" customFormat="1" x14ac:dyDescent="0.2"/>
    <row r="2332" s="20" customFormat="1" x14ac:dyDescent="0.2"/>
    <row r="2333" s="20" customFormat="1" x14ac:dyDescent="0.2"/>
    <row r="2334" s="20" customFormat="1" x14ac:dyDescent="0.2"/>
    <row r="2335" s="20" customFormat="1" x14ac:dyDescent="0.2"/>
    <row r="2336" s="20" customFormat="1" x14ac:dyDescent="0.2"/>
    <row r="2337" s="20" customFormat="1" x14ac:dyDescent="0.2"/>
    <row r="2338" s="20" customFormat="1" x14ac:dyDescent="0.2"/>
    <row r="2339" s="20" customFormat="1" x14ac:dyDescent="0.2"/>
    <row r="2340" s="20" customFormat="1" x14ac:dyDescent="0.2"/>
    <row r="2341" s="20" customFormat="1" x14ac:dyDescent="0.2"/>
    <row r="2342" s="20" customFormat="1" x14ac:dyDescent="0.2"/>
    <row r="2343" s="20" customFormat="1" x14ac:dyDescent="0.2"/>
    <row r="2344" s="20" customFormat="1" x14ac:dyDescent="0.2"/>
    <row r="2345" s="20" customFormat="1" x14ac:dyDescent="0.2"/>
    <row r="2346" s="20" customFormat="1" x14ac:dyDescent="0.2"/>
    <row r="2347" s="20" customFormat="1" x14ac:dyDescent="0.2"/>
    <row r="2348" s="20" customFormat="1" x14ac:dyDescent="0.2"/>
    <row r="2349" s="20" customFormat="1" x14ac:dyDescent="0.2"/>
    <row r="2350" s="20" customFormat="1" x14ac:dyDescent="0.2"/>
    <row r="2351" s="20" customFormat="1" x14ac:dyDescent="0.2"/>
    <row r="2352" s="20" customFormat="1" x14ac:dyDescent="0.2"/>
    <row r="2353" s="20" customFormat="1" x14ac:dyDescent="0.2"/>
    <row r="2354" s="20" customFormat="1" x14ac:dyDescent="0.2"/>
    <row r="2355" s="20" customFormat="1" x14ac:dyDescent="0.2"/>
    <row r="2356" s="20" customFormat="1" x14ac:dyDescent="0.2"/>
    <row r="2357" s="20" customFormat="1" x14ac:dyDescent="0.2"/>
    <row r="2358" s="20" customFormat="1" x14ac:dyDescent="0.2"/>
    <row r="2359" s="20" customFormat="1" x14ac:dyDescent="0.2"/>
    <row r="2360" s="20" customFormat="1" x14ac:dyDescent="0.2"/>
    <row r="2361" s="20" customFormat="1" x14ac:dyDescent="0.2"/>
    <row r="2362" s="20" customFormat="1" x14ac:dyDescent="0.2"/>
    <row r="2363" s="20" customFormat="1" x14ac:dyDescent="0.2"/>
    <row r="2364" s="20" customFormat="1" x14ac:dyDescent="0.2"/>
    <row r="2365" s="20" customFormat="1" x14ac:dyDescent="0.2"/>
    <row r="2366" s="20" customFormat="1" x14ac:dyDescent="0.2"/>
    <row r="2367" s="20" customFormat="1" x14ac:dyDescent="0.2"/>
    <row r="2368" s="20" customFormat="1" x14ac:dyDescent="0.2"/>
    <row r="2369" s="20" customFormat="1" x14ac:dyDescent="0.2"/>
    <row r="2370" s="20" customFormat="1" x14ac:dyDescent="0.2"/>
    <row r="2371" s="20" customFormat="1" x14ac:dyDescent="0.2"/>
    <row r="2372" s="20" customFormat="1" x14ac:dyDescent="0.2"/>
    <row r="2373" s="20" customFormat="1" x14ac:dyDescent="0.2"/>
    <row r="2374" s="20" customFormat="1" x14ac:dyDescent="0.2"/>
    <row r="2375" s="20" customFormat="1" x14ac:dyDescent="0.2"/>
    <row r="2376" s="20" customFormat="1" x14ac:dyDescent="0.2"/>
    <row r="2377" s="20" customFormat="1" x14ac:dyDescent="0.2"/>
    <row r="2378" s="20" customFormat="1" x14ac:dyDescent="0.2"/>
    <row r="2379" s="20" customFormat="1" x14ac:dyDescent="0.2"/>
    <row r="2380" s="20" customFormat="1" x14ac:dyDescent="0.2"/>
    <row r="2381" s="20" customFormat="1" x14ac:dyDescent="0.2"/>
    <row r="2382" s="20" customFormat="1" x14ac:dyDescent="0.2"/>
    <row r="2383" s="20" customFormat="1" x14ac:dyDescent="0.2"/>
    <row r="2384" s="20" customFormat="1" x14ac:dyDescent="0.2"/>
    <row r="2385" s="20" customFormat="1" x14ac:dyDescent="0.2"/>
    <row r="2386" s="20" customFormat="1" x14ac:dyDescent="0.2"/>
    <row r="2387" s="20" customFormat="1" x14ac:dyDescent="0.2"/>
    <row r="2388" s="20" customFormat="1" x14ac:dyDescent="0.2"/>
    <row r="2389" s="20" customFormat="1" x14ac:dyDescent="0.2"/>
    <row r="2390" s="20" customFormat="1" x14ac:dyDescent="0.2"/>
    <row r="2391" s="20" customFormat="1" x14ac:dyDescent="0.2"/>
    <row r="2392" s="20" customFormat="1" x14ac:dyDescent="0.2"/>
    <row r="2393" s="20" customFormat="1" x14ac:dyDescent="0.2"/>
    <row r="2394" s="20" customFormat="1" x14ac:dyDescent="0.2"/>
    <row r="2395" s="20" customFormat="1" x14ac:dyDescent="0.2"/>
    <row r="2396" s="20" customFormat="1" x14ac:dyDescent="0.2"/>
    <row r="2397" s="20" customFormat="1" x14ac:dyDescent="0.2"/>
    <row r="2398" s="20" customFormat="1" x14ac:dyDescent="0.2"/>
    <row r="2399" s="20" customFormat="1" x14ac:dyDescent="0.2"/>
    <row r="2400" s="20" customFormat="1" x14ac:dyDescent="0.2"/>
    <row r="2401" s="20" customFormat="1" x14ac:dyDescent="0.2"/>
    <row r="2402" s="20" customFormat="1" x14ac:dyDescent="0.2"/>
    <row r="2403" s="20" customFormat="1" x14ac:dyDescent="0.2"/>
    <row r="2404" s="20" customFormat="1" x14ac:dyDescent="0.2"/>
    <row r="2405" s="20" customFormat="1" x14ac:dyDescent="0.2"/>
    <row r="2406" s="20" customFormat="1" x14ac:dyDescent="0.2"/>
    <row r="2407" s="20" customFormat="1" x14ac:dyDescent="0.2"/>
    <row r="2408" s="20" customFormat="1" x14ac:dyDescent="0.2"/>
    <row r="2409" s="20" customFormat="1" x14ac:dyDescent="0.2"/>
    <row r="2410" s="20" customFormat="1" x14ac:dyDescent="0.2"/>
    <row r="2411" s="20" customFormat="1" x14ac:dyDescent="0.2"/>
    <row r="2412" s="20" customFormat="1" x14ac:dyDescent="0.2"/>
    <row r="2413" s="20" customFormat="1" x14ac:dyDescent="0.2"/>
    <row r="2414" s="20" customFormat="1" x14ac:dyDescent="0.2"/>
    <row r="2415" s="20" customFormat="1" x14ac:dyDescent="0.2"/>
    <row r="2416" s="20" customFormat="1" x14ac:dyDescent="0.2"/>
    <row r="2417" s="20" customFormat="1" x14ac:dyDescent="0.2"/>
    <row r="2418" s="20" customFormat="1" x14ac:dyDescent="0.2"/>
    <row r="2419" s="20" customFormat="1" x14ac:dyDescent="0.2"/>
    <row r="2420" s="20" customFormat="1" x14ac:dyDescent="0.2"/>
    <row r="2421" s="20" customFormat="1" x14ac:dyDescent="0.2"/>
    <row r="2422" s="20" customFormat="1" x14ac:dyDescent="0.2"/>
    <row r="2423" s="20" customFormat="1" x14ac:dyDescent="0.2"/>
    <row r="2424" s="20" customFormat="1" x14ac:dyDescent="0.2"/>
    <row r="2425" s="20" customFormat="1" x14ac:dyDescent="0.2"/>
    <row r="2426" s="20" customFormat="1" x14ac:dyDescent="0.2"/>
    <row r="2427" s="20" customFormat="1" x14ac:dyDescent="0.2"/>
    <row r="2428" s="20" customFormat="1" x14ac:dyDescent="0.2"/>
    <row r="2429" s="20" customFormat="1" x14ac:dyDescent="0.2"/>
    <row r="2430" s="20" customFormat="1" x14ac:dyDescent="0.2"/>
    <row r="2431" s="20" customFormat="1" x14ac:dyDescent="0.2"/>
    <row r="2432" s="20" customFormat="1" x14ac:dyDescent="0.2"/>
    <row r="2433" s="20" customFormat="1" x14ac:dyDescent="0.2"/>
    <row r="2434" s="20" customFormat="1" x14ac:dyDescent="0.2"/>
    <row r="2435" s="20" customFormat="1" x14ac:dyDescent="0.2"/>
    <row r="2436" s="20" customFormat="1" x14ac:dyDescent="0.2"/>
    <row r="2437" s="20" customFormat="1" x14ac:dyDescent="0.2"/>
    <row r="2438" s="20" customFormat="1" x14ac:dyDescent="0.2"/>
    <row r="2439" s="20" customFormat="1" x14ac:dyDescent="0.2"/>
    <row r="2440" s="20" customFormat="1" x14ac:dyDescent="0.2"/>
    <row r="2441" s="20" customFormat="1" x14ac:dyDescent="0.2"/>
    <row r="2442" s="20" customFormat="1" x14ac:dyDescent="0.2"/>
    <row r="2443" s="20" customFormat="1" x14ac:dyDescent="0.2"/>
    <row r="2444" s="20" customFormat="1" x14ac:dyDescent="0.2"/>
    <row r="2445" s="20" customFormat="1" x14ac:dyDescent="0.2"/>
    <row r="2446" s="20" customFormat="1" x14ac:dyDescent="0.2"/>
    <row r="2447" s="20" customFormat="1" x14ac:dyDescent="0.2"/>
    <row r="2448" s="20" customFormat="1" x14ac:dyDescent="0.2"/>
    <row r="2449" s="20" customFormat="1" x14ac:dyDescent="0.2"/>
    <row r="2450" s="20" customFormat="1" x14ac:dyDescent="0.2"/>
    <row r="2451" s="20" customFormat="1" x14ac:dyDescent="0.2"/>
    <row r="2452" s="20" customFormat="1" x14ac:dyDescent="0.2"/>
    <row r="2453" s="20" customFormat="1" x14ac:dyDescent="0.2"/>
    <row r="2454" s="20" customFormat="1" x14ac:dyDescent="0.2"/>
    <row r="2455" s="20" customFormat="1" x14ac:dyDescent="0.2"/>
    <row r="2456" s="20" customFormat="1" x14ac:dyDescent="0.2"/>
    <row r="2457" s="20" customFormat="1" x14ac:dyDescent="0.2"/>
    <row r="2458" s="20" customFormat="1" x14ac:dyDescent="0.2"/>
    <row r="2459" s="20" customFormat="1" x14ac:dyDescent="0.2"/>
    <row r="2460" s="20" customFormat="1" x14ac:dyDescent="0.2"/>
    <row r="2461" s="20" customFormat="1" x14ac:dyDescent="0.2"/>
    <row r="2462" s="20" customFormat="1" x14ac:dyDescent="0.2"/>
    <row r="2463" s="20" customFormat="1" x14ac:dyDescent="0.2"/>
    <row r="2464" s="20" customFormat="1" x14ac:dyDescent="0.2"/>
    <row r="2465" s="20" customFormat="1" x14ac:dyDescent="0.2"/>
    <row r="2466" s="20" customFormat="1" x14ac:dyDescent="0.2"/>
    <row r="2467" s="20" customFormat="1" x14ac:dyDescent="0.2"/>
    <row r="2468" s="20" customFormat="1" x14ac:dyDescent="0.2"/>
    <row r="2469" s="20" customFormat="1" x14ac:dyDescent="0.2"/>
    <row r="2470" s="20" customFormat="1" x14ac:dyDescent="0.2"/>
    <row r="2471" s="20" customFormat="1" x14ac:dyDescent="0.2"/>
    <row r="2472" s="20" customFormat="1" x14ac:dyDescent="0.2"/>
    <row r="2473" s="20" customFormat="1" x14ac:dyDescent="0.2"/>
    <row r="2474" s="20" customFormat="1" x14ac:dyDescent="0.2"/>
    <row r="2475" s="20" customFormat="1" x14ac:dyDescent="0.2"/>
    <row r="2476" s="20" customFormat="1" x14ac:dyDescent="0.2"/>
    <row r="2477" s="20" customFormat="1" x14ac:dyDescent="0.2"/>
    <row r="2478" s="20" customFormat="1" x14ac:dyDescent="0.2"/>
    <row r="2479" s="20" customFormat="1" x14ac:dyDescent="0.2"/>
    <row r="2480" s="20" customFormat="1" x14ac:dyDescent="0.2"/>
    <row r="2481" s="20" customFormat="1" x14ac:dyDescent="0.2"/>
    <row r="2482" s="20" customFormat="1" x14ac:dyDescent="0.2"/>
    <row r="2483" s="20" customFormat="1" x14ac:dyDescent="0.2"/>
    <row r="2484" s="20" customFormat="1" x14ac:dyDescent="0.2"/>
    <row r="2485" s="20" customFormat="1" x14ac:dyDescent="0.2"/>
    <row r="2486" s="20" customFormat="1" x14ac:dyDescent="0.2"/>
    <row r="2487" s="20" customFormat="1" x14ac:dyDescent="0.2"/>
    <row r="2488" s="20" customFormat="1" x14ac:dyDescent="0.2"/>
    <row r="2489" s="20" customFormat="1" x14ac:dyDescent="0.2"/>
    <row r="2490" s="20" customFormat="1" x14ac:dyDescent="0.2"/>
    <row r="2491" s="20" customFormat="1" x14ac:dyDescent="0.2"/>
    <row r="2492" s="20" customFormat="1" x14ac:dyDescent="0.2"/>
    <row r="2493" s="20" customFormat="1" x14ac:dyDescent="0.2"/>
    <row r="2494" s="20" customFormat="1" x14ac:dyDescent="0.2"/>
    <row r="2495" s="20" customFormat="1" x14ac:dyDescent="0.2"/>
    <row r="2496" s="20" customFormat="1" x14ac:dyDescent="0.2"/>
    <row r="2497" s="20" customFormat="1" x14ac:dyDescent="0.2"/>
    <row r="2498" s="20" customFormat="1" x14ac:dyDescent="0.2"/>
    <row r="2499" s="20" customFormat="1" x14ac:dyDescent="0.2"/>
    <row r="2500" s="20" customFormat="1" x14ac:dyDescent="0.2"/>
    <row r="2501" s="20" customFormat="1" x14ac:dyDescent="0.2"/>
    <row r="2502" s="20" customFormat="1" x14ac:dyDescent="0.2"/>
    <row r="2503" s="20" customFormat="1" x14ac:dyDescent="0.2"/>
    <row r="2504" s="20" customFormat="1" x14ac:dyDescent="0.2"/>
    <row r="2505" s="20" customFormat="1" x14ac:dyDescent="0.2"/>
    <row r="2506" s="20" customFormat="1" x14ac:dyDescent="0.2"/>
    <row r="2507" s="20" customFormat="1" x14ac:dyDescent="0.2"/>
    <row r="2508" s="20" customFormat="1" x14ac:dyDescent="0.2"/>
    <row r="2509" s="20" customFormat="1" x14ac:dyDescent="0.2"/>
    <row r="2510" s="20" customFormat="1" x14ac:dyDescent="0.2"/>
    <row r="2511" s="20" customFormat="1" x14ac:dyDescent="0.2"/>
    <row r="2512" s="20" customFormat="1" x14ac:dyDescent="0.2"/>
    <row r="2513" s="20" customFormat="1" x14ac:dyDescent="0.2"/>
    <row r="2514" s="20" customFormat="1" x14ac:dyDescent="0.2"/>
    <row r="2515" s="20" customFormat="1" x14ac:dyDescent="0.2"/>
    <row r="2516" s="20" customFormat="1" x14ac:dyDescent="0.2"/>
    <row r="2517" s="20" customFormat="1" x14ac:dyDescent="0.2"/>
    <row r="2518" s="20" customFormat="1" x14ac:dyDescent="0.2"/>
    <row r="2519" s="20" customFormat="1" x14ac:dyDescent="0.2"/>
    <row r="2520" s="20" customFormat="1" x14ac:dyDescent="0.2"/>
    <row r="2521" s="20" customFormat="1" x14ac:dyDescent="0.2"/>
    <row r="2522" s="20" customFormat="1" x14ac:dyDescent="0.2"/>
    <row r="2523" s="20" customFormat="1" x14ac:dyDescent="0.2"/>
    <row r="2524" s="20" customFormat="1" x14ac:dyDescent="0.2"/>
    <row r="2525" s="20" customFormat="1" x14ac:dyDescent="0.2"/>
    <row r="2526" s="20" customFormat="1" x14ac:dyDescent="0.2"/>
    <row r="2527" s="20" customFormat="1" x14ac:dyDescent="0.2"/>
    <row r="2528" s="20" customFormat="1" x14ac:dyDescent="0.2"/>
    <row r="2529" s="20" customFormat="1" x14ac:dyDescent="0.2"/>
    <row r="2530" s="20" customFormat="1" x14ac:dyDescent="0.2"/>
    <row r="2531" s="20" customFormat="1" x14ac:dyDescent="0.2"/>
    <row r="2532" s="20" customFormat="1" x14ac:dyDescent="0.2"/>
    <row r="2533" s="20" customFormat="1" x14ac:dyDescent="0.2"/>
    <row r="2534" s="20" customFormat="1" x14ac:dyDescent="0.2"/>
    <row r="2535" s="20" customFormat="1" x14ac:dyDescent="0.2"/>
    <row r="2536" s="20" customFormat="1" x14ac:dyDescent="0.2"/>
    <row r="2537" s="20" customFormat="1" x14ac:dyDescent="0.2"/>
    <row r="2538" s="20" customFormat="1" x14ac:dyDescent="0.2"/>
    <row r="2539" s="20" customFormat="1" x14ac:dyDescent="0.2"/>
    <row r="2540" s="20" customFormat="1" x14ac:dyDescent="0.2"/>
    <row r="2541" s="20" customFormat="1" x14ac:dyDescent="0.2"/>
    <row r="2542" s="20" customFormat="1" x14ac:dyDescent="0.2"/>
    <row r="2543" s="20" customFormat="1" x14ac:dyDescent="0.2"/>
    <row r="2544" s="20" customFormat="1" x14ac:dyDescent="0.2"/>
    <row r="2545" s="20" customFormat="1" x14ac:dyDescent="0.2"/>
    <row r="2546" s="20" customFormat="1" x14ac:dyDescent="0.2"/>
    <row r="2547" s="20" customFormat="1" x14ac:dyDescent="0.2"/>
    <row r="2548" s="20" customFormat="1" x14ac:dyDescent="0.2"/>
    <row r="2549" s="20" customFormat="1" x14ac:dyDescent="0.2"/>
    <row r="2550" s="20" customFormat="1" x14ac:dyDescent="0.2"/>
    <row r="2551" s="20" customFormat="1" x14ac:dyDescent="0.2"/>
    <row r="2552" s="20" customFormat="1" x14ac:dyDescent="0.2"/>
    <row r="2553" s="20" customFormat="1" x14ac:dyDescent="0.2"/>
    <row r="2554" s="20" customFormat="1" x14ac:dyDescent="0.2"/>
    <row r="2555" s="20" customFormat="1" x14ac:dyDescent="0.2"/>
    <row r="2556" s="20" customFormat="1" x14ac:dyDescent="0.2"/>
    <row r="2557" s="20" customFormat="1" x14ac:dyDescent="0.2"/>
    <row r="2558" s="20" customFormat="1" x14ac:dyDescent="0.2"/>
    <row r="2559" s="20" customFormat="1" x14ac:dyDescent="0.2"/>
    <row r="2560" s="20" customFormat="1" x14ac:dyDescent="0.2"/>
    <row r="2561" s="20" customFormat="1" x14ac:dyDescent="0.2"/>
    <row r="2562" s="20" customFormat="1" x14ac:dyDescent="0.2"/>
    <row r="2563" s="20" customFormat="1" x14ac:dyDescent="0.2"/>
    <row r="2564" s="20" customFormat="1" x14ac:dyDescent="0.2"/>
    <row r="2565" s="20" customFormat="1" x14ac:dyDescent="0.2"/>
    <row r="2566" s="20" customFormat="1" x14ac:dyDescent="0.2"/>
    <row r="2567" s="20" customFormat="1" x14ac:dyDescent="0.2"/>
    <row r="2568" s="20" customFormat="1" x14ac:dyDescent="0.2"/>
    <row r="2569" s="20" customFormat="1" x14ac:dyDescent="0.2"/>
    <row r="2570" s="20" customFormat="1" x14ac:dyDescent="0.2"/>
    <row r="2571" s="20" customFormat="1" x14ac:dyDescent="0.2"/>
    <row r="2572" s="20" customFormat="1" x14ac:dyDescent="0.2"/>
    <row r="2573" s="20" customFormat="1" x14ac:dyDescent="0.2"/>
    <row r="2574" s="20" customFormat="1" x14ac:dyDescent="0.2"/>
    <row r="2575" s="20" customFormat="1" x14ac:dyDescent="0.2"/>
    <row r="2576" s="20" customFormat="1" x14ac:dyDescent="0.2"/>
    <row r="2577" s="20" customFormat="1" x14ac:dyDescent="0.2"/>
    <row r="2578" s="20" customFormat="1" x14ac:dyDescent="0.2"/>
    <row r="2579" s="20" customFormat="1" x14ac:dyDescent="0.2"/>
    <row r="2580" s="20" customFormat="1" x14ac:dyDescent="0.2"/>
    <row r="2581" s="20" customFormat="1" x14ac:dyDescent="0.2"/>
    <row r="2582" s="20" customFormat="1" x14ac:dyDescent="0.2"/>
    <row r="2583" s="20" customFormat="1" x14ac:dyDescent="0.2"/>
    <row r="2584" s="20" customFormat="1" x14ac:dyDescent="0.2"/>
    <row r="2585" s="20" customFormat="1" x14ac:dyDescent="0.2"/>
    <row r="2586" s="20" customFormat="1" x14ac:dyDescent="0.2"/>
    <row r="2587" s="20" customFormat="1" x14ac:dyDescent="0.2"/>
    <row r="2588" s="20" customFormat="1" x14ac:dyDescent="0.2"/>
    <row r="2589" s="20" customFormat="1" x14ac:dyDescent="0.2"/>
    <row r="2590" s="20" customFormat="1" x14ac:dyDescent="0.2"/>
    <row r="2591" s="20" customFormat="1" x14ac:dyDescent="0.2"/>
    <row r="2592" s="20" customFormat="1" x14ac:dyDescent="0.2"/>
    <row r="2593" s="20" customFormat="1" x14ac:dyDescent="0.2"/>
    <row r="2594" s="20" customFormat="1" x14ac:dyDescent="0.2"/>
    <row r="2595" s="20" customFormat="1" x14ac:dyDescent="0.2"/>
    <row r="2596" s="20" customFormat="1" x14ac:dyDescent="0.2"/>
    <row r="2597" s="20" customFormat="1" x14ac:dyDescent="0.2"/>
    <row r="2598" s="20" customFormat="1" x14ac:dyDescent="0.2"/>
    <row r="2599" s="20" customFormat="1" x14ac:dyDescent="0.2"/>
    <row r="2600" s="20" customFormat="1" x14ac:dyDescent="0.2"/>
    <row r="2601" s="20" customFormat="1" x14ac:dyDescent="0.2"/>
    <row r="2602" s="20" customFormat="1" x14ac:dyDescent="0.2"/>
    <row r="2603" s="20" customFormat="1" x14ac:dyDescent="0.2"/>
    <row r="2604" s="20" customFormat="1" x14ac:dyDescent="0.2"/>
    <row r="2605" s="20" customFormat="1" x14ac:dyDescent="0.2"/>
    <row r="2606" s="20" customFormat="1" x14ac:dyDescent="0.2"/>
    <row r="2607" s="20" customFormat="1" x14ac:dyDescent="0.2"/>
    <row r="2608" s="20" customFormat="1" x14ac:dyDescent="0.2"/>
    <row r="2609" s="20" customFormat="1" x14ac:dyDescent="0.2"/>
    <row r="2610" s="20" customFormat="1" x14ac:dyDescent="0.2"/>
    <row r="2611" s="20" customFormat="1" x14ac:dyDescent="0.2"/>
    <row r="2612" s="20" customFormat="1" x14ac:dyDescent="0.2"/>
    <row r="2613" s="20" customFormat="1" x14ac:dyDescent="0.2"/>
    <row r="2614" s="20" customFormat="1" x14ac:dyDescent="0.2"/>
    <row r="2615" s="20" customFormat="1" x14ac:dyDescent="0.2"/>
    <row r="2616" s="20" customFormat="1" x14ac:dyDescent="0.2"/>
    <row r="2617" s="20" customFormat="1" x14ac:dyDescent="0.2"/>
    <row r="2618" s="20" customFormat="1" x14ac:dyDescent="0.2"/>
    <row r="2619" s="20" customFormat="1" x14ac:dyDescent="0.2"/>
    <row r="2620" s="20" customFormat="1" x14ac:dyDescent="0.2"/>
    <row r="2621" s="20" customFormat="1" x14ac:dyDescent="0.2"/>
    <row r="2622" s="20" customFormat="1" x14ac:dyDescent="0.2"/>
    <row r="2623" s="20" customFormat="1" x14ac:dyDescent="0.2"/>
    <row r="2624" s="20" customFormat="1" x14ac:dyDescent="0.2"/>
    <row r="2625" s="20" customFormat="1" x14ac:dyDescent="0.2"/>
    <row r="2626" s="20" customFormat="1" x14ac:dyDescent="0.2"/>
    <row r="2627" s="20" customFormat="1" x14ac:dyDescent="0.2"/>
    <row r="2628" s="20" customFormat="1" x14ac:dyDescent="0.2"/>
    <row r="2629" s="20" customFormat="1" x14ac:dyDescent="0.2"/>
    <row r="2630" s="20" customFormat="1" x14ac:dyDescent="0.2"/>
    <row r="2631" s="20" customFormat="1" x14ac:dyDescent="0.2"/>
    <row r="2632" s="20" customFormat="1" x14ac:dyDescent="0.2"/>
    <row r="2633" s="20" customFormat="1" x14ac:dyDescent="0.2"/>
    <row r="2634" s="20" customFormat="1" x14ac:dyDescent="0.2"/>
    <row r="2635" s="20" customFormat="1" x14ac:dyDescent="0.2"/>
    <row r="2636" s="20" customFormat="1" x14ac:dyDescent="0.2"/>
    <row r="2637" s="20" customFormat="1" x14ac:dyDescent="0.2"/>
    <row r="2638" s="20" customFormat="1" x14ac:dyDescent="0.2"/>
    <row r="2639" s="20" customFormat="1" x14ac:dyDescent="0.2"/>
    <row r="2640" s="20" customFormat="1" x14ac:dyDescent="0.2"/>
    <row r="2641" s="20" customFormat="1" x14ac:dyDescent="0.2"/>
    <row r="2642" s="20" customFormat="1" x14ac:dyDescent="0.2"/>
    <row r="2643" s="20" customFormat="1" x14ac:dyDescent="0.2"/>
    <row r="2644" s="20" customFormat="1" x14ac:dyDescent="0.2"/>
    <row r="2645" s="20" customFormat="1" x14ac:dyDescent="0.2"/>
    <row r="2646" s="20" customFormat="1" x14ac:dyDescent="0.2"/>
    <row r="2647" s="20" customFormat="1" x14ac:dyDescent="0.2"/>
    <row r="2648" s="20" customFormat="1" x14ac:dyDescent="0.2"/>
    <row r="2649" s="20" customFormat="1" x14ac:dyDescent="0.2"/>
    <row r="2650" s="20" customFormat="1" x14ac:dyDescent="0.2"/>
    <row r="2651" s="20" customFormat="1" x14ac:dyDescent="0.2"/>
    <row r="2652" s="20" customFormat="1" x14ac:dyDescent="0.2"/>
    <row r="2653" s="20" customFormat="1" x14ac:dyDescent="0.2"/>
    <row r="2654" s="20" customFormat="1" x14ac:dyDescent="0.2"/>
    <row r="2655" s="20" customFormat="1" x14ac:dyDescent="0.2"/>
    <row r="2656" s="20" customFormat="1" x14ac:dyDescent="0.2"/>
    <row r="2657" s="20" customFormat="1" x14ac:dyDescent="0.2"/>
    <row r="2658" s="20" customFormat="1" x14ac:dyDescent="0.2"/>
    <row r="2659" s="20" customFormat="1" x14ac:dyDescent="0.2"/>
    <row r="2660" s="20" customFormat="1" x14ac:dyDescent="0.2"/>
    <row r="2661" s="20" customFormat="1" x14ac:dyDescent="0.2"/>
    <row r="2662" s="20" customFormat="1" x14ac:dyDescent="0.2"/>
    <row r="2663" s="20" customFormat="1" x14ac:dyDescent="0.2"/>
    <row r="2664" s="20" customFormat="1" x14ac:dyDescent="0.2"/>
    <row r="2665" s="20" customFormat="1" x14ac:dyDescent="0.2"/>
    <row r="2666" s="20" customFormat="1" x14ac:dyDescent="0.2"/>
    <row r="2667" s="20" customFormat="1" x14ac:dyDescent="0.2"/>
    <row r="2668" s="20" customFormat="1" x14ac:dyDescent="0.2"/>
    <row r="2669" s="20" customFormat="1" x14ac:dyDescent="0.2"/>
    <row r="2670" s="20" customFormat="1" x14ac:dyDescent="0.2"/>
    <row r="2671" s="20" customFormat="1" x14ac:dyDescent="0.2"/>
    <row r="2672" s="20" customFormat="1" x14ac:dyDescent="0.2"/>
    <row r="2673" s="20" customFormat="1" x14ac:dyDescent="0.2"/>
    <row r="2674" s="20" customFormat="1" x14ac:dyDescent="0.2"/>
    <row r="2675" s="20" customFormat="1" x14ac:dyDescent="0.2"/>
    <row r="2676" s="20" customFormat="1" x14ac:dyDescent="0.2"/>
    <row r="2677" s="20" customFormat="1" x14ac:dyDescent="0.2"/>
    <row r="2678" s="20" customFormat="1" x14ac:dyDescent="0.2"/>
    <row r="2679" s="20" customFormat="1" x14ac:dyDescent="0.2"/>
    <row r="2680" s="20" customFormat="1" x14ac:dyDescent="0.2"/>
    <row r="2681" s="20" customFormat="1" x14ac:dyDescent="0.2"/>
    <row r="2682" s="20" customFormat="1" x14ac:dyDescent="0.2"/>
    <row r="2683" s="20" customFormat="1" x14ac:dyDescent="0.2"/>
    <row r="2684" s="20" customFormat="1" x14ac:dyDescent="0.2"/>
    <row r="2685" s="20" customFormat="1" x14ac:dyDescent="0.2"/>
    <row r="2686" s="20" customFormat="1" x14ac:dyDescent="0.2"/>
    <row r="2687" s="20" customFormat="1" x14ac:dyDescent="0.2"/>
    <row r="2688" s="20" customFormat="1" x14ac:dyDescent="0.2"/>
    <row r="2689" s="20" customFormat="1" x14ac:dyDescent="0.2"/>
    <row r="2690" s="20" customFormat="1" x14ac:dyDescent="0.2"/>
    <row r="2691" s="20" customFormat="1" x14ac:dyDescent="0.2"/>
    <row r="2692" s="20" customFormat="1" x14ac:dyDescent="0.2"/>
    <row r="2693" s="20" customFormat="1" x14ac:dyDescent="0.2"/>
    <row r="2694" s="20" customFormat="1" x14ac:dyDescent="0.2"/>
    <row r="2695" s="20" customFormat="1" x14ac:dyDescent="0.2"/>
    <row r="2696" s="20" customFormat="1" x14ac:dyDescent="0.2"/>
    <row r="2697" s="20" customFormat="1" x14ac:dyDescent="0.2"/>
    <row r="2698" s="20" customFormat="1" x14ac:dyDescent="0.2"/>
    <row r="2699" s="20" customFormat="1" x14ac:dyDescent="0.2"/>
    <row r="2700" s="20" customFormat="1" x14ac:dyDescent="0.2"/>
    <row r="2701" s="20" customFormat="1" x14ac:dyDescent="0.2"/>
    <row r="2702" s="20" customFormat="1" x14ac:dyDescent="0.2"/>
    <row r="2703" s="20" customFormat="1" x14ac:dyDescent="0.2"/>
    <row r="2704" s="20" customFormat="1" x14ac:dyDescent="0.2"/>
    <row r="2705" s="20" customFormat="1" x14ac:dyDescent="0.2"/>
    <row r="2706" s="20" customFormat="1" x14ac:dyDescent="0.2"/>
    <row r="2707" s="20" customFormat="1" x14ac:dyDescent="0.2"/>
    <row r="2708" s="20" customFormat="1" x14ac:dyDescent="0.2"/>
    <row r="2709" s="20" customFormat="1" x14ac:dyDescent="0.2"/>
    <row r="2710" s="20" customFormat="1" x14ac:dyDescent="0.2"/>
    <row r="2711" s="20" customFormat="1" x14ac:dyDescent="0.2"/>
    <row r="2712" s="20" customFormat="1" x14ac:dyDescent="0.2"/>
    <row r="2713" s="20" customFormat="1" x14ac:dyDescent="0.2"/>
    <row r="2714" s="20" customFormat="1" x14ac:dyDescent="0.2"/>
    <row r="2715" s="20" customFormat="1" x14ac:dyDescent="0.2"/>
    <row r="2716" s="20" customFormat="1" x14ac:dyDescent="0.2"/>
    <row r="2717" s="20" customFormat="1" x14ac:dyDescent="0.2"/>
    <row r="2718" s="20" customFormat="1" x14ac:dyDescent="0.2"/>
    <row r="2719" s="20" customFormat="1" x14ac:dyDescent="0.2"/>
    <row r="2720" s="20" customFormat="1" x14ac:dyDescent="0.2"/>
    <row r="2721" s="20" customFormat="1" x14ac:dyDescent="0.2"/>
    <row r="2722" s="20" customFormat="1" x14ac:dyDescent="0.2"/>
    <row r="2723" s="20" customFormat="1" x14ac:dyDescent="0.2"/>
    <row r="2724" s="20" customFormat="1" x14ac:dyDescent="0.2"/>
    <row r="2725" s="20" customFormat="1" x14ac:dyDescent="0.2"/>
    <row r="2726" s="20" customFormat="1" x14ac:dyDescent="0.2"/>
    <row r="2727" s="20" customFormat="1" x14ac:dyDescent="0.2"/>
    <row r="2728" s="20" customFormat="1" x14ac:dyDescent="0.2"/>
    <row r="2729" s="20" customFormat="1" x14ac:dyDescent="0.2"/>
    <row r="2730" s="20" customFormat="1" x14ac:dyDescent="0.2"/>
    <row r="2731" s="20" customFormat="1" x14ac:dyDescent="0.2"/>
    <row r="2732" s="20" customFormat="1" x14ac:dyDescent="0.2"/>
    <row r="2733" s="20" customFormat="1" x14ac:dyDescent="0.2"/>
    <row r="2734" s="20" customFormat="1" x14ac:dyDescent="0.2"/>
    <row r="2735" s="20" customFormat="1" x14ac:dyDescent="0.2"/>
    <row r="2736" s="20" customFormat="1" x14ac:dyDescent="0.2"/>
    <row r="2737" s="20" customFormat="1" x14ac:dyDescent="0.2"/>
    <row r="2738" s="20" customFormat="1" x14ac:dyDescent="0.2"/>
    <row r="2739" s="20" customFormat="1" x14ac:dyDescent="0.2"/>
    <row r="2740" s="20" customFormat="1" x14ac:dyDescent="0.2"/>
    <row r="2741" s="20" customFormat="1" x14ac:dyDescent="0.2"/>
    <row r="2742" s="20" customFormat="1" x14ac:dyDescent="0.2"/>
    <row r="2743" s="20" customFormat="1" x14ac:dyDescent="0.2"/>
    <row r="2744" s="20" customFormat="1" x14ac:dyDescent="0.2"/>
    <row r="2745" s="20" customFormat="1" x14ac:dyDescent="0.2"/>
    <row r="2746" s="20" customFormat="1" x14ac:dyDescent="0.2"/>
    <row r="2747" s="20" customFormat="1" x14ac:dyDescent="0.2"/>
    <row r="2748" s="20" customFormat="1" x14ac:dyDescent="0.2"/>
    <row r="2749" s="20" customFormat="1" x14ac:dyDescent="0.2"/>
    <row r="2750" s="20" customFormat="1" x14ac:dyDescent="0.2"/>
    <row r="2751" s="20" customFormat="1" x14ac:dyDescent="0.2"/>
    <row r="2752" s="20" customFormat="1" x14ac:dyDescent="0.2"/>
    <row r="2753" s="20" customFormat="1" x14ac:dyDescent="0.2"/>
    <row r="2754" s="20" customFormat="1" x14ac:dyDescent="0.2"/>
    <row r="2755" s="20" customFormat="1" x14ac:dyDescent="0.2"/>
    <row r="2756" s="20" customFormat="1" x14ac:dyDescent="0.2"/>
    <row r="2757" s="20" customFormat="1" x14ac:dyDescent="0.2"/>
    <row r="2758" s="20" customFormat="1" x14ac:dyDescent="0.2"/>
    <row r="2759" s="20" customFormat="1" x14ac:dyDescent="0.2"/>
    <row r="2760" s="20" customFormat="1" x14ac:dyDescent="0.2"/>
    <row r="2761" s="20" customFormat="1" x14ac:dyDescent="0.2"/>
    <row r="2762" s="20" customFormat="1" x14ac:dyDescent="0.2"/>
    <row r="2763" s="20" customFormat="1" x14ac:dyDescent="0.2"/>
    <row r="2764" s="20" customFormat="1" x14ac:dyDescent="0.2"/>
    <row r="2765" s="20" customFormat="1" x14ac:dyDescent="0.2"/>
    <row r="2766" s="20" customFormat="1" x14ac:dyDescent="0.2"/>
    <row r="2767" s="20" customFormat="1" x14ac:dyDescent="0.2"/>
    <row r="2768" s="20" customFormat="1" x14ac:dyDescent="0.2"/>
    <row r="2769" s="20" customFormat="1" x14ac:dyDescent="0.2"/>
    <row r="2770" s="20" customFormat="1" x14ac:dyDescent="0.2"/>
    <row r="2771" s="20" customFormat="1" x14ac:dyDescent="0.2"/>
    <row r="2772" s="20" customFormat="1" x14ac:dyDescent="0.2"/>
    <row r="2773" s="20" customFormat="1" x14ac:dyDescent="0.2"/>
    <row r="2774" s="20" customFormat="1" x14ac:dyDescent="0.2"/>
    <row r="2775" s="20" customFormat="1" x14ac:dyDescent="0.2"/>
    <row r="2776" s="20" customFormat="1" x14ac:dyDescent="0.2"/>
    <row r="2777" s="20" customFormat="1" x14ac:dyDescent="0.2"/>
    <row r="2778" s="20" customFormat="1" x14ac:dyDescent="0.2"/>
    <row r="2779" s="20" customFormat="1" x14ac:dyDescent="0.2"/>
    <row r="2780" s="20" customFormat="1" x14ac:dyDescent="0.2"/>
    <row r="2781" s="20" customFormat="1" x14ac:dyDescent="0.2"/>
    <row r="2782" s="20" customFormat="1" x14ac:dyDescent="0.2"/>
    <row r="2783" s="20" customFormat="1" x14ac:dyDescent="0.2"/>
    <row r="2784" s="20" customFormat="1" x14ac:dyDescent="0.2"/>
    <row r="2785" s="20" customFormat="1" x14ac:dyDescent="0.2"/>
    <row r="2786" s="20" customFormat="1" x14ac:dyDescent="0.2"/>
    <row r="2787" s="20" customFormat="1" x14ac:dyDescent="0.2"/>
    <row r="2788" s="20" customFormat="1" x14ac:dyDescent="0.2"/>
    <row r="2789" s="20" customFormat="1" x14ac:dyDescent="0.2"/>
    <row r="2790" s="20" customFormat="1" x14ac:dyDescent="0.2"/>
    <row r="2791" s="20" customFormat="1" x14ac:dyDescent="0.2"/>
    <row r="2792" s="20" customFormat="1" x14ac:dyDescent="0.2"/>
    <row r="2793" s="20" customFormat="1" x14ac:dyDescent="0.2"/>
    <row r="2794" s="20" customFormat="1" x14ac:dyDescent="0.2"/>
    <row r="2795" s="20" customFormat="1" x14ac:dyDescent="0.2"/>
    <row r="2796" s="20" customFormat="1" x14ac:dyDescent="0.2"/>
    <row r="2797" s="20" customFormat="1" x14ac:dyDescent="0.2"/>
    <row r="2798" s="20" customFormat="1" x14ac:dyDescent="0.2"/>
    <row r="2799" s="20" customFormat="1" x14ac:dyDescent="0.2"/>
    <row r="2800" s="20" customFormat="1" x14ac:dyDescent="0.2"/>
    <row r="2801" s="20" customFormat="1" x14ac:dyDescent="0.2"/>
    <row r="2802" s="20" customFormat="1" x14ac:dyDescent="0.2"/>
    <row r="2803" s="20" customFormat="1" x14ac:dyDescent="0.2"/>
    <row r="2804" s="20" customFormat="1" x14ac:dyDescent="0.2"/>
    <row r="2805" s="20" customFormat="1" x14ac:dyDescent="0.2"/>
    <row r="2806" s="20" customFormat="1" x14ac:dyDescent="0.2"/>
    <row r="2807" s="20" customFormat="1" x14ac:dyDescent="0.2"/>
    <row r="2808" s="20" customFormat="1" x14ac:dyDescent="0.2"/>
    <row r="2809" s="20" customFormat="1" x14ac:dyDescent="0.2"/>
    <row r="2810" s="20" customFormat="1" x14ac:dyDescent="0.2"/>
    <row r="2811" s="20" customFormat="1" x14ac:dyDescent="0.2"/>
    <row r="2812" s="20" customFormat="1" x14ac:dyDescent="0.2"/>
    <row r="2813" s="20" customFormat="1" x14ac:dyDescent="0.2"/>
    <row r="2814" s="20" customFormat="1" x14ac:dyDescent="0.2"/>
    <row r="2815" s="20" customFormat="1" x14ac:dyDescent="0.2"/>
    <row r="2816" s="20" customFormat="1" x14ac:dyDescent="0.2"/>
    <row r="2817" s="20" customFormat="1" x14ac:dyDescent="0.2"/>
    <row r="2818" s="20" customFormat="1" x14ac:dyDescent="0.2"/>
    <row r="2819" s="20" customFormat="1" x14ac:dyDescent="0.2"/>
    <row r="2820" s="20" customFormat="1" x14ac:dyDescent="0.2"/>
    <row r="2821" s="20" customFormat="1" x14ac:dyDescent="0.2"/>
    <row r="2822" s="20" customFormat="1" x14ac:dyDescent="0.2"/>
    <row r="2823" s="20" customFormat="1" x14ac:dyDescent="0.2"/>
    <row r="2824" s="20" customFormat="1" x14ac:dyDescent="0.2"/>
    <row r="2825" s="20" customFormat="1" x14ac:dyDescent="0.2"/>
    <row r="2826" s="20" customFormat="1" x14ac:dyDescent="0.2"/>
    <row r="2827" s="20" customFormat="1" x14ac:dyDescent="0.2"/>
    <row r="2828" s="20" customFormat="1" x14ac:dyDescent="0.2"/>
    <row r="2829" s="20" customFormat="1" x14ac:dyDescent="0.2"/>
    <row r="2830" s="20" customFormat="1" x14ac:dyDescent="0.2"/>
    <row r="2831" s="20" customFormat="1" x14ac:dyDescent="0.2"/>
    <row r="2832" s="20" customFormat="1" x14ac:dyDescent="0.2"/>
    <row r="2833" s="20" customFormat="1" x14ac:dyDescent="0.2"/>
    <row r="2834" s="20" customFormat="1" x14ac:dyDescent="0.2"/>
    <row r="2835" s="20" customFormat="1" x14ac:dyDescent="0.2"/>
    <row r="2836" s="20" customFormat="1" x14ac:dyDescent="0.2"/>
    <row r="2837" s="20" customFormat="1" x14ac:dyDescent="0.2"/>
    <row r="2838" s="20" customFormat="1" x14ac:dyDescent="0.2"/>
    <row r="2839" s="20" customFormat="1" x14ac:dyDescent="0.2"/>
    <row r="2840" s="20" customFormat="1" x14ac:dyDescent="0.2"/>
    <row r="2841" s="20" customFormat="1" x14ac:dyDescent="0.2"/>
    <row r="2842" s="20" customFormat="1" x14ac:dyDescent="0.2"/>
    <row r="2843" s="20" customFormat="1" x14ac:dyDescent="0.2"/>
    <row r="2844" s="20" customFormat="1" x14ac:dyDescent="0.2"/>
    <row r="2845" s="20" customFormat="1" x14ac:dyDescent="0.2"/>
    <row r="2846" s="20" customFormat="1" x14ac:dyDescent="0.2"/>
    <row r="2847" s="20" customFormat="1" x14ac:dyDescent="0.2"/>
    <row r="2848" s="20" customFormat="1" x14ac:dyDescent="0.2"/>
    <row r="2849" s="20" customFormat="1" x14ac:dyDescent="0.2"/>
    <row r="2850" s="20" customFormat="1" x14ac:dyDescent="0.2"/>
    <row r="2851" s="20" customFormat="1" x14ac:dyDescent="0.2"/>
    <row r="2852" s="20" customFormat="1" x14ac:dyDescent="0.2"/>
    <row r="2853" s="20" customFormat="1" x14ac:dyDescent="0.2"/>
    <row r="2854" s="20" customFormat="1" x14ac:dyDescent="0.2"/>
    <row r="2855" s="20" customFormat="1" x14ac:dyDescent="0.2"/>
    <row r="2856" s="20" customFormat="1" x14ac:dyDescent="0.2"/>
    <row r="2857" s="20" customFormat="1" x14ac:dyDescent="0.2"/>
    <row r="2858" s="20" customFormat="1" x14ac:dyDescent="0.2"/>
    <row r="2859" s="20" customFormat="1" x14ac:dyDescent="0.2"/>
    <row r="2860" s="20" customFormat="1" x14ac:dyDescent="0.2"/>
    <row r="2861" s="20" customFormat="1" x14ac:dyDescent="0.2"/>
    <row r="2862" s="20" customFormat="1" x14ac:dyDescent="0.2"/>
    <row r="2863" s="20" customFormat="1" x14ac:dyDescent="0.2"/>
    <row r="2864" s="20" customFormat="1" x14ac:dyDescent="0.2"/>
    <row r="2865" s="20" customFormat="1" x14ac:dyDescent="0.2"/>
    <row r="2866" s="20" customFormat="1" x14ac:dyDescent="0.2"/>
    <row r="2867" s="20" customFormat="1" x14ac:dyDescent="0.2"/>
    <row r="2868" s="20" customFormat="1" x14ac:dyDescent="0.2"/>
    <row r="2869" s="20" customFormat="1" x14ac:dyDescent="0.2"/>
    <row r="2870" s="20" customFormat="1" x14ac:dyDescent="0.2"/>
    <row r="2871" s="20" customFormat="1" x14ac:dyDescent="0.2"/>
    <row r="2872" s="20" customFormat="1" x14ac:dyDescent="0.2"/>
    <row r="2873" s="20" customFormat="1" x14ac:dyDescent="0.2"/>
    <row r="2874" s="20" customFormat="1" x14ac:dyDescent="0.2"/>
    <row r="2875" s="20" customFormat="1" x14ac:dyDescent="0.2"/>
    <row r="2876" s="20" customFormat="1" x14ac:dyDescent="0.2"/>
    <row r="2877" s="20" customFormat="1" x14ac:dyDescent="0.2"/>
    <row r="2878" s="20" customFormat="1" x14ac:dyDescent="0.2"/>
    <row r="2879" s="20" customFormat="1" x14ac:dyDescent="0.2"/>
    <row r="2880" s="20" customFormat="1" x14ac:dyDescent="0.2"/>
    <row r="2881" s="20" customFormat="1" x14ac:dyDescent="0.2"/>
    <row r="2882" s="20" customFormat="1" x14ac:dyDescent="0.2"/>
    <row r="2883" s="20" customFormat="1" x14ac:dyDescent="0.2"/>
    <row r="2884" s="20" customFormat="1" x14ac:dyDescent="0.2"/>
    <row r="2885" s="20" customFormat="1" x14ac:dyDescent="0.2"/>
    <row r="2886" s="20" customFormat="1" x14ac:dyDescent="0.2"/>
    <row r="2887" s="20" customFormat="1" x14ac:dyDescent="0.2"/>
    <row r="2888" s="20" customFormat="1" x14ac:dyDescent="0.2"/>
    <row r="2889" s="20" customFormat="1" x14ac:dyDescent="0.2"/>
    <row r="2890" s="20" customFormat="1" x14ac:dyDescent="0.2"/>
    <row r="2891" s="20" customFormat="1" x14ac:dyDescent="0.2"/>
    <row r="2892" s="20" customFormat="1" x14ac:dyDescent="0.2"/>
    <row r="2893" s="20" customFormat="1" x14ac:dyDescent="0.2"/>
    <row r="2894" s="20" customFormat="1" x14ac:dyDescent="0.2"/>
    <row r="2895" s="20" customFormat="1" x14ac:dyDescent="0.2"/>
    <row r="2896" s="20" customFormat="1" x14ac:dyDescent="0.2"/>
    <row r="2897" s="20" customFormat="1" x14ac:dyDescent="0.2"/>
    <row r="2898" s="20" customFormat="1" x14ac:dyDescent="0.2"/>
    <row r="2899" s="20" customFormat="1" x14ac:dyDescent="0.2"/>
    <row r="2900" s="20" customFormat="1" x14ac:dyDescent="0.2"/>
    <row r="2901" s="20" customFormat="1" x14ac:dyDescent="0.2"/>
    <row r="2902" s="20" customFormat="1" x14ac:dyDescent="0.2"/>
    <row r="2903" s="20" customFormat="1" x14ac:dyDescent="0.2"/>
    <row r="2904" s="20" customFormat="1" x14ac:dyDescent="0.2"/>
    <row r="2905" s="20" customFormat="1" x14ac:dyDescent="0.2"/>
    <row r="2906" s="20" customFormat="1" x14ac:dyDescent="0.2"/>
    <row r="2907" s="20" customFormat="1" x14ac:dyDescent="0.2"/>
    <row r="2908" s="20" customFormat="1" x14ac:dyDescent="0.2"/>
    <row r="2909" s="20" customFormat="1" x14ac:dyDescent="0.2"/>
    <row r="2910" s="20" customFormat="1" x14ac:dyDescent="0.2"/>
    <row r="2911" s="20" customFormat="1" x14ac:dyDescent="0.2"/>
    <row r="2912" s="20" customFormat="1" x14ac:dyDescent="0.2"/>
    <row r="2913" s="20" customFormat="1" x14ac:dyDescent="0.2"/>
    <row r="2914" s="20" customFormat="1" x14ac:dyDescent="0.2"/>
    <row r="2915" s="20" customFormat="1" x14ac:dyDescent="0.2"/>
    <row r="2916" s="20" customFormat="1" x14ac:dyDescent="0.2"/>
    <row r="2917" s="20" customFormat="1" x14ac:dyDescent="0.2"/>
    <row r="2918" s="20" customFormat="1" x14ac:dyDescent="0.2"/>
    <row r="2919" s="20" customFormat="1" x14ac:dyDescent="0.2"/>
    <row r="2920" s="20" customFormat="1" x14ac:dyDescent="0.2"/>
    <row r="2921" s="20" customFormat="1" x14ac:dyDescent="0.2"/>
    <row r="2922" s="20" customFormat="1" x14ac:dyDescent="0.2"/>
    <row r="2923" s="20" customFormat="1" x14ac:dyDescent="0.2"/>
    <row r="2924" s="20" customFormat="1" x14ac:dyDescent="0.2"/>
    <row r="2925" s="20" customFormat="1" x14ac:dyDescent="0.2"/>
    <row r="2926" s="20" customFormat="1" x14ac:dyDescent="0.2"/>
    <row r="2927" s="20" customFormat="1" x14ac:dyDescent="0.2"/>
    <row r="2928" s="20" customFormat="1" x14ac:dyDescent="0.2"/>
    <row r="2929" s="20" customFormat="1" x14ac:dyDescent="0.2"/>
    <row r="2930" s="20" customFormat="1" x14ac:dyDescent="0.2"/>
    <row r="2931" s="20" customFormat="1" x14ac:dyDescent="0.2"/>
    <row r="2932" s="20" customFormat="1" x14ac:dyDescent="0.2"/>
    <row r="2933" s="20" customFormat="1" x14ac:dyDescent="0.2"/>
    <row r="2934" s="20" customFormat="1" x14ac:dyDescent="0.2"/>
    <row r="2935" s="20" customFormat="1" x14ac:dyDescent="0.2"/>
    <row r="2936" s="20" customFormat="1" x14ac:dyDescent="0.2"/>
    <row r="2937" s="20" customFormat="1" x14ac:dyDescent="0.2"/>
    <row r="2938" s="20" customFormat="1" x14ac:dyDescent="0.2"/>
    <row r="2939" s="20" customFormat="1" x14ac:dyDescent="0.2"/>
    <row r="2940" s="20" customFormat="1" x14ac:dyDescent="0.2"/>
    <row r="2941" s="20" customFormat="1" x14ac:dyDescent="0.2"/>
    <row r="2942" s="20" customFormat="1" x14ac:dyDescent="0.2"/>
    <row r="2943" s="20" customFormat="1" x14ac:dyDescent="0.2"/>
    <row r="2944" s="20" customFormat="1" x14ac:dyDescent="0.2"/>
    <row r="2945" s="20" customFormat="1" x14ac:dyDescent="0.2"/>
    <row r="2946" s="20" customFormat="1" x14ac:dyDescent="0.2"/>
    <row r="2947" s="20" customFormat="1" x14ac:dyDescent="0.2"/>
    <row r="2948" s="20" customFormat="1" x14ac:dyDescent="0.2"/>
    <row r="2949" s="20" customFormat="1" x14ac:dyDescent="0.2"/>
    <row r="2950" s="20" customFormat="1" x14ac:dyDescent="0.2"/>
    <row r="2951" s="20" customFormat="1" x14ac:dyDescent="0.2"/>
    <row r="2952" s="20" customFormat="1" x14ac:dyDescent="0.2"/>
    <row r="2953" s="20" customFormat="1" x14ac:dyDescent="0.2"/>
    <row r="2954" s="20" customFormat="1" x14ac:dyDescent="0.2"/>
    <row r="2955" s="20" customFormat="1" x14ac:dyDescent="0.2"/>
    <row r="2956" s="20" customFormat="1" x14ac:dyDescent="0.2"/>
    <row r="2957" s="20" customFormat="1" x14ac:dyDescent="0.2"/>
    <row r="2958" s="20" customFormat="1" x14ac:dyDescent="0.2"/>
    <row r="2959" s="20" customFormat="1" x14ac:dyDescent="0.2"/>
    <row r="2960" s="20" customFormat="1" x14ac:dyDescent="0.2"/>
    <row r="2961" s="20" customFormat="1" x14ac:dyDescent="0.2"/>
    <row r="2962" s="20" customFormat="1" x14ac:dyDescent="0.2"/>
    <row r="2963" s="20" customFormat="1" x14ac:dyDescent="0.2"/>
    <row r="2964" s="20" customFormat="1" x14ac:dyDescent="0.2"/>
    <row r="2965" s="20" customFormat="1" x14ac:dyDescent="0.2"/>
    <row r="2966" s="20" customFormat="1" x14ac:dyDescent="0.2"/>
    <row r="2967" s="20" customFormat="1" x14ac:dyDescent="0.2"/>
    <row r="2968" s="20" customFormat="1" x14ac:dyDescent="0.2"/>
    <row r="2969" s="20" customFormat="1" x14ac:dyDescent="0.2"/>
    <row r="2970" s="20" customFormat="1" x14ac:dyDescent="0.2"/>
    <row r="2971" s="20" customFormat="1" x14ac:dyDescent="0.2"/>
    <row r="2972" s="20" customFormat="1" x14ac:dyDescent="0.2"/>
    <row r="2973" s="20" customFormat="1" x14ac:dyDescent="0.2"/>
    <row r="2974" s="20" customFormat="1" x14ac:dyDescent="0.2"/>
    <row r="2975" s="20" customFormat="1" x14ac:dyDescent="0.2"/>
    <row r="2976" s="20" customFormat="1" x14ac:dyDescent="0.2"/>
    <row r="2977" s="20" customFormat="1" x14ac:dyDescent="0.2"/>
    <row r="2978" s="20" customFormat="1" x14ac:dyDescent="0.2"/>
    <row r="2979" s="20" customFormat="1" x14ac:dyDescent="0.2"/>
    <row r="2980" s="20" customFormat="1" x14ac:dyDescent="0.2"/>
    <row r="2981" s="20" customFormat="1" x14ac:dyDescent="0.2"/>
    <row r="2982" s="20" customFormat="1" x14ac:dyDescent="0.2"/>
    <row r="2983" s="20" customFormat="1" x14ac:dyDescent="0.2"/>
    <row r="2984" s="20" customFormat="1" x14ac:dyDescent="0.2"/>
    <row r="2985" s="20" customFormat="1" x14ac:dyDescent="0.2"/>
    <row r="2986" s="20" customFormat="1" x14ac:dyDescent="0.2"/>
    <row r="2987" s="20" customFormat="1" x14ac:dyDescent="0.2"/>
    <row r="2988" s="20" customFormat="1" x14ac:dyDescent="0.2"/>
    <row r="2989" s="20" customFormat="1" x14ac:dyDescent="0.2"/>
    <row r="2990" s="20" customFormat="1" x14ac:dyDescent="0.2"/>
    <row r="2991" s="20" customFormat="1" x14ac:dyDescent="0.2"/>
    <row r="2992" s="20" customFormat="1" x14ac:dyDescent="0.2"/>
    <row r="2993" s="20" customFormat="1" x14ac:dyDescent="0.2"/>
    <row r="2994" s="20" customFormat="1" x14ac:dyDescent="0.2"/>
    <row r="2995" s="20" customFormat="1" x14ac:dyDescent="0.2"/>
    <row r="2996" s="20" customFormat="1" x14ac:dyDescent="0.2"/>
    <row r="2997" s="20" customFormat="1" x14ac:dyDescent="0.2"/>
    <row r="2998" s="20" customFormat="1" x14ac:dyDescent="0.2"/>
    <row r="2999" s="20" customFormat="1" x14ac:dyDescent="0.2"/>
    <row r="3000" s="20" customFormat="1" x14ac:dyDescent="0.2"/>
    <row r="3001" s="20" customFormat="1" x14ac:dyDescent="0.2"/>
    <row r="3002" s="20" customFormat="1" x14ac:dyDescent="0.2"/>
    <row r="3003" s="20" customFormat="1" x14ac:dyDescent="0.2"/>
    <row r="3004" s="20" customFormat="1" x14ac:dyDescent="0.2"/>
    <row r="3005" s="20" customFormat="1" x14ac:dyDescent="0.2"/>
    <row r="3006" s="20" customFormat="1" x14ac:dyDescent="0.2"/>
    <row r="3007" s="20" customFormat="1" x14ac:dyDescent="0.2"/>
    <row r="3008" s="20" customFormat="1" x14ac:dyDescent="0.2"/>
    <row r="3009" s="20" customFormat="1" x14ac:dyDescent="0.2"/>
    <row r="3010" s="20" customFormat="1" x14ac:dyDescent="0.2"/>
    <row r="3011" s="20" customFormat="1" x14ac:dyDescent="0.2"/>
    <row r="3012" s="20" customFormat="1" x14ac:dyDescent="0.2"/>
    <row r="3013" s="20" customFormat="1" x14ac:dyDescent="0.2"/>
    <row r="3014" s="20" customFormat="1" x14ac:dyDescent="0.2"/>
    <row r="3015" s="20" customFormat="1" x14ac:dyDescent="0.2"/>
    <row r="3016" s="20" customFormat="1" x14ac:dyDescent="0.2"/>
    <row r="3017" s="20" customFormat="1" x14ac:dyDescent="0.2"/>
    <row r="3018" s="20" customFormat="1" x14ac:dyDescent="0.2"/>
    <row r="3019" s="20" customFormat="1" x14ac:dyDescent="0.2"/>
    <row r="3020" s="20" customFormat="1" x14ac:dyDescent="0.2"/>
    <row r="3021" s="20" customFormat="1" x14ac:dyDescent="0.2"/>
    <row r="3022" s="20" customFormat="1" x14ac:dyDescent="0.2"/>
    <row r="3023" s="20" customFormat="1" x14ac:dyDescent="0.2"/>
    <row r="3024" s="20" customFormat="1" x14ac:dyDescent="0.2"/>
    <row r="3025" s="20" customFormat="1" x14ac:dyDescent="0.2"/>
    <row r="3026" s="20" customFormat="1" x14ac:dyDescent="0.2"/>
    <row r="3027" s="20" customFormat="1" x14ac:dyDescent="0.2"/>
    <row r="3028" s="20" customFormat="1" x14ac:dyDescent="0.2"/>
    <row r="3029" s="20" customFormat="1" x14ac:dyDescent="0.2"/>
    <row r="3030" s="20" customFormat="1" x14ac:dyDescent="0.2"/>
    <row r="3031" s="20" customFormat="1" x14ac:dyDescent="0.2"/>
    <row r="3032" s="20" customFormat="1" x14ac:dyDescent="0.2"/>
    <row r="3033" s="20" customFormat="1" x14ac:dyDescent="0.2"/>
    <row r="3034" s="20" customFormat="1" x14ac:dyDescent="0.2"/>
    <row r="3035" s="20" customFormat="1" x14ac:dyDescent="0.2"/>
    <row r="3036" s="20" customFormat="1" x14ac:dyDescent="0.2"/>
    <row r="3037" s="20" customFormat="1" x14ac:dyDescent="0.2"/>
    <row r="3038" s="20" customFormat="1" x14ac:dyDescent="0.2"/>
    <row r="3039" s="20" customFormat="1" x14ac:dyDescent="0.2"/>
    <row r="3040" s="20" customFormat="1" x14ac:dyDescent="0.2"/>
    <row r="3041" s="20" customFormat="1" x14ac:dyDescent="0.2"/>
    <row r="3042" s="20" customFormat="1" x14ac:dyDescent="0.2"/>
    <row r="3043" s="20" customFormat="1" x14ac:dyDescent="0.2"/>
    <row r="3044" s="20" customFormat="1" x14ac:dyDescent="0.2"/>
    <row r="3045" s="20" customFormat="1" x14ac:dyDescent="0.2"/>
    <row r="3046" s="20" customFormat="1" x14ac:dyDescent="0.2"/>
    <row r="3047" s="20" customFormat="1" x14ac:dyDescent="0.2"/>
    <row r="3048" s="20" customFormat="1" x14ac:dyDescent="0.2"/>
    <row r="3049" s="20" customFormat="1" x14ac:dyDescent="0.2"/>
    <row r="3050" s="20" customFormat="1" x14ac:dyDescent="0.2"/>
    <row r="3051" s="20" customFormat="1" x14ac:dyDescent="0.2"/>
    <row r="3052" s="20" customFormat="1" x14ac:dyDescent="0.2"/>
    <row r="3053" s="20" customFormat="1" x14ac:dyDescent="0.2"/>
    <row r="3054" s="20" customFormat="1" x14ac:dyDescent="0.2"/>
    <row r="3055" s="20" customFormat="1" x14ac:dyDescent="0.2"/>
    <row r="3056" s="20" customFormat="1" x14ac:dyDescent="0.2"/>
    <row r="3057" s="20" customFormat="1" x14ac:dyDescent="0.2"/>
    <row r="3058" s="20" customFormat="1" x14ac:dyDescent="0.2"/>
    <row r="3059" s="20" customFormat="1" x14ac:dyDescent="0.2"/>
    <row r="3060" s="20" customFormat="1" x14ac:dyDescent="0.2"/>
    <row r="3061" s="20" customFormat="1" x14ac:dyDescent="0.2"/>
    <row r="3062" s="20" customFormat="1" x14ac:dyDescent="0.2"/>
    <row r="3063" s="20" customFormat="1" x14ac:dyDescent="0.2"/>
    <row r="3064" s="20" customFormat="1" x14ac:dyDescent="0.2"/>
    <row r="3065" s="20" customFormat="1" x14ac:dyDescent="0.2"/>
    <row r="3066" s="20" customFormat="1" x14ac:dyDescent="0.2"/>
    <row r="3067" s="20" customFormat="1" x14ac:dyDescent="0.2"/>
    <row r="3068" s="20" customFormat="1" x14ac:dyDescent="0.2"/>
    <row r="3069" s="20" customFormat="1" x14ac:dyDescent="0.2"/>
    <row r="3070" s="20" customFormat="1" x14ac:dyDescent="0.2"/>
    <row r="3071" s="20" customFormat="1" x14ac:dyDescent="0.2"/>
    <row r="3072" s="20" customFormat="1" x14ac:dyDescent="0.2"/>
    <row r="3073" s="20" customFormat="1" x14ac:dyDescent="0.2"/>
    <row r="3074" s="20" customFormat="1" x14ac:dyDescent="0.2"/>
    <row r="3075" s="20" customFormat="1" x14ac:dyDescent="0.2"/>
    <row r="3076" s="20" customFormat="1" x14ac:dyDescent="0.2"/>
    <row r="3077" s="20" customFormat="1" x14ac:dyDescent="0.2"/>
    <row r="3078" s="20" customFormat="1" x14ac:dyDescent="0.2"/>
    <row r="3079" s="20" customFormat="1" x14ac:dyDescent="0.2"/>
    <row r="3080" s="20" customFormat="1" x14ac:dyDescent="0.2"/>
    <row r="3081" s="20" customFormat="1" x14ac:dyDescent="0.2"/>
    <row r="3082" s="20" customFormat="1" x14ac:dyDescent="0.2"/>
    <row r="3083" s="20" customFormat="1" x14ac:dyDescent="0.2"/>
    <row r="3084" s="20" customFormat="1" x14ac:dyDescent="0.2"/>
    <row r="3085" s="20" customFormat="1" x14ac:dyDescent="0.2"/>
    <row r="3086" s="20" customFormat="1" x14ac:dyDescent="0.2"/>
    <row r="3087" s="20" customFormat="1" x14ac:dyDescent="0.2"/>
    <row r="3088" s="20" customFormat="1" x14ac:dyDescent="0.2"/>
    <row r="3089" s="20" customFormat="1" x14ac:dyDescent="0.2"/>
    <row r="3090" s="20" customFormat="1" x14ac:dyDescent="0.2"/>
    <row r="3091" s="20" customFormat="1" x14ac:dyDescent="0.2"/>
    <row r="3092" s="20" customFormat="1" x14ac:dyDescent="0.2"/>
    <row r="3093" s="20" customFormat="1" x14ac:dyDescent="0.2"/>
    <row r="3094" s="20" customFormat="1" x14ac:dyDescent="0.2"/>
    <row r="3095" s="20" customFormat="1" x14ac:dyDescent="0.2"/>
    <row r="3096" s="20" customFormat="1" x14ac:dyDescent="0.2"/>
    <row r="3097" s="20" customFormat="1" x14ac:dyDescent="0.2"/>
    <row r="3098" s="20" customFormat="1" x14ac:dyDescent="0.2"/>
    <row r="3099" s="20" customFormat="1" x14ac:dyDescent="0.2"/>
    <row r="3100" s="20" customFormat="1" x14ac:dyDescent="0.2"/>
    <row r="3101" s="20" customFormat="1" x14ac:dyDescent="0.2"/>
    <row r="3102" s="20" customFormat="1" x14ac:dyDescent="0.2"/>
    <row r="3103" s="20" customFormat="1" x14ac:dyDescent="0.2"/>
    <row r="3104" s="20" customFormat="1" x14ac:dyDescent="0.2"/>
    <row r="3105" s="20" customFormat="1" x14ac:dyDescent="0.2"/>
    <row r="3106" s="20" customFormat="1" x14ac:dyDescent="0.2"/>
    <row r="3107" s="20" customFormat="1" x14ac:dyDescent="0.2"/>
    <row r="3108" s="20" customFormat="1" x14ac:dyDescent="0.2"/>
    <row r="3109" s="20" customFormat="1" x14ac:dyDescent="0.2"/>
    <row r="3110" s="20" customFormat="1" x14ac:dyDescent="0.2"/>
    <row r="3111" s="20" customFormat="1" x14ac:dyDescent="0.2"/>
    <row r="3112" s="20" customFormat="1" x14ac:dyDescent="0.2"/>
    <row r="3113" s="20" customFormat="1" x14ac:dyDescent="0.2"/>
    <row r="3114" s="20" customFormat="1" x14ac:dyDescent="0.2"/>
    <row r="3115" s="20" customFormat="1" x14ac:dyDescent="0.2"/>
    <row r="3116" s="20" customFormat="1" x14ac:dyDescent="0.2"/>
    <row r="3117" s="20" customFormat="1" x14ac:dyDescent="0.2"/>
    <row r="3118" s="20" customFormat="1" x14ac:dyDescent="0.2"/>
    <row r="3119" s="20" customFormat="1" x14ac:dyDescent="0.2"/>
    <row r="3120" s="20" customFormat="1" x14ac:dyDescent="0.2"/>
    <row r="3121" s="20" customFormat="1" x14ac:dyDescent="0.2"/>
    <row r="3122" s="20" customFormat="1" x14ac:dyDescent="0.2"/>
    <row r="3123" s="20" customFormat="1" x14ac:dyDescent="0.2"/>
    <row r="3124" s="20" customFormat="1" x14ac:dyDescent="0.2"/>
    <row r="3125" s="20" customFormat="1" x14ac:dyDescent="0.2"/>
    <row r="3126" s="20" customFormat="1" x14ac:dyDescent="0.2"/>
    <row r="3127" s="20" customFormat="1" x14ac:dyDescent="0.2"/>
    <row r="3128" s="20" customFormat="1" x14ac:dyDescent="0.2"/>
    <row r="3129" s="20" customFormat="1" x14ac:dyDescent="0.2"/>
    <row r="3130" s="20" customFormat="1" x14ac:dyDescent="0.2"/>
    <row r="3131" s="20" customFormat="1" x14ac:dyDescent="0.2"/>
    <row r="3132" s="20" customFormat="1" x14ac:dyDescent="0.2"/>
    <row r="3133" s="20" customFormat="1" x14ac:dyDescent="0.2"/>
    <row r="3134" s="20" customFormat="1" x14ac:dyDescent="0.2"/>
    <row r="3135" s="20" customFormat="1" x14ac:dyDescent="0.2"/>
    <row r="3136" s="20" customFormat="1" x14ac:dyDescent="0.2"/>
    <row r="3137" s="20" customFormat="1" x14ac:dyDescent="0.2"/>
    <row r="3138" s="20" customFormat="1" x14ac:dyDescent="0.2"/>
    <row r="3139" s="20" customFormat="1" x14ac:dyDescent="0.2"/>
    <row r="3140" s="20" customFormat="1" x14ac:dyDescent="0.2"/>
    <row r="3141" s="20" customFormat="1" x14ac:dyDescent="0.2"/>
    <row r="3142" s="20" customFormat="1" x14ac:dyDescent="0.2"/>
    <row r="3143" s="20" customFormat="1" x14ac:dyDescent="0.2"/>
    <row r="3144" s="20" customFormat="1" x14ac:dyDescent="0.2"/>
    <row r="3145" s="20" customFormat="1" x14ac:dyDescent="0.2"/>
    <row r="3146" s="20" customFormat="1" x14ac:dyDescent="0.2"/>
    <row r="3147" s="20" customFormat="1" x14ac:dyDescent="0.2"/>
    <row r="3148" s="20" customFormat="1" x14ac:dyDescent="0.2"/>
    <row r="3149" s="20" customFormat="1" x14ac:dyDescent="0.2"/>
    <row r="3150" s="20" customFormat="1" x14ac:dyDescent="0.2"/>
    <row r="3151" s="20" customFormat="1" x14ac:dyDescent="0.2"/>
    <row r="3152" s="20" customFormat="1" x14ac:dyDescent="0.2"/>
    <row r="3153" s="20" customFormat="1" x14ac:dyDescent="0.2"/>
    <row r="3154" s="20" customFormat="1" x14ac:dyDescent="0.2"/>
    <row r="3155" s="20" customFormat="1" x14ac:dyDescent="0.2"/>
    <row r="3156" s="20" customFormat="1" x14ac:dyDescent="0.2"/>
    <row r="3157" s="20" customFormat="1" x14ac:dyDescent="0.2"/>
    <row r="3158" s="20" customFormat="1" x14ac:dyDescent="0.2"/>
    <row r="3159" s="20" customFormat="1" x14ac:dyDescent="0.2"/>
    <row r="3160" s="20" customFormat="1" x14ac:dyDescent="0.2"/>
    <row r="3161" s="20" customFormat="1" x14ac:dyDescent="0.2"/>
    <row r="3162" s="20" customFormat="1" x14ac:dyDescent="0.2"/>
    <row r="3163" s="20" customFormat="1" x14ac:dyDescent="0.2"/>
    <row r="3164" s="20" customFormat="1" x14ac:dyDescent="0.2"/>
    <row r="3165" s="20" customFormat="1" x14ac:dyDescent="0.2"/>
    <row r="3166" s="20" customFormat="1" x14ac:dyDescent="0.2"/>
    <row r="3167" s="20" customFormat="1" x14ac:dyDescent="0.2"/>
    <row r="3168" s="20" customFormat="1" x14ac:dyDescent="0.2"/>
    <row r="3169" s="20" customFormat="1" x14ac:dyDescent="0.2"/>
    <row r="3170" s="20" customFormat="1" x14ac:dyDescent="0.2"/>
    <row r="3171" s="20" customFormat="1" x14ac:dyDescent="0.2"/>
    <row r="3172" s="20" customFormat="1" x14ac:dyDescent="0.2"/>
    <row r="3173" s="20" customFormat="1" x14ac:dyDescent="0.2"/>
    <row r="3174" s="20" customFormat="1" x14ac:dyDescent="0.2"/>
    <row r="3175" s="20" customFormat="1" x14ac:dyDescent="0.2"/>
    <row r="3176" s="20" customFormat="1" x14ac:dyDescent="0.2"/>
    <row r="3177" s="20" customFormat="1" x14ac:dyDescent="0.2"/>
    <row r="3178" s="20" customFormat="1" x14ac:dyDescent="0.2"/>
    <row r="3179" s="20" customFormat="1" x14ac:dyDescent="0.2"/>
    <row r="3180" s="20" customFormat="1" x14ac:dyDescent="0.2"/>
    <row r="3181" s="20" customFormat="1" x14ac:dyDescent="0.2"/>
    <row r="3182" s="20" customFormat="1" x14ac:dyDescent="0.2"/>
    <row r="3183" s="20" customFormat="1" x14ac:dyDescent="0.2"/>
    <row r="3184" s="20" customFormat="1" x14ac:dyDescent="0.2"/>
    <row r="3185" s="20" customFormat="1" x14ac:dyDescent="0.2"/>
    <row r="3186" s="20" customFormat="1" x14ac:dyDescent="0.2"/>
    <row r="3187" s="20" customFormat="1" x14ac:dyDescent="0.2"/>
    <row r="3188" s="20" customFormat="1" x14ac:dyDescent="0.2"/>
    <row r="3189" s="20" customFormat="1" x14ac:dyDescent="0.2"/>
    <row r="3190" s="20" customFormat="1" x14ac:dyDescent="0.2"/>
    <row r="3191" s="20" customFormat="1" x14ac:dyDescent="0.2"/>
    <row r="3192" s="20" customFormat="1" x14ac:dyDescent="0.2"/>
    <row r="3193" s="20" customFormat="1" x14ac:dyDescent="0.2"/>
    <row r="3194" s="20" customFormat="1" x14ac:dyDescent="0.2"/>
    <row r="3195" s="20" customFormat="1" x14ac:dyDescent="0.2"/>
    <row r="3196" s="20" customFormat="1" x14ac:dyDescent="0.2"/>
    <row r="3197" s="20" customFormat="1" x14ac:dyDescent="0.2"/>
    <row r="3198" s="20" customFormat="1" x14ac:dyDescent="0.2"/>
    <row r="3199" s="20" customFormat="1" x14ac:dyDescent="0.2"/>
    <row r="3200" s="20" customFormat="1" x14ac:dyDescent="0.2"/>
    <row r="3201" s="20" customFormat="1" x14ac:dyDescent="0.2"/>
    <row r="3202" s="20" customFormat="1" x14ac:dyDescent="0.2"/>
    <row r="3203" s="20" customFormat="1" x14ac:dyDescent="0.2"/>
    <row r="3204" s="20" customFormat="1" x14ac:dyDescent="0.2"/>
    <row r="3205" s="20" customFormat="1" x14ac:dyDescent="0.2"/>
    <row r="3206" s="20" customFormat="1" x14ac:dyDescent="0.2"/>
    <row r="3207" s="20" customFormat="1" x14ac:dyDescent="0.2"/>
    <row r="3208" s="20" customFormat="1" x14ac:dyDescent="0.2"/>
    <row r="3209" s="20" customFormat="1" x14ac:dyDescent="0.2"/>
    <row r="3210" s="20" customFormat="1" x14ac:dyDescent="0.2"/>
    <row r="3211" s="20" customFormat="1" x14ac:dyDescent="0.2"/>
    <row r="3212" s="20" customFormat="1" x14ac:dyDescent="0.2"/>
    <row r="3213" s="20" customFormat="1" x14ac:dyDescent="0.2"/>
    <row r="3214" s="20" customFormat="1" x14ac:dyDescent="0.2"/>
    <row r="3215" s="20" customFormat="1" x14ac:dyDescent="0.2"/>
    <row r="3216" s="20" customFormat="1" x14ac:dyDescent="0.2"/>
    <row r="3217" s="20" customFormat="1" x14ac:dyDescent="0.2"/>
    <row r="3218" s="20" customFormat="1" x14ac:dyDescent="0.2"/>
    <row r="3219" s="20" customFormat="1" x14ac:dyDescent="0.2"/>
    <row r="3220" s="20" customFormat="1" x14ac:dyDescent="0.2"/>
    <row r="3221" s="20" customFormat="1" x14ac:dyDescent="0.2"/>
    <row r="3222" s="20" customFormat="1" x14ac:dyDescent="0.2"/>
    <row r="3223" s="20" customFormat="1" x14ac:dyDescent="0.2"/>
    <row r="3224" s="20" customFormat="1" x14ac:dyDescent="0.2"/>
    <row r="3225" s="20" customFormat="1" x14ac:dyDescent="0.2"/>
    <row r="3226" s="20" customFormat="1" x14ac:dyDescent="0.2"/>
    <row r="3227" s="20" customFormat="1" x14ac:dyDescent="0.2"/>
    <row r="3228" s="20" customFormat="1" x14ac:dyDescent="0.2"/>
    <row r="3229" s="20" customFormat="1" x14ac:dyDescent="0.2"/>
    <row r="3230" s="20" customFormat="1" x14ac:dyDescent="0.2"/>
    <row r="3231" s="20" customFormat="1" x14ac:dyDescent="0.2"/>
    <row r="3232" s="20" customFormat="1" x14ac:dyDescent="0.2"/>
    <row r="3233" s="20" customFormat="1" x14ac:dyDescent="0.2"/>
    <row r="3234" s="20" customFormat="1" x14ac:dyDescent="0.2"/>
    <row r="3235" s="20" customFormat="1" x14ac:dyDescent="0.2"/>
    <row r="3236" s="20" customFormat="1" x14ac:dyDescent="0.2"/>
    <row r="3237" s="20" customFormat="1" x14ac:dyDescent="0.2"/>
    <row r="3238" s="20" customFormat="1" x14ac:dyDescent="0.2"/>
    <row r="3239" s="20" customFormat="1" x14ac:dyDescent="0.2"/>
    <row r="3240" s="20" customFormat="1" x14ac:dyDescent="0.2"/>
    <row r="3241" s="20" customFormat="1" x14ac:dyDescent="0.2"/>
    <row r="3242" s="20" customFormat="1" x14ac:dyDescent="0.2"/>
    <row r="3243" s="20" customFormat="1" x14ac:dyDescent="0.2"/>
    <row r="3244" s="20" customFormat="1" x14ac:dyDescent="0.2"/>
    <row r="3245" s="20" customFormat="1" x14ac:dyDescent="0.2"/>
    <row r="3246" s="20" customFormat="1" x14ac:dyDescent="0.2"/>
    <row r="3247" s="20" customFormat="1" x14ac:dyDescent="0.2"/>
    <row r="3248" s="20" customFormat="1" x14ac:dyDescent="0.2"/>
    <row r="3249" s="20" customFormat="1" x14ac:dyDescent="0.2"/>
    <row r="3250" s="20" customFormat="1" x14ac:dyDescent="0.2"/>
    <row r="3251" s="20" customFormat="1" x14ac:dyDescent="0.2"/>
    <row r="3252" s="20" customFormat="1" x14ac:dyDescent="0.2"/>
    <row r="3253" s="20" customFormat="1" x14ac:dyDescent="0.2"/>
    <row r="3254" s="20" customFormat="1" x14ac:dyDescent="0.2"/>
    <row r="3255" s="20" customFormat="1" x14ac:dyDescent="0.2"/>
    <row r="3256" s="20" customFormat="1" x14ac:dyDescent="0.2"/>
    <row r="3257" s="20" customFormat="1" x14ac:dyDescent="0.2"/>
    <row r="3258" s="20" customFormat="1" x14ac:dyDescent="0.2"/>
    <row r="3259" s="20" customFormat="1" x14ac:dyDescent="0.2"/>
    <row r="3260" s="20" customFormat="1" x14ac:dyDescent="0.2"/>
    <row r="3261" s="20" customFormat="1" x14ac:dyDescent="0.2"/>
    <row r="3262" s="20" customFormat="1" x14ac:dyDescent="0.2"/>
    <row r="3263" s="20" customFormat="1" x14ac:dyDescent="0.2"/>
    <row r="3264" s="20" customFormat="1" x14ac:dyDescent="0.2"/>
    <row r="3265" s="20" customFormat="1" x14ac:dyDescent="0.2"/>
    <row r="3266" s="20" customFormat="1" x14ac:dyDescent="0.2"/>
    <row r="3267" s="20" customFormat="1" x14ac:dyDescent="0.2"/>
    <row r="3268" s="20" customFormat="1" x14ac:dyDescent="0.2"/>
    <row r="3269" s="20" customFormat="1" x14ac:dyDescent="0.2"/>
    <row r="3270" s="20" customFormat="1" x14ac:dyDescent="0.2"/>
    <row r="3271" s="20" customFormat="1" x14ac:dyDescent="0.2"/>
    <row r="3272" s="20" customFormat="1" x14ac:dyDescent="0.2"/>
    <row r="3273" s="20" customFormat="1" x14ac:dyDescent="0.2"/>
    <row r="3274" s="20" customFormat="1" x14ac:dyDescent="0.2"/>
    <row r="3275" s="20" customFormat="1" x14ac:dyDescent="0.2"/>
    <row r="3276" s="20" customFormat="1" x14ac:dyDescent="0.2"/>
    <row r="3277" s="20" customFormat="1" x14ac:dyDescent="0.2"/>
    <row r="3278" s="20" customFormat="1" x14ac:dyDescent="0.2"/>
    <row r="3279" s="20" customFormat="1" x14ac:dyDescent="0.2"/>
    <row r="3280" s="20" customFormat="1" x14ac:dyDescent="0.2"/>
    <row r="3281" s="20" customFormat="1" x14ac:dyDescent="0.2"/>
    <row r="3282" s="20" customFormat="1" x14ac:dyDescent="0.2"/>
    <row r="3283" s="20" customFormat="1" x14ac:dyDescent="0.2"/>
    <row r="3284" s="20" customFormat="1" x14ac:dyDescent="0.2"/>
    <row r="3285" s="20" customFormat="1" x14ac:dyDescent="0.2"/>
    <row r="3286" s="20" customFormat="1" x14ac:dyDescent="0.2"/>
    <row r="3287" s="20" customFormat="1" x14ac:dyDescent="0.2"/>
    <row r="3288" s="20" customFormat="1" x14ac:dyDescent="0.2"/>
    <row r="3289" s="20" customFormat="1" x14ac:dyDescent="0.2"/>
    <row r="3290" s="20" customFormat="1" x14ac:dyDescent="0.2"/>
    <row r="3291" s="20" customFormat="1" x14ac:dyDescent="0.2"/>
    <row r="3292" s="20" customFormat="1" x14ac:dyDescent="0.2"/>
    <row r="3293" s="20" customFormat="1" x14ac:dyDescent="0.2"/>
    <row r="3294" s="20" customFormat="1" x14ac:dyDescent="0.2"/>
    <row r="3295" s="20" customFormat="1" x14ac:dyDescent="0.2"/>
    <row r="3296" s="20" customFormat="1" x14ac:dyDescent="0.2"/>
    <row r="3297" s="20" customFormat="1" x14ac:dyDescent="0.2"/>
    <row r="3298" s="20" customFormat="1" x14ac:dyDescent="0.2"/>
    <row r="3299" s="20" customFormat="1" x14ac:dyDescent="0.2"/>
    <row r="3300" s="20" customFormat="1" x14ac:dyDescent="0.2"/>
    <row r="3301" s="20" customFormat="1" x14ac:dyDescent="0.2"/>
    <row r="3302" s="20" customFormat="1" x14ac:dyDescent="0.2"/>
    <row r="3303" s="20" customFormat="1" x14ac:dyDescent="0.2"/>
    <row r="3304" s="20" customFormat="1" x14ac:dyDescent="0.2"/>
    <row r="3305" s="20" customFormat="1" x14ac:dyDescent="0.2"/>
    <row r="3306" s="20" customFormat="1" x14ac:dyDescent="0.2"/>
    <row r="3307" s="20" customFormat="1" x14ac:dyDescent="0.2"/>
    <row r="3308" s="20" customFormat="1" x14ac:dyDescent="0.2"/>
    <row r="3309" s="20" customFormat="1" x14ac:dyDescent="0.2"/>
    <row r="3310" s="20" customFormat="1" x14ac:dyDescent="0.2"/>
    <row r="3311" s="20" customFormat="1" x14ac:dyDescent="0.2"/>
    <row r="3312" s="20" customFormat="1" x14ac:dyDescent="0.2"/>
    <row r="3313" s="20" customFormat="1" x14ac:dyDescent="0.2"/>
    <row r="3314" s="20" customFormat="1" x14ac:dyDescent="0.2"/>
    <row r="3315" s="20" customFormat="1" x14ac:dyDescent="0.2"/>
    <row r="3316" s="20" customFormat="1" x14ac:dyDescent="0.2"/>
    <row r="3317" s="20" customFormat="1" x14ac:dyDescent="0.2"/>
    <row r="3318" s="20" customFormat="1" x14ac:dyDescent="0.2"/>
    <row r="3319" s="20" customFormat="1" x14ac:dyDescent="0.2"/>
    <row r="3320" s="20" customFormat="1" x14ac:dyDescent="0.2"/>
    <row r="3321" s="20" customFormat="1" x14ac:dyDescent="0.2"/>
    <row r="3322" s="20" customFormat="1" x14ac:dyDescent="0.2"/>
    <row r="3323" s="20" customFormat="1" x14ac:dyDescent="0.2"/>
    <row r="3324" s="20" customFormat="1" x14ac:dyDescent="0.2"/>
    <row r="3325" s="20" customFormat="1" x14ac:dyDescent="0.2"/>
    <row r="3326" s="20" customFormat="1" x14ac:dyDescent="0.2"/>
    <row r="3327" s="20" customFormat="1" x14ac:dyDescent="0.2"/>
    <row r="3328" s="20" customFormat="1" x14ac:dyDescent="0.2"/>
    <row r="3329" s="20" customFormat="1" x14ac:dyDescent="0.2"/>
    <row r="3330" s="20" customFormat="1" x14ac:dyDescent="0.2"/>
    <row r="3331" s="20" customFormat="1" x14ac:dyDescent="0.2"/>
    <row r="3332" s="20" customFormat="1" x14ac:dyDescent="0.2"/>
    <row r="3333" s="20" customFormat="1" x14ac:dyDescent="0.2"/>
    <row r="3334" s="20" customFormat="1" x14ac:dyDescent="0.2"/>
    <row r="3335" s="20" customFormat="1" x14ac:dyDescent="0.2"/>
    <row r="3336" s="20" customFormat="1" x14ac:dyDescent="0.2"/>
    <row r="3337" s="20" customFormat="1" x14ac:dyDescent="0.2"/>
    <row r="3338" s="20" customFormat="1" x14ac:dyDescent="0.2"/>
    <row r="3339" s="20" customFormat="1" x14ac:dyDescent="0.2"/>
    <row r="3340" s="20" customFormat="1" x14ac:dyDescent="0.2"/>
    <row r="3341" s="20" customFormat="1" x14ac:dyDescent="0.2"/>
    <row r="3342" s="20" customFormat="1" x14ac:dyDescent="0.2"/>
    <row r="3343" s="20" customFormat="1" x14ac:dyDescent="0.2"/>
    <row r="3344" s="20" customFormat="1" x14ac:dyDescent="0.2"/>
    <row r="3345" s="20" customFormat="1" x14ac:dyDescent="0.2"/>
    <row r="3346" s="20" customFormat="1" x14ac:dyDescent="0.2"/>
    <row r="3347" s="20" customFormat="1" x14ac:dyDescent="0.2"/>
    <row r="3348" s="20" customFormat="1" x14ac:dyDescent="0.2"/>
    <row r="3349" s="20" customFormat="1" x14ac:dyDescent="0.2"/>
    <row r="3350" s="20" customFormat="1" x14ac:dyDescent="0.2"/>
    <row r="3351" s="20" customFormat="1" x14ac:dyDescent="0.2"/>
    <row r="3352" s="20" customFormat="1" x14ac:dyDescent="0.2"/>
    <row r="3353" s="20" customFormat="1" x14ac:dyDescent="0.2"/>
    <row r="3354" s="20" customFormat="1" x14ac:dyDescent="0.2"/>
    <row r="3355" s="20" customFormat="1" x14ac:dyDescent="0.2"/>
    <row r="3356" s="20" customFormat="1" x14ac:dyDescent="0.2"/>
    <row r="3357" s="20" customFormat="1" x14ac:dyDescent="0.2"/>
    <row r="3358" s="20" customFormat="1" x14ac:dyDescent="0.2"/>
    <row r="3359" s="20" customFormat="1" x14ac:dyDescent="0.2"/>
    <row r="3360" s="20" customFormat="1" x14ac:dyDescent="0.2"/>
    <row r="3361" s="20" customFormat="1" x14ac:dyDescent="0.2"/>
    <row r="3362" s="20" customFormat="1" x14ac:dyDescent="0.2"/>
    <row r="3363" s="20" customFormat="1" x14ac:dyDescent="0.2"/>
    <row r="3364" s="20" customFormat="1" x14ac:dyDescent="0.2"/>
    <row r="3365" s="20" customFormat="1" x14ac:dyDescent="0.2"/>
    <row r="3366" s="20" customFormat="1" x14ac:dyDescent="0.2"/>
    <row r="3367" s="20" customFormat="1" x14ac:dyDescent="0.2"/>
    <row r="3368" s="20" customFormat="1" x14ac:dyDescent="0.2"/>
    <row r="3369" s="20" customFormat="1" x14ac:dyDescent="0.2"/>
    <row r="3370" s="20" customFormat="1" x14ac:dyDescent="0.2"/>
    <row r="3371" s="20" customFormat="1" x14ac:dyDescent="0.2"/>
    <row r="3372" s="20" customFormat="1" x14ac:dyDescent="0.2"/>
    <row r="3373" s="20" customFormat="1" x14ac:dyDescent="0.2"/>
    <row r="3374" s="20" customFormat="1" x14ac:dyDescent="0.2"/>
    <row r="3375" s="20" customFormat="1" x14ac:dyDescent="0.2"/>
    <row r="3376" s="20" customFormat="1" x14ac:dyDescent="0.2"/>
    <row r="3377" s="20" customFormat="1" x14ac:dyDescent="0.2"/>
    <row r="3378" s="20" customFormat="1" x14ac:dyDescent="0.2"/>
    <row r="3379" s="20" customFormat="1" x14ac:dyDescent="0.2"/>
    <row r="3380" s="20" customFormat="1" x14ac:dyDescent="0.2"/>
    <row r="3381" s="20" customFormat="1" x14ac:dyDescent="0.2"/>
    <row r="3382" s="20" customFormat="1" x14ac:dyDescent="0.2"/>
    <row r="3383" s="20" customFormat="1" x14ac:dyDescent="0.2"/>
    <row r="3384" s="20" customFormat="1" x14ac:dyDescent="0.2"/>
    <row r="3385" s="20" customFormat="1" x14ac:dyDescent="0.2"/>
    <row r="3386" s="20" customFormat="1" x14ac:dyDescent="0.2"/>
    <row r="3387" s="20" customFormat="1" x14ac:dyDescent="0.2"/>
    <row r="3388" s="20" customFormat="1" x14ac:dyDescent="0.2"/>
    <row r="3389" s="20" customFormat="1" x14ac:dyDescent="0.2"/>
    <row r="3390" s="20" customFormat="1" x14ac:dyDescent="0.2"/>
    <row r="3391" s="20" customFormat="1" x14ac:dyDescent="0.2"/>
    <row r="3392" s="20" customFormat="1" x14ac:dyDescent="0.2"/>
    <row r="3393" s="20" customFormat="1" x14ac:dyDescent="0.2"/>
    <row r="3394" s="20" customFormat="1" x14ac:dyDescent="0.2"/>
    <row r="3395" s="20" customFormat="1" x14ac:dyDescent="0.2"/>
    <row r="3396" s="20" customFormat="1" x14ac:dyDescent="0.2"/>
    <row r="3397" s="20" customFormat="1" x14ac:dyDescent="0.2"/>
    <row r="3398" s="20" customFormat="1" x14ac:dyDescent="0.2"/>
    <row r="3399" s="20" customFormat="1" x14ac:dyDescent="0.2"/>
    <row r="3400" s="20" customFormat="1" x14ac:dyDescent="0.2"/>
    <row r="3401" s="20" customFormat="1" x14ac:dyDescent="0.2"/>
    <row r="3402" s="20" customFormat="1" x14ac:dyDescent="0.2"/>
    <row r="3403" s="20" customFormat="1" x14ac:dyDescent="0.2"/>
    <row r="3404" s="20" customFormat="1" x14ac:dyDescent="0.2"/>
    <row r="3405" s="20" customFormat="1" x14ac:dyDescent="0.2"/>
    <row r="3406" s="20" customFormat="1" x14ac:dyDescent="0.2"/>
    <row r="3407" s="20" customFormat="1" x14ac:dyDescent="0.2"/>
    <row r="3408" s="20" customFormat="1" x14ac:dyDescent="0.2"/>
    <row r="3409" s="20" customFormat="1" x14ac:dyDescent="0.2"/>
    <row r="3410" s="20" customFormat="1" x14ac:dyDescent="0.2"/>
    <row r="3411" s="20" customFormat="1" x14ac:dyDescent="0.2"/>
    <row r="3412" s="20" customFormat="1" x14ac:dyDescent="0.2"/>
    <row r="3413" s="20" customFormat="1" x14ac:dyDescent="0.2"/>
    <row r="3414" s="20" customFormat="1" x14ac:dyDescent="0.2"/>
    <row r="3415" s="20" customFormat="1" x14ac:dyDescent="0.2"/>
    <row r="3416" s="20" customFormat="1" x14ac:dyDescent="0.2"/>
    <row r="3417" s="20" customFormat="1" x14ac:dyDescent="0.2"/>
    <row r="3418" s="20" customFormat="1" x14ac:dyDescent="0.2"/>
    <row r="3419" s="20" customFormat="1" x14ac:dyDescent="0.2"/>
    <row r="3420" s="20" customFormat="1" x14ac:dyDescent="0.2"/>
    <row r="3421" s="20" customFormat="1" x14ac:dyDescent="0.2"/>
    <row r="3422" s="20" customFormat="1" x14ac:dyDescent="0.2"/>
    <row r="3423" s="20" customFormat="1" x14ac:dyDescent="0.2"/>
    <row r="3424" s="20" customFormat="1" x14ac:dyDescent="0.2"/>
    <row r="3425" s="20" customFormat="1" x14ac:dyDescent="0.2"/>
    <row r="3426" s="20" customFormat="1" x14ac:dyDescent="0.2"/>
    <row r="3427" s="20" customFormat="1" x14ac:dyDescent="0.2"/>
    <row r="3428" s="20" customFormat="1" x14ac:dyDescent="0.2"/>
    <row r="3429" s="20" customFormat="1" x14ac:dyDescent="0.2"/>
    <row r="3430" s="20" customFormat="1" x14ac:dyDescent="0.2"/>
    <row r="3431" s="20" customFormat="1" x14ac:dyDescent="0.2"/>
    <row r="3432" s="20" customFormat="1" x14ac:dyDescent="0.2"/>
    <row r="3433" s="20" customFormat="1" x14ac:dyDescent="0.2"/>
    <row r="3434" s="20" customFormat="1" x14ac:dyDescent="0.2"/>
    <row r="3435" s="20" customFormat="1" x14ac:dyDescent="0.2"/>
    <row r="3436" s="20" customFormat="1" x14ac:dyDescent="0.2"/>
    <row r="3437" s="20" customFormat="1" x14ac:dyDescent="0.2"/>
    <row r="3438" s="20" customFormat="1" x14ac:dyDescent="0.2"/>
    <row r="3439" s="20" customFormat="1" x14ac:dyDescent="0.2"/>
    <row r="3440" s="20" customFormat="1" x14ac:dyDescent="0.2"/>
    <row r="3441" s="20" customFormat="1" x14ac:dyDescent="0.2"/>
    <row r="3442" s="20" customFormat="1" x14ac:dyDescent="0.2"/>
    <row r="3443" s="20" customFormat="1" x14ac:dyDescent="0.2"/>
    <row r="3444" s="20" customFormat="1" x14ac:dyDescent="0.2"/>
    <row r="3445" s="20" customFormat="1" x14ac:dyDescent="0.2"/>
    <row r="3446" s="20" customFormat="1" x14ac:dyDescent="0.2"/>
    <row r="3447" s="20" customFormat="1" x14ac:dyDescent="0.2"/>
    <row r="3448" s="20" customFormat="1" x14ac:dyDescent="0.2"/>
    <row r="3449" s="20" customFormat="1" x14ac:dyDescent="0.2"/>
    <row r="3450" s="20" customFormat="1" x14ac:dyDescent="0.2"/>
    <row r="3451" s="20" customFormat="1" x14ac:dyDescent="0.2"/>
    <row r="3452" s="20" customFormat="1" x14ac:dyDescent="0.2"/>
    <row r="3453" s="20" customFormat="1" x14ac:dyDescent="0.2"/>
    <row r="3454" s="20" customFormat="1" x14ac:dyDescent="0.2"/>
    <row r="3455" s="20" customFormat="1" x14ac:dyDescent="0.2"/>
    <row r="3456" s="20" customFormat="1" x14ac:dyDescent="0.2"/>
    <row r="3457" s="20" customFormat="1" x14ac:dyDescent="0.2"/>
    <row r="3458" s="20" customFormat="1" x14ac:dyDescent="0.2"/>
    <row r="3459" s="20" customFormat="1" x14ac:dyDescent="0.2"/>
    <row r="3460" s="20" customFormat="1" x14ac:dyDescent="0.2"/>
    <row r="3461" s="20" customFormat="1" x14ac:dyDescent="0.2"/>
    <row r="3462" s="20" customFormat="1" x14ac:dyDescent="0.2"/>
    <row r="3463" s="20" customFormat="1" x14ac:dyDescent="0.2"/>
    <row r="3464" s="20" customFormat="1" x14ac:dyDescent="0.2"/>
    <row r="3465" s="20" customFormat="1" x14ac:dyDescent="0.2"/>
    <row r="3466" s="20" customFormat="1" x14ac:dyDescent="0.2"/>
    <row r="3467" s="20" customFormat="1" x14ac:dyDescent="0.2"/>
    <row r="3468" s="20" customFormat="1" x14ac:dyDescent="0.2"/>
    <row r="3469" s="20" customFormat="1" x14ac:dyDescent="0.2"/>
    <row r="3470" s="20" customFormat="1" x14ac:dyDescent="0.2"/>
    <row r="3471" s="20" customFormat="1" x14ac:dyDescent="0.2"/>
    <row r="3472" s="20" customFormat="1" x14ac:dyDescent="0.2"/>
    <row r="3473" s="20" customFormat="1" x14ac:dyDescent="0.2"/>
    <row r="3474" s="20" customFormat="1" x14ac:dyDescent="0.2"/>
    <row r="3475" s="20" customFormat="1" x14ac:dyDescent="0.2"/>
    <row r="3476" s="20" customFormat="1" x14ac:dyDescent="0.2"/>
    <row r="3477" s="20" customFormat="1" x14ac:dyDescent="0.2"/>
    <row r="3478" s="20" customFormat="1" x14ac:dyDescent="0.2"/>
    <row r="3479" s="20" customFormat="1" x14ac:dyDescent="0.2"/>
    <row r="3480" s="20" customFormat="1" x14ac:dyDescent="0.2"/>
    <row r="3481" s="20" customFormat="1" x14ac:dyDescent="0.2"/>
    <row r="3482" s="20" customFormat="1" x14ac:dyDescent="0.2"/>
    <row r="3483" s="20" customFormat="1" x14ac:dyDescent="0.2"/>
    <row r="3484" s="20" customFormat="1" x14ac:dyDescent="0.2"/>
    <row r="3485" s="20" customFormat="1" x14ac:dyDescent="0.2"/>
    <row r="3486" s="20" customFormat="1" x14ac:dyDescent="0.2"/>
    <row r="3487" s="20" customFormat="1" x14ac:dyDescent="0.2"/>
    <row r="3488" s="20" customFormat="1" x14ac:dyDescent="0.2"/>
    <row r="3489" s="20" customFormat="1" x14ac:dyDescent="0.2"/>
    <row r="3490" s="20" customFormat="1" x14ac:dyDescent="0.2"/>
    <row r="3491" s="20" customFormat="1" x14ac:dyDescent="0.2"/>
    <row r="3492" s="20" customFormat="1" x14ac:dyDescent="0.2"/>
    <row r="3493" s="20" customFormat="1" x14ac:dyDescent="0.2"/>
    <row r="3494" s="20" customFormat="1" x14ac:dyDescent="0.2"/>
    <row r="3495" s="20" customFormat="1" x14ac:dyDescent="0.2"/>
    <row r="3496" s="20" customFormat="1" x14ac:dyDescent="0.2"/>
    <row r="3497" s="20" customFormat="1" x14ac:dyDescent="0.2"/>
    <row r="3498" s="20" customFormat="1" x14ac:dyDescent="0.2"/>
    <row r="3499" s="20" customFormat="1" x14ac:dyDescent="0.2"/>
    <row r="3500" s="20" customFormat="1" x14ac:dyDescent="0.2"/>
    <row r="3501" s="20" customFormat="1" x14ac:dyDescent="0.2"/>
    <row r="3502" s="20" customFormat="1" x14ac:dyDescent="0.2"/>
    <row r="3503" s="20" customFormat="1" x14ac:dyDescent="0.2"/>
    <row r="3504" s="20" customFormat="1" x14ac:dyDescent="0.2"/>
    <row r="3505" s="20" customFormat="1" x14ac:dyDescent="0.2"/>
    <row r="3506" s="20" customFormat="1" x14ac:dyDescent="0.2"/>
    <row r="3507" s="20" customFormat="1" x14ac:dyDescent="0.2"/>
    <row r="3508" s="20" customFormat="1" x14ac:dyDescent="0.2"/>
    <row r="3509" s="20" customFormat="1" x14ac:dyDescent="0.2"/>
    <row r="3510" s="20" customFormat="1" x14ac:dyDescent="0.2"/>
    <row r="3511" s="20" customFormat="1" x14ac:dyDescent="0.2"/>
    <row r="3512" s="20" customFormat="1" x14ac:dyDescent="0.2"/>
    <row r="3513" s="20" customFormat="1" x14ac:dyDescent="0.2"/>
    <row r="3514" s="20" customFormat="1" x14ac:dyDescent="0.2"/>
    <row r="3515" s="20" customFormat="1" x14ac:dyDescent="0.2"/>
    <row r="3516" s="20" customFormat="1" x14ac:dyDescent="0.2"/>
    <row r="3517" s="20" customFormat="1" x14ac:dyDescent="0.2"/>
    <row r="3518" s="20" customFormat="1" x14ac:dyDescent="0.2"/>
    <row r="3519" s="20" customFormat="1" x14ac:dyDescent="0.2"/>
    <row r="3520" s="20" customFormat="1" x14ac:dyDescent="0.2"/>
    <row r="3521" s="20" customFormat="1" x14ac:dyDescent="0.2"/>
    <row r="3522" s="20" customFormat="1" x14ac:dyDescent="0.2"/>
    <row r="3523" s="20" customFormat="1" x14ac:dyDescent="0.2"/>
    <row r="3524" s="20" customFormat="1" x14ac:dyDescent="0.2"/>
    <row r="3525" s="20" customFormat="1" x14ac:dyDescent="0.2"/>
    <row r="3526" s="20" customFormat="1" x14ac:dyDescent="0.2"/>
    <row r="3527" s="20" customFormat="1" x14ac:dyDescent="0.2"/>
    <row r="3528" s="20" customFormat="1" x14ac:dyDescent="0.2"/>
    <row r="3529" s="20" customFormat="1" x14ac:dyDescent="0.2"/>
    <row r="3530" s="20" customFormat="1" x14ac:dyDescent="0.2"/>
    <row r="3531" s="20" customFormat="1" x14ac:dyDescent="0.2"/>
    <row r="3532" s="20" customFormat="1" x14ac:dyDescent="0.2"/>
    <row r="3533" s="20" customFormat="1" x14ac:dyDescent="0.2"/>
    <row r="3534" s="20" customFormat="1" x14ac:dyDescent="0.2"/>
    <row r="3535" s="20" customFormat="1" x14ac:dyDescent="0.2"/>
    <row r="3536" s="20" customFormat="1" x14ac:dyDescent="0.2"/>
    <row r="3537" s="20" customFormat="1" x14ac:dyDescent="0.2"/>
    <row r="3538" s="20" customFormat="1" x14ac:dyDescent="0.2"/>
    <row r="3539" s="20" customFormat="1" x14ac:dyDescent="0.2"/>
    <row r="3540" s="20" customFormat="1" x14ac:dyDescent="0.2"/>
    <row r="3541" s="20" customFormat="1" x14ac:dyDescent="0.2"/>
    <row r="3542" s="20" customFormat="1" x14ac:dyDescent="0.2"/>
    <row r="3543" s="20" customFormat="1" x14ac:dyDescent="0.2"/>
    <row r="3544" s="20" customFormat="1" x14ac:dyDescent="0.2"/>
    <row r="3545" s="20" customFormat="1" x14ac:dyDescent="0.2"/>
    <row r="3546" s="20" customFormat="1" x14ac:dyDescent="0.2"/>
    <row r="3547" s="20" customFormat="1" x14ac:dyDescent="0.2"/>
    <row r="3548" s="20" customFormat="1" x14ac:dyDescent="0.2"/>
    <row r="3549" s="20" customFormat="1" x14ac:dyDescent="0.2"/>
    <row r="3550" s="20" customFormat="1" x14ac:dyDescent="0.2"/>
    <row r="3551" s="20" customFormat="1" x14ac:dyDescent="0.2"/>
    <row r="3552" s="20" customFormat="1" x14ac:dyDescent="0.2"/>
    <row r="3553" s="20" customFormat="1" x14ac:dyDescent="0.2"/>
    <row r="3554" s="20" customFormat="1" x14ac:dyDescent="0.2"/>
    <row r="3555" s="20" customFormat="1" x14ac:dyDescent="0.2"/>
    <row r="3556" s="20" customFormat="1" x14ac:dyDescent="0.2"/>
    <row r="3557" s="20" customFormat="1" x14ac:dyDescent="0.2"/>
    <row r="3558" s="20" customFormat="1" x14ac:dyDescent="0.2"/>
    <row r="3559" s="20" customFormat="1" x14ac:dyDescent="0.2"/>
    <row r="3560" s="20" customFormat="1" x14ac:dyDescent="0.2"/>
    <row r="3561" s="20" customFormat="1" x14ac:dyDescent="0.2"/>
    <row r="3562" s="20" customFormat="1" x14ac:dyDescent="0.2"/>
    <row r="3563" s="20" customFormat="1" x14ac:dyDescent="0.2"/>
    <row r="3564" s="20" customFormat="1" x14ac:dyDescent="0.2"/>
    <row r="3565" s="20" customFormat="1" x14ac:dyDescent="0.2"/>
    <row r="3566" s="20" customFormat="1" x14ac:dyDescent="0.2"/>
    <row r="3567" s="20" customFormat="1" x14ac:dyDescent="0.2"/>
    <row r="3568" s="20" customFormat="1" x14ac:dyDescent="0.2"/>
    <row r="3569" s="20" customFormat="1" x14ac:dyDescent="0.2"/>
    <row r="3570" s="20" customFormat="1" x14ac:dyDescent="0.2"/>
    <row r="3571" s="20" customFormat="1" x14ac:dyDescent="0.2"/>
    <row r="3572" s="20" customFormat="1" x14ac:dyDescent="0.2"/>
    <row r="3573" s="20" customFormat="1" x14ac:dyDescent="0.2"/>
    <row r="3574" s="20" customFormat="1" x14ac:dyDescent="0.2"/>
    <row r="3575" s="20" customFormat="1" x14ac:dyDescent="0.2"/>
    <row r="3576" s="20" customFormat="1" x14ac:dyDescent="0.2"/>
    <row r="3577" s="20" customFormat="1" x14ac:dyDescent="0.2"/>
    <row r="3578" s="20" customFormat="1" x14ac:dyDescent="0.2"/>
    <row r="3579" s="20" customFormat="1" x14ac:dyDescent="0.2"/>
    <row r="3580" s="20" customFormat="1" x14ac:dyDescent="0.2"/>
    <row r="3581" s="20" customFormat="1" x14ac:dyDescent="0.2"/>
    <row r="3582" s="20" customFormat="1" x14ac:dyDescent="0.2"/>
    <row r="3583" s="20" customFormat="1" x14ac:dyDescent="0.2"/>
    <row r="3584" s="20" customFormat="1" x14ac:dyDescent="0.2"/>
    <row r="3585" s="20" customFormat="1" x14ac:dyDescent="0.2"/>
    <row r="3586" s="20" customFormat="1" x14ac:dyDescent="0.2"/>
    <row r="3587" s="20" customFormat="1" x14ac:dyDescent="0.2"/>
    <row r="3588" s="20" customFormat="1" x14ac:dyDescent="0.2"/>
    <row r="3589" s="20" customFormat="1" x14ac:dyDescent="0.2"/>
    <row r="3590" s="20" customFormat="1" x14ac:dyDescent="0.2"/>
    <row r="3591" s="20" customFormat="1" x14ac:dyDescent="0.2"/>
    <row r="3592" s="20" customFormat="1" x14ac:dyDescent="0.2"/>
    <row r="3593" s="20" customFormat="1" x14ac:dyDescent="0.2"/>
    <row r="3594" s="20" customFormat="1" x14ac:dyDescent="0.2"/>
    <row r="3595" s="20" customFormat="1" x14ac:dyDescent="0.2"/>
    <row r="3596" s="20" customFormat="1" x14ac:dyDescent="0.2"/>
    <row r="3597" s="20" customFormat="1" x14ac:dyDescent="0.2"/>
    <row r="3598" s="20" customFormat="1" x14ac:dyDescent="0.2"/>
    <row r="3599" s="20" customFormat="1" x14ac:dyDescent="0.2"/>
    <row r="3600" s="20" customFormat="1" x14ac:dyDescent="0.2"/>
    <row r="3601" s="20" customFormat="1" x14ac:dyDescent="0.2"/>
    <row r="3602" s="20" customFormat="1" x14ac:dyDescent="0.2"/>
    <row r="3603" s="20" customFormat="1" x14ac:dyDescent="0.2"/>
    <row r="3604" s="20" customFormat="1" x14ac:dyDescent="0.2"/>
    <row r="3605" s="20" customFormat="1" x14ac:dyDescent="0.2"/>
    <row r="3606" s="20" customFormat="1" x14ac:dyDescent="0.2"/>
    <row r="3607" s="20" customFormat="1" x14ac:dyDescent="0.2"/>
    <row r="3608" s="20" customFormat="1" x14ac:dyDescent="0.2"/>
    <row r="3609" s="20" customFormat="1" x14ac:dyDescent="0.2"/>
    <row r="3610" s="20" customFormat="1" x14ac:dyDescent="0.2"/>
    <row r="3611" s="20" customFormat="1" x14ac:dyDescent="0.2"/>
    <row r="3612" s="20" customFormat="1" x14ac:dyDescent="0.2"/>
    <row r="3613" s="20" customFormat="1" x14ac:dyDescent="0.2"/>
    <row r="3614" s="20" customFormat="1" x14ac:dyDescent="0.2"/>
    <row r="3615" s="20" customFormat="1" x14ac:dyDescent="0.2"/>
    <row r="3616" s="20" customFormat="1" x14ac:dyDescent="0.2"/>
    <row r="3617" s="20" customFormat="1" x14ac:dyDescent="0.2"/>
    <row r="3618" s="20" customFormat="1" x14ac:dyDescent="0.2"/>
    <row r="3619" s="20" customFormat="1" x14ac:dyDescent="0.2"/>
    <row r="3620" s="20" customFormat="1" x14ac:dyDescent="0.2"/>
    <row r="3621" s="20" customFormat="1" x14ac:dyDescent="0.2"/>
    <row r="3622" s="20" customFormat="1" x14ac:dyDescent="0.2"/>
    <row r="3623" s="20" customFormat="1" x14ac:dyDescent="0.2"/>
    <row r="3624" s="20" customFormat="1" x14ac:dyDescent="0.2"/>
    <row r="3625" s="20" customFormat="1" x14ac:dyDescent="0.2"/>
    <row r="3626" s="20" customFormat="1" x14ac:dyDescent="0.2"/>
    <row r="3627" s="20" customFormat="1" x14ac:dyDescent="0.2"/>
    <row r="3628" s="20" customFormat="1" x14ac:dyDescent="0.2"/>
    <row r="3629" s="20" customFormat="1" x14ac:dyDescent="0.2"/>
    <row r="3630" s="20" customFormat="1" x14ac:dyDescent="0.2"/>
    <row r="3631" s="20" customFormat="1" x14ac:dyDescent="0.2"/>
    <row r="3632" s="20" customFormat="1" x14ac:dyDescent="0.2"/>
    <row r="3633" s="20" customFormat="1" x14ac:dyDescent="0.2"/>
    <row r="3634" s="20" customFormat="1" x14ac:dyDescent="0.2"/>
    <row r="3635" s="20" customFormat="1" x14ac:dyDescent="0.2"/>
    <row r="3636" s="20" customFormat="1" x14ac:dyDescent="0.2"/>
    <row r="3637" s="20" customFormat="1" x14ac:dyDescent="0.2"/>
    <row r="3638" s="20" customFormat="1" x14ac:dyDescent="0.2"/>
    <row r="3639" s="20" customFormat="1" x14ac:dyDescent="0.2"/>
    <row r="3640" s="20" customFormat="1" x14ac:dyDescent="0.2"/>
    <row r="3641" s="20" customFormat="1" x14ac:dyDescent="0.2"/>
    <row r="3642" s="20" customFormat="1" x14ac:dyDescent="0.2"/>
    <row r="3643" s="20" customFormat="1" x14ac:dyDescent="0.2"/>
    <row r="3644" s="20" customFormat="1" x14ac:dyDescent="0.2"/>
    <row r="3645" s="20" customFormat="1" x14ac:dyDescent="0.2"/>
    <row r="3646" s="20" customFormat="1" x14ac:dyDescent="0.2"/>
    <row r="3647" s="20" customFormat="1" x14ac:dyDescent="0.2"/>
    <row r="3648" s="20" customFormat="1" x14ac:dyDescent="0.2"/>
    <row r="3649" s="20" customFormat="1" x14ac:dyDescent="0.2"/>
    <row r="3650" s="20" customFormat="1" x14ac:dyDescent="0.2"/>
    <row r="3651" s="20" customFormat="1" x14ac:dyDescent="0.2"/>
    <row r="3652" s="20" customFormat="1" x14ac:dyDescent="0.2"/>
    <row r="3653" s="20" customFormat="1" x14ac:dyDescent="0.2"/>
    <row r="3654" s="20" customFormat="1" x14ac:dyDescent="0.2"/>
    <row r="3655" s="20" customFormat="1" x14ac:dyDescent="0.2"/>
    <row r="3656" s="20" customFormat="1" x14ac:dyDescent="0.2"/>
    <row r="3657" s="20" customFormat="1" x14ac:dyDescent="0.2"/>
    <row r="3658" s="20" customFormat="1" x14ac:dyDescent="0.2"/>
    <row r="3659" s="20" customFormat="1" x14ac:dyDescent="0.2"/>
    <row r="3660" s="20" customFormat="1" x14ac:dyDescent="0.2"/>
    <row r="3661" s="20" customFormat="1" x14ac:dyDescent="0.2"/>
    <row r="3662" s="20" customFormat="1" x14ac:dyDescent="0.2"/>
    <row r="3663" s="20" customFormat="1" x14ac:dyDescent="0.2"/>
    <row r="3664" s="20" customFormat="1" x14ac:dyDescent="0.2"/>
    <row r="3665" s="20" customFormat="1" x14ac:dyDescent="0.2"/>
    <row r="3666" s="20" customFormat="1" x14ac:dyDescent="0.2"/>
    <row r="3667" s="20" customFormat="1" x14ac:dyDescent="0.2"/>
    <row r="3668" s="20" customFormat="1" x14ac:dyDescent="0.2"/>
    <row r="3669" s="20" customFormat="1" x14ac:dyDescent="0.2"/>
    <row r="3670" s="20" customFormat="1" x14ac:dyDescent="0.2"/>
    <row r="3671" s="20" customFormat="1" x14ac:dyDescent="0.2"/>
    <row r="3672" s="20" customFormat="1" x14ac:dyDescent="0.2"/>
    <row r="3673" s="20" customFormat="1" x14ac:dyDescent="0.2"/>
    <row r="3674" s="20" customFormat="1" x14ac:dyDescent="0.2"/>
    <row r="3675" s="20" customFormat="1" x14ac:dyDescent="0.2"/>
    <row r="3676" s="20" customFormat="1" x14ac:dyDescent="0.2"/>
    <row r="3677" s="20" customFormat="1" x14ac:dyDescent="0.2"/>
    <row r="3678" s="20" customFormat="1" x14ac:dyDescent="0.2"/>
    <row r="3679" s="20" customFormat="1" x14ac:dyDescent="0.2"/>
    <row r="3680" s="20" customFormat="1" x14ac:dyDescent="0.2"/>
    <row r="3681" s="20" customFormat="1" x14ac:dyDescent="0.2"/>
    <row r="3682" s="20" customFormat="1" x14ac:dyDescent="0.2"/>
    <row r="3683" s="20" customFormat="1" x14ac:dyDescent="0.2"/>
    <row r="3684" s="20" customFormat="1" x14ac:dyDescent="0.2"/>
    <row r="3685" s="20" customFormat="1" x14ac:dyDescent="0.2"/>
    <row r="3686" s="20" customFormat="1" x14ac:dyDescent="0.2"/>
    <row r="3687" s="20" customFormat="1" x14ac:dyDescent="0.2"/>
    <row r="3688" s="20" customFormat="1" x14ac:dyDescent="0.2"/>
    <row r="3689" s="20" customFormat="1" x14ac:dyDescent="0.2"/>
    <row r="3690" s="20" customFormat="1" x14ac:dyDescent="0.2"/>
    <row r="3691" s="20" customFormat="1" x14ac:dyDescent="0.2"/>
    <row r="3692" s="20" customFormat="1" x14ac:dyDescent="0.2"/>
    <row r="3693" s="20" customFormat="1" x14ac:dyDescent="0.2"/>
    <row r="3694" s="20" customFormat="1" x14ac:dyDescent="0.2"/>
    <row r="3695" s="20" customFormat="1" x14ac:dyDescent="0.2"/>
    <row r="3696" s="20" customFormat="1" x14ac:dyDescent="0.2"/>
    <row r="3697" s="20" customFormat="1" x14ac:dyDescent="0.2"/>
    <row r="3698" s="20" customFormat="1" x14ac:dyDescent="0.2"/>
    <row r="3699" s="20" customFormat="1" x14ac:dyDescent="0.2"/>
    <row r="3700" s="20" customFormat="1" x14ac:dyDescent="0.2"/>
    <row r="3701" s="20" customFormat="1" x14ac:dyDescent="0.2"/>
    <row r="3702" s="20" customFormat="1" x14ac:dyDescent="0.2"/>
    <row r="3703" s="20" customFormat="1" x14ac:dyDescent="0.2"/>
    <row r="3704" s="20" customFormat="1" x14ac:dyDescent="0.2"/>
    <row r="3705" s="20" customFormat="1" x14ac:dyDescent="0.2"/>
    <row r="3706" s="20" customFormat="1" x14ac:dyDescent="0.2"/>
    <row r="3707" s="20" customFormat="1" x14ac:dyDescent="0.2"/>
    <row r="3708" s="20" customFormat="1" x14ac:dyDescent="0.2"/>
    <row r="3709" s="20" customFormat="1" x14ac:dyDescent="0.2"/>
    <row r="3710" s="20" customFormat="1" x14ac:dyDescent="0.2"/>
    <row r="3711" s="20" customFormat="1" x14ac:dyDescent="0.2"/>
    <row r="3712" s="20" customFormat="1" x14ac:dyDescent="0.2"/>
    <row r="3713" s="20" customFormat="1" x14ac:dyDescent="0.2"/>
    <row r="3714" s="20" customFormat="1" x14ac:dyDescent="0.2"/>
    <row r="3715" s="20" customFormat="1" x14ac:dyDescent="0.2"/>
    <row r="3716" s="20" customFormat="1" x14ac:dyDescent="0.2"/>
    <row r="3717" s="20" customFormat="1" x14ac:dyDescent="0.2"/>
    <row r="3718" s="20" customFormat="1" x14ac:dyDescent="0.2"/>
    <row r="3719" s="20" customFormat="1" x14ac:dyDescent="0.2"/>
    <row r="3720" s="20" customFormat="1" x14ac:dyDescent="0.2"/>
    <row r="3721" s="20" customFormat="1" x14ac:dyDescent="0.2"/>
    <row r="3722" s="20" customFormat="1" x14ac:dyDescent="0.2"/>
    <row r="3723" s="20" customFormat="1" x14ac:dyDescent="0.2"/>
    <row r="3724" s="20" customFormat="1" x14ac:dyDescent="0.2"/>
    <row r="3725" s="20" customFormat="1" x14ac:dyDescent="0.2"/>
    <row r="3726" s="20" customFormat="1" x14ac:dyDescent="0.2"/>
    <row r="3727" s="20" customFormat="1" x14ac:dyDescent="0.2"/>
    <row r="3728" s="20" customFormat="1" x14ac:dyDescent="0.2"/>
    <row r="3729" s="20" customFormat="1" x14ac:dyDescent="0.2"/>
    <row r="3730" s="20" customFormat="1" x14ac:dyDescent="0.2"/>
    <row r="3731" s="20" customFormat="1" x14ac:dyDescent="0.2"/>
    <row r="3732" s="20" customFormat="1" x14ac:dyDescent="0.2"/>
    <row r="3733" s="20" customFormat="1" x14ac:dyDescent="0.2"/>
    <row r="3734" s="20" customFormat="1" x14ac:dyDescent="0.2"/>
    <row r="3735" s="20" customFormat="1" x14ac:dyDescent="0.2"/>
    <row r="3736" s="20" customFormat="1" x14ac:dyDescent="0.2"/>
    <row r="3737" s="20" customFormat="1" x14ac:dyDescent="0.2"/>
    <row r="3738" s="20" customFormat="1" x14ac:dyDescent="0.2"/>
    <row r="3739" s="20" customFormat="1" x14ac:dyDescent="0.2"/>
    <row r="3740" s="20" customFormat="1" x14ac:dyDescent="0.2"/>
    <row r="3741" s="20" customFormat="1" x14ac:dyDescent="0.2"/>
    <row r="3742" s="20" customFormat="1" x14ac:dyDescent="0.2"/>
    <row r="3743" s="20" customFormat="1" x14ac:dyDescent="0.2"/>
    <row r="3744" s="20" customFormat="1" x14ac:dyDescent="0.2"/>
    <row r="3745" s="20" customFormat="1" x14ac:dyDescent="0.2"/>
    <row r="3746" s="20" customFormat="1" x14ac:dyDescent="0.2"/>
    <row r="3747" s="20" customFormat="1" x14ac:dyDescent="0.2"/>
    <row r="3748" s="20" customFormat="1" x14ac:dyDescent="0.2"/>
    <row r="3749" s="20" customFormat="1" x14ac:dyDescent="0.2"/>
    <row r="3750" s="20" customFormat="1" x14ac:dyDescent="0.2"/>
    <row r="3751" s="20" customFormat="1" x14ac:dyDescent="0.2"/>
    <row r="3752" s="20" customFormat="1" x14ac:dyDescent="0.2"/>
    <row r="3753" s="20" customFormat="1" x14ac:dyDescent="0.2"/>
    <row r="3754" s="20" customFormat="1" x14ac:dyDescent="0.2"/>
    <row r="3755" s="20" customFormat="1" x14ac:dyDescent="0.2"/>
    <row r="3756" s="20" customFormat="1" x14ac:dyDescent="0.2"/>
    <row r="3757" s="20" customFormat="1" x14ac:dyDescent="0.2"/>
    <row r="3758" s="20" customFormat="1" x14ac:dyDescent="0.2"/>
    <row r="3759" s="20" customFormat="1" x14ac:dyDescent="0.2"/>
    <row r="3760" s="20" customFormat="1" x14ac:dyDescent="0.2"/>
    <row r="3761" s="20" customFormat="1" x14ac:dyDescent="0.2"/>
    <row r="3762" s="20" customFormat="1" x14ac:dyDescent="0.2"/>
    <row r="3763" s="20" customFormat="1" x14ac:dyDescent="0.2"/>
    <row r="3764" s="20" customFormat="1" x14ac:dyDescent="0.2"/>
    <row r="3765" s="20" customFormat="1" x14ac:dyDescent="0.2"/>
    <row r="3766" s="20" customFormat="1" x14ac:dyDescent="0.2"/>
    <row r="3767" s="20" customFormat="1" x14ac:dyDescent="0.2"/>
    <row r="3768" s="20" customFormat="1" x14ac:dyDescent="0.2"/>
    <row r="3769" s="20" customFormat="1" x14ac:dyDescent="0.2"/>
    <row r="3770" s="20" customFormat="1" x14ac:dyDescent="0.2"/>
    <row r="3771" s="20" customFormat="1" x14ac:dyDescent="0.2"/>
    <row r="3772" s="20" customFormat="1" x14ac:dyDescent="0.2"/>
    <row r="3773" s="20" customFormat="1" x14ac:dyDescent="0.2"/>
    <row r="3774" s="20" customFormat="1" x14ac:dyDescent="0.2"/>
    <row r="3775" s="20" customFormat="1" x14ac:dyDescent="0.2"/>
    <row r="3776" s="20" customFormat="1" x14ac:dyDescent="0.2"/>
    <row r="3777" s="20" customFormat="1" x14ac:dyDescent="0.2"/>
    <row r="3778" s="20" customFormat="1" x14ac:dyDescent="0.2"/>
    <row r="3779" s="20" customFormat="1" x14ac:dyDescent="0.2"/>
    <row r="3780" s="20" customFormat="1" x14ac:dyDescent="0.2"/>
    <row r="3781" s="20" customFormat="1" x14ac:dyDescent="0.2"/>
    <row r="3782" s="20" customFormat="1" x14ac:dyDescent="0.2"/>
    <row r="3783" s="20" customFormat="1" x14ac:dyDescent="0.2"/>
    <row r="3784" s="20" customFormat="1" x14ac:dyDescent="0.2"/>
    <row r="3785" s="20" customFormat="1" x14ac:dyDescent="0.2"/>
    <row r="3786" s="20" customFormat="1" x14ac:dyDescent="0.2"/>
    <row r="3787" s="20" customFormat="1" x14ac:dyDescent="0.2"/>
    <row r="3788" s="20" customFormat="1" x14ac:dyDescent="0.2"/>
    <row r="3789" s="20" customFormat="1" x14ac:dyDescent="0.2"/>
    <row r="3790" s="20" customFormat="1" x14ac:dyDescent="0.2"/>
    <row r="3791" s="20" customFormat="1" x14ac:dyDescent="0.2"/>
    <row r="3792" s="20" customFormat="1" x14ac:dyDescent="0.2"/>
    <row r="3793" s="20" customFormat="1" x14ac:dyDescent="0.2"/>
    <row r="3794" s="20" customFormat="1" x14ac:dyDescent="0.2"/>
    <row r="3795" s="20" customFormat="1" x14ac:dyDescent="0.2"/>
    <row r="3796" s="20" customFormat="1" x14ac:dyDescent="0.2"/>
    <row r="3797" s="20" customFormat="1" x14ac:dyDescent="0.2"/>
    <row r="3798" s="20" customFormat="1" x14ac:dyDescent="0.2"/>
    <row r="3799" s="20" customFormat="1" x14ac:dyDescent="0.2"/>
    <row r="3800" s="20" customFormat="1" x14ac:dyDescent="0.2"/>
    <row r="3801" s="20" customFormat="1" x14ac:dyDescent="0.2"/>
    <row r="3802" s="20" customFormat="1" x14ac:dyDescent="0.2"/>
    <row r="3803" s="20" customFormat="1" x14ac:dyDescent="0.2"/>
    <row r="3804" s="20" customFormat="1" x14ac:dyDescent="0.2"/>
    <row r="3805" s="20" customFormat="1" x14ac:dyDescent="0.2"/>
    <row r="3806" s="20" customFormat="1" x14ac:dyDescent="0.2"/>
    <row r="3807" s="20" customFormat="1" x14ac:dyDescent="0.2"/>
    <row r="3808" s="20" customFormat="1" x14ac:dyDescent="0.2"/>
    <row r="3809" s="20" customFormat="1" x14ac:dyDescent="0.2"/>
    <row r="3810" s="20" customFormat="1" x14ac:dyDescent="0.2"/>
    <row r="3811" s="20" customFormat="1" x14ac:dyDescent="0.2"/>
    <row r="3812" s="20" customFormat="1" x14ac:dyDescent="0.2"/>
    <row r="3813" s="20" customFormat="1" x14ac:dyDescent="0.2"/>
    <row r="3814" s="20" customFormat="1" x14ac:dyDescent="0.2"/>
    <row r="3815" s="20" customFormat="1" x14ac:dyDescent="0.2"/>
    <row r="3816" s="20" customFormat="1" x14ac:dyDescent="0.2"/>
    <row r="3817" s="20" customFormat="1" x14ac:dyDescent="0.2"/>
    <row r="3818" s="20" customFormat="1" x14ac:dyDescent="0.2"/>
    <row r="3819" s="20" customFormat="1" x14ac:dyDescent="0.2"/>
    <row r="3820" s="20" customFormat="1" x14ac:dyDescent="0.2"/>
    <row r="3821" s="20" customFormat="1" x14ac:dyDescent="0.2"/>
    <row r="3822" s="20" customFormat="1" x14ac:dyDescent="0.2"/>
    <row r="3823" s="20" customFormat="1" x14ac:dyDescent="0.2"/>
    <row r="3824" s="20" customFormat="1" x14ac:dyDescent="0.2"/>
    <row r="3825" s="20" customFormat="1" x14ac:dyDescent="0.2"/>
    <row r="3826" s="20" customFormat="1" x14ac:dyDescent="0.2"/>
    <row r="3827" s="20" customFormat="1" x14ac:dyDescent="0.2"/>
    <row r="3828" s="20" customFormat="1" x14ac:dyDescent="0.2"/>
    <row r="3829" s="20" customFormat="1" x14ac:dyDescent="0.2"/>
    <row r="3830" s="20" customFormat="1" x14ac:dyDescent="0.2"/>
    <row r="3831" s="20" customFormat="1" x14ac:dyDescent="0.2"/>
    <row r="3832" s="20" customFormat="1" x14ac:dyDescent="0.2"/>
    <row r="3833" s="20" customFormat="1" x14ac:dyDescent="0.2"/>
    <row r="3834" s="20" customFormat="1" x14ac:dyDescent="0.2"/>
    <row r="3835" s="20" customFormat="1" x14ac:dyDescent="0.2"/>
    <row r="3836" s="20" customFormat="1" x14ac:dyDescent="0.2"/>
    <row r="3837" s="20" customFormat="1" x14ac:dyDescent="0.2"/>
    <row r="3838" s="20" customFormat="1" x14ac:dyDescent="0.2"/>
    <row r="3839" s="20" customFormat="1" x14ac:dyDescent="0.2"/>
    <row r="3840" s="20" customFormat="1" x14ac:dyDescent="0.2"/>
    <row r="3841" s="20" customFormat="1" x14ac:dyDescent="0.2"/>
    <row r="3842" s="20" customFormat="1" x14ac:dyDescent="0.2"/>
    <row r="3843" s="20" customFormat="1" x14ac:dyDescent="0.2"/>
    <row r="3844" s="20" customFormat="1" x14ac:dyDescent="0.2"/>
    <row r="3845" s="20" customFormat="1" x14ac:dyDescent="0.2"/>
    <row r="3846" s="20" customFormat="1" x14ac:dyDescent="0.2"/>
    <row r="3847" s="20" customFormat="1" x14ac:dyDescent="0.2"/>
    <row r="3848" s="20" customFormat="1" x14ac:dyDescent="0.2"/>
    <row r="3849" s="20" customFormat="1" x14ac:dyDescent="0.2"/>
    <row r="3850" s="20" customFormat="1" x14ac:dyDescent="0.2"/>
    <row r="3851" s="20" customFormat="1" x14ac:dyDescent="0.2"/>
    <row r="3852" s="20" customFormat="1" x14ac:dyDescent="0.2"/>
    <row r="3853" s="20" customFormat="1" x14ac:dyDescent="0.2"/>
    <row r="3854" s="20" customFormat="1" x14ac:dyDescent="0.2"/>
    <row r="3855" s="20" customFormat="1" x14ac:dyDescent="0.2"/>
    <row r="3856" s="20" customFormat="1" x14ac:dyDescent="0.2"/>
    <row r="3857" s="20" customFormat="1" x14ac:dyDescent="0.2"/>
    <row r="3858" s="20" customFormat="1" x14ac:dyDescent="0.2"/>
    <row r="3859" s="20" customFormat="1" x14ac:dyDescent="0.2"/>
    <row r="3860" s="20" customFormat="1" x14ac:dyDescent="0.2"/>
    <row r="3861" s="20" customFormat="1" x14ac:dyDescent="0.2"/>
    <row r="3862" s="20" customFormat="1" x14ac:dyDescent="0.2"/>
    <row r="3863" s="20" customFormat="1" x14ac:dyDescent="0.2"/>
    <row r="3864" s="20" customFormat="1" x14ac:dyDescent="0.2"/>
    <row r="3865" s="20" customFormat="1" x14ac:dyDescent="0.2"/>
    <row r="3866" s="20" customFormat="1" x14ac:dyDescent="0.2"/>
    <row r="3867" s="20" customFormat="1" x14ac:dyDescent="0.2"/>
    <row r="3868" s="20" customFormat="1" x14ac:dyDescent="0.2"/>
    <row r="3869" s="20" customFormat="1" x14ac:dyDescent="0.2"/>
    <row r="3870" s="20" customFormat="1" x14ac:dyDescent="0.2"/>
    <row r="3871" s="20" customFormat="1" x14ac:dyDescent="0.2"/>
    <row r="3872" s="20" customFormat="1" x14ac:dyDescent="0.2"/>
    <row r="3873" s="20" customFormat="1" x14ac:dyDescent="0.2"/>
    <row r="3874" s="20" customFormat="1" x14ac:dyDescent="0.2"/>
    <row r="3875" s="20" customFormat="1" x14ac:dyDescent="0.2"/>
    <row r="3876" s="20" customFormat="1" x14ac:dyDescent="0.2"/>
    <row r="3877" s="20" customFormat="1" x14ac:dyDescent="0.2"/>
    <row r="3878" s="20" customFormat="1" x14ac:dyDescent="0.2"/>
    <row r="3879" s="20" customFormat="1" x14ac:dyDescent="0.2"/>
    <row r="3880" s="20" customFormat="1" x14ac:dyDescent="0.2"/>
    <row r="3881" s="20" customFormat="1" x14ac:dyDescent="0.2"/>
    <row r="3882" s="20" customFormat="1" x14ac:dyDescent="0.2"/>
    <row r="3883" s="20" customFormat="1" x14ac:dyDescent="0.2"/>
    <row r="3884" s="20" customFormat="1" x14ac:dyDescent="0.2"/>
    <row r="3885" s="20" customFormat="1" x14ac:dyDescent="0.2"/>
    <row r="3886" s="20" customFormat="1" x14ac:dyDescent="0.2"/>
    <row r="3887" s="20" customFormat="1" x14ac:dyDescent="0.2"/>
    <row r="3888" s="20" customFormat="1" x14ac:dyDescent="0.2"/>
    <row r="3889" s="20" customFormat="1" x14ac:dyDescent="0.2"/>
    <row r="3890" s="20" customFormat="1" x14ac:dyDescent="0.2"/>
    <row r="3891" s="20" customFormat="1" x14ac:dyDescent="0.2"/>
    <row r="3892" s="20" customFormat="1" x14ac:dyDescent="0.2"/>
    <row r="3893" s="20" customFormat="1" x14ac:dyDescent="0.2"/>
    <row r="3894" s="20" customFormat="1" x14ac:dyDescent="0.2"/>
    <row r="3895" s="20" customFormat="1" x14ac:dyDescent="0.2"/>
    <row r="3896" s="20" customFormat="1" x14ac:dyDescent="0.2"/>
    <row r="3897" s="20" customFormat="1" x14ac:dyDescent="0.2"/>
    <row r="3898" s="20" customFormat="1" x14ac:dyDescent="0.2"/>
    <row r="3899" s="20" customFormat="1" x14ac:dyDescent="0.2"/>
    <row r="3900" s="20" customFormat="1" x14ac:dyDescent="0.2"/>
    <row r="3901" s="20" customFormat="1" x14ac:dyDescent="0.2"/>
    <row r="3902" s="20" customFormat="1" x14ac:dyDescent="0.2"/>
    <row r="3903" s="20" customFormat="1" x14ac:dyDescent="0.2"/>
    <row r="3904" s="20" customFormat="1" x14ac:dyDescent="0.2"/>
    <row r="3905" s="20" customFormat="1" x14ac:dyDescent="0.2"/>
    <row r="3906" s="20" customFormat="1" x14ac:dyDescent="0.2"/>
    <row r="3907" s="20" customFormat="1" x14ac:dyDescent="0.2"/>
    <row r="3908" s="20" customFormat="1" x14ac:dyDescent="0.2"/>
    <row r="3909" s="20" customFormat="1" x14ac:dyDescent="0.2"/>
    <row r="3910" s="20" customFormat="1" x14ac:dyDescent="0.2"/>
    <row r="3911" s="20" customFormat="1" x14ac:dyDescent="0.2"/>
    <row r="3912" s="20" customFormat="1" x14ac:dyDescent="0.2"/>
    <row r="3913" s="20" customFormat="1" x14ac:dyDescent="0.2"/>
    <row r="3914" s="20" customFormat="1" x14ac:dyDescent="0.2"/>
    <row r="3915" s="20" customFormat="1" x14ac:dyDescent="0.2"/>
    <row r="3916" s="20" customFormat="1" x14ac:dyDescent="0.2"/>
    <row r="3917" s="20" customFormat="1" x14ac:dyDescent="0.2"/>
    <row r="3918" s="20" customFormat="1" x14ac:dyDescent="0.2"/>
    <row r="3919" s="20" customFormat="1" x14ac:dyDescent="0.2"/>
    <row r="3920" s="20" customFormat="1" x14ac:dyDescent="0.2"/>
    <row r="3921" s="20" customFormat="1" x14ac:dyDescent="0.2"/>
    <row r="3922" s="20" customFormat="1" x14ac:dyDescent="0.2"/>
    <row r="3923" s="20" customFormat="1" x14ac:dyDescent="0.2"/>
    <row r="3924" s="20" customFormat="1" x14ac:dyDescent="0.2"/>
    <row r="3925" s="20" customFormat="1" x14ac:dyDescent="0.2"/>
    <row r="3926" s="20" customFormat="1" x14ac:dyDescent="0.2"/>
    <row r="3927" s="20" customFormat="1" x14ac:dyDescent="0.2"/>
    <row r="3928" s="20" customFormat="1" x14ac:dyDescent="0.2"/>
    <row r="3929" s="20" customFormat="1" x14ac:dyDescent="0.2"/>
    <row r="3930" s="20" customFormat="1" x14ac:dyDescent="0.2"/>
    <row r="3931" s="20" customFormat="1" x14ac:dyDescent="0.2"/>
    <row r="3932" s="20" customFormat="1" x14ac:dyDescent="0.2"/>
    <row r="3933" s="20" customFormat="1" x14ac:dyDescent="0.2"/>
    <row r="3934" s="20" customFormat="1" x14ac:dyDescent="0.2"/>
    <row r="3935" s="20" customFormat="1" x14ac:dyDescent="0.2"/>
    <row r="3936" s="20" customFormat="1" x14ac:dyDescent="0.2"/>
    <row r="3937" s="20" customFormat="1" x14ac:dyDescent="0.2"/>
    <row r="3938" s="20" customFormat="1" x14ac:dyDescent="0.2"/>
    <row r="3939" s="20" customFormat="1" x14ac:dyDescent="0.2"/>
    <row r="3940" s="20" customFormat="1" x14ac:dyDescent="0.2"/>
    <row r="3941" s="20" customFormat="1" x14ac:dyDescent="0.2"/>
    <row r="3942" s="20" customFormat="1" x14ac:dyDescent="0.2"/>
    <row r="3943" s="20" customFormat="1" x14ac:dyDescent="0.2"/>
    <row r="3944" s="20" customFormat="1" x14ac:dyDescent="0.2"/>
    <row r="3945" s="20" customFormat="1" x14ac:dyDescent="0.2"/>
    <row r="3946" s="20" customFormat="1" x14ac:dyDescent="0.2"/>
    <row r="3947" s="20" customFormat="1" x14ac:dyDescent="0.2"/>
    <row r="3948" s="20" customFormat="1" x14ac:dyDescent="0.2"/>
    <row r="3949" s="20" customFormat="1" x14ac:dyDescent="0.2"/>
    <row r="3950" s="20" customFormat="1" x14ac:dyDescent="0.2"/>
    <row r="3951" s="20" customFormat="1" x14ac:dyDescent="0.2"/>
    <row r="3952" s="20" customFormat="1" x14ac:dyDescent="0.2"/>
    <row r="3953" s="20" customFormat="1" x14ac:dyDescent="0.2"/>
    <row r="3954" s="20" customFormat="1" x14ac:dyDescent="0.2"/>
    <row r="3955" s="20" customFormat="1" x14ac:dyDescent="0.2"/>
    <row r="3956" s="20" customFormat="1" x14ac:dyDescent="0.2"/>
    <row r="3957" s="20" customFormat="1" x14ac:dyDescent="0.2"/>
    <row r="3958" s="20" customFormat="1" x14ac:dyDescent="0.2"/>
    <row r="3959" s="20" customFormat="1" x14ac:dyDescent="0.2"/>
    <row r="3960" s="20" customFormat="1" x14ac:dyDescent="0.2"/>
    <row r="3961" s="20" customFormat="1" x14ac:dyDescent="0.2"/>
    <row r="3962" s="20" customFormat="1" x14ac:dyDescent="0.2"/>
    <row r="3963" s="20" customFormat="1" x14ac:dyDescent="0.2"/>
    <row r="3964" s="20" customFormat="1" x14ac:dyDescent="0.2"/>
    <row r="3965" s="20" customFormat="1" x14ac:dyDescent="0.2"/>
    <row r="3966" s="20" customFormat="1" x14ac:dyDescent="0.2"/>
    <row r="3967" s="20" customFormat="1" x14ac:dyDescent="0.2"/>
    <row r="3968" s="20" customFormat="1" x14ac:dyDescent="0.2"/>
    <row r="3969" s="20" customFormat="1" x14ac:dyDescent="0.2"/>
    <row r="3970" s="20" customFormat="1" x14ac:dyDescent="0.2"/>
    <row r="3971" s="20" customFormat="1" x14ac:dyDescent="0.2"/>
    <row r="3972" s="20" customFormat="1" x14ac:dyDescent="0.2"/>
    <row r="3973" s="20" customFormat="1" x14ac:dyDescent="0.2"/>
    <row r="3974" s="20" customFormat="1" x14ac:dyDescent="0.2"/>
    <row r="3975" s="20" customFormat="1" x14ac:dyDescent="0.2"/>
    <row r="3976" s="20" customFormat="1" x14ac:dyDescent="0.2"/>
    <row r="3977" s="20" customFormat="1" x14ac:dyDescent="0.2"/>
    <row r="3978" s="20" customFormat="1" x14ac:dyDescent="0.2"/>
    <row r="3979" s="20" customFormat="1" x14ac:dyDescent="0.2"/>
    <row r="3980" s="20" customFormat="1" x14ac:dyDescent="0.2"/>
    <row r="3981" s="20" customFormat="1" x14ac:dyDescent="0.2"/>
    <row r="3982" s="20" customFormat="1" x14ac:dyDescent="0.2"/>
    <row r="3983" s="20" customFormat="1" x14ac:dyDescent="0.2"/>
    <row r="3984" s="20" customFormat="1" x14ac:dyDescent="0.2"/>
    <row r="3985" s="20" customFormat="1" x14ac:dyDescent="0.2"/>
    <row r="3986" s="20" customFormat="1" x14ac:dyDescent="0.2"/>
    <row r="3987" s="20" customFormat="1" x14ac:dyDescent="0.2"/>
    <row r="3988" s="20" customFormat="1" x14ac:dyDescent="0.2"/>
    <row r="3989" s="20" customFormat="1" x14ac:dyDescent="0.2"/>
    <row r="3990" s="20" customFormat="1" x14ac:dyDescent="0.2"/>
    <row r="3991" s="20" customFormat="1" x14ac:dyDescent="0.2"/>
    <row r="3992" s="20" customFormat="1" x14ac:dyDescent="0.2"/>
    <row r="3993" s="20" customFormat="1" x14ac:dyDescent="0.2"/>
    <row r="3994" s="20" customFormat="1" x14ac:dyDescent="0.2"/>
    <row r="3995" s="20" customFormat="1" x14ac:dyDescent="0.2"/>
    <row r="3996" s="20" customFormat="1" x14ac:dyDescent="0.2"/>
    <row r="3997" s="20" customFormat="1" x14ac:dyDescent="0.2"/>
    <row r="3998" s="20" customFormat="1" x14ac:dyDescent="0.2"/>
    <row r="3999" s="20" customFormat="1" x14ac:dyDescent="0.2"/>
    <row r="4000" s="20" customFormat="1" x14ac:dyDescent="0.2"/>
    <row r="4001" s="20" customFormat="1" x14ac:dyDescent="0.2"/>
    <row r="4002" s="20" customFormat="1" x14ac:dyDescent="0.2"/>
    <row r="4003" s="20" customFormat="1" x14ac:dyDescent="0.2"/>
    <row r="4004" s="20" customFormat="1" x14ac:dyDescent="0.2"/>
    <row r="4005" s="20" customFormat="1" x14ac:dyDescent="0.2"/>
    <row r="4006" s="20" customFormat="1" x14ac:dyDescent="0.2"/>
    <row r="4007" s="20" customFormat="1" x14ac:dyDescent="0.2"/>
    <row r="4008" s="20" customFormat="1" x14ac:dyDescent="0.2"/>
    <row r="4009" s="20" customFormat="1" x14ac:dyDescent="0.2"/>
    <row r="4010" s="20" customFormat="1" x14ac:dyDescent="0.2"/>
    <row r="4011" s="20" customFormat="1" x14ac:dyDescent="0.2"/>
    <row r="4012" s="20" customFormat="1" x14ac:dyDescent="0.2"/>
    <row r="4013" s="20" customFormat="1" x14ac:dyDescent="0.2"/>
    <row r="4014" s="20" customFormat="1" x14ac:dyDescent="0.2"/>
    <row r="4015" s="20" customFormat="1" x14ac:dyDescent="0.2"/>
    <row r="4016" s="20" customFormat="1" x14ac:dyDescent="0.2"/>
    <row r="4017" s="20" customFormat="1" x14ac:dyDescent="0.2"/>
    <row r="4018" s="20" customFormat="1" x14ac:dyDescent="0.2"/>
    <row r="4019" s="20" customFormat="1" x14ac:dyDescent="0.2"/>
    <row r="4020" s="20" customFormat="1" x14ac:dyDescent="0.2"/>
    <row r="4021" s="20" customFormat="1" x14ac:dyDescent="0.2"/>
    <row r="4022" s="20" customFormat="1" x14ac:dyDescent="0.2"/>
    <row r="4023" s="20" customFormat="1" x14ac:dyDescent="0.2"/>
    <row r="4024" s="20" customFormat="1" x14ac:dyDescent="0.2"/>
    <row r="4025" s="20" customFormat="1" x14ac:dyDescent="0.2"/>
    <row r="4026" s="20" customFormat="1" x14ac:dyDescent="0.2"/>
    <row r="4027" s="20" customFormat="1" x14ac:dyDescent="0.2"/>
    <row r="4028" s="20" customFormat="1" x14ac:dyDescent="0.2"/>
    <row r="4029" s="20" customFormat="1" x14ac:dyDescent="0.2"/>
    <row r="4030" s="20" customFormat="1" x14ac:dyDescent="0.2"/>
    <row r="4031" s="20" customFormat="1" x14ac:dyDescent="0.2"/>
    <row r="4032" s="20" customFormat="1" x14ac:dyDescent="0.2"/>
    <row r="4033" s="20" customFormat="1" x14ac:dyDescent="0.2"/>
    <row r="4034" s="20" customFormat="1" x14ac:dyDescent="0.2"/>
    <row r="4035" s="20" customFormat="1" x14ac:dyDescent="0.2"/>
    <row r="4036" s="20" customFormat="1" x14ac:dyDescent="0.2"/>
    <row r="4037" s="20" customFormat="1" x14ac:dyDescent="0.2"/>
    <row r="4038" s="20" customFormat="1" x14ac:dyDescent="0.2"/>
    <row r="4039" s="20" customFormat="1" x14ac:dyDescent="0.2"/>
    <row r="4040" s="20" customFormat="1" x14ac:dyDescent="0.2"/>
    <row r="4041" s="20" customFormat="1" x14ac:dyDescent="0.2"/>
    <row r="4042" s="20" customFormat="1" x14ac:dyDescent="0.2"/>
    <row r="4043" s="20" customFormat="1" x14ac:dyDescent="0.2"/>
    <row r="4044" s="20" customFormat="1" x14ac:dyDescent="0.2"/>
    <row r="4045" s="20" customFormat="1" x14ac:dyDescent="0.2"/>
    <row r="4046" s="20" customFormat="1" x14ac:dyDescent="0.2"/>
    <row r="4047" s="20" customFormat="1" x14ac:dyDescent="0.2"/>
    <row r="4048" s="20" customFormat="1" x14ac:dyDescent="0.2"/>
    <row r="4049" s="20" customFormat="1" x14ac:dyDescent="0.2"/>
    <row r="4050" s="20" customFormat="1" x14ac:dyDescent="0.2"/>
    <row r="4051" s="20" customFormat="1" x14ac:dyDescent="0.2"/>
    <row r="4052" s="20" customFormat="1" x14ac:dyDescent="0.2"/>
    <row r="4053" s="20" customFormat="1" x14ac:dyDescent="0.2"/>
    <row r="4054" s="20" customFormat="1" x14ac:dyDescent="0.2"/>
    <row r="4055" s="20" customFormat="1" x14ac:dyDescent="0.2"/>
    <row r="4056" s="20" customFormat="1" x14ac:dyDescent="0.2"/>
    <row r="4057" s="20" customFormat="1" x14ac:dyDescent="0.2"/>
    <row r="4058" s="20" customFormat="1" x14ac:dyDescent="0.2"/>
    <row r="4059" s="20" customFormat="1" x14ac:dyDescent="0.2"/>
    <row r="4060" s="20" customFormat="1" x14ac:dyDescent="0.2"/>
    <row r="4061" s="20" customFormat="1" x14ac:dyDescent="0.2"/>
    <row r="4062" s="20" customFormat="1" x14ac:dyDescent="0.2"/>
    <row r="4063" s="20" customFormat="1" x14ac:dyDescent="0.2"/>
    <row r="4064" s="20" customFormat="1" x14ac:dyDescent="0.2"/>
    <row r="4065" s="20" customFormat="1" x14ac:dyDescent="0.2"/>
    <row r="4066" s="20" customFormat="1" x14ac:dyDescent="0.2"/>
    <row r="4067" s="20" customFormat="1" x14ac:dyDescent="0.2"/>
    <row r="4068" s="20" customFormat="1" x14ac:dyDescent="0.2"/>
    <row r="4069" s="20" customFormat="1" x14ac:dyDescent="0.2"/>
    <row r="4070" s="20" customFormat="1" x14ac:dyDescent="0.2"/>
    <row r="4071" s="20" customFormat="1" x14ac:dyDescent="0.2"/>
    <row r="4072" s="20" customFormat="1" x14ac:dyDescent="0.2"/>
    <row r="4073" s="20" customFormat="1" x14ac:dyDescent="0.2"/>
    <row r="4074" s="20" customFormat="1" x14ac:dyDescent="0.2"/>
    <row r="4075" s="20" customFormat="1" x14ac:dyDescent="0.2"/>
    <row r="4076" s="20" customFormat="1" x14ac:dyDescent="0.2"/>
    <row r="4077" s="20" customFormat="1" x14ac:dyDescent="0.2"/>
    <row r="4078" s="20" customFormat="1" x14ac:dyDescent="0.2"/>
    <row r="4079" s="20" customFormat="1" x14ac:dyDescent="0.2"/>
    <row r="4080" s="20" customFormat="1" x14ac:dyDescent="0.2"/>
    <row r="4081" s="20" customFormat="1" x14ac:dyDescent="0.2"/>
    <row r="4082" s="20" customFormat="1" x14ac:dyDescent="0.2"/>
    <row r="4083" s="20" customFormat="1" x14ac:dyDescent="0.2"/>
    <row r="4084" s="20" customFormat="1" x14ac:dyDescent="0.2"/>
    <row r="4085" s="20" customFormat="1" x14ac:dyDescent="0.2"/>
    <row r="4086" s="20" customFormat="1" x14ac:dyDescent="0.2"/>
    <row r="4087" s="20" customFormat="1" x14ac:dyDescent="0.2"/>
    <row r="4088" s="20" customFormat="1" x14ac:dyDescent="0.2"/>
    <row r="4089" s="20" customFormat="1" x14ac:dyDescent="0.2"/>
    <row r="4090" s="20" customFormat="1" x14ac:dyDescent="0.2"/>
    <row r="4091" s="20" customFormat="1" x14ac:dyDescent="0.2"/>
    <row r="4092" s="20" customFormat="1" x14ac:dyDescent="0.2"/>
    <row r="4093" s="20" customFormat="1" x14ac:dyDescent="0.2"/>
    <row r="4094" s="20" customFormat="1" x14ac:dyDescent="0.2"/>
    <row r="4095" s="20" customFormat="1" x14ac:dyDescent="0.2"/>
    <row r="4096" s="20" customFormat="1" x14ac:dyDescent="0.2"/>
    <row r="4097" s="20" customFormat="1" x14ac:dyDescent="0.2"/>
    <row r="4098" s="20" customFormat="1" x14ac:dyDescent="0.2"/>
    <row r="4099" s="20" customFormat="1" x14ac:dyDescent="0.2"/>
    <row r="4100" s="20" customFormat="1" x14ac:dyDescent="0.2"/>
    <row r="4101" s="20" customFormat="1" x14ac:dyDescent="0.2"/>
    <row r="4102" s="20" customFormat="1" x14ac:dyDescent="0.2"/>
    <row r="4103" s="20" customFormat="1" x14ac:dyDescent="0.2"/>
    <row r="4104" s="20" customFormat="1" x14ac:dyDescent="0.2"/>
    <row r="4105" s="20" customFormat="1" x14ac:dyDescent="0.2"/>
    <row r="4106" s="20" customFormat="1" x14ac:dyDescent="0.2"/>
    <row r="4107" s="20" customFormat="1" x14ac:dyDescent="0.2"/>
    <row r="4108" s="20" customFormat="1" x14ac:dyDescent="0.2"/>
    <row r="4109" s="20" customFormat="1" x14ac:dyDescent="0.2"/>
    <row r="4110" s="20" customFormat="1" x14ac:dyDescent="0.2"/>
    <row r="4111" s="20" customFormat="1" x14ac:dyDescent="0.2"/>
    <row r="4112" s="20" customFormat="1" x14ac:dyDescent="0.2"/>
    <row r="4113" s="20" customFormat="1" x14ac:dyDescent="0.2"/>
    <row r="4114" s="20" customFormat="1" x14ac:dyDescent="0.2"/>
    <row r="4115" s="20" customFormat="1" x14ac:dyDescent="0.2"/>
    <row r="4116" s="20" customFormat="1" x14ac:dyDescent="0.2"/>
    <row r="4117" s="20" customFormat="1" x14ac:dyDescent="0.2"/>
    <row r="4118" s="20" customFormat="1" x14ac:dyDescent="0.2"/>
    <row r="4119" s="20" customFormat="1" x14ac:dyDescent="0.2"/>
    <row r="4120" s="20" customFormat="1" x14ac:dyDescent="0.2"/>
    <row r="4121" s="20" customFormat="1" x14ac:dyDescent="0.2"/>
    <row r="4122" s="20" customFormat="1" x14ac:dyDescent="0.2"/>
    <row r="4123" s="20" customFormat="1" x14ac:dyDescent="0.2"/>
    <row r="4124" s="20" customFormat="1" x14ac:dyDescent="0.2"/>
    <row r="4125" s="20" customFormat="1" x14ac:dyDescent="0.2"/>
    <row r="4126" s="20" customFormat="1" x14ac:dyDescent="0.2"/>
    <row r="4127" s="20" customFormat="1" x14ac:dyDescent="0.2"/>
    <row r="4128" s="20" customFormat="1" x14ac:dyDescent="0.2"/>
    <row r="4129" s="20" customFormat="1" x14ac:dyDescent="0.2"/>
    <row r="4130" s="20" customFormat="1" x14ac:dyDescent="0.2"/>
    <row r="4131" s="20" customFormat="1" x14ac:dyDescent="0.2"/>
    <row r="4132" s="20" customFormat="1" x14ac:dyDescent="0.2"/>
    <row r="4133" s="20" customFormat="1" x14ac:dyDescent="0.2"/>
    <row r="4134" s="20" customFormat="1" x14ac:dyDescent="0.2"/>
    <row r="4135" s="20" customFormat="1" x14ac:dyDescent="0.2"/>
    <row r="4136" s="20" customFormat="1" x14ac:dyDescent="0.2"/>
    <row r="4137" s="20" customFormat="1" x14ac:dyDescent="0.2"/>
    <row r="4138" s="20" customFormat="1" x14ac:dyDescent="0.2"/>
    <row r="4139" s="20" customFormat="1" x14ac:dyDescent="0.2"/>
    <row r="4140" s="20" customFormat="1" x14ac:dyDescent="0.2"/>
    <row r="4141" s="20" customFormat="1" x14ac:dyDescent="0.2"/>
    <row r="4142" s="20" customFormat="1" x14ac:dyDescent="0.2"/>
    <row r="4143" s="20" customFormat="1" x14ac:dyDescent="0.2"/>
    <row r="4144" s="20" customFormat="1" x14ac:dyDescent="0.2"/>
    <row r="4145" s="20" customFormat="1" x14ac:dyDescent="0.2"/>
    <row r="4146" s="20" customFormat="1" x14ac:dyDescent="0.2"/>
    <row r="4147" s="20" customFormat="1" x14ac:dyDescent="0.2"/>
    <row r="4148" s="20" customFormat="1" x14ac:dyDescent="0.2"/>
    <row r="4149" s="20" customFormat="1" x14ac:dyDescent="0.2"/>
    <row r="4150" s="20" customFormat="1" x14ac:dyDescent="0.2"/>
    <row r="4151" s="20" customFormat="1" x14ac:dyDescent="0.2"/>
    <row r="4152" s="20" customFormat="1" x14ac:dyDescent="0.2"/>
    <row r="4153" s="20" customFormat="1" x14ac:dyDescent="0.2"/>
    <row r="4154" s="20" customFormat="1" x14ac:dyDescent="0.2"/>
    <row r="4155" s="20" customFormat="1" x14ac:dyDescent="0.2"/>
    <row r="4156" s="20" customFormat="1" x14ac:dyDescent="0.2"/>
    <row r="4157" s="20" customFormat="1" x14ac:dyDescent="0.2"/>
    <row r="4158" s="20" customFormat="1" x14ac:dyDescent="0.2"/>
    <row r="4159" s="20" customFormat="1" x14ac:dyDescent="0.2"/>
    <row r="4160" s="20" customFormat="1" x14ac:dyDescent="0.2"/>
    <row r="4161" s="20" customFormat="1" x14ac:dyDescent="0.2"/>
    <row r="4162" s="20" customFormat="1" x14ac:dyDescent="0.2"/>
    <row r="4163" s="20" customFormat="1" x14ac:dyDescent="0.2"/>
    <row r="4164" s="20" customFormat="1" x14ac:dyDescent="0.2"/>
    <row r="4165" s="20" customFormat="1" x14ac:dyDescent="0.2"/>
    <row r="4166" s="20" customFormat="1" x14ac:dyDescent="0.2"/>
    <row r="4167" s="20" customFormat="1" x14ac:dyDescent="0.2"/>
    <row r="4168" s="20" customFormat="1" x14ac:dyDescent="0.2"/>
    <row r="4169" s="20" customFormat="1" x14ac:dyDescent="0.2"/>
    <row r="4170" s="20" customFormat="1" x14ac:dyDescent="0.2"/>
    <row r="4171" s="20" customFormat="1" x14ac:dyDescent="0.2"/>
    <row r="4172" s="20" customFormat="1" x14ac:dyDescent="0.2"/>
    <row r="4173" s="20" customFormat="1" x14ac:dyDescent="0.2"/>
    <row r="4174" s="20" customFormat="1" x14ac:dyDescent="0.2"/>
    <row r="4175" s="20" customFormat="1" x14ac:dyDescent="0.2"/>
    <row r="4176" s="20" customFormat="1" x14ac:dyDescent="0.2"/>
    <row r="4177" s="20" customFormat="1" x14ac:dyDescent="0.2"/>
    <row r="4178" s="20" customFormat="1" x14ac:dyDescent="0.2"/>
    <row r="4179" s="20" customFormat="1" x14ac:dyDescent="0.2"/>
    <row r="4180" s="20" customFormat="1" x14ac:dyDescent="0.2"/>
    <row r="4181" s="20" customFormat="1" x14ac:dyDescent="0.2"/>
    <row r="4182" s="20" customFormat="1" x14ac:dyDescent="0.2"/>
    <row r="4183" s="20" customFormat="1" x14ac:dyDescent="0.2"/>
    <row r="4184" s="20" customFormat="1" x14ac:dyDescent="0.2"/>
    <row r="4185" s="20" customFormat="1" x14ac:dyDescent="0.2"/>
    <row r="4186" s="20" customFormat="1" x14ac:dyDescent="0.2"/>
    <row r="4187" s="20" customFormat="1" x14ac:dyDescent="0.2"/>
    <row r="4188" s="20" customFormat="1" x14ac:dyDescent="0.2"/>
    <row r="4189" s="20" customFormat="1" x14ac:dyDescent="0.2"/>
    <row r="4190" s="20" customFormat="1" x14ac:dyDescent="0.2"/>
    <row r="4191" s="20" customFormat="1" x14ac:dyDescent="0.2"/>
    <row r="4192" s="20" customFormat="1" x14ac:dyDescent="0.2"/>
    <row r="4193" s="20" customFormat="1" x14ac:dyDescent="0.2"/>
    <row r="4194" s="20" customFormat="1" x14ac:dyDescent="0.2"/>
    <row r="4195" s="20" customFormat="1" x14ac:dyDescent="0.2"/>
    <row r="4196" s="20" customFormat="1" x14ac:dyDescent="0.2"/>
    <row r="4197" s="20" customFormat="1" x14ac:dyDescent="0.2"/>
    <row r="4198" s="20" customFormat="1" x14ac:dyDescent="0.2"/>
    <row r="4199" s="20" customFormat="1" x14ac:dyDescent="0.2"/>
    <row r="4200" s="20" customFormat="1" x14ac:dyDescent="0.2"/>
    <row r="4201" s="20" customFormat="1" x14ac:dyDescent="0.2"/>
    <row r="4202" s="20" customFormat="1" x14ac:dyDescent="0.2"/>
    <row r="4203" s="20" customFormat="1" x14ac:dyDescent="0.2"/>
    <row r="4204" s="20" customFormat="1" x14ac:dyDescent="0.2"/>
    <row r="4205" s="20" customFormat="1" x14ac:dyDescent="0.2"/>
    <row r="4206" s="20" customFormat="1" x14ac:dyDescent="0.2"/>
    <row r="4207" s="20" customFormat="1" x14ac:dyDescent="0.2"/>
    <row r="4208" s="20" customFormat="1" x14ac:dyDescent="0.2"/>
    <row r="4209" s="20" customFormat="1" x14ac:dyDescent="0.2"/>
    <row r="4210" s="20" customFormat="1" x14ac:dyDescent="0.2"/>
    <row r="4211" s="20" customFormat="1" x14ac:dyDescent="0.2"/>
    <row r="4212" s="20" customFormat="1" x14ac:dyDescent="0.2"/>
    <row r="4213" s="20" customFormat="1" x14ac:dyDescent="0.2"/>
    <row r="4214" s="20" customFormat="1" x14ac:dyDescent="0.2"/>
    <row r="4215" s="20" customFormat="1" x14ac:dyDescent="0.2"/>
    <row r="4216" s="20" customFormat="1" x14ac:dyDescent="0.2"/>
    <row r="4217" s="20" customFormat="1" x14ac:dyDescent="0.2"/>
    <row r="4218" s="20" customFormat="1" x14ac:dyDescent="0.2"/>
    <row r="4219" s="20" customFormat="1" x14ac:dyDescent="0.2"/>
    <row r="4220" s="20" customFormat="1" x14ac:dyDescent="0.2"/>
    <row r="4221" s="20" customFormat="1" x14ac:dyDescent="0.2"/>
    <row r="4222" s="20" customFormat="1" x14ac:dyDescent="0.2"/>
    <row r="4223" s="20" customFormat="1" x14ac:dyDescent="0.2"/>
    <row r="4224" s="20" customFormat="1" x14ac:dyDescent="0.2"/>
    <row r="4225" s="20" customFormat="1" x14ac:dyDescent="0.2"/>
    <row r="4226" s="20" customFormat="1" x14ac:dyDescent="0.2"/>
    <row r="4227" s="20" customFormat="1" x14ac:dyDescent="0.2"/>
    <row r="4228" s="20" customFormat="1" x14ac:dyDescent="0.2"/>
    <row r="4229" s="20" customFormat="1" x14ac:dyDescent="0.2"/>
    <row r="4230" s="20" customFormat="1" x14ac:dyDescent="0.2"/>
    <row r="4231" s="20" customFormat="1" x14ac:dyDescent="0.2"/>
    <row r="4232" s="20" customFormat="1" x14ac:dyDescent="0.2"/>
    <row r="4233" s="20" customFormat="1" x14ac:dyDescent="0.2"/>
    <row r="4234" s="20" customFormat="1" x14ac:dyDescent="0.2"/>
    <row r="4235" s="20" customFormat="1" x14ac:dyDescent="0.2"/>
    <row r="4236" s="20" customFormat="1" x14ac:dyDescent="0.2"/>
    <row r="4237" s="20" customFormat="1" x14ac:dyDescent="0.2"/>
    <row r="4238" s="20" customFormat="1" x14ac:dyDescent="0.2"/>
    <row r="4239" s="20" customFormat="1" x14ac:dyDescent="0.2"/>
    <row r="4240" s="20" customFormat="1" x14ac:dyDescent="0.2"/>
    <row r="4241" s="20" customFormat="1" x14ac:dyDescent="0.2"/>
    <row r="4242" s="20" customFormat="1" x14ac:dyDescent="0.2"/>
    <row r="4243" s="20" customFormat="1" x14ac:dyDescent="0.2"/>
    <row r="4244" s="20" customFormat="1" x14ac:dyDescent="0.2"/>
    <row r="4245" s="20" customFormat="1" x14ac:dyDescent="0.2"/>
    <row r="4246" s="20" customFormat="1" x14ac:dyDescent="0.2"/>
    <row r="4247" s="20" customFormat="1" x14ac:dyDescent="0.2"/>
    <row r="4248" s="20" customFormat="1" x14ac:dyDescent="0.2"/>
    <row r="4249" s="20" customFormat="1" x14ac:dyDescent="0.2"/>
    <row r="4250" s="20" customFormat="1" x14ac:dyDescent="0.2"/>
    <row r="4251" s="20" customFormat="1" x14ac:dyDescent="0.2"/>
    <row r="4252" s="20" customFormat="1" x14ac:dyDescent="0.2"/>
    <row r="4253" s="20" customFormat="1" x14ac:dyDescent="0.2"/>
    <row r="4254" s="20" customFormat="1" x14ac:dyDescent="0.2"/>
    <row r="4255" s="20" customFormat="1" x14ac:dyDescent="0.2"/>
    <row r="4256" s="20" customFormat="1" x14ac:dyDescent="0.2"/>
    <row r="4257" s="20" customFormat="1" x14ac:dyDescent="0.2"/>
    <row r="4258" s="20" customFormat="1" x14ac:dyDescent="0.2"/>
    <row r="4259" s="20" customFormat="1" x14ac:dyDescent="0.2"/>
    <row r="4260" s="20" customFormat="1" x14ac:dyDescent="0.2"/>
    <row r="4261" s="20" customFormat="1" x14ac:dyDescent="0.2"/>
    <row r="4262" s="20" customFormat="1" x14ac:dyDescent="0.2"/>
    <row r="4263" s="20" customFormat="1" x14ac:dyDescent="0.2"/>
    <row r="4264" s="20" customFormat="1" x14ac:dyDescent="0.2"/>
    <row r="4265" s="20" customFormat="1" x14ac:dyDescent="0.2"/>
    <row r="4266" s="20" customFormat="1" x14ac:dyDescent="0.2"/>
    <row r="4267" s="20" customFormat="1" x14ac:dyDescent="0.2"/>
    <row r="4268" s="20" customFormat="1" x14ac:dyDescent="0.2"/>
    <row r="4269" s="20" customFormat="1" x14ac:dyDescent="0.2"/>
    <row r="4270" s="20" customFormat="1" x14ac:dyDescent="0.2"/>
    <row r="4271" s="20" customFormat="1" x14ac:dyDescent="0.2"/>
    <row r="4272" s="20" customFormat="1" x14ac:dyDescent="0.2"/>
    <row r="4273" s="20" customFormat="1" x14ac:dyDescent="0.2"/>
    <row r="4274" s="20" customFormat="1" x14ac:dyDescent="0.2"/>
    <row r="4275" s="20" customFormat="1" x14ac:dyDescent="0.2"/>
    <row r="4276" s="20" customFormat="1" x14ac:dyDescent="0.2"/>
    <row r="4277" s="20" customFormat="1" x14ac:dyDescent="0.2"/>
    <row r="4278" s="20" customFormat="1" x14ac:dyDescent="0.2"/>
    <row r="4279" s="20" customFormat="1" x14ac:dyDescent="0.2"/>
    <row r="4280" s="20" customFormat="1" x14ac:dyDescent="0.2"/>
    <row r="4281" s="20" customFormat="1" x14ac:dyDescent="0.2"/>
    <row r="4282" s="20" customFormat="1" x14ac:dyDescent="0.2"/>
    <row r="4283" s="20" customFormat="1" x14ac:dyDescent="0.2"/>
    <row r="4284" s="20" customFormat="1" x14ac:dyDescent="0.2"/>
    <row r="4285" s="20" customFormat="1" x14ac:dyDescent="0.2"/>
    <row r="4286" s="20" customFormat="1" x14ac:dyDescent="0.2"/>
    <row r="4287" s="20" customFormat="1" x14ac:dyDescent="0.2"/>
    <row r="4288" s="20" customFormat="1" x14ac:dyDescent="0.2"/>
    <row r="4289" s="20" customFormat="1" x14ac:dyDescent="0.2"/>
    <row r="4290" s="20" customFormat="1" x14ac:dyDescent="0.2"/>
    <row r="4291" s="20" customFormat="1" x14ac:dyDescent="0.2"/>
    <row r="4292" s="20" customFormat="1" x14ac:dyDescent="0.2"/>
    <row r="4293" s="20" customFormat="1" x14ac:dyDescent="0.2"/>
    <row r="4294" s="20" customFormat="1" x14ac:dyDescent="0.2"/>
    <row r="4295" s="20" customFormat="1" x14ac:dyDescent="0.2"/>
    <row r="4296" s="20" customFormat="1" x14ac:dyDescent="0.2"/>
    <row r="4297" s="20" customFormat="1" x14ac:dyDescent="0.2"/>
    <row r="4298" s="20" customFormat="1" x14ac:dyDescent="0.2"/>
    <row r="4299" s="20" customFormat="1" x14ac:dyDescent="0.2"/>
    <row r="4300" s="20" customFormat="1" x14ac:dyDescent="0.2"/>
    <row r="4301" s="20" customFormat="1" x14ac:dyDescent="0.2"/>
    <row r="4302" s="20" customFormat="1" x14ac:dyDescent="0.2"/>
    <row r="4303" s="20" customFormat="1" x14ac:dyDescent="0.2"/>
    <row r="4304" s="20" customFormat="1" x14ac:dyDescent="0.2"/>
    <row r="4305" s="20" customFormat="1" x14ac:dyDescent="0.2"/>
    <row r="4306" s="20" customFormat="1" x14ac:dyDescent="0.2"/>
    <row r="4307" s="20" customFormat="1" x14ac:dyDescent="0.2"/>
    <row r="4308" s="20" customFormat="1" x14ac:dyDescent="0.2"/>
    <row r="4309" s="20" customFormat="1" x14ac:dyDescent="0.2"/>
    <row r="4310" s="20" customFormat="1" x14ac:dyDescent="0.2"/>
    <row r="4311" s="20" customFormat="1" x14ac:dyDescent="0.2"/>
    <row r="4312" s="20" customFormat="1" x14ac:dyDescent="0.2"/>
    <row r="4313" s="20" customFormat="1" x14ac:dyDescent="0.2"/>
    <row r="4314" s="20" customFormat="1" x14ac:dyDescent="0.2"/>
    <row r="4315" s="20" customFormat="1" x14ac:dyDescent="0.2"/>
    <row r="4316" s="20" customFormat="1" x14ac:dyDescent="0.2"/>
    <row r="4317" s="20" customFormat="1" x14ac:dyDescent="0.2"/>
    <row r="4318" s="20" customFormat="1" x14ac:dyDescent="0.2"/>
    <row r="4319" s="20" customFormat="1" x14ac:dyDescent="0.2"/>
    <row r="4320" s="20" customFormat="1" x14ac:dyDescent="0.2"/>
    <row r="4321" s="20" customFormat="1" x14ac:dyDescent="0.2"/>
    <row r="4322" s="20" customFormat="1" x14ac:dyDescent="0.2"/>
    <row r="4323" s="20" customFormat="1" x14ac:dyDescent="0.2"/>
    <row r="4324" s="20" customFormat="1" x14ac:dyDescent="0.2"/>
    <row r="4325" s="20" customFormat="1" x14ac:dyDescent="0.2"/>
    <row r="4326" s="20" customFormat="1" x14ac:dyDescent="0.2"/>
    <row r="4327" s="20" customFormat="1" x14ac:dyDescent="0.2"/>
    <row r="4328" s="20" customFormat="1" x14ac:dyDescent="0.2"/>
    <row r="4329" s="20" customFormat="1" x14ac:dyDescent="0.2"/>
    <row r="4330" s="20" customFormat="1" x14ac:dyDescent="0.2"/>
    <row r="4331" s="20" customFormat="1" x14ac:dyDescent="0.2"/>
    <row r="4332" s="20" customFormat="1" x14ac:dyDescent="0.2"/>
    <row r="4333" s="20" customFormat="1" x14ac:dyDescent="0.2"/>
    <row r="4334" s="20" customFormat="1" x14ac:dyDescent="0.2"/>
    <row r="4335" s="20" customFormat="1" x14ac:dyDescent="0.2"/>
    <row r="4336" s="20" customFormat="1" x14ac:dyDescent="0.2"/>
    <row r="4337" s="20" customFormat="1" x14ac:dyDescent="0.2"/>
    <row r="4338" s="20" customFormat="1" x14ac:dyDescent="0.2"/>
    <row r="4339" s="20" customFormat="1" x14ac:dyDescent="0.2"/>
    <row r="4340" s="20" customFormat="1" x14ac:dyDescent="0.2"/>
    <row r="4341" s="20" customFormat="1" x14ac:dyDescent="0.2"/>
    <row r="4342" s="20" customFormat="1" x14ac:dyDescent="0.2"/>
    <row r="4343" s="20" customFormat="1" x14ac:dyDescent="0.2"/>
    <row r="4344" s="20" customFormat="1" x14ac:dyDescent="0.2"/>
    <row r="4345" s="20" customFormat="1" x14ac:dyDescent="0.2"/>
    <row r="4346" s="20" customFormat="1" x14ac:dyDescent="0.2"/>
    <row r="4347" s="20" customFormat="1" x14ac:dyDescent="0.2"/>
    <row r="4348" s="20" customFormat="1" x14ac:dyDescent="0.2"/>
    <row r="4349" s="20" customFormat="1" x14ac:dyDescent="0.2"/>
    <row r="4350" s="20" customFormat="1" x14ac:dyDescent="0.2"/>
    <row r="4351" s="20" customFormat="1" x14ac:dyDescent="0.2"/>
    <row r="4352" s="20" customFormat="1" x14ac:dyDescent="0.2"/>
    <row r="4353" s="20" customFormat="1" x14ac:dyDescent="0.2"/>
    <row r="4354" s="20" customFormat="1" x14ac:dyDescent="0.2"/>
    <row r="4355" s="20" customFormat="1" x14ac:dyDescent="0.2"/>
    <row r="4356" s="20" customFormat="1" x14ac:dyDescent="0.2"/>
    <row r="4357" s="20" customFormat="1" x14ac:dyDescent="0.2"/>
    <row r="4358" s="20" customFormat="1" x14ac:dyDescent="0.2"/>
    <row r="4359" s="20" customFormat="1" x14ac:dyDescent="0.2"/>
    <row r="4360" s="20" customFormat="1" x14ac:dyDescent="0.2"/>
    <row r="4361" s="20" customFormat="1" x14ac:dyDescent="0.2"/>
    <row r="4362" s="20" customFormat="1" x14ac:dyDescent="0.2"/>
    <row r="4363" s="20" customFormat="1" x14ac:dyDescent="0.2"/>
    <row r="4364" s="20" customFormat="1" x14ac:dyDescent="0.2"/>
    <row r="4365" s="20" customFormat="1" x14ac:dyDescent="0.2"/>
    <row r="4366" s="20" customFormat="1" x14ac:dyDescent="0.2"/>
    <row r="4367" s="20" customFormat="1" x14ac:dyDescent="0.2"/>
    <row r="4368" s="20" customFormat="1" x14ac:dyDescent="0.2"/>
    <row r="4369" s="20" customFormat="1" x14ac:dyDescent="0.2"/>
    <row r="4370" s="20" customFormat="1" x14ac:dyDescent="0.2"/>
    <row r="4371" s="20" customFormat="1" x14ac:dyDescent="0.2"/>
    <row r="4372" s="20" customFormat="1" x14ac:dyDescent="0.2"/>
    <row r="4373" s="20" customFormat="1" x14ac:dyDescent="0.2"/>
    <row r="4374" s="20" customFormat="1" x14ac:dyDescent="0.2"/>
    <row r="4375" s="20" customFormat="1" x14ac:dyDescent="0.2"/>
    <row r="4376" s="20" customFormat="1" x14ac:dyDescent="0.2"/>
    <row r="4377" s="20" customFormat="1" x14ac:dyDescent="0.2"/>
    <row r="4378" s="20" customFormat="1" x14ac:dyDescent="0.2"/>
    <row r="4379" s="20" customFormat="1" x14ac:dyDescent="0.2"/>
    <row r="4380" s="20" customFormat="1" x14ac:dyDescent="0.2"/>
    <row r="4381" s="20" customFormat="1" x14ac:dyDescent="0.2"/>
    <row r="4382" s="20" customFormat="1" x14ac:dyDescent="0.2"/>
    <row r="4383" s="20" customFormat="1" x14ac:dyDescent="0.2"/>
    <row r="4384" s="20" customFormat="1" x14ac:dyDescent="0.2"/>
    <row r="4385" s="20" customFormat="1" x14ac:dyDescent="0.2"/>
    <row r="4386" s="20" customFormat="1" x14ac:dyDescent="0.2"/>
    <row r="4387" s="20" customFormat="1" x14ac:dyDescent="0.2"/>
    <row r="4388" s="20" customFormat="1" x14ac:dyDescent="0.2"/>
    <row r="4389" s="20" customFormat="1" x14ac:dyDescent="0.2"/>
    <row r="4390" s="20" customFormat="1" x14ac:dyDescent="0.2"/>
    <row r="4391" s="20" customFormat="1" x14ac:dyDescent="0.2"/>
    <row r="4392" s="20" customFormat="1" x14ac:dyDescent="0.2"/>
    <row r="4393" s="20" customFormat="1" x14ac:dyDescent="0.2"/>
    <row r="4394" s="20" customFormat="1" x14ac:dyDescent="0.2"/>
    <row r="4395" s="20" customFormat="1" x14ac:dyDescent="0.2"/>
    <row r="4396" s="20" customFormat="1" x14ac:dyDescent="0.2"/>
    <row r="4397" s="20" customFormat="1" x14ac:dyDescent="0.2"/>
    <row r="4398" s="20" customFormat="1" x14ac:dyDescent="0.2"/>
    <row r="4399" s="20" customFormat="1" x14ac:dyDescent="0.2"/>
    <row r="4400" s="20" customFormat="1" x14ac:dyDescent="0.2"/>
    <row r="4401" s="20" customFormat="1" x14ac:dyDescent="0.2"/>
    <row r="4402" s="20" customFormat="1" x14ac:dyDescent="0.2"/>
    <row r="4403" s="20" customFormat="1" x14ac:dyDescent="0.2"/>
    <row r="4404" s="20" customFormat="1" x14ac:dyDescent="0.2"/>
    <row r="4405" s="20" customFormat="1" x14ac:dyDescent="0.2"/>
    <row r="4406" s="20" customFormat="1" x14ac:dyDescent="0.2"/>
    <row r="4407" s="20" customFormat="1" x14ac:dyDescent="0.2"/>
    <row r="4408" s="20" customFormat="1" x14ac:dyDescent="0.2"/>
    <row r="4409" s="20" customFormat="1" x14ac:dyDescent="0.2"/>
    <row r="4410" s="20" customFormat="1" x14ac:dyDescent="0.2"/>
    <row r="4411" s="20" customFormat="1" x14ac:dyDescent="0.2"/>
    <row r="4412" s="20" customFormat="1" x14ac:dyDescent="0.2"/>
    <row r="4413" s="20" customFormat="1" x14ac:dyDescent="0.2"/>
    <row r="4414" s="20" customFormat="1" x14ac:dyDescent="0.2"/>
    <row r="4415" s="20" customFormat="1" x14ac:dyDescent="0.2"/>
    <row r="4416" s="20" customFormat="1" x14ac:dyDescent="0.2"/>
    <row r="4417" s="20" customFormat="1" x14ac:dyDescent="0.2"/>
    <row r="4418" s="20" customFormat="1" x14ac:dyDescent="0.2"/>
    <row r="4419" s="20" customFormat="1" x14ac:dyDescent="0.2"/>
    <row r="4420" s="20" customFormat="1" x14ac:dyDescent="0.2"/>
    <row r="4421" s="20" customFormat="1" x14ac:dyDescent="0.2"/>
    <row r="4422" s="20" customFormat="1" x14ac:dyDescent="0.2"/>
    <row r="4423" s="20" customFormat="1" x14ac:dyDescent="0.2"/>
    <row r="4424" s="20" customFormat="1" x14ac:dyDescent="0.2"/>
    <row r="4425" s="20" customFormat="1" x14ac:dyDescent="0.2"/>
    <row r="4426" s="20" customFormat="1" x14ac:dyDescent="0.2"/>
    <row r="4427" s="20" customFormat="1" x14ac:dyDescent="0.2"/>
    <row r="4428" s="20" customFormat="1" x14ac:dyDescent="0.2"/>
    <row r="4429" s="20" customFormat="1" x14ac:dyDescent="0.2"/>
    <row r="4430" s="20" customFormat="1" x14ac:dyDescent="0.2"/>
    <row r="4431" s="20" customFormat="1" x14ac:dyDescent="0.2"/>
    <row r="4432" s="20" customFormat="1" x14ac:dyDescent="0.2"/>
    <row r="4433" s="20" customFormat="1" x14ac:dyDescent="0.2"/>
    <row r="4434" s="20" customFormat="1" x14ac:dyDescent="0.2"/>
    <row r="4435" s="20" customFormat="1" x14ac:dyDescent="0.2"/>
    <row r="4436" s="20" customFormat="1" x14ac:dyDescent="0.2"/>
    <row r="4437" s="20" customFormat="1" x14ac:dyDescent="0.2"/>
    <row r="4438" s="20" customFormat="1" x14ac:dyDescent="0.2"/>
    <row r="4439" s="20" customFormat="1" x14ac:dyDescent="0.2"/>
    <row r="4440" s="20" customFormat="1" x14ac:dyDescent="0.2"/>
    <row r="4441" s="20" customFormat="1" x14ac:dyDescent="0.2"/>
    <row r="4442" s="20" customFormat="1" x14ac:dyDescent="0.2"/>
    <row r="4443" s="20" customFormat="1" x14ac:dyDescent="0.2"/>
    <row r="4444" s="20" customFormat="1" x14ac:dyDescent="0.2"/>
    <row r="4445" s="20" customFormat="1" x14ac:dyDescent="0.2"/>
    <row r="4446" s="20" customFormat="1" x14ac:dyDescent="0.2"/>
    <row r="4447" s="20" customFormat="1" x14ac:dyDescent="0.2"/>
    <row r="4448" s="20" customFormat="1" x14ac:dyDescent="0.2"/>
    <row r="4449" s="20" customFormat="1" x14ac:dyDescent="0.2"/>
    <row r="4450" s="20" customFormat="1" x14ac:dyDescent="0.2"/>
    <row r="4451" s="20" customFormat="1" x14ac:dyDescent="0.2"/>
    <row r="4452" s="20" customFormat="1" x14ac:dyDescent="0.2"/>
    <row r="4453" s="20" customFormat="1" x14ac:dyDescent="0.2"/>
    <row r="4454" s="20" customFormat="1" x14ac:dyDescent="0.2"/>
    <row r="4455" s="20" customFormat="1" x14ac:dyDescent="0.2"/>
    <row r="4456" s="20" customFormat="1" x14ac:dyDescent="0.2"/>
    <row r="4457" s="20" customFormat="1" x14ac:dyDescent="0.2"/>
    <row r="4458" s="20" customFormat="1" x14ac:dyDescent="0.2"/>
    <row r="4459" s="20" customFormat="1" x14ac:dyDescent="0.2"/>
    <row r="4460" s="20" customFormat="1" x14ac:dyDescent="0.2"/>
    <row r="4461" s="20" customFormat="1" x14ac:dyDescent="0.2"/>
    <row r="4462" s="20" customFormat="1" x14ac:dyDescent="0.2"/>
    <row r="4463" s="20" customFormat="1" x14ac:dyDescent="0.2"/>
    <row r="4464" s="20" customFormat="1" x14ac:dyDescent="0.2"/>
    <row r="4465" s="20" customFormat="1" x14ac:dyDescent="0.2"/>
    <row r="4466" s="20" customFormat="1" x14ac:dyDescent="0.2"/>
    <row r="4467" s="20" customFormat="1" x14ac:dyDescent="0.2"/>
    <row r="4468" s="20" customFormat="1" x14ac:dyDescent="0.2"/>
    <row r="4469" s="20" customFormat="1" x14ac:dyDescent="0.2"/>
    <row r="4470" s="20" customFormat="1" x14ac:dyDescent="0.2"/>
    <row r="4471" s="20" customFormat="1" x14ac:dyDescent="0.2"/>
    <row r="4472" s="20" customFormat="1" x14ac:dyDescent="0.2"/>
    <row r="4473" s="20" customFormat="1" x14ac:dyDescent="0.2"/>
    <row r="4474" s="20" customFormat="1" x14ac:dyDescent="0.2"/>
    <row r="4475" s="20" customFormat="1" x14ac:dyDescent="0.2"/>
    <row r="4476" s="20" customFormat="1" x14ac:dyDescent="0.2"/>
    <row r="4477" s="20" customFormat="1" x14ac:dyDescent="0.2"/>
    <row r="4478" s="20" customFormat="1" x14ac:dyDescent="0.2"/>
    <row r="4479" s="20" customFormat="1" x14ac:dyDescent="0.2"/>
    <row r="4480" s="20" customFormat="1" x14ac:dyDescent="0.2"/>
    <row r="4481" s="20" customFormat="1" x14ac:dyDescent="0.2"/>
    <row r="4482" s="20" customFormat="1" x14ac:dyDescent="0.2"/>
    <row r="4483" s="20" customFormat="1" x14ac:dyDescent="0.2"/>
    <row r="4484" s="20" customFormat="1" x14ac:dyDescent="0.2"/>
    <row r="4485" s="20" customFormat="1" x14ac:dyDescent="0.2"/>
    <row r="4486" s="20" customFormat="1" x14ac:dyDescent="0.2"/>
    <row r="4487" s="20" customFormat="1" x14ac:dyDescent="0.2"/>
    <row r="4488" s="20" customFormat="1" x14ac:dyDescent="0.2"/>
    <row r="4489" s="20" customFormat="1" x14ac:dyDescent="0.2"/>
    <row r="4490" s="20" customFormat="1" x14ac:dyDescent="0.2"/>
    <row r="4491" s="20" customFormat="1" x14ac:dyDescent="0.2"/>
    <row r="4492" s="20" customFormat="1" x14ac:dyDescent="0.2"/>
    <row r="4493" s="20" customFormat="1" x14ac:dyDescent="0.2"/>
    <row r="4494" s="20" customFormat="1" x14ac:dyDescent="0.2"/>
    <row r="4495" s="20" customFormat="1" x14ac:dyDescent="0.2"/>
    <row r="4496" s="20" customFormat="1" x14ac:dyDescent="0.2"/>
    <row r="4497" s="20" customFormat="1" x14ac:dyDescent="0.2"/>
    <row r="4498" s="20" customFormat="1" x14ac:dyDescent="0.2"/>
    <row r="4499" s="20" customFormat="1" x14ac:dyDescent="0.2"/>
    <row r="4500" s="20" customFormat="1" x14ac:dyDescent="0.2"/>
    <row r="4501" s="20" customFormat="1" x14ac:dyDescent="0.2"/>
    <row r="4502" s="20" customFormat="1" x14ac:dyDescent="0.2"/>
    <row r="4503" s="20" customFormat="1" x14ac:dyDescent="0.2"/>
    <row r="4504" s="20" customFormat="1" x14ac:dyDescent="0.2"/>
    <row r="4505" s="20" customFormat="1" x14ac:dyDescent="0.2"/>
    <row r="4506" s="20" customFormat="1" x14ac:dyDescent="0.2"/>
    <row r="4507" s="20" customFormat="1" x14ac:dyDescent="0.2"/>
    <row r="4508" s="20" customFormat="1" x14ac:dyDescent="0.2"/>
    <row r="4509" s="20" customFormat="1" x14ac:dyDescent="0.2"/>
    <row r="4510" s="20" customFormat="1" x14ac:dyDescent="0.2"/>
    <row r="4511" s="20" customFormat="1" x14ac:dyDescent="0.2"/>
    <row r="4512" s="20" customFormat="1" x14ac:dyDescent="0.2"/>
    <row r="4513" s="20" customFormat="1" x14ac:dyDescent="0.2"/>
    <row r="4514" s="20" customFormat="1" x14ac:dyDescent="0.2"/>
    <row r="4515" s="20" customFormat="1" x14ac:dyDescent="0.2"/>
    <row r="4516" s="20" customFormat="1" x14ac:dyDescent="0.2"/>
    <row r="4517" s="20" customFormat="1" x14ac:dyDescent="0.2"/>
    <row r="4518" s="20" customFormat="1" x14ac:dyDescent="0.2"/>
    <row r="4519" s="20" customFormat="1" x14ac:dyDescent="0.2"/>
    <row r="4520" s="20" customFormat="1" x14ac:dyDescent="0.2"/>
    <row r="4521" s="20" customFormat="1" x14ac:dyDescent="0.2"/>
    <row r="4522" s="20" customFormat="1" x14ac:dyDescent="0.2"/>
    <row r="4523" s="20" customFormat="1" x14ac:dyDescent="0.2"/>
    <row r="4524" s="20" customFormat="1" x14ac:dyDescent="0.2"/>
    <row r="4525" s="20" customFormat="1" x14ac:dyDescent="0.2"/>
    <row r="4526" s="20" customFormat="1" x14ac:dyDescent="0.2"/>
    <row r="4527" s="20" customFormat="1" x14ac:dyDescent="0.2"/>
    <row r="4528" s="20" customFormat="1" x14ac:dyDescent="0.2"/>
    <row r="4529" s="20" customFormat="1" x14ac:dyDescent="0.2"/>
    <row r="4530" s="20" customFormat="1" x14ac:dyDescent="0.2"/>
    <row r="4531" s="20" customFormat="1" x14ac:dyDescent="0.2"/>
    <row r="4532" s="20" customFormat="1" x14ac:dyDescent="0.2"/>
    <row r="4533" s="20" customFormat="1" x14ac:dyDescent="0.2"/>
    <row r="4534" s="20" customFormat="1" x14ac:dyDescent="0.2"/>
    <row r="4535" s="20" customFormat="1" x14ac:dyDescent="0.2"/>
    <row r="4536" s="20" customFormat="1" x14ac:dyDescent="0.2"/>
    <row r="4537" s="20" customFormat="1" x14ac:dyDescent="0.2"/>
    <row r="4538" s="20" customFormat="1" x14ac:dyDescent="0.2"/>
    <row r="4539" s="20" customFormat="1" x14ac:dyDescent="0.2"/>
    <row r="4540" s="20" customFormat="1" x14ac:dyDescent="0.2"/>
    <row r="4541" s="20" customFormat="1" x14ac:dyDescent="0.2"/>
    <row r="4542" s="20" customFormat="1" x14ac:dyDescent="0.2"/>
    <row r="4543" s="20" customFormat="1" x14ac:dyDescent="0.2"/>
    <row r="4544" s="20" customFormat="1" x14ac:dyDescent="0.2"/>
    <row r="4545" s="20" customFormat="1" x14ac:dyDescent="0.2"/>
    <row r="4546" s="20" customFormat="1" x14ac:dyDescent="0.2"/>
    <row r="4547" s="20" customFormat="1" x14ac:dyDescent="0.2"/>
    <row r="4548" s="20" customFormat="1" x14ac:dyDescent="0.2"/>
    <row r="4549" s="20" customFormat="1" x14ac:dyDescent="0.2"/>
    <row r="4550" s="20" customFormat="1" x14ac:dyDescent="0.2"/>
    <row r="4551" s="20" customFormat="1" x14ac:dyDescent="0.2"/>
    <row r="4552" s="20" customFormat="1" x14ac:dyDescent="0.2"/>
    <row r="4553" s="20" customFormat="1" x14ac:dyDescent="0.2"/>
    <row r="4554" s="20" customFormat="1" x14ac:dyDescent="0.2"/>
    <row r="4555" s="20" customFormat="1" x14ac:dyDescent="0.2"/>
    <row r="4556" s="20" customFormat="1" x14ac:dyDescent="0.2"/>
    <row r="4557" s="20" customFormat="1" x14ac:dyDescent="0.2"/>
    <row r="4558" s="20" customFormat="1" x14ac:dyDescent="0.2"/>
    <row r="4559" s="20" customFormat="1" x14ac:dyDescent="0.2"/>
    <row r="4560" s="20" customFormat="1" x14ac:dyDescent="0.2"/>
    <row r="4561" s="20" customFormat="1" x14ac:dyDescent="0.2"/>
    <row r="4562" s="20" customFormat="1" x14ac:dyDescent="0.2"/>
    <row r="4563" s="20" customFormat="1" x14ac:dyDescent="0.2"/>
    <row r="4564" s="20" customFormat="1" x14ac:dyDescent="0.2"/>
    <row r="4565" s="20" customFormat="1" x14ac:dyDescent="0.2"/>
    <row r="4566" s="20" customFormat="1" x14ac:dyDescent="0.2"/>
    <row r="4567" s="20" customFormat="1" x14ac:dyDescent="0.2"/>
    <row r="4568" s="20" customFormat="1" x14ac:dyDescent="0.2"/>
    <row r="4569" s="20" customFormat="1" x14ac:dyDescent="0.2"/>
    <row r="4570" s="20" customFormat="1" x14ac:dyDescent="0.2"/>
    <row r="4571" s="20" customFormat="1" x14ac:dyDescent="0.2"/>
    <row r="4572" s="20" customFormat="1" x14ac:dyDescent="0.2"/>
    <row r="4573" s="20" customFormat="1" x14ac:dyDescent="0.2"/>
    <row r="4574" s="20" customFormat="1" x14ac:dyDescent="0.2"/>
    <row r="4575" s="20" customFormat="1" x14ac:dyDescent="0.2"/>
    <row r="4576" s="20" customFormat="1" x14ac:dyDescent="0.2"/>
    <row r="4577" s="20" customFormat="1" x14ac:dyDescent="0.2"/>
    <row r="4578" s="20" customFormat="1" x14ac:dyDescent="0.2"/>
    <row r="4579" s="20" customFormat="1" x14ac:dyDescent="0.2"/>
    <row r="4580" s="20" customFormat="1" x14ac:dyDescent="0.2"/>
    <row r="4581" s="20" customFormat="1" x14ac:dyDescent="0.2"/>
    <row r="4582" s="20" customFormat="1" x14ac:dyDescent="0.2"/>
    <row r="4583" s="20" customFormat="1" x14ac:dyDescent="0.2"/>
    <row r="4584" s="20" customFormat="1" x14ac:dyDescent="0.2"/>
    <row r="4585" s="20" customFormat="1" x14ac:dyDescent="0.2"/>
    <row r="4586" s="20" customFormat="1" x14ac:dyDescent="0.2"/>
    <row r="4587" s="20" customFormat="1" x14ac:dyDescent="0.2"/>
    <row r="4588" s="20" customFormat="1" x14ac:dyDescent="0.2"/>
    <row r="4589" s="20" customFormat="1" x14ac:dyDescent="0.2"/>
    <row r="4590" s="20" customFormat="1" x14ac:dyDescent="0.2"/>
    <row r="4591" s="20" customFormat="1" x14ac:dyDescent="0.2"/>
    <row r="4592" s="20" customFormat="1" x14ac:dyDescent="0.2"/>
    <row r="4593" s="20" customFormat="1" x14ac:dyDescent="0.2"/>
    <row r="4594" s="20" customFormat="1" x14ac:dyDescent="0.2"/>
    <row r="4595" s="20" customFormat="1" x14ac:dyDescent="0.2"/>
    <row r="4596" s="20" customFormat="1" x14ac:dyDescent="0.2"/>
    <row r="4597" s="20" customFormat="1" x14ac:dyDescent="0.2"/>
    <row r="4598" s="20" customFormat="1" x14ac:dyDescent="0.2"/>
    <row r="4599" s="20" customFormat="1" x14ac:dyDescent="0.2"/>
    <row r="4600" s="20" customFormat="1" x14ac:dyDescent="0.2"/>
    <row r="4601" s="20" customFormat="1" x14ac:dyDescent="0.2"/>
    <row r="4602" s="20" customFormat="1" x14ac:dyDescent="0.2"/>
    <row r="4603" s="20" customFormat="1" x14ac:dyDescent="0.2"/>
    <row r="4604" s="20" customFormat="1" x14ac:dyDescent="0.2"/>
    <row r="4605" s="20" customFormat="1" x14ac:dyDescent="0.2"/>
    <row r="4606" s="20" customFormat="1" x14ac:dyDescent="0.2"/>
    <row r="4607" s="20" customFormat="1" x14ac:dyDescent="0.2"/>
    <row r="4608" s="20" customFormat="1" x14ac:dyDescent="0.2"/>
    <row r="4609" s="20" customFormat="1" x14ac:dyDescent="0.2"/>
    <row r="4610" s="20" customFormat="1" x14ac:dyDescent="0.2"/>
    <row r="4611" s="20" customFormat="1" x14ac:dyDescent="0.2"/>
    <row r="4612" s="20" customFormat="1" x14ac:dyDescent="0.2"/>
    <row r="4613" s="20" customFormat="1" x14ac:dyDescent="0.2"/>
    <row r="4614" s="20" customFormat="1" x14ac:dyDescent="0.2"/>
    <row r="4615" s="20" customFormat="1" x14ac:dyDescent="0.2"/>
    <row r="4616" s="20" customFormat="1" x14ac:dyDescent="0.2"/>
    <row r="4617" s="20" customFormat="1" x14ac:dyDescent="0.2"/>
    <row r="4618" s="20" customFormat="1" x14ac:dyDescent="0.2"/>
    <row r="4619" s="20" customFormat="1" x14ac:dyDescent="0.2"/>
    <row r="4620" s="20" customFormat="1" x14ac:dyDescent="0.2"/>
    <row r="4621" s="20" customFormat="1" x14ac:dyDescent="0.2"/>
    <row r="4622" s="20" customFormat="1" x14ac:dyDescent="0.2"/>
    <row r="4623" s="20" customFormat="1" x14ac:dyDescent="0.2"/>
    <row r="4624" s="20" customFormat="1" x14ac:dyDescent="0.2"/>
    <row r="4625" s="20" customFormat="1" x14ac:dyDescent="0.2"/>
    <row r="4626" s="20" customFormat="1" x14ac:dyDescent="0.2"/>
    <row r="4627" s="20" customFormat="1" x14ac:dyDescent="0.2"/>
    <row r="4628" s="20" customFormat="1" x14ac:dyDescent="0.2"/>
    <row r="4629" s="20" customFormat="1" x14ac:dyDescent="0.2"/>
    <row r="4630" s="20" customFormat="1" x14ac:dyDescent="0.2"/>
    <row r="4631" s="20" customFormat="1" x14ac:dyDescent="0.2"/>
    <row r="4632" s="20" customFormat="1" x14ac:dyDescent="0.2"/>
    <row r="4633" s="20" customFormat="1" x14ac:dyDescent="0.2"/>
    <row r="4634" s="20" customFormat="1" x14ac:dyDescent="0.2"/>
    <row r="4635" s="20" customFormat="1" x14ac:dyDescent="0.2"/>
    <row r="4636" s="20" customFormat="1" x14ac:dyDescent="0.2"/>
    <row r="4637" s="20" customFormat="1" x14ac:dyDescent="0.2"/>
    <row r="4638" s="20" customFormat="1" x14ac:dyDescent="0.2"/>
    <row r="4639" s="20" customFormat="1" x14ac:dyDescent="0.2"/>
    <row r="4640" s="20" customFormat="1" x14ac:dyDescent="0.2"/>
    <row r="4641" s="20" customFormat="1" x14ac:dyDescent="0.2"/>
    <row r="4642" s="20" customFormat="1" x14ac:dyDescent="0.2"/>
    <row r="4643" s="20" customFormat="1" x14ac:dyDescent="0.2"/>
    <row r="4644" s="20" customFormat="1" x14ac:dyDescent="0.2"/>
    <row r="4645" s="20" customFormat="1" x14ac:dyDescent="0.2"/>
    <row r="4646" s="20" customFormat="1" x14ac:dyDescent="0.2"/>
    <row r="4647" s="20" customFormat="1" x14ac:dyDescent="0.2"/>
    <row r="4648" s="20" customFormat="1" x14ac:dyDescent="0.2"/>
    <row r="4649" s="20" customFormat="1" x14ac:dyDescent="0.2"/>
    <row r="4650" s="20" customFormat="1" x14ac:dyDescent="0.2"/>
    <row r="4651" s="20" customFormat="1" x14ac:dyDescent="0.2"/>
    <row r="4652" s="20" customFormat="1" x14ac:dyDescent="0.2"/>
    <row r="4653" s="20" customFormat="1" x14ac:dyDescent="0.2"/>
    <row r="4654" s="20" customFormat="1" x14ac:dyDescent="0.2"/>
    <row r="4655" s="20" customFormat="1" x14ac:dyDescent="0.2"/>
    <row r="4656" s="20" customFormat="1" x14ac:dyDescent="0.2"/>
    <row r="4657" s="20" customFormat="1" x14ac:dyDescent="0.2"/>
    <row r="4658" s="20" customFormat="1" x14ac:dyDescent="0.2"/>
    <row r="4659" s="20" customFormat="1" x14ac:dyDescent="0.2"/>
    <row r="4660" s="20" customFormat="1" x14ac:dyDescent="0.2"/>
    <row r="4661" s="20" customFormat="1" x14ac:dyDescent="0.2"/>
    <row r="4662" s="20" customFormat="1" x14ac:dyDescent="0.2"/>
    <row r="4663" s="20" customFormat="1" x14ac:dyDescent="0.2"/>
    <row r="4664" s="20" customFormat="1" x14ac:dyDescent="0.2"/>
    <row r="4665" s="20" customFormat="1" x14ac:dyDescent="0.2"/>
    <row r="4666" s="20" customFormat="1" x14ac:dyDescent="0.2"/>
    <row r="4667" s="20" customFormat="1" x14ac:dyDescent="0.2"/>
    <row r="4668" s="20" customFormat="1" x14ac:dyDescent="0.2"/>
    <row r="4669" s="20" customFormat="1" x14ac:dyDescent="0.2"/>
    <row r="4670" s="20" customFormat="1" x14ac:dyDescent="0.2"/>
    <row r="4671" s="20" customFormat="1" x14ac:dyDescent="0.2"/>
    <row r="4672" s="20" customFormat="1" x14ac:dyDescent="0.2"/>
    <row r="4673" s="20" customFormat="1" x14ac:dyDescent="0.2"/>
    <row r="4674" s="20" customFormat="1" x14ac:dyDescent="0.2"/>
    <row r="4675" s="20" customFormat="1" x14ac:dyDescent="0.2"/>
    <row r="4676" s="20" customFormat="1" x14ac:dyDescent="0.2"/>
    <row r="4677" s="20" customFormat="1" x14ac:dyDescent="0.2"/>
    <row r="4678" s="20" customFormat="1" x14ac:dyDescent="0.2"/>
    <row r="4679" s="20" customFormat="1" x14ac:dyDescent="0.2"/>
    <row r="4680" s="20" customFormat="1" x14ac:dyDescent="0.2"/>
    <row r="4681" s="20" customFormat="1" x14ac:dyDescent="0.2"/>
    <row r="4682" s="20" customFormat="1" x14ac:dyDescent="0.2"/>
    <row r="4683" s="20" customFormat="1" x14ac:dyDescent="0.2"/>
    <row r="4684" s="20" customFormat="1" x14ac:dyDescent="0.2"/>
    <row r="4685" s="20" customFormat="1" x14ac:dyDescent="0.2"/>
    <row r="4686" s="20" customFormat="1" x14ac:dyDescent="0.2"/>
    <row r="4687" s="20" customFormat="1" x14ac:dyDescent="0.2"/>
    <row r="4688" s="20" customFormat="1" x14ac:dyDescent="0.2"/>
    <row r="4689" s="20" customFormat="1" x14ac:dyDescent="0.2"/>
    <row r="4690" s="20" customFormat="1" x14ac:dyDescent="0.2"/>
    <row r="4691" s="20" customFormat="1" x14ac:dyDescent="0.2"/>
    <row r="4692" s="20" customFormat="1" x14ac:dyDescent="0.2"/>
    <row r="4693" s="20" customFormat="1" x14ac:dyDescent="0.2"/>
    <row r="4694" s="20" customFormat="1" x14ac:dyDescent="0.2"/>
    <row r="4695" s="20" customFormat="1" x14ac:dyDescent="0.2"/>
    <row r="4696" s="20" customFormat="1" x14ac:dyDescent="0.2"/>
    <row r="4697" s="20" customFormat="1" x14ac:dyDescent="0.2"/>
    <row r="4698" s="20" customFormat="1" x14ac:dyDescent="0.2"/>
    <row r="4699" s="20" customFormat="1" x14ac:dyDescent="0.2"/>
    <row r="4700" s="20" customFormat="1" x14ac:dyDescent="0.2"/>
    <row r="4701" s="20" customFormat="1" x14ac:dyDescent="0.2"/>
    <row r="4702" s="20" customFormat="1" x14ac:dyDescent="0.2"/>
    <row r="4703" s="20" customFormat="1" x14ac:dyDescent="0.2"/>
    <row r="4704" s="20" customFormat="1" x14ac:dyDescent="0.2"/>
    <row r="4705" s="20" customFormat="1" x14ac:dyDescent="0.2"/>
    <row r="4706" s="20" customFormat="1" x14ac:dyDescent="0.2"/>
    <row r="4707" s="20" customFormat="1" x14ac:dyDescent="0.2"/>
    <row r="4708" s="20" customFormat="1" x14ac:dyDescent="0.2"/>
    <row r="4709" s="20" customFormat="1" x14ac:dyDescent="0.2"/>
    <row r="4710" s="20" customFormat="1" x14ac:dyDescent="0.2"/>
    <row r="4711" s="20" customFormat="1" x14ac:dyDescent="0.2"/>
    <row r="4712" s="20" customFormat="1" x14ac:dyDescent="0.2"/>
    <row r="4713" s="20" customFormat="1" x14ac:dyDescent="0.2"/>
    <row r="4714" s="20" customFormat="1" x14ac:dyDescent="0.2"/>
    <row r="4715" s="20" customFormat="1" x14ac:dyDescent="0.2"/>
    <row r="4716" s="20" customFormat="1" x14ac:dyDescent="0.2"/>
    <row r="4717" s="20" customFormat="1" x14ac:dyDescent="0.2"/>
    <row r="4718" s="20" customFormat="1" x14ac:dyDescent="0.2"/>
    <row r="4719" s="20" customFormat="1" x14ac:dyDescent="0.2"/>
    <row r="4720" s="20" customFormat="1" x14ac:dyDescent="0.2"/>
    <row r="4721" s="20" customFormat="1" x14ac:dyDescent="0.2"/>
    <row r="4722" s="20" customFormat="1" x14ac:dyDescent="0.2"/>
    <row r="4723" s="20" customFormat="1" x14ac:dyDescent="0.2"/>
    <row r="4724" s="20" customFormat="1" x14ac:dyDescent="0.2"/>
    <row r="4725" s="20" customFormat="1" x14ac:dyDescent="0.2"/>
    <row r="4726" s="20" customFormat="1" x14ac:dyDescent="0.2"/>
    <row r="4727" s="20" customFormat="1" x14ac:dyDescent="0.2"/>
    <row r="4728" s="20" customFormat="1" x14ac:dyDescent="0.2"/>
    <row r="4729" s="20" customFormat="1" x14ac:dyDescent="0.2"/>
    <row r="4730" s="20" customFormat="1" x14ac:dyDescent="0.2"/>
    <row r="4731" s="20" customFormat="1" x14ac:dyDescent="0.2"/>
    <row r="4732" s="20" customFormat="1" x14ac:dyDescent="0.2"/>
    <row r="4733" s="20" customFormat="1" x14ac:dyDescent="0.2"/>
    <row r="4734" s="20" customFormat="1" x14ac:dyDescent="0.2"/>
    <row r="4735" s="20" customFormat="1" x14ac:dyDescent="0.2"/>
    <row r="4736" s="20" customFormat="1" x14ac:dyDescent="0.2"/>
    <row r="4737" s="20" customFormat="1" x14ac:dyDescent="0.2"/>
    <row r="4738" s="20" customFormat="1" x14ac:dyDescent="0.2"/>
    <row r="4739" s="20" customFormat="1" x14ac:dyDescent="0.2"/>
    <row r="4740" s="20" customFormat="1" x14ac:dyDescent="0.2"/>
    <row r="4741" s="20" customFormat="1" x14ac:dyDescent="0.2"/>
    <row r="4742" s="20" customFormat="1" x14ac:dyDescent="0.2"/>
    <row r="4743" s="20" customFormat="1" x14ac:dyDescent="0.2"/>
    <row r="4744" s="20" customFormat="1" x14ac:dyDescent="0.2"/>
    <row r="4745" s="20" customFormat="1" x14ac:dyDescent="0.2"/>
    <row r="4746" s="20" customFormat="1" x14ac:dyDescent="0.2"/>
    <row r="4747" s="20" customFormat="1" x14ac:dyDescent="0.2"/>
    <row r="4748" s="20" customFormat="1" x14ac:dyDescent="0.2"/>
    <row r="4749" s="20" customFormat="1" x14ac:dyDescent="0.2"/>
    <row r="4750" s="20" customFormat="1" x14ac:dyDescent="0.2"/>
    <row r="4751" s="20" customFormat="1" x14ac:dyDescent="0.2"/>
    <row r="4752" s="20" customFormat="1" x14ac:dyDescent="0.2"/>
    <row r="4753" s="20" customFormat="1" x14ac:dyDescent="0.2"/>
    <row r="4754" s="20" customFormat="1" x14ac:dyDescent="0.2"/>
    <row r="4755" s="20" customFormat="1" x14ac:dyDescent="0.2"/>
    <row r="4756" s="20" customFormat="1" x14ac:dyDescent="0.2"/>
    <row r="4757" s="20" customFormat="1" x14ac:dyDescent="0.2"/>
    <row r="4758" s="20" customFormat="1" x14ac:dyDescent="0.2"/>
    <row r="4759" s="20" customFormat="1" x14ac:dyDescent="0.2"/>
    <row r="4760" s="20" customFormat="1" x14ac:dyDescent="0.2"/>
    <row r="4761" s="20" customFormat="1" x14ac:dyDescent="0.2"/>
    <row r="4762" s="20" customFormat="1" x14ac:dyDescent="0.2"/>
    <row r="4763" s="20" customFormat="1" x14ac:dyDescent="0.2"/>
    <row r="4764" s="20" customFormat="1" x14ac:dyDescent="0.2"/>
    <row r="4765" s="20" customFormat="1" x14ac:dyDescent="0.2"/>
    <row r="4766" s="20" customFormat="1" x14ac:dyDescent="0.2"/>
    <row r="4767" s="20" customFormat="1" x14ac:dyDescent="0.2"/>
    <row r="4768" s="20" customFormat="1" x14ac:dyDescent="0.2"/>
    <row r="4769" s="20" customFormat="1" x14ac:dyDescent="0.2"/>
    <row r="4770" s="20" customFormat="1" x14ac:dyDescent="0.2"/>
    <row r="4771" s="20" customFormat="1" x14ac:dyDescent="0.2"/>
    <row r="4772" s="20" customFormat="1" x14ac:dyDescent="0.2"/>
    <row r="4773" s="20" customFormat="1" x14ac:dyDescent="0.2"/>
    <row r="4774" s="20" customFormat="1" x14ac:dyDescent="0.2"/>
    <row r="4775" s="20" customFormat="1" x14ac:dyDescent="0.2"/>
    <row r="4776" s="20" customFormat="1" x14ac:dyDescent="0.2"/>
    <row r="4777" s="20" customFormat="1" x14ac:dyDescent="0.2"/>
    <row r="4778" s="20" customFormat="1" x14ac:dyDescent="0.2"/>
    <row r="4779" s="20" customFormat="1" x14ac:dyDescent="0.2"/>
    <row r="4780" s="20" customFormat="1" x14ac:dyDescent="0.2"/>
    <row r="4781" s="20" customFormat="1" x14ac:dyDescent="0.2"/>
    <row r="4782" s="20" customFormat="1" x14ac:dyDescent="0.2"/>
    <row r="4783" s="20" customFormat="1" x14ac:dyDescent="0.2"/>
    <row r="4784" s="20" customFormat="1" x14ac:dyDescent="0.2"/>
    <row r="4785" s="20" customFormat="1" x14ac:dyDescent="0.2"/>
    <row r="4786" s="20" customFormat="1" x14ac:dyDescent="0.2"/>
    <row r="4787" s="20" customFormat="1" x14ac:dyDescent="0.2"/>
    <row r="4788" s="20" customFormat="1" x14ac:dyDescent="0.2"/>
    <row r="4789" s="20" customFormat="1" x14ac:dyDescent="0.2"/>
    <row r="4790" s="20" customFormat="1" x14ac:dyDescent="0.2"/>
    <row r="4791" s="20" customFormat="1" x14ac:dyDescent="0.2"/>
    <row r="4792" s="20" customFormat="1" x14ac:dyDescent="0.2"/>
    <row r="4793" s="20" customFormat="1" x14ac:dyDescent="0.2"/>
    <row r="4794" s="20" customFormat="1" x14ac:dyDescent="0.2"/>
    <row r="4795" s="20" customFormat="1" x14ac:dyDescent="0.2"/>
    <row r="4796" s="20" customFormat="1" x14ac:dyDescent="0.2"/>
    <row r="4797" s="20" customFormat="1" x14ac:dyDescent="0.2"/>
    <row r="4798" s="20" customFormat="1" x14ac:dyDescent="0.2"/>
    <row r="4799" s="20" customFormat="1" x14ac:dyDescent="0.2"/>
    <row r="4800" s="20" customFormat="1" x14ac:dyDescent="0.2"/>
    <row r="4801" s="20" customFormat="1" x14ac:dyDescent="0.2"/>
    <row r="4802" s="20" customFormat="1" x14ac:dyDescent="0.2"/>
    <row r="4803" s="20" customFormat="1" x14ac:dyDescent="0.2"/>
    <row r="4804" s="20" customFormat="1" x14ac:dyDescent="0.2"/>
    <row r="4805" s="20" customFormat="1" x14ac:dyDescent="0.2"/>
    <row r="4806" s="20" customFormat="1" x14ac:dyDescent="0.2"/>
    <row r="4807" s="20" customFormat="1" x14ac:dyDescent="0.2"/>
    <row r="4808" s="20" customFormat="1" x14ac:dyDescent="0.2"/>
    <row r="4809" s="20" customFormat="1" x14ac:dyDescent="0.2"/>
    <row r="4810" s="20" customFormat="1" x14ac:dyDescent="0.2"/>
    <row r="4811" s="20" customFormat="1" x14ac:dyDescent="0.2"/>
    <row r="4812" s="20" customFormat="1" x14ac:dyDescent="0.2"/>
    <row r="4813" s="20" customFormat="1" x14ac:dyDescent="0.2"/>
    <row r="4814" s="20" customFormat="1" x14ac:dyDescent="0.2"/>
    <row r="4815" s="20" customFormat="1" x14ac:dyDescent="0.2"/>
    <row r="4816" s="20" customFormat="1" x14ac:dyDescent="0.2"/>
    <row r="4817" s="20" customFormat="1" x14ac:dyDescent="0.2"/>
    <row r="4818" s="20" customFormat="1" x14ac:dyDescent="0.2"/>
    <row r="4819" s="20" customFormat="1" x14ac:dyDescent="0.2"/>
    <row r="4820" s="20" customFormat="1" x14ac:dyDescent="0.2"/>
    <row r="4821" s="20" customFormat="1" x14ac:dyDescent="0.2"/>
    <row r="4822" s="20" customFormat="1" x14ac:dyDescent="0.2"/>
    <row r="4823" s="20" customFormat="1" x14ac:dyDescent="0.2"/>
    <row r="4824" s="20" customFormat="1" x14ac:dyDescent="0.2"/>
    <row r="4825" s="20" customFormat="1" x14ac:dyDescent="0.2"/>
    <row r="4826" s="20" customFormat="1" x14ac:dyDescent="0.2"/>
    <row r="4827" s="20" customFormat="1" x14ac:dyDescent="0.2"/>
    <row r="4828" s="20" customFormat="1" x14ac:dyDescent="0.2"/>
    <row r="4829" s="20" customFormat="1" x14ac:dyDescent="0.2"/>
    <row r="4830" s="20" customFormat="1" x14ac:dyDescent="0.2"/>
    <row r="4831" s="20" customFormat="1" x14ac:dyDescent="0.2"/>
    <row r="4832" s="20" customFormat="1" x14ac:dyDescent="0.2"/>
    <row r="4833" s="20" customFormat="1" x14ac:dyDescent="0.2"/>
    <row r="4834" s="20" customFormat="1" x14ac:dyDescent="0.2"/>
    <row r="4835" s="20" customFormat="1" x14ac:dyDescent="0.2"/>
    <row r="4836" s="20" customFormat="1" x14ac:dyDescent="0.2"/>
    <row r="4837" s="20" customFormat="1" x14ac:dyDescent="0.2"/>
    <row r="4838" s="20" customFormat="1" x14ac:dyDescent="0.2"/>
    <row r="4839" s="20" customFormat="1" x14ac:dyDescent="0.2"/>
    <row r="4840" s="20" customFormat="1" x14ac:dyDescent="0.2"/>
    <row r="4841" s="20" customFormat="1" x14ac:dyDescent="0.2"/>
    <row r="4842" s="20" customFormat="1" x14ac:dyDescent="0.2"/>
    <row r="4843" s="20" customFormat="1" x14ac:dyDescent="0.2"/>
    <row r="4844" s="20" customFormat="1" x14ac:dyDescent="0.2"/>
    <row r="4845" s="20" customFormat="1" x14ac:dyDescent="0.2"/>
    <row r="4846" s="20" customFormat="1" x14ac:dyDescent="0.2"/>
    <row r="4847" s="20" customFormat="1" x14ac:dyDescent="0.2"/>
    <row r="4848" s="20" customFormat="1" x14ac:dyDescent="0.2"/>
    <row r="4849" s="20" customFormat="1" x14ac:dyDescent="0.2"/>
    <row r="4850" s="20" customFormat="1" x14ac:dyDescent="0.2"/>
    <row r="4851" s="20" customFormat="1" x14ac:dyDescent="0.2"/>
    <row r="4852" s="20" customFormat="1" x14ac:dyDescent="0.2"/>
    <row r="4853" s="20" customFormat="1" x14ac:dyDescent="0.2"/>
    <row r="4854" s="20" customFormat="1" x14ac:dyDescent="0.2"/>
    <row r="4855" s="20" customFormat="1" x14ac:dyDescent="0.2"/>
    <row r="4856" s="20" customFormat="1" x14ac:dyDescent="0.2"/>
    <row r="4857" s="20" customFormat="1" x14ac:dyDescent="0.2"/>
    <row r="4858" s="20" customFormat="1" x14ac:dyDescent="0.2"/>
    <row r="4859" s="20" customFormat="1" x14ac:dyDescent="0.2"/>
    <row r="4860" s="20" customFormat="1" x14ac:dyDescent="0.2"/>
    <row r="4861" s="20" customFormat="1" x14ac:dyDescent="0.2"/>
    <row r="4862" s="20" customFormat="1" x14ac:dyDescent="0.2"/>
    <row r="4863" s="20" customFormat="1" x14ac:dyDescent="0.2"/>
    <row r="4864" s="20" customFormat="1" x14ac:dyDescent="0.2"/>
    <row r="4865" s="20" customFormat="1" x14ac:dyDescent="0.2"/>
    <row r="4866" s="20" customFormat="1" x14ac:dyDescent="0.2"/>
    <row r="4867" s="20" customFormat="1" x14ac:dyDescent="0.2"/>
    <row r="4868" s="20" customFormat="1" x14ac:dyDescent="0.2"/>
    <row r="4869" s="20" customFormat="1" x14ac:dyDescent="0.2"/>
    <row r="4870" s="20" customFormat="1" x14ac:dyDescent="0.2"/>
    <row r="4871" s="20" customFormat="1" x14ac:dyDescent="0.2"/>
    <row r="4872" s="20" customFormat="1" x14ac:dyDescent="0.2"/>
    <row r="4873" s="20" customFormat="1" x14ac:dyDescent="0.2"/>
    <row r="4874" s="20" customFormat="1" x14ac:dyDescent="0.2"/>
    <row r="4875" s="20" customFormat="1" x14ac:dyDescent="0.2"/>
    <row r="4876" s="20" customFormat="1" x14ac:dyDescent="0.2"/>
    <row r="4877" s="20" customFormat="1" x14ac:dyDescent="0.2"/>
    <row r="4878" s="20" customFormat="1" x14ac:dyDescent="0.2"/>
    <row r="4879" s="20" customFormat="1" x14ac:dyDescent="0.2"/>
    <row r="4880" s="20" customFormat="1" x14ac:dyDescent="0.2"/>
    <row r="4881" s="20" customFormat="1" x14ac:dyDescent="0.2"/>
    <row r="4882" s="20" customFormat="1" x14ac:dyDescent="0.2"/>
    <row r="4883" s="20" customFormat="1" x14ac:dyDescent="0.2"/>
    <row r="4884" s="20" customFormat="1" x14ac:dyDescent="0.2"/>
    <row r="4885" s="20" customFormat="1" x14ac:dyDescent="0.2"/>
    <row r="4886" s="20" customFormat="1" x14ac:dyDescent="0.2"/>
    <row r="4887" s="20" customFormat="1" x14ac:dyDescent="0.2"/>
    <row r="4888" s="20" customFormat="1" x14ac:dyDescent="0.2"/>
    <row r="4889" s="20" customFormat="1" x14ac:dyDescent="0.2"/>
    <row r="4890" s="20" customFormat="1" x14ac:dyDescent="0.2"/>
    <row r="4891" s="20" customFormat="1" x14ac:dyDescent="0.2"/>
    <row r="4892" s="20" customFormat="1" x14ac:dyDescent="0.2"/>
    <row r="4893" s="20" customFormat="1" x14ac:dyDescent="0.2"/>
    <row r="4894" s="20" customFormat="1" x14ac:dyDescent="0.2"/>
    <row r="4895" s="20" customFormat="1" x14ac:dyDescent="0.2"/>
    <row r="4896" s="20" customFormat="1" x14ac:dyDescent="0.2"/>
    <row r="4897" s="20" customFormat="1" x14ac:dyDescent="0.2"/>
    <row r="4898" s="20" customFormat="1" x14ac:dyDescent="0.2"/>
    <row r="4899" s="20" customFormat="1" x14ac:dyDescent="0.2"/>
    <row r="4900" s="20" customFormat="1" x14ac:dyDescent="0.2"/>
    <row r="4901" s="20" customFormat="1" x14ac:dyDescent="0.2"/>
    <row r="4902" s="20" customFormat="1" x14ac:dyDescent="0.2"/>
    <row r="4903" s="20" customFormat="1" x14ac:dyDescent="0.2"/>
    <row r="4904" s="20" customFormat="1" x14ac:dyDescent="0.2"/>
    <row r="4905" s="20" customFormat="1" x14ac:dyDescent="0.2"/>
    <row r="4906" s="20" customFormat="1" x14ac:dyDescent="0.2"/>
    <row r="4907" s="20" customFormat="1" x14ac:dyDescent="0.2"/>
    <row r="4908" s="20" customFormat="1" x14ac:dyDescent="0.2"/>
    <row r="4909" s="20" customFormat="1" x14ac:dyDescent="0.2"/>
    <row r="4910" s="20" customFormat="1" x14ac:dyDescent="0.2"/>
    <row r="4911" s="20" customFormat="1" x14ac:dyDescent="0.2"/>
    <row r="4912" s="20" customFormat="1" x14ac:dyDescent="0.2"/>
    <row r="4913" s="20" customFormat="1" x14ac:dyDescent="0.2"/>
    <row r="4914" s="20" customFormat="1" x14ac:dyDescent="0.2"/>
    <row r="4915" s="20" customFormat="1" x14ac:dyDescent="0.2"/>
    <row r="4916" s="20" customFormat="1" x14ac:dyDescent="0.2"/>
    <row r="4917" s="20" customFormat="1" x14ac:dyDescent="0.2"/>
    <row r="4918" s="20" customFormat="1" x14ac:dyDescent="0.2"/>
    <row r="4919" s="20" customFormat="1" x14ac:dyDescent="0.2"/>
    <row r="4920" s="20" customFormat="1" x14ac:dyDescent="0.2"/>
    <row r="4921" s="20" customFormat="1" x14ac:dyDescent="0.2"/>
    <row r="4922" s="20" customFormat="1" x14ac:dyDescent="0.2"/>
    <row r="4923" s="20" customFormat="1" x14ac:dyDescent="0.2"/>
    <row r="4924" s="20" customFormat="1" x14ac:dyDescent="0.2"/>
    <row r="4925" s="20" customFormat="1" x14ac:dyDescent="0.2"/>
    <row r="4926" s="20" customFormat="1" x14ac:dyDescent="0.2"/>
    <row r="4927" s="20" customFormat="1" x14ac:dyDescent="0.2"/>
    <row r="4928" s="20" customFormat="1" x14ac:dyDescent="0.2"/>
    <row r="4929" s="20" customFormat="1" x14ac:dyDescent="0.2"/>
    <row r="4930" s="20" customFormat="1" x14ac:dyDescent="0.2"/>
    <row r="4931" s="20" customFormat="1" x14ac:dyDescent="0.2"/>
    <row r="4932" s="20" customFormat="1" x14ac:dyDescent="0.2"/>
    <row r="4933" s="20" customFormat="1" x14ac:dyDescent="0.2"/>
    <row r="4934" s="20" customFormat="1" x14ac:dyDescent="0.2"/>
    <row r="4935" s="20" customFormat="1" x14ac:dyDescent="0.2"/>
    <row r="4936" s="20" customFormat="1" x14ac:dyDescent="0.2"/>
    <row r="4937" s="20" customFormat="1" x14ac:dyDescent="0.2"/>
    <row r="4938" s="20" customFormat="1" x14ac:dyDescent="0.2"/>
    <row r="4939" s="20" customFormat="1" x14ac:dyDescent="0.2"/>
    <row r="4940" s="20" customFormat="1" x14ac:dyDescent="0.2"/>
    <row r="4941" s="20" customFormat="1" x14ac:dyDescent="0.2"/>
    <row r="4942" s="20" customFormat="1" x14ac:dyDescent="0.2"/>
    <row r="4943" s="20" customFormat="1" x14ac:dyDescent="0.2"/>
    <row r="4944" s="20" customFormat="1" x14ac:dyDescent="0.2"/>
    <row r="4945" s="20" customFormat="1" x14ac:dyDescent="0.2"/>
    <row r="4946" s="20" customFormat="1" x14ac:dyDescent="0.2"/>
    <row r="4947" s="20" customFormat="1" x14ac:dyDescent="0.2"/>
    <row r="4948" s="20" customFormat="1" x14ac:dyDescent="0.2"/>
    <row r="4949" s="20" customFormat="1" x14ac:dyDescent="0.2"/>
    <row r="4950" s="20" customFormat="1" x14ac:dyDescent="0.2"/>
    <row r="4951" s="20" customFormat="1" x14ac:dyDescent="0.2"/>
    <row r="4952" s="20" customFormat="1" x14ac:dyDescent="0.2"/>
    <row r="4953" s="20" customFormat="1" x14ac:dyDescent="0.2"/>
    <row r="4954" s="20" customFormat="1" x14ac:dyDescent="0.2"/>
    <row r="4955" s="20" customFormat="1" x14ac:dyDescent="0.2"/>
    <row r="4956" s="20" customFormat="1" x14ac:dyDescent="0.2"/>
    <row r="4957" s="20" customFormat="1" x14ac:dyDescent="0.2"/>
    <row r="4958" s="20" customFormat="1" x14ac:dyDescent="0.2"/>
    <row r="4959" s="20" customFormat="1" x14ac:dyDescent="0.2"/>
    <row r="4960" s="20" customFormat="1" x14ac:dyDescent="0.2"/>
    <row r="4961" s="20" customFormat="1" x14ac:dyDescent="0.2"/>
    <row r="4962" s="20" customFormat="1" x14ac:dyDescent="0.2"/>
    <row r="4963" s="20" customFormat="1" x14ac:dyDescent="0.2"/>
    <row r="4964" s="20" customFormat="1" x14ac:dyDescent="0.2"/>
    <row r="4965" s="20" customFormat="1" x14ac:dyDescent="0.2"/>
    <row r="4966" s="20" customFormat="1" x14ac:dyDescent="0.2"/>
    <row r="4967" s="20" customFormat="1" x14ac:dyDescent="0.2"/>
    <row r="4968" s="20" customFormat="1" x14ac:dyDescent="0.2"/>
    <row r="4969" s="20" customFormat="1" x14ac:dyDescent="0.2"/>
    <row r="4970" s="20" customFormat="1" x14ac:dyDescent="0.2"/>
    <row r="4971" s="20" customFormat="1" x14ac:dyDescent="0.2"/>
    <row r="4972" s="20" customFormat="1" x14ac:dyDescent="0.2"/>
    <row r="4973" s="20" customFormat="1" x14ac:dyDescent="0.2"/>
    <row r="4974" s="20" customFormat="1" x14ac:dyDescent="0.2"/>
    <row r="4975" s="20" customFormat="1" x14ac:dyDescent="0.2"/>
    <row r="4976" s="20" customFormat="1" x14ac:dyDescent="0.2"/>
    <row r="4977" s="20" customFormat="1" x14ac:dyDescent="0.2"/>
    <row r="4978" s="20" customFormat="1" x14ac:dyDescent="0.2"/>
    <row r="4979" s="20" customFormat="1" x14ac:dyDescent="0.2"/>
    <row r="4980" s="20" customFormat="1" x14ac:dyDescent="0.2"/>
    <row r="4981" s="20" customFormat="1" x14ac:dyDescent="0.2"/>
    <row r="4982" s="20" customFormat="1" x14ac:dyDescent="0.2"/>
    <row r="4983" s="20" customFormat="1" x14ac:dyDescent="0.2"/>
    <row r="4984" s="20" customFormat="1" x14ac:dyDescent="0.2"/>
    <row r="4985" s="20" customFormat="1" x14ac:dyDescent="0.2"/>
    <row r="4986" s="20" customFormat="1" x14ac:dyDescent="0.2"/>
    <row r="4987" s="20" customFormat="1" x14ac:dyDescent="0.2"/>
    <row r="4988" s="20" customFormat="1" x14ac:dyDescent="0.2"/>
    <row r="4989" s="20" customFormat="1" x14ac:dyDescent="0.2"/>
    <row r="4990" s="20" customFormat="1" x14ac:dyDescent="0.2"/>
    <row r="4991" s="20" customFormat="1" x14ac:dyDescent="0.2"/>
    <row r="4992" s="20" customFormat="1" x14ac:dyDescent="0.2"/>
    <row r="4993" s="20" customFormat="1" x14ac:dyDescent="0.2"/>
    <row r="4994" s="20" customFormat="1" x14ac:dyDescent="0.2"/>
    <row r="4995" s="20" customFormat="1" x14ac:dyDescent="0.2"/>
    <row r="4996" s="20" customFormat="1" x14ac:dyDescent="0.2"/>
    <row r="4997" s="20" customFormat="1" x14ac:dyDescent="0.2"/>
    <row r="4998" s="20" customFormat="1" x14ac:dyDescent="0.2"/>
    <row r="4999" s="20" customFormat="1" x14ac:dyDescent="0.2"/>
    <row r="5000" s="20" customFormat="1" x14ac:dyDescent="0.2"/>
    <row r="5001" s="20" customFormat="1" x14ac:dyDescent="0.2"/>
    <row r="5002" s="20" customFormat="1" x14ac:dyDescent="0.2"/>
    <row r="5003" s="20" customFormat="1" x14ac:dyDescent="0.2"/>
    <row r="5004" s="20" customFormat="1" x14ac:dyDescent="0.2"/>
    <row r="5005" s="20" customFormat="1" x14ac:dyDescent="0.2"/>
    <row r="5006" s="20" customFormat="1" x14ac:dyDescent="0.2"/>
    <row r="5007" s="20" customFormat="1" x14ac:dyDescent="0.2"/>
    <row r="5008" s="20" customFormat="1" x14ac:dyDescent="0.2"/>
    <row r="5009" s="20" customFormat="1" x14ac:dyDescent="0.2"/>
    <row r="5010" s="20" customFormat="1" x14ac:dyDescent="0.2"/>
    <row r="5011" s="20" customFormat="1" x14ac:dyDescent="0.2"/>
    <row r="5012" s="20" customFormat="1" x14ac:dyDescent="0.2"/>
    <row r="5013" s="20" customFormat="1" x14ac:dyDescent="0.2"/>
    <row r="5014" s="20" customFormat="1" x14ac:dyDescent="0.2"/>
    <row r="5015" s="20" customFormat="1" x14ac:dyDescent="0.2"/>
    <row r="5016" s="20" customFormat="1" x14ac:dyDescent="0.2"/>
    <row r="5017" s="20" customFormat="1" x14ac:dyDescent="0.2"/>
    <row r="5018" s="20" customFormat="1" x14ac:dyDescent="0.2"/>
    <row r="5019" s="20" customFormat="1" x14ac:dyDescent="0.2"/>
    <row r="5020" s="20" customFormat="1" x14ac:dyDescent="0.2"/>
    <row r="5021" s="20" customFormat="1" x14ac:dyDescent="0.2"/>
    <row r="5022" s="20" customFormat="1" x14ac:dyDescent="0.2"/>
    <row r="5023" s="20" customFormat="1" x14ac:dyDescent="0.2"/>
    <row r="5024" s="20" customFormat="1" x14ac:dyDescent="0.2"/>
    <row r="5025" s="20" customFormat="1" x14ac:dyDescent="0.2"/>
    <row r="5026" s="20" customFormat="1" x14ac:dyDescent="0.2"/>
    <row r="5027" s="20" customFormat="1" x14ac:dyDescent="0.2"/>
    <row r="5028" s="20" customFormat="1" x14ac:dyDescent="0.2"/>
    <row r="5029" s="20" customFormat="1" x14ac:dyDescent="0.2"/>
    <row r="5030" s="20" customFormat="1" x14ac:dyDescent="0.2"/>
    <row r="5031" s="20" customFormat="1" x14ac:dyDescent="0.2"/>
    <row r="5032" s="20" customFormat="1" x14ac:dyDescent="0.2"/>
    <row r="5033" s="20" customFormat="1" x14ac:dyDescent="0.2"/>
    <row r="5034" s="20" customFormat="1" x14ac:dyDescent="0.2"/>
    <row r="5035" s="20" customFormat="1" x14ac:dyDescent="0.2"/>
    <row r="5036" s="20" customFormat="1" x14ac:dyDescent="0.2"/>
    <row r="5037" s="20" customFormat="1" x14ac:dyDescent="0.2"/>
    <row r="5038" s="20" customFormat="1" x14ac:dyDescent="0.2"/>
    <row r="5039" s="20" customFormat="1" x14ac:dyDescent="0.2"/>
    <row r="5040" s="20" customFormat="1" x14ac:dyDescent="0.2"/>
    <row r="5041" s="20" customFormat="1" x14ac:dyDescent="0.2"/>
    <row r="5042" s="20" customFormat="1" x14ac:dyDescent="0.2"/>
    <row r="5043" s="20" customFormat="1" x14ac:dyDescent="0.2"/>
    <row r="5044" s="20" customFormat="1" x14ac:dyDescent="0.2"/>
    <row r="5045" s="20" customFormat="1" x14ac:dyDescent="0.2"/>
    <row r="5046" s="20" customFormat="1" x14ac:dyDescent="0.2"/>
    <row r="5047" s="20" customFormat="1" x14ac:dyDescent="0.2"/>
    <row r="5048" s="20" customFormat="1" x14ac:dyDescent="0.2"/>
    <row r="5049" s="20" customFormat="1" x14ac:dyDescent="0.2"/>
    <row r="5050" s="20" customFormat="1" x14ac:dyDescent="0.2"/>
    <row r="5051" s="20" customFormat="1" x14ac:dyDescent="0.2"/>
    <row r="5052" s="20" customFormat="1" x14ac:dyDescent="0.2"/>
    <row r="5053" s="20" customFormat="1" x14ac:dyDescent="0.2"/>
    <row r="5054" s="20" customFormat="1" x14ac:dyDescent="0.2"/>
    <row r="5055" s="20" customFormat="1" x14ac:dyDescent="0.2"/>
    <row r="5056" s="20" customFormat="1" x14ac:dyDescent="0.2"/>
    <row r="5057" s="20" customFormat="1" x14ac:dyDescent="0.2"/>
    <row r="5058" s="20" customFormat="1" x14ac:dyDescent="0.2"/>
    <row r="5059" s="20" customFormat="1" x14ac:dyDescent="0.2"/>
    <row r="5060" s="20" customFormat="1" x14ac:dyDescent="0.2"/>
    <row r="5061" s="20" customFormat="1" x14ac:dyDescent="0.2"/>
    <row r="5062" s="20" customFormat="1" x14ac:dyDescent="0.2"/>
    <row r="5063" s="20" customFormat="1" x14ac:dyDescent="0.2"/>
    <row r="5064" s="20" customFormat="1" x14ac:dyDescent="0.2"/>
    <row r="5065" s="20" customFormat="1" x14ac:dyDescent="0.2"/>
    <row r="5066" s="20" customFormat="1" x14ac:dyDescent="0.2"/>
    <row r="5067" s="20" customFormat="1" x14ac:dyDescent="0.2"/>
    <row r="5068" s="20" customFormat="1" x14ac:dyDescent="0.2"/>
    <row r="5069" s="20" customFormat="1" x14ac:dyDescent="0.2"/>
    <row r="5070" s="20" customFormat="1" x14ac:dyDescent="0.2"/>
    <row r="5071" s="20" customFormat="1" x14ac:dyDescent="0.2"/>
    <row r="5072" s="20" customFormat="1" x14ac:dyDescent="0.2"/>
    <row r="5073" s="20" customFormat="1" x14ac:dyDescent="0.2"/>
    <row r="5074" s="20" customFormat="1" x14ac:dyDescent="0.2"/>
    <row r="5075" s="20" customFormat="1" x14ac:dyDescent="0.2"/>
    <row r="5076" s="20" customFormat="1" x14ac:dyDescent="0.2"/>
    <row r="5077" s="20" customFormat="1" x14ac:dyDescent="0.2"/>
    <row r="5078" s="20" customFormat="1" x14ac:dyDescent="0.2"/>
    <row r="5079" s="20" customFormat="1" x14ac:dyDescent="0.2"/>
    <row r="5080" s="20" customFormat="1" x14ac:dyDescent="0.2"/>
    <row r="5081" s="20" customFormat="1" x14ac:dyDescent="0.2"/>
    <row r="5082" s="20" customFormat="1" x14ac:dyDescent="0.2"/>
    <row r="5083" s="20" customFormat="1" x14ac:dyDescent="0.2"/>
    <row r="5084" s="20" customFormat="1" x14ac:dyDescent="0.2"/>
    <row r="5085" s="20" customFormat="1" x14ac:dyDescent="0.2"/>
    <row r="5086" s="20" customFormat="1" x14ac:dyDescent="0.2"/>
    <row r="5087" s="20" customFormat="1" x14ac:dyDescent="0.2"/>
    <row r="5088" s="20" customFormat="1" x14ac:dyDescent="0.2"/>
    <row r="5089" s="20" customFormat="1" x14ac:dyDescent="0.2"/>
    <row r="5090" s="20" customFormat="1" x14ac:dyDescent="0.2"/>
    <row r="5091" s="20" customFormat="1" x14ac:dyDescent="0.2"/>
    <row r="5092" s="20" customFormat="1" x14ac:dyDescent="0.2"/>
    <row r="5093" s="20" customFormat="1" x14ac:dyDescent="0.2"/>
    <row r="5094" s="20" customFormat="1" x14ac:dyDescent="0.2"/>
    <row r="5095" s="20" customFormat="1" x14ac:dyDescent="0.2"/>
    <row r="5096" s="20" customFormat="1" x14ac:dyDescent="0.2"/>
    <row r="5097" s="20" customFormat="1" x14ac:dyDescent="0.2"/>
    <row r="5098" s="20" customFormat="1" x14ac:dyDescent="0.2"/>
    <row r="5099" s="20" customFormat="1" x14ac:dyDescent="0.2"/>
    <row r="5100" s="20" customFormat="1" x14ac:dyDescent="0.2"/>
    <row r="5101" s="20" customFormat="1" x14ac:dyDescent="0.2"/>
    <row r="5102" s="20" customFormat="1" x14ac:dyDescent="0.2"/>
    <row r="5103" s="20" customFormat="1" x14ac:dyDescent="0.2"/>
    <row r="5104" s="20" customFormat="1" x14ac:dyDescent="0.2"/>
    <row r="5105" s="20" customFormat="1" x14ac:dyDescent="0.2"/>
    <row r="5106" s="20" customFormat="1" x14ac:dyDescent="0.2"/>
    <row r="5107" s="20" customFormat="1" x14ac:dyDescent="0.2"/>
    <row r="5108" s="20" customFormat="1" x14ac:dyDescent="0.2"/>
    <row r="5109" s="20" customFormat="1" x14ac:dyDescent="0.2"/>
    <row r="5110" s="20" customFormat="1" x14ac:dyDescent="0.2"/>
    <row r="5111" s="20" customFormat="1" x14ac:dyDescent="0.2"/>
    <row r="5112" s="20" customFormat="1" x14ac:dyDescent="0.2"/>
    <row r="5113" s="20" customFormat="1" x14ac:dyDescent="0.2"/>
    <row r="5114" s="20" customFormat="1" x14ac:dyDescent="0.2"/>
    <row r="5115" s="20" customFormat="1" x14ac:dyDescent="0.2"/>
    <row r="5116" s="20" customFormat="1" x14ac:dyDescent="0.2"/>
    <row r="5117" s="20" customFormat="1" x14ac:dyDescent="0.2"/>
    <row r="5118" s="20" customFormat="1" x14ac:dyDescent="0.2"/>
    <row r="5119" s="20" customFormat="1" x14ac:dyDescent="0.2"/>
    <row r="5120" s="20" customFormat="1" x14ac:dyDescent="0.2"/>
    <row r="5121" s="20" customFormat="1" x14ac:dyDescent="0.2"/>
    <row r="5122" s="20" customFormat="1" x14ac:dyDescent="0.2"/>
    <row r="5123" s="20" customFormat="1" x14ac:dyDescent="0.2"/>
    <row r="5124" s="20" customFormat="1" x14ac:dyDescent="0.2"/>
    <row r="5125" s="20" customFormat="1" x14ac:dyDescent="0.2"/>
    <row r="5126" s="20" customFormat="1" x14ac:dyDescent="0.2"/>
    <row r="5127" s="20" customFormat="1" x14ac:dyDescent="0.2"/>
    <row r="5128" s="20" customFormat="1" x14ac:dyDescent="0.2"/>
    <row r="5129" s="20" customFormat="1" x14ac:dyDescent="0.2"/>
    <row r="5130" s="20" customFormat="1" x14ac:dyDescent="0.2"/>
    <row r="5131" s="20" customFormat="1" x14ac:dyDescent="0.2"/>
    <row r="5132" s="20" customFormat="1" x14ac:dyDescent="0.2"/>
    <row r="5133" s="20" customFormat="1" x14ac:dyDescent="0.2"/>
    <row r="5134" s="20" customFormat="1" x14ac:dyDescent="0.2"/>
    <row r="5135" s="20" customFormat="1" x14ac:dyDescent="0.2"/>
    <row r="5136" s="20" customFormat="1" x14ac:dyDescent="0.2"/>
    <row r="5137" s="20" customFormat="1" x14ac:dyDescent="0.2"/>
    <row r="5138" s="20" customFormat="1" x14ac:dyDescent="0.2"/>
    <row r="5139" s="20" customFormat="1" x14ac:dyDescent="0.2"/>
    <row r="5140" s="20" customFormat="1" x14ac:dyDescent="0.2"/>
    <row r="5141" s="20" customFormat="1" x14ac:dyDescent="0.2"/>
    <row r="5142" s="20" customFormat="1" x14ac:dyDescent="0.2"/>
    <row r="5143" s="20" customFormat="1" x14ac:dyDescent="0.2"/>
    <row r="5144" s="20" customFormat="1" x14ac:dyDescent="0.2"/>
    <row r="5145" s="20" customFormat="1" x14ac:dyDescent="0.2"/>
    <row r="5146" s="20" customFormat="1" x14ac:dyDescent="0.2"/>
    <row r="5147" s="20" customFormat="1" x14ac:dyDescent="0.2"/>
    <row r="5148" s="20" customFormat="1" x14ac:dyDescent="0.2"/>
    <row r="5149" s="20" customFormat="1" x14ac:dyDescent="0.2"/>
    <row r="5150" s="20" customFormat="1" x14ac:dyDescent="0.2"/>
    <row r="5151" s="20" customFormat="1" x14ac:dyDescent="0.2"/>
    <row r="5152" s="20" customFormat="1" x14ac:dyDescent="0.2"/>
    <row r="5153" s="20" customFormat="1" x14ac:dyDescent="0.2"/>
    <row r="5154" s="20" customFormat="1" x14ac:dyDescent="0.2"/>
    <row r="5155" s="20" customFormat="1" x14ac:dyDescent="0.2"/>
    <row r="5156" s="20" customFormat="1" x14ac:dyDescent="0.2"/>
    <row r="5157" s="20" customFormat="1" x14ac:dyDescent="0.2"/>
    <row r="5158" s="20" customFormat="1" x14ac:dyDescent="0.2"/>
    <row r="5159" s="20" customFormat="1" x14ac:dyDescent="0.2"/>
    <row r="5160" s="20" customFormat="1" x14ac:dyDescent="0.2"/>
    <row r="5161" s="20" customFormat="1" x14ac:dyDescent="0.2"/>
    <row r="5162" s="20" customFormat="1" x14ac:dyDescent="0.2"/>
    <row r="5163" s="20" customFormat="1" x14ac:dyDescent="0.2"/>
    <row r="5164" s="20" customFormat="1" x14ac:dyDescent="0.2"/>
    <row r="5165" s="20" customFormat="1" x14ac:dyDescent="0.2"/>
    <row r="5166" s="20" customFormat="1" x14ac:dyDescent="0.2"/>
    <row r="5167" s="20" customFormat="1" x14ac:dyDescent="0.2"/>
    <row r="5168" s="20" customFormat="1" x14ac:dyDescent="0.2"/>
    <row r="5169" s="20" customFormat="1" x14ac:dyDescent="0.2"/>
    <row r="5170" s="20" customFormat="1" x14ac:dyDescent="0.2"/>
    <row r="5171" s="20" customFormat="1" x14ac:dyDescent="0.2"/>
    <row r="5172" s="20" customFormat="1" x14ac:dyDescent="0.2"/>
    <row r="5173" s="20" customFormat="1" x14ac:dyDescent="0.2"/>
    <row r="5174" s="20" customFormat="1" x14ac:dyDescent="0.2"/>
    <row r="5175" s="20" customFormat="1" x14ac:dyDescent="0.2"/>
    <row r="5176" s="20" customFormat="1" x14ac:dyDescent="0.2"/>
    <row r="5177" s="20" customFormat="1" x14ac:dyDescent="0.2"/>
    <row r="5178" s="20" customFormat="1" x14ac:dyDescent="0.2"/>
    <row r="5179" s="20" customFormat="1" x14ac:dyDescent="0.2"/>
    <row r="5180" s="20" customFormat="1" x14ac:dyDescent="0.2"/>
    <row r="5181" s="20" customFormat="1" x14ac:dyDescent="0.2"/>
    <row r="5182" s="20" customFormat="1" x14ac:dyDescent="0.2"/>
    <row r="5183" s="20" customFormat="1" x14ac:dyDescent="0.2"/>
    <row r="5184" s="20" customFormat="1" x14ac:dyDescent="0.2"/>
    <row r="5185" s="20" customFormat="1" x14ac:dyDescent="0.2"/>
    <row r="5186" s="20" customFormat="1" x14ac:dyDescent="0.2"/>
    <row r="5187" s="20" customFormat="1" x14ac:dyDescent="0.2"/>
    <row r="5188" s="20" customFormat="1" x14ac:dyDescent="0.2"/>
    <row r="5189" s="20" customFormat="1" x14ac:dyDescent="0.2"/>
    <row r="5190" s="20" customFormat="1" x14ac:dyDescent="0.2"/>
    <row r="5191" s="20" customFormat="1" x14ac:dyDescent="0.2"/>
    <row r="5192" s="20" customFormat="1" x14ac:dyDescent="0.2"/>
    <row r="5193" s="20" customFormat="1" x14ac:dyDescent="0.2"/>
    <row r="5194" s="20" customFormat="1" x14ac:dyDescent="0.2"/>
    <row r="5195" s="20" customFormat="1" x14ac:dyDescent="0.2"/>
    <row r="5196" s="20" customFormat="1" x14ac:dyDescent="0.2"/>
    <row r="5197" s="20" customFormat="1" x14ac:dyDescent="0.2"/>
    <row r="5198" s="20" customFormat="1" x14ac:dyDescent="0.2"/>
    <row r="5199" s="20" customFormat="1" x14ac:dyDescent="0.2"/>
    <row r="5200" s="20" customFormat="1" x14ac:dyDescent="0.2"/>
    <row r="5201" s="20" customFormat="1" x14ac:dyDescent="0.2"/>
    <row r="5202" s="20" customFormat="1" x14ac:dyDescent="0.2"/>
    <row r="5203" s="20" customFormat="1" x14ac:dyDescent="0.2"/>
    <row r="5204" s="20" customFormat="1" x14ac:dyDescent="0.2"/>
    <row r="5205" s="20" customFormat="1" x14ac:dyDescent="0.2"/>
    <row r="5206" s="20" customFormat="1" x14ac:dyDescent="0.2"/>
    <row r="5207" s="20" customFormat="1" x14ac:dyDescent="0.2"/>
    <row r="5208" s="20" customFormat="1" x14ac:dyDescent="0.2"/>
    <row r="5209" s="20" customFormat="1" x14ac:dyDescent="0.2"/>
    <row r="5210" s="20" customFormat="1" x14ac:dyDescent="0.2"/>
    <row r="5211" s="20" customFormat="1" x14ac:dyDescent="0.2"/>
    <row r="5212" s="20" customFormat="1" x14ac:dyDescent="0.2"/>
    <row r="5213" s="20" customFormat="1" x14ac:dyDescent="0.2"/>
    <row r="5214" s="20" customFormat="1" x14ac:dyDescent="0.2"/>
    <row r="5215" s="20" customFormat="1" x14ac:dyDescent="0.2"/>
    <row r="5216" s="20" customFormat="1" x14ac:dyDescent="0.2"/>
    <row r="5217" s="20" customFormat="1" x14ac:dyDescent="0.2"/>
    <row r="5218" s="20" customFormat="1" x14ac:dyDescent="0.2"/>
    <row r="5219" s="20" customFormat="1" x14ac:dyDescent="0.2"/>
    <row r="5220" s="20" customFormat="1" x14ac:dyDescent="0.2"/>
    <row r="5221" s="20" customFormat="1" x14ac:dyDescent="0.2"/>
    <row r="5222" s="20" customFormat="1" x14ac:dyDescent="0.2"/>
    <row r="5223" s="20" customFormat="1" x14ac:dyDescent="0.2"/>
    <row r="5224" s="20" customFormat="1" x14ac:dyDescent="0.2"/>
    <row r="5225" s="20" customFormat="1" x14ac:dyDescent="0.2"/>
    <row r="5226" s="20" customFormat="1" x14ac:dyDescent="0.2"/>
    <row r="5227" s="20" customFormat="1" x14ac:dyDescent="0.2"/>
    <row r="5228" s="20" customFormat="1" x14ac:dyDescent="0.2"/>
    <row r="5229" s="20" customFormat="1" x14ac:dyDescent="0.2"/>
    <row r="5230" s="20" customFormat="1" x14ac:dyDescent="0.2"/>
    <row r="5231" s="20" customFormat="1" x14ac:dyDescent="0.2"/>
    <row r="5232" s="20" customFormat="1" x14ac:dyDescent="0.2"/>
    <row r="5233" s="20" customFormat="1" x14ac:dyDescent="0.2"/>
    <row r="5234" s="20" customFormat="1" x14ac:dyDescent="0.2"/>
    <row r="5235" s="20" customFormat="1" x14ac:dyDescent="0.2"/>
    <row r="5236" s="20" customFormat="1" x14ac:dyDescent="0.2"/>
    <row r="5237" s="20" customFormat="1" x14ac:dyDescent="0.2"/>
    <row r="5238" s="20" customFormat="1" x14ac:dyDescent="0.2"/>
    <row r="5239" s="20" customFormat="1" x14ac:dyDescent="0.2"/>
    <row r="5240" s="20" customFormat="1" x14ac:dyDescent="0.2"/>
    <row r="5241" s="20" customFormat="1" x14ac:dyDescent="0.2"/>
    <row r="5242" s="20" customFormat="1" x14ac:dyDescent="0.2"/>
    <row r="5243" s="20" customFormat="1" x14ac:dyDescent="0.2"/>
    <row r="5244" s="20" customFormat="1" x14ac:dyDescent="0.2"/>
    <row r="5245" s="20" customFormat="1" x14ac:dyDescent="0.2"/>
    <row r="5246" s="20" customFormat="1" x14ac:dyDescent="0.2"/>
    <row r="5247" s="20" customFormat="1" x14ac:dyDescent="0.2"/>
    <row r="5248" s="20" customFormat="1" x14ac:dyDescent="0.2"/>
    <row r="5249" s="20" customFormat="1" x14ac:dyDescent="0.2"/>
    <row r="5250" s="20" customFormat="1" x14ac:dyDescent="0.2"/>
    <row r="5251" s="20" customFormat="1" x14ac:dyDescent="0.2"/>
    <row r="5252" s="20" customFormat="1" x14ac:dyDescent="0.2"/>
    <row r="5253" s="20" customFormat="1" x14ac:dyDescent="0.2"/>
    <row r="5254" s="20" customFormat="1" x14ac:dyDescent="0.2"/>
    <row r="5255" s="20" customFormat="1" x14ac:dyDescent="0.2"/>
    <row r="5256" s="20" customFormat="1" x14ac:dyDescent="0.2"/>
    <row r="5257" s="20" customFormat="1" x14ac:dyDescent="0.2"/>
    <row r="5258" s="20" customFormat="1" x14ac:dyDescent="0.2"/>
    <row r="5259" s="20" customFormat="1" x14ac:dyDescent="0.2"/>
    <row r="5260" s="20" customFormat="1" x14ac:dyDescent="0.2"/>
    <row r="5261" s="20" customFormat="1" x14ac:dyDescent="0.2"/>
    <row r="5262" s="20" customFormat="1" x14ac:dyDescent="0.2"/>
    <row r="5263" s="20" customFormat="1" x14ac:dyDescent="0.2"/>
    <row r="5264" s="20" customFormat="1" x14ac:dyDescent="0.2"/>
    <row r="5265" s="20" customFormat="1" x14ac:dyDescent="0.2"/>
    <row r="5266" s="20" customFormat="1" x14ac:dyDescent="0.2"/>
    <row r="5267" s="20" customFormat="1" x14ac:dyDescent="0.2"/>
    <row r="5268" s="20" customFormat="1" x14ac:dyDescent="0.2"/>
    <row r="5269" s="20" customFormat="1" x14ac:dyDescent="0.2"/>
    <row r="5270" s="20" customFormat="1" x14ac:dyDescent="0.2"/>
    <row r="5271" s="20" customFormat="1" x14ac:dyDescent="0.2"/>
    <row r="5272" s="20" customFormat="1" x14ac:dyDescent="0.2"/>
    <row r="5273" s="20" customFormat="1" x14ac:dyDescent="0.2"/>
    <row r="5274" s="20" customFormat="1" x14ac:dyDescent="0.2"/>
    <row r="5275" s="20" customFormat="1" x14ac:dyDescent="0.2"/>
    <row r="5276" s="20" customFormat="1" x14ac:dyDescent="0.2"/>
    <row r="5277" s="20" customFormat="1" x14ac:dyDescent="0.2"/>
    <row r="5278" s="20" customFormat="1" x14ac:dyDescent="0.2"/>
    <row r="5279" s="20" customFormat="1" x14ac:dyDescent="0.2"/>
    <row r="5280" s="20" customFormat="1" x14ac:dyDescent="0.2"/>
    <row r="5281" s="20" customFormat="1" x14ac:dyDescent="0.2"/>
    <row r="5282" s="20" customFormat="1" x14ac:dyDescent="0.2"/>
    <row r="5283" s="20" customFormat="1" x14ac:dyDescent="0.2"/>
    <row r="5284" s="20" customFormat="1" x14ac:dyDescent="0.2"/>
    <row r="5285" s="20" customFormat="1" x14ac:dyDescent="0.2"/>
    <row r="5286" s="20" customFormat="1" x14ac:dyDescent="0.2"/>
    <row r="5287" s="20" customFormat="1" x14ac:dyDescent="0.2"/>
    <row r="5288" s="20" customFormat="1" x14ac:dyDescent="0.2"/>
    <row r="5289" s="20" customFormat="1" x14ac:dyDescent="0.2"/>
    <row r="5290" s="20" customFormat="1" x14ac:dyDescent="0.2"/>
    <row r="5291" s="20" customFormat="1" x14ac:dyDescent="0.2"/>
    <row r="5292" s="20" customFormat="1" x14ac:dyDescent="0.2"/>
    <row r="5293" s="20" customFormat="1" x14ac:dyDescent="0.2"/>
    <row r="5294" s="20" customFormat="1" x14ac:dyDescent="0.2"/>
    <row r="5295" s="20" customFormat="1" x14ac:dyDescent="0.2"/>
    <row r="5296" s="20" customFormat="1" x14ac:dyDescent="0.2"/>
    <row r="5297" s="20" customFormat="1" x14ac:dyDescent="0.2"/>
    <row r="5298" s="20" customFormat="1" x14ac:dyDescent="0.2"/>
    <row r="5299" s="20" customFormat="1" x14ac:dyDescent="0.2"/>
    <row r="5300" s="20" customFormat="1" x14ac:dyDescent="0.2"/>
    <row r="5301" s="20" customFormat="1" x14ac:dyDescent="0.2"/>
    <row r="5302" s="20" customFormat="1" x14ac:dyDescent="0.2"/>
    <row r="5303" s="20" customFormat="1" x14ac:dyDescent="0.2"/>
    <row r="5304" s="20" customFormat="1" x14ac:dyDescent="0.2"/>
    <row r="5305" s="20" customFormat="1" x14ac:dyDescent="0.2"/>
    <row r="5306" s="20" customFormat="1" x14ac:dyDescent="0.2"/>
    <row r="5307" s="20" customFormat="1" x14ac:dyDescent="0.2"/>
    <row r="5308" s="20" customFormat="1" x14ac:dyDescent="0.2"/>
    <row r="5309" s="20" customFormat="1" x14ac:dyDescent="0.2"/>
    <row r="5310" s="20" customFormat="1" x14ac:dyDescent="0.2"/>
    <row r="5311" s="20" customFormat="1" x14ac:dyDescent="0.2"/>
    <row r="5312" s="20" customFormat="1" x14ac:dyDescent="0.2"/>
    <row r="5313" s="20" customFormat="1" x14ac:dyDescent="0.2"/>
    <row r="5314" s="20" customFormat="1" x14ac:dyDescent="0.2"/>
    <row r="5315" s="20" customFormat="1" x14ac:dyDescent="0.2"/>
    <row r="5316" s="20" customFormat="1" x14ac:dyDescent="0.2"/>
    <row r="5317" s="20" customFormat="1" x14ac:dyDescent="0.2"/>
    <row r="5318" s="20" customFormat="1" x14ac:dyDescent="0.2"/>
    <row r="5319" s="20" customFormat="1" x14ac:dyDescent="0.2"/>
    <row r="5320" s="20" customFormat="1" x14ac:dyDescent="0.2"/>
    <row r="5321" s="20" customFormat="1" x14ac:dyDescent="0.2"/>
    <row r="5322" s="20" customFormat="1" x14ac:dyDescent="0.2"/>
    <row r="5323" s="20" customFormat="1" x14ac:dyDescent="0.2"/>
    <row r="5324" s="20" customFormat="1" x14ac:dyDescent="0.2"/>
    <row r="5325" s="20" customFormat="1" x14ac:dyDescent="0.2"/>
    <row r="5326" s="20" customFormat="1" x14ac:dyDescent="0.2"/>
    <row r="5327" s="20" customFormat="1" x14ac:dyDescent="0.2"/>
    <row r="5328" s="20" customFormat="1" x14ac:dyDescent="0.2"/>
    <row r="5329" s="20" customFormat="1" x14ac:dyDescent="0.2"/>
    <row r="5330" s="20" customFormat="1" x14ac:dyDescent="0.2"/>
    <row r="5331" s="20" customFormat="1" x14ac:dyDescent="0.2"/>
    <row r="5332" s="20" customFormat="1" x14ac:dyDescent="0.2"/>
    <row r="5333" s="20" customFormat="1" x14ac:dyDescent="0.2"/>
    <row r="5334" s="20" customFormat="1" x14ac:dyDescent="0.2"/>
    <row r="5335" s="20" customFormat="1" x14ac:dyDescent="0.2"/>
    <row r="5336" s="20" customFormat="1" x14ac:dyDescent="0.2"/>
    <row r="5337" s="20" customFormat="1" x14ac:dyDescent="0.2"/>
    <row r="5338" s="20" customFormat="1" x14ac:dyDescent="0.2"/>
    <row r="5339" s="20" customFormat="1" x14ac:dyDescent="0.2"/>
    <row r="5340" s="20" customFormat="1" x14ac:dyDescent="0.2"/>
    <row r="5341" s="20" customFormat="1" x14ac:dyDescent="0.2"/>
    <row r="5342" s="20" customFormat="1" x14ac:dyDescent="0.2"/>
    <row r="5343" s="20" customFormat="1" x14ac:dyDescent="0.2"/>
    <row r="5344" s="20" customFormat="1" x14ac:dyDescent="0.2"/>
    <row r="5345" s="20" customFormat="1" x14ac:dyDescent="0.2"/>
    <row r="5346" s="20" customFormat="1" x14ac:dyDescent="0.2"/>
    <row r="5347" s="20" customFormat="1" x14ac:dyDescent="0.2"/>
    <row r="5348" s="20" customFormat="1" x14ac:dyDescent="0.2"/>
    <row r="5349" s="20" customFormat="1" x14ac:dyDescent="0.2"/>
    <row r="5350" s="20" customFormat="1" x14ac:dyDescent="0.2"/>
    <row r="5351" s="20" customFormat="1" x14ac:dyDescent="0.2"/>
    <row r="5352" s="20" customFormat="1" x14ac:dyDescent="0.2"/>
    <row r="5353" s="20" customFormat="1" x14ac:dyDescent="0.2"/>
    <row r="5354" s="20" customFormat="1" x14ac:dyDescent="0.2"/>
    <row r="5355" s="20" customFormat="1" x14ac:dyDescent="0.2"/>
    <row r="5356" s="20" customFormat="1" x14ac:dyDescent="0.2"/>
    <row r="5357" s="20" customFormat="1" x14ac:dyDescent="0.2"/>
    <row r="5358" s="20" customFormat="1" x14ac:dyDescent="0.2"/>
    <row r="5359" s="20" customFormat="1" x14ac:dyDescent="0.2"/>
    <row r="5360" s="20" customFormat="1" x14ac:dyDescent="0.2"/>
    <row r="5361" s="20" customFormat="1" x14ac:dyDescent="0.2"/>
    <row r="5362" s="20" customFormat="1" x14ac:dyDescent="0.2"/>
    <row r="5363" s="20" customFormat="1" x14ac:dyDescent="0.2"/>
    <row r="5364" s="20" customFormat="1" x14ac:dyDescent="0.2"/>
    <row r="5365" s="20" customFormat="1" x14ac:dyDescent="0.2"/>
    <row r="5366" s="20" customFormat="1" x14ac:dyDescent="0.2"/>
    <row r="5367" s="20" customFormat="1" x14ac:dyDescent="0.2"/>
    <row r="5368" s="20" customFormat="1" x14ac:dyDescent="0.2"/>
    <row r="5369" s="20" customFormat="1" x14ac:dyDescent="0.2"/>
    <row r="5370" s="20" customFormat="1" x14ac:dyDescent="0.2"/>
    <row r="5371" s="20" customFormat="1" x14ac:dyDescent="0.2"/>
    <row r="5372" s="20" customFormat="1" x14ac:dyDescent="0.2"/>
    <row r="5373" s="20" customFormat="1" x14ac:dyDescent="0.2"/>
    <row r="5374" s="20" customFormat="1" x14ac:dyDescent="0.2"/>
    <row r="5375" s="20" customFormat="1" x14ac:dyDescent="0.2"/>
    <row r="5376" s="20" customFormat="1" x14ac:dyDescent="0.2"/>
    <row r="5377" s="20" customFormat="1" x14ac:dyDescent="0.2"/>
    <row r="5378" s="20" customFormat="1" x14ac:dyDescent="0.2"/>
    <row r="5379" s="20" customFormat="1" x14ac:dyDescent="0.2"/>
    <row r="5380" s="20" customFormat="1" x14ac:dyDescent="0.2"/>
    <row r="5381" s="20" customFormat="1" x14ac:dyDescent="0.2"/>
    <row r="5382" s="20" customFormat="1" x14ac:dyDescent="0.2"/>
    <row r="5383" s="20" customFormat="1" x14ac:dyDescent="0.2"/>
    <row r="5384" s="20" customFormat="1" x14ac:dyDescent="0.2"/>
    <row r="5385" s="20" customFormat="1" x14ac:dyDescent="0.2"/>
    <row r="5386" s="20" customFormat="1" x14ac:dyDescent="0.2"/>
    <row r="5387" s="20" customFormat="1" x14ac:dyDescent="0.2"/>
    <row r="5388" s="20" customFormat="1" x14ac:dyDescent="0.2"/>
    <row r="5389" s="20" customFormat="1" x14ac:dyDescent="0.2"/>
    <row r="5390" s="20" customFormat="1" x14ac:dyDescent="0.2"/>
    <row r="5391" s="20" customFormat="1" x14ac:dyDescent="0.2"/>
    <row r="5392" s="20" customFormat="1" x14ac:dyDescent="0.2"/>
    <row r="5393" s="20" customFormat="1" x14ac:dyDescent="0.2"/>
    <row r="5394" s="20" customFormat="1" x14ac:dyDescent="0.2"/>
    <row r="5395" s="20" customFormat="1" x14ac:dyDescent="0.2"/>
    <row r="5396" s="20" customFormat="1" x14ac:dyDescent="0.2"/>
    <row r="5397" s="20" customFormat="1" x14ac:dyDescent="0.2"/>
    <row r="5398" s="20" customFormat="1" x14ac:dyDescent="0.2"/>
    <row r="5399" s="20" customFormat="1" x14ac:dyDescent="0.2"/>
    <row r="5400" s="20" customFormat="1" x14ac:dyDescent="0.2"/>
    <row r="5401" s="20" customFormat="1" x14ac:dyDescent="0.2"/>
    <row r="5402" s="20" customFormat="1" x14ac:dyDescent="0.2"/>
    <row r="5403" s="20" customFormat="1" x14ac:dyDescent="0.2"/>
    <row r="5404" s="20" customFormat="1" x14ac:dyDescent="0.2"/>
    <row r="5405" s="20" customFormat="1" x14ac:dyDescent="0.2"/>
    <row r="5406" s="20" customFormat="1" x14ac:dyDescent="0.2"/>
    <row r="5407" s="20" customFormat="1" x14ac:dyDescent="0.2"/>
    <row r="5408" s="20" customFormat="1" x14ac:dyDescent="0.2"/>
    <row r="5409" s="20" customFormat="1" x14ac:dyDescent="0.2"/>
    <row r="5410" s="20" customFormat="1" x14ac:dyDescent="0.2"/>
    <row r="5411" s="20" customFormat="1" x14ac:dyDescent="0.2"/>
    <row r="5412" s="20" customFormat="1" x14ac:dyDescent="0.2"/>
    <row r="5413" s="20" customFormat="1" x14ac:dyDescent="0.2"/>
    <row r="5414" s="20" customFormat="1" x14ac:dyDescent="0.2"/>
    <row r="5415" s="20" customFormat="1" x14ac:dyDescent="0.2"/>
    <row r="5416" s="20" customFormat="1" x14ac:dyDescent="0.2"/>
    <row r="5417" s="20" customFormat="1" x14ac:dyDescent="0.2"/>
    <row r="5418" s="20" customFormat="1" x14ac:dyDescent="0.2"/>
    <row r="5419" s="20" customFormat="1" x14ac:dyDescent="0.2"/>
    <row r="5420" s="20" customFormat="1" x14ac:dyDescent="0.2"/>
    <row r="5421" s="20" customFormat="1" x14ac:dyDescent="0.2"/>
    <row r="5422" s="20" customFormat="1" x14ac:dyDescent="0.2"/>
    <row r="5423" s="20" customFormat="1" x14ac:dyDescent="0.2"/>
    <row r="5424" s="20" customFormat="1" x14ac:dyDescent="0.2"/>
    <row r="5425" s="20" customFormat="1" x14ac:dyDescent="0.2"/>
    <row r="5426" s="20" customFormat="1" x14ac:dyDescent="0.2"/>
    <row r="5427" s="20" customFormat="1" x14ac:dyDescent="0.2"/>
    <row r="5428" s="20" customFormat="1" x14ac:dyDescent="0.2"/>
    <row r="5429" s="20" customFormat="1" x14ac:dyDescent="0.2"/>
    <row r="5430" s="20" customFormat="1" x14ac:dyDescent="0.2"/>
    <row r="5431" s="20" customFormat="1" x14ac:dyDescent="0.2"/>
    <row r="5432" s="20" customFormat="1" x14ac:dyDescent="0.2"/>
    <row r="5433" s="20" customFormat="1" x14ac:dyDescent="0.2"/>
    <row r="5434" s="20" customFormat="1" x14ac:dyDescent="0.2"/>
    <row r="5435" s="20" customFormat="1" x14ac:dyDescent="0.2"/>
    <row r="5436" s="20" customFormat="1" x14ac:dyDescent="0.2"/>
    <row r="5437" s="20" customFormat="1" x14ac:dyDescent="0.2"/>
    <row r="5438" s="20" customFormat="1" x14ac:dyDescent="0.2"/>
    <row r="5439" s="20" customFormat="1" x14ac:dyDescent="0.2"/>
    <row r="5440" s="20" customFormat="1" x14ac:dyDescent="0.2"/>
    <row r="5441" s="20" customFormat="1" x14ac:dyDescent="0.2"/>
    <row r="5442" s="20" customFormat="1" x14ac:dyDescent="0.2"/>
    <row r="5443" s="20" customFormat="1" x14ac:dyDescent="0.2"/>
    <row r="5444" s="20" customFormat="1" x14ac:dyDescent="0.2"/>
    <row r="5445" s="20" customFormat="1" x14ac:dyDescent="0.2"/>
    <row r="5446" s="20" customFormat="1" x14ac:dyDescent="0.2"/>
    <row r="5447" s="20" customFormat="1" x14ac:dyDescent="0.2"/>
    <row r="5448" s="20" customFormat="1" x14ac:dyDescent="0.2"/>
    <row r="5449" s="20" customFormat="1" x14ac:dyDescent="0.2"/>
    <row r="5450" s="20" customFormat="1" x14ac:dyDescent="0.2"/>
    <row r="5451" s="20" customFormat="1" x14ac:dyDescent="0.2"/>
    <row r="5452" s="20" customFormat="1" x14ac:dyDescent="0.2"/>
    <row r="5453" s="20" customFormat="1" x14ac:dyDescent="0.2"/>
    <row r="5454" s="20" customFormat="1" x14ac:dyDescent="0.2"/>
    <row r="5455" s="20" customFormat="1" x14ac:dyDescent="0.2"/>
    <row r="5456" s="20" customFormat="1" x14ac:dyDescent="0.2"/>
    <row r="5457" s="20" customFormat="1" x14ac:dyDescent="0.2"/>
    <row r="5458" s="20" customFormat="1" x14ac:dyDescent="0.2"/>
    <row r="5459" s="20" customFormat="1" x14ac:dyDescent="0.2"/>
    <row r="5460" s="20" customFormat="1" x14ac:dyDescent="0.2"/>
    <row r="5461" s="20" customFormat="1" x14ac:dyDescent="0.2"/>
    <row r="5462" s="20" customFormat="1" x14ac:dyDescent="0.2"/>
    <row r="5463" s="20" customFormat="1" x14ac:dyDescent="0.2"/>
    <row r="5464" s="20" customFormat="1" x14ac:dyDescent="0.2"/>
    <row r="5465" s="20" customFormat="1" x14ac:dyDescent="0.2"/>
    <row r="5466" s="20" customFormat="1" x14ac:dyDescent="0.2"/>
    <row r="5467" s="20" customFormat="1" x14ac:dyDescent="0.2"/>
    <row r="5468" s="20" customFormat="1" x14ac:dyDescent="0.2"/>
    <row r="5469" s="20" customFormat="1" x14ac:dyDescent="0.2"/>
    <row r="5470" s="20" customFormat="1" x14ac:dyDescent="0.2"/>
    <row r="5471" s="20" customFormat="1" x14ac:dyDescent="0.2"/>
    <row r="5472" s="20" customFormat="1" x14ac:dyDescent="0.2"/>
    <row r="5473" s="20" customFormat="1" x14ac:dyDescent="0.2"/>
    <row r="5474" s="20" customFormat="1" x14ac:dyDescent="0.2"/>
    <row r="5475" s="20" customFormat="1" x14ac:dyDescent="0.2"/>
    <row r="5476" s="20" customFormat="1" x14ac:dyDescent="0.2"/>
    <row r="5477" s="20" customFormat="1" x14ac:dyDescent="0.2"/>
    <row r="5478" s="20" customFormat="1" x14ac:dyDescent="0.2"/>
    <row r="5479" s="20" customFormat="1" x14ac:dyDescent="0.2"/>
    <row r="5480" s="20" customFormat="1" x14ac:dyDescent="0.2"/>
    <row r="5481" s="20" customFormat="1" x14ac:dyDescent="0.2"/>
    <row r="5482" s="20" customFormat="1" x14ac:dyDescent="0.2"/>
    <row r="5483" s="20" customFormat="1" x14ac:dyDescent="0.2"/>
    <row r="5484" s="20" customFormat="1" x14ac:dyDescent="0.2"/>
    <row r="5485" s="20" customFormat="1" x14ac:dyDescent="0.2"/>
    <row r="5486" s="20" customFormat="1" x14ac:dyDescent="0.2"/>
    <row r="5487" s="20" customFormat="1" x14ac:dyDescent="0.2"/>
    <row r="5488" s="20" customFormat="1" x14ac:dyDescent="0.2"/>
    <row r="5489" s="20" customFormat="1" x14ac:dyDescent="0.2"/>
    <row r="5490" s="20" customFormat="1" x14ac:dyDescent="0.2"/>
    <row r="5491" s="20" customFormat="1" x14ac:dyDescent="0.2"/>
    <row r="5492" s="20" customFormat="1" x14ac:dyDescent="0.2"/>
    <row r="5493" s="20" customFormat="1" x14ac:dyDescent="0.2"/>
    <row r="5494" s="20" customFormat="1" x14ac:dyDescent="0.2"/>
    <row r="5495" s="20" customFormat="1" x14ac:dyDescent="0.2"/>
    <row r="5496" s="20" customFormat="1" x14ac:dyDescent="0.2"/>
    <row r="5497" s="20" customFormat="1" x14ac:dyDescent="0.2"/>
    <row r="5498" s="20" customFormat="1" x14ac:dyDescent="0.2"/>
    <row r="5499" s="20" customFormat="1" x14ac:dyDescent="0.2"/>
    <row r="5500" s="20" customFormat="1" x14ac:dyDescent="0.2"/>
    <row r="5501" s="20" customFormat="1" x14ac:dyDescent="0.2"/>
    <row r="5502" s="20" customFormat="1" x14ac:dyDescent="0.2"/>
    <row r="5503" s="20" customFormat="1" x14ac:dyDescent="0.2"/>
    <row r="5504" s="20" customFormat="1" x14ac:dyDescent="0.2"/>
    <row r="5505" s="20" customFormat="1" x14ac:dyDescent="0.2"/>
    <row r="5506" s="20" customFormat="1" x14ac:dyDescent="0.2"/>
    <row r="5507" s="20" customFormat="1" x14ac:dyDescent="0.2"/>
    <row r="5508" s="20" customFormat="1" x14ac:dyDescent="0.2"/>
    <row r="5509" s="20" customFormat="1" x14ac:dyDescent="0.2"/>
    <row r="5510" s="20" customFormat="1" x14ac:dyDescent="0.2"/>
    <row r="5511" s="20" customFormat="1" x14ac:dyDescent="0.2"/>
    <row r="5512" s="20" customFormat="1" x14ac:dyDescent="0.2"/>
    <row r="5513" s="20" customFormat="1" x14ac:dyDescent="0.2"/>
    <row r="5514" s="20" customFormat="1" x14ac:dyDescent="0.2"/>
    <row r="5515" s="20" customFormat="1" x14ac:dyDescent="0.2"/>
    <row r="5516" s="20" customFormat="1" x14ac:dyDescent="0.2"/>
    <row r="5517" s="20" customFormat="1" x14ac:dyDescent="0.2"/>
    <row r="5518" s="20" customFormat="1" x14ac:dyDescent="0.2"/>
    <row r="5519" s="20" customFormat="1" x14ac:dyDescent="0.2"/>
    <row r="5520" s="20" customFormat="1" x14ac:dyDescent="0.2"/>
    <row r="5521" s="20" customFormat="1" x14ac:dyDescent="0.2"/>
    <row r="5522" s="20" customFormat="1" x14ac:dyDescent="0.2"/>
    <row r="5523" s="20" customFormat="1" x14ac:dyDescent="0.2"/>
    <row r="5524" s="20" customFormat="1" x14ac:dyDescent="0.2"/>
    <row r="5525" s="20" customFormat="1" x14ac:dyDescent="0.2"/>
    <row r="5526" s="20" customFormat="1" x14ac:dyDescent="0.2"/>
    <row r="5527" s="20" customFormat="1" x14ac:dyDescent="0.2"/>
    <row r="5528" s="20" customFormat="1" x14ac:dyDescent="0.2"/>
    <row r="5529" s="20" customFormat="1" x14ac:dyDescent="0.2"/>
    <row r="5530" s="20" customFormat="1" x14ac:dyDescent="0.2"/>
    <row r="5531" s="20" customFormat="1" x14ac:dyDescent="0.2"/>
    <row r="5532" s="20" customFormat="1" x14ac:dyDescent="0.2"/>
    <row r="5533" s="20" customFormat="1" x14ac:dyDescent="0.2"/>
    <row r="5534" s="20" customFormat="1" x14ac:dyDescent="0.2"/>
    <row r="5535" s="20" customFormat="1" x14ac:dyDescent="0.2"/>
    <row r="5536" s="20" customFormat="1" x14ac:dyDescent="0.2"/>
    <row r="5537" s="20" customFormat="1" x14ac:dyDescent="0.2"/>
    <row r="5538" s="20" customFormat="1" x14ac:dyDescent="0.2"/>
    <row r="5539" s="20" customFormat="1" x14ac:dyDescent="0.2"/>
    <row r="5540" s="20" customFormat="1" x14ac:dyDescent="0.2"/>
    <row r="5541" s="20" customFormat="1" x14ac:dyDescent="0.2"/>
    <row r="5542" s="20" customFormat="1" x14ac:dyDescent="0.2"/>
    <row r="5543" s="20" customFormat="1" x14ac:dyDescent="0.2"/>
    <row r="5544" s="20" customFormat="1" x14ac:dyDescent="0.2"/>
    <row r="5545" s="20" customFormat="1" x14ac:dyDescent="0.2"/>
    <row r="5546" s="20" customFormat="1" x14ac:dyDescent="0.2"/>
    <row r="5547" s="20" customFormat="1" x14ac:dyDescent="0.2"/>
    <row r="5548" s="20" customFormat="1" x14ac:dyDescent="0.2"/>
    <row r="5549" s="20" customFormat="1" x14ac:dyDescent="0.2"/>
    <row r="5550" s="20" customFormat="1" x14ac:dyDescent="0.2"/>
    <row r="5551" s="20" customFormat="1" x14ac:dyDescent="0.2"/>
    <row r="5552" s="20" customFormat="1" x14ac:dyDescent="0.2"/>
    <row r="5553" s="20" customFormat="1" x14ac:dyDescent="0.2"/>
    <row r="5554" s="20" customFormat="1" x14ac:dyDescent="0.2"/>
    <row r="5555" s="20" customFormat="1" x14ac:dyDescent="0.2"/>
    <row r="5556" s="20" customFormat="1" x14ac:dyDescent="0.2"/>
    <row r="5557" s="20" customFormat="1" x14ac:dyDescent="0.2"/>
    <row r="5558" s="20" customFormat="1" x14ac:dyDescent="0.2"/>
    <row r="5559" s="20" customFormat="1" x14ac:dyDescent="0.2"/>
    <row r="5560" s="20" customFormat="1" x14ac:dyDescent="0.2"/>
    <row r="5561" s="20" customFormat="1" x14ac:dyDescent="0.2"/>
    <row r="5562" s="20" customFormat="1" x14ac:dyDescent="0.2"/>
    <row r="5563" s="20" customFormat="1" x14ac:dyDescent="0.2"/>
    <row r="5564" s="20" customFormat="1" x14ac:dyDescent="0.2"/>
    <row r="5565" s="20" customFormat="1" x14ac:dyDescent="0.2"/>
    <row r="5566" s="20" customFormat="1" x14ac:dyDescent="0.2"/>
    <row r="5567" s="20" customFormat="1" x14ac:dyDescent="0.2"/>
    <row r="5568" s="20" customFormat="1" x14ac:dyDescent="0.2"/>
    <row r="5569" s="20" customFormat="1" x14ac:dyDescent="0.2"/>
    <row r="5570" s="20" customFormat="1" x14ac:dyDescent="0.2"/>
    <row r="5571" s="20" customFormat="1" x14ac:dyDescent="0.2"/>
    <row r="5572" s="20" customFormat="1" x14ac:dyDescent="0.2"/>
    <row r="5573" s="20" customFormat="1" x14ac:dyDescent="0.2"/>
    <row r="5574" s="20" customFormat="1" x14ac:dyDescent="0.2"/>
    <row r="5575" s="20" customFormat="1" x14ac:dyDescent="0.2"/>
    <row r="5576" s="20" customFormat="1" x14ac:dyDescent="0.2"/>
    <row r="5577" s="20" customFormat="1" x14ac:dyDescent="0.2"/>
    <row r="5578" s="20" customFormat="1" x14ac:dyDescent="0.2"/>
    <row r="5579" s="20" customFormat="1" x14ac:dyDescent="0.2"/>
    <row r="5580" s="20" customFormat="1" x14ac:dyDescent="0.2"/>
    <row r="5581" s="20" customFormat="1" x14ac:dyDescent="0.2"/>
    <row r="5582" s="20" customFormat="1" x14ac:dyDescent="0.2"/>
    <row r="5583" s="20" customFormat="1" x14ac:dyDescent="0.2"/>
    <row r="5584" s="20" customFormat="1" x14ac:dyDescent="0.2"/>
    <row r="5585" s="20" customFormat="1" x14ac:dyDescent="0.2"/>
    <row r="5586" s="20" customFormat="1" x14ac:dyDescent="0.2"/>
    <row r="5587" s="20" customFormat="1" x14ac:dyDescent="0.2"/>
    <row r="5588" s="20" customFormat="1" x14ac:dyDescent="0.2"/>
    <row r="5589" s="20" customFormat="1" x14ac:dyDescent="0.2"/>
    <row r="5590" s="20" customFormat="1" x14ac:dyDescent="0.2"/>
    <row r="5591" s="20" customFormat="1" x14ac:dyDescent="0.2"/>
    <row r="5592" s="20" customFormat="1" x14ac:dyDescent="0.2"/>
    <row r="5593" s="20" customFormat="1" x14ac:dyDescent="0.2"/>
    <row r="5594" s="20" customFormat="1" x14ac:dyDescent="0.2"/>
    <row r="5595" s="20" customFormat="1" x14ac:dyDescent="0.2"/>
    <row r="5596" s="20" customFormat="1" x14ac:dyDescent="0.2"/>
    <row r="5597" s="20" customFormat="1" x14ac:dyDescent="0.2"/>
    <row r="5598" s="20" customFormat="1" x14ac:dyDescent="0.2"/>
    <row r="5599" s="20" customFormat="1" x14ac:dyDescent="0.2"/>
    <row r="5600" s="20" customFormat="1" x14ac:dyDescent="0.2"/>
    <row r="5601" s="20" customFormat="1" x14ac:dyDescent="0.2"/>
    <row r="5602" s="20" customFormat="1" x14ac:dyDescent="0.2"/>
    <row r="5603" s="20" customFormat="1" x14ac:dyDescent="0.2"/>
    <row r="5604" s="20" customFormat="1" x14ac:dyDescent="0.2"/>
    <row r="5605" s="20" customFormat="1" x14ac:dyDescent="0.2"/>
    <row r="5606" s="20" customFormat="1" x14ac:dyDescent="0.2"/>
    <row r="5607" s="20" customFormat="1" x14ac:dyDescent="0.2"/>
    <row r="5608" s="20" customFormat="1" x14ac:dyDescent="0.2"/>
    <row r="5609" s="20" customFormat="1" x14ac:dyDescent="0.2"/>
    <row r="5610" s="20" customFormat="1" x14ac:dyDescent="0.2"/>
    <row r="5611" s="20" customFormat="1" x14ac:dyDescent="0.2"/>
    <row r="5612" s="20" customFormat="1" x14ac:dyDescent="0.2"/>
    <row r="5613" s="20" customFormat="1" x14ac:dyDescent="0.2"/>
    <row r="5614" s="20" customFormat="1" x14ac:dyDescent="0.2"/>
    <row r="5615" s="20" customFormat="1" x14ac:dyDescent="0.2"/>
    <row r="5616" s="20" customFormat="1" x14ac:dyDescent="0.2"/>
    <row r="5617" s="20" customFormat="1" x14ac:dyDescent="0.2"/>
    <row r="5618" s="20" customFormat="1" x14ac:dyDescent="0.2"/>
    <row r="5619" s="20" customFormat="1" x14ac:dyDescent="0.2"/>
    <row r="5620" s="20" customFormat="1" x14ac:dyDescent="0.2"/>
    <row r="5621" s="20" customFormat="1" x14ac:dyDescent="0.2"/>
    <row r="5622" s="20" customFormat="1" x14ac:dyDescent="0.2"/>
    <row r="5623" s="20" customFormat="1" x14ac:dyDescent="0.2"/>
    <row r="5624" s="20" customFormat="1" x14ac:dyDescent="0.2"/>
    <row r="5625" s="20" customFormat="1" x14ac:dyDescent="0.2"/>
    <row r="5626" s="20" customFormat="1" x14ac:dyDescent="0.2"/>
    <row r="5627" s="20" customFormat="1" x14ac:dyDescent="0.2"/>
    <row r="5628" s="20" customFormat="1" x14ac:dyDescent="0.2"/>
    <row r="5629" s="20" customFormat="1" x14ac:dyDescent="0.2"/>
    <row r="5630" s="20" customFormat="1" x14ac:dyDescent="0.2"/>
    <row r="5631" s="20" customFormat="1" x14ac:dyDescent="0.2"/>
    <row r="5632" s="20" customFormat="1" x14ac:dyDescent="0.2"/>
    <row r="5633" s="20" customFormat="1" x14ac:dyDescent="0.2"/>
    <row r="5634" s="20" customFormat="1" x14ac:dyDescent="0.2"/>
    <row r="5635" s="20" customFormat="1" x14ac:dyDescent="0.2"/>
    <row r="5636" s="20" customFormat="1" x14ac:dyDescent="0.2"/>
    <row r="5637" s="20" customFormat="1" x14ac:dyDescent="0.2"/>
    <row r="5638" s="20" customFormat="1" x14ac:dyDescent="0.2"/>
    <row r="5639" s="20" customFormat="1" x14ac:dyDescent="0.2"/>
    <row r="5640" s="20" customFormat="1" x14ac:dyDescent="0.2"/>
    <row r="5641" s="20" customFormat="1" x14ac:dyDescent="0.2"/>
    <row r="5642" s="20" customFormat="1" x14ac:dyDescent="0.2"/>
    <row r="5643" s="20" customFormat="1" x14ac:dyDescent="0.2"/>
    <row r="5644" s="20" customFormat="1" x14ac:dyDescent="0.2"/>
    <row r="5645" s="20" customFormat="1" x14ac:dyDescent="0.2"/>
    <row r="5646" s="20" customFormat="1" x14ac:dyDescent="0.2"/>
    <row r="5647" s="20" customFormat="1" x14ac:dyDescent="0.2"/>
    <row r="5648" s="20" customFormat="1" x14ac:dyDescent="0.2"/>
    <row r="5649" s="20" customFormat="1" x14ac:dyDescent="0.2"/>
    <row r="5650" s="20" customFormat="1" x14ac:dyDescent="0.2"/>
    <row r="5651" s="20" customFormat="1" x14ac:dyDescent="0.2"/>
    <row r="5652" s="20" customFormat="1" x14ac:dyDescent="0.2"/>
    <row r="5653" s="20" customFormat="1" x14ac:dyDescent="0.2"/>
    <row r="5654" s="20" customFormat="1" x14ac:dyDescent="0.2"/>
    <row r="5655" s="20" customFormat="1" x14ac:dyDescent="0.2"/>
    <row r="5656" s="20" customFormat="1" x14ac:dyDescent="0.2"/>
    <row r="5657" s="20" customFormat="1" x14ac:dyDescent="0.2"/>
    <row r="5658" s="20" customFormat="1" x14ac:dyDescent="0.2"/>
    <row r="5659" s="20" customFormat="1" x14ac:dyDescent="0.2"/>
    <row r="5660" s="20" customFormat="1" x14ac:dyDescent="0.2"/>
    <row r="5661" s="20" customFormat="1" x14ac:dyDescent="0.2"/>
    <row r="5662" s="20" customFormat="1" x14ac:dyDescent="0.2"/>
    <row r="5663" s="20" customFormat="1" x14ac:dyDescent="0.2"/>
    <row r="5664" s="20" customFormat="1" x14ac:dyDescent="0.2"/>
    <row r="5665" s="20" customFormat="1" x14ac:dyDescent="0.2"/>
    <row r="5666" s="20" customFormat="1" x14ac:dyDescent="0.2"/>
    <row r="5667" s="20" customFormat="1" x14ac:dyDescent="0.2"/>
    <row r="5668" s="20" customFormat="1" x14ac:dyDescent="0.2"/>
    <row r="5669" s="20" customFormat="1" x14ac:dyDescent="0.2"/>
    <row r="5670" s="20" customFormat="1" x14ac:dyDescent="0.2"/>
    <row r="5671" s="20" customFormat="1" x14ac:dyDescent="0.2"/>
    <row r="5672" s="20" customFormat="1" x14ac:dyDescent="0.2"/>
    <row r="5673" s="20" customFormat="1" x14ac:dyDescent="0.2"/>
    <row r="5674" s="20" customFormat="1" x14ac:dyDescent="0.2"/>
    <row r="5675" s="20" customFormat="1" x14ac:dyDescent="0.2"/>
    <row r="5676" s="20" customFormat="1" x14ac:dyDescent="0.2"/>
    <row r="5677" s="20" customFormat="1" x14ac:dyDescent="0.2"/>
    <row r="5678" s="20" customFormat="1" x14ac:dyDescent="0.2"/>
    <row r="5679" s="20" customFormat="1" x14ac:dyDescent="0.2"/>
    <row r="5680" s="20" customFormat="1" x14ac:dyDescent="0.2"/>
    <row r="5681" s="20" customFormat="1" x14ac:dyDescent="0.2"/>
    <row r="5682" s="20" customFormat="1" x14ac:dyDescent="0.2"/>
    <row r="5683" s="20" customFormat="1" x14ac:dyDescent="0.2"/>
    <row r="5684" s="20" customFormat="1" x14ac:dyDescent="0.2"/>
    <row r="5685" s="20" customFormat="1" x14ac:dyDescent="0.2"/>
    <row r="5686" s="20" customFormat="1" x14ac:dyDescent="0.2"/>
    <row r="5687" s="20" customFormat="1" x14ac:dyDescent="0.2"/>
    <row r="5688" s="20" customFormat="1" x14ac:dyDescent="0.2"/>
    <row r="5689" s="20" customFormat="1" x14ac:dyDescent="0.2"/>
    <row r="5690" s="20" customFormat="1" x14ac:dyDescent="0.2"/>
    <row r="5691" s="20" customFormat="1" x14ac:dyDescent="0.2"/>
    <row r="5692" s="20" customFormat="1" x14ac:dyDescent="0.2"/>
    <row r="5693" s="20" customFormat="1" x14ac:dyDescent="0.2"/>
    <row r="5694" s="20" customFormat="1" x14ac:dyDescent="0.2"/>
    <row r="5695" s="20" customFormat="1" x14ac:dyDescent="0.2"/>
    <row r="5696" s="20" customFormat="1" x14ac:dyDescent="0.2"/>
    <row r="5697" s="20" customFormat="1" x14ac:dyDescent="0.2"/>
    <row r="5698" s="20" customFormat="1" x14ac:dyDescent="0.2"/>
    <row r="5699" s="20" customFormat="1" x14ac:dyDescent="0.2"/>
    <row r="5700" s="20" customFormat="1" x14ac:dyDescent="0.2"/>
    <row r="5701" s="20" customFormat="1" x14ac:dyDescent="0.2"/>
    <row r="5702" s="20" customFormat="1" x14ac:dyDescent="0.2"/>
    <row r="5703" s="20" customFormat="1" x14ac:dyDescent="0.2"/>
    <row r="5704" s="20" customFormat="1" x14ac:dyDescent="0.2"/>
    <row r="5705" s="20" customFormat="1" x14ac:dyDescent="0.2"/>
    <row r="5706" s="20" customFormat="1" x14ac:dyDescent="0.2"/>
    <row r="5707" s="20" customFormat="1" x14ac:dyDescent="0.2"/>
    <row r="5708" s="20" customFormat="1" x14ac:dyDescent="0.2"/>
    <row r="5709" s="20" customFormat="1" x14ac:dyDescent="0.2"/>
    <row r="5710" s="20" customFormat="1" x14ac:dyDescent="0.2"/>
    <row r="5711" s="20" customFormat="1" x14ac:dyDescent="0.2"/>
    <row r="5712" s="20" customFormat="1" x14ac:dyDescent="0.2"/>
    <row r="5713" s="20" customFormat="1" x14ac:dyDescent="0.2"/>
    <row r="5714" s="20" customFormat="1" x14ac:dyDescent="0.2"/>
    <row r="5715" s="20" customFormat="1" x14ac:dyDescent="0.2"/>
    <row r="5716" s="20" customFormat="1" x14ac:dyDescent="0.2"/>
    <row r="5717" s="20" customFormat="1" x14ac:dyDescent="0.2"/>
    <row r="5718" s="20" customFormat="1" x14ac:dyDescent="0.2"/>
    <row r="5719" s="20" customFormat="1" x14ac:dyDescent="0.2"/>
    <row r="5720" s="20" customFormat="1" x14ac:dyDescent="0.2"/>
    <row r="5721" s="20" customFormat="1" x14ac:dyDescent="0.2"/>
    <row r="5722" s="20" customFormat="1" x14ac:dyDescent="0.2"/>
    <row r="5723" s="20" customFormat="1" x14ac:dyDescent="0.2"/>
    <row r="5724" s="20" customFormat="1" x14ac:dyDescent="0.2"/>
    <row r="5725" s="20" customFormat="1" x14ac:dyDescent="0.2"/>
    <row r="5726" s="20" customFormat="1" x14ac:dyDescent="0.2"/>
    <row r="5727" s="20" customFormat="1" x14ac:dyDescent="0.2"/>
    <row r="5728" s="20" customFormat="1" x14ac:dyDescent="0.2"/>
    <row r="5729" s="20" customFormat="1" x14ac:dyDescent="0.2"/>
    <row r="5730" s="20" customFormat="1" x14ac:dyDescent="0.2"/>
    <row r="5731" s="20" customFormat="1" x14ac:dyDescent="0.2"/>
    <row r="5732" s="20" customFormat="1" x14ac:dyDescent="0.2"/>
    <row r="5733" s="20" customFormat="1" x14ac:dyDescent="0.2"/>
    <row r="5734" s="20" customFormat="1" x14ac:dyDescent="0.2"/>
    <row r="5735" s="20" customFormat="1" x14ac:dyDescent="0.2"/>
    <row r="5736" s="20" customFormat="1" x14ac:dyDescent="0.2"/>
    <row r="5737" s="20" customFormat="1" x14ac:dyDescent="0.2"/>
    <row r="5738" s="20" customFormat="1" x14ac:dyDescent="0.2"/>
    <row r="5739" s="20" customFormat="1" x14ac:dyDescent="0.2"/>
    <row r="5740" s="20" customFormat="1" x14ac:dyDescent="0.2"/>
    <row r="5741" s="20" customFormat="1" x14ac:dyDescent="0.2"/>
    <row r="5742" s="20" customFormat="1" x14ac:dyDescent="0.2"/>
    <row r="5743" s="20" customFormat="1" x14ac:dyDescent="0.2"/>
    <row r="5744" s="20" customFormat="1" x14ac:dyDescent="0.2"/>
    <row r="5745" s="20" customFormat="1" x14ac:dyDescent="0.2"/>
    <row r="5746" s="20" customFormat="1" x14ac:dyDescent="0.2"/>
    <row r="5747" s="20" customFormat="1" x14ac:dyDescent="0.2"/>
    <row r="5748" s="20" customFormat="1" x14ac:dyDescent="0.2"/>
    <row r="5749" s="20" customFormat="1" x14ac:dyDescent="0.2"/>
    <row r="5750" s="20" customFormat="1" x14ac:dyDescent="0.2"/>
    <row r="5751" s="20" customFormat="1" x14ac:dyDescent="0.2"/>
    <row r="5752" s="20" customFormat="1" x14ac:dyDescent="0.2"/>
    <row r="5753" s="20" customFormat="1" x14ac:dyDescent="0.2"/>
    <row r="5754" s="20" customFormat="1" x14ac:dyDescent="0.2"/>
    <row r="5755" s="20" customFormat="1" x14ac:dyDescent="0.2"/>
    <row r="5756" s="20" customFormat="1" x14ac:dyDescent="0.2"/>
    <row r="5757" s="20" customFormat="1" x14ac:dyDescent="0.2"/>
    <row r="5758" s="20" customFormat="1" x14ac:dyDescent="0.2"/>
    <row r="5759" s="20" customFormat="1" x14ac:dyDescent="0.2"/>
    <row r="5760" s="20" customFormat="1" x14ac:dyDescent="0.2"/>
    <row r="5761" s="20" customFormat="1" x14ac:dyDescent="0.2"/>
    <row r="5762" s="20" customFormat="1" x14ac:dyDescent="0.2"/>
    <row r="5763" s="20" customFormat="1" x14ac:dyDescent="0.2"/>
    <row r="5764" s="20" customFormat="1" x14ac:dyDescent="0.2"/>
    <row r="5765" s="20" customFormat="1" x14ac:dyDescent="0.2"/>
    <row r="5766" s="20" customFormat="1" x14ac:dyDescent="0.2"/>
    <row r="5767" s="20" customFormat="1" x14ac:dyDescent="0.2"/>
    <row r="5768" s="20" customFormat="1" x14ac:dyDescent="0.2"/>
    <row r="5769" s="20" customFormat="1" x14ac:dyDescent="0.2"/>
    <row r="5770" s="20" customFormat="1" x14ac:dyDescent="0.2"/>
    <row r="5771" s="20" customFormat="1" x14ac:dyDescent="0.2"/>
    <row r="5772" s="20" customFormat="1" x14ac:dyDescent="0.2"/>
    <row r="5773" s="20" customFormat="1" x14ac:dyDescent="0.2"/>
    <row r="5774" s="20" customFormat="1" x14ac:dyDescent="0.2"/>
    <row r="5775" s="20" customFormat="1" x14ac:dyDescent="0.2"/>
    <row r="5776" s="20" customFormat="1" x14ac:dyDescent="0.2"/>
    <row r="5777" s="20" customFormat="1" x14ac:dyDescent="0.2"/>
    <row r="5778" s="20" customFormat="1" x14ac:dyDescent="0.2"/>
    <row r="5779" s="20" customFormat="1" x14ac:dyDescent="0.2"/>
    <row r="5780" s="20" customFormat="1" x14ac:dyDescent="0.2"/>
    <row r="5781" s="20" customFormat="1" x14ac:dyDescent="0.2"/>
    <row r="5782" s="20" customFormat="1" x14ac:dyDescent="0.2"/>
    <row r="5783" s="20" customFormat="1" x14ac:dyDescent="0.2"/>
    <row r="5784" s="20" customFormat="1" x14ac:dyDescent="0.2"/>
    <row r="5785" s="20" customFormat="1" x14ac:dyDescent="0.2"/>
    <row r="5786" s="20" customFormat="1" x14ac:dyDescent="0.2"/>
    <row r="5787" s="20" customFormat="1" x14ac:dyDescent="0.2"/>
    <row r="5788" s="20" customFormat="1" x14ac:dyDescent="0.2"/>
    <row r="5789" s="20" customFormat="1" x14ac:dyDescent="0.2"/>
    <row r="5790" s="20" customFormat="1" x14ac:dyDescent="0.2"/>
    <row r="5791" s="20" customFormat="1" x14ac:dyDescent="0.2"/>
    <row r="5792" s="20" customFormat="1" x14ac:dyDescent="0.2"/>
    <row r="5793" s="20" customFormat="1" x14ac:dyDescent="0.2"/>
    <row r="5794" s="20" customFormat="1" x14ac:dyDescent="0.2"/>
    <row r="5795" s="20" customFormat="1" x14ac:dyDescent="0.2"/>
    <row r="5796" s="20" customFormat="1" x14ac:dyDescent="0.2"/>
    <row r="5797" s="20" customFormat="1" x14ac:dyDescent="0.2"/>
    <row r="5798" s="20" customFormat="1" x14ac:dyDescent="0.2"/>
    <row r="5799" s="20" customFormat="1" x14ac:dyDescent="0.2"/>
    <row r="5800" s="20" customFormat="1" x14ac:dyDescent="0.2"/>
    <row r="5801" s="20" customFormat="1" x14ac:dyDescent="0.2"/>
    <row r="5802" s="20" customFormat="1" x14ac:dyDescent="0.2"/>
    <row r="5803" s="20" customFormat="1" x14ac:dyDescent="0.2"/>
    <row r="5804" s="20" customFormat="1" x14ac:dyDescent="0.2"/>
    <row r="5805" s="20" customFormat="1" x14ac:dyDescent="0.2"/>
    <row r="5806" s="20" customFormat="1" x14ac:dyDescent="0.2"/>
    <row r="5807" s="20" customFormat="1" x14ac:dyDescent="0.2"/>
    <row r="5808" s="20" customFormat="1" x14ac:dyDescent="0.2"/>
    <row r="5809" s="20" customFormat="1" x14ac:dyDescent="0.2"/>
    <row r="5810" s="20" customFormat="1" x14ac:dyDescent="0.2"/>
    <row r="5811" s="20" customFormat="1" x14ac:dyDescent="0.2"/>
    <row r="5812" s="20" customFormat="1" x14ac:dyDescent="0.2"/>
    <row r="5813" s="20" customFormat="1" x14ac:dyDescent="0.2"/>
    <row r="5814" s="20" customFormat="1" x14ac:dyDescent="0.2"/>
    <row r="5815" s="20" customFormat="1" x14ac:dyDescent="0.2"/>
    <row r="5816" s="20" customFormat="1" x14ac:dyDescent="0.2"/>
    <row r="5817" s="20" customFormat="1" x14ac:dyDescent="0.2"/>
    <row r="5818" s="20" customFormat="1" x14ac:dyDescent="0.2"/>
    <row r="5819" s="20" customFormat="1" x14ac:dyDescent="0.2"/>
    <row r="5820" s="20" customFormat="1" x14ac:dyDescent="0.2"/>
    <row r="5821" s="20" customFormat="1" x14ac:dyDescent="0.2"/>
    <row r="5822" s="20" customFormat="1" x14ac:dyDescent="0.2"/>
    <row r="5823" s="20" customFormat="1" x14ac:dyDescent="0.2"/>
    <row r="5824" s="20" customFormat="1" x14ac:dyDescent="0.2"/>
    <row r="5825" s="20" customFormat="1" x14ac:dyDescent="0.2"/>
    <row r="5826" s="20" customFormat="1" x14ac:dyDescent="0.2"/>
    <row r="5827" s="20" customFormat="1" x14ac:dyDescent="0.2"/>
    <row r="5828" s="20" customFormat="1" x14ac:dyDescent="0.2"/>
    <row r="5829" s="20" customFormat="1" x14ac:dyDescent="0.2"/>
    <row r="5830" s="20" customFormat="1" x14ac:dyDescent="0.2"/>
    <row r="5831" s="20" customFormat="1" x14ac:dyDescent="0.2"/>
    <row r="5832" s="20" customFormat="1" x14ac:dyDescent="0.2"/>
    <row r="5833" s="20" customFormat="1" x14ac:dyDescent="0.2"/>
    <row r="5834" s="20" customFormat="1" x14ac:dyDescent="0.2"/>
    <row r="5835" s="20" customFormat="1" x14ac:dyDescent="0.2"/>
    <row r="5836" s="20" customFormat="1" x14ac:dyDescent="0.2"/>
    <row r="5837" s="20" customFormat="1" x14ac:dyDescent="0.2"/>
    <row r="5838" s="20" customFormat="1" x14ac:dyDescent="0.2"/>
    <row r="5839" s="20" customFormat="1" x14ac:dyDescent="0.2"/>
    <row r="5840" s="20" customFormat="1" x14ac:dyDescent="0.2"/>
    <row r="5841" s="20" customFormat="1" x14ac:dyDescent="0.2"/>
    <row r="5842" s="20" customFormat="1" x14ac:dyDescent="0.2"/>
    <row r="5843" s="20" customFormat="1" x14ac:dyDescent="0.2"/>
    <row r="5844" s="20" customFormat="1" x14ac:dyDescent="0.2"/>
    <row r="5845" s="20" customFormat="1" x14ac:dyDescent="0.2"/>
    <row r="5846" s="20" customFormat="1" x14ac:dyDescent="0.2"/>
    <row r="5847" s="20" customFormat="1" x14ac:dyDescent="0.2"/>
    <row r="5848" s="20" customFormat="1" x14ac:dyDescent="0.2"/>
    <row r="5849" s="20" customFormat="1" x14ac:dyDescent="0.2"/>
    <row r="5850" s="20" customFormat="1" x14ac:dyDescent="0.2"/>
    <row r="5851" s="20" customFormat="1" x14ac:dyDescent="0.2"/>
    <row r="5852" s="20" customFormat="1" x14ac:dyDescent="0.2"/>
    <row r="5853" s="20" customFormat="1" x14ac:dyDescent="0.2"/>
    <row r="5854" s="20" customFormat="1" x14ac:dyDescent="0.2"/>
    <row r="5855" s="20" customFormat="1" x14ac:dyDescent="0.2"/>
    <row r="5856" s="20" customFormat="1" x14ac:dyDescent="0.2"/>
    <row r="5857" s="20" customFormat="1" x14ac:dyDescent="0.2"/>
    <row r="5858" s="20" customFormat="1" x14ac:dyDescent="0.2"/>
    <row r="5859" s="20" customFormat="1" x14ac:dyDescent="0.2"/>
    <row r="5860" s="20" customFormat="1" x14ac:dyDescent="0.2"/>
    <row r="5861" s="20" customFormat="1" x14ac:dyDescent="0.2"/>
    <row r="5862" s="20" customFormat="1" x14ac:dyDescent="0.2"/>
    <row r="5863" s="20" customFormat="1" x14ac:dyDescent="0.2"/>
    <row r="5864" s="20" customFormat="1" x14ac:dyDescent="0.2"/>
    <row r="5865" s="20" customFormat="1" x14ac:dyDescent="0.2"/>
    <row r="5866" s="20" customFormat="1" x14ac:dyDescent="0.2"/>
    <row r="5867" s="20" customFormat="1" x14ac:dyDescent="0.2"/>
    <row r="5868" s="20" customFormat="1" x14ac:dyDescent="0.2"/>
    <row r="5869" s="20" customFormat="1" x14ac:dyDescent="0.2"/>
    <row r="5870" s="20" customFormat="1" x14ac:dyDescent="0.2"/>
    <row r="5871" s="20" customFormat="1" x14ac:dyDescent="0.2"/>
    <row r="5872" s="20" customFormat="1" x14ac:dyDescent="0.2"/>
    <row r="5873" s="20" customFormat="1" x14ac:dyDescent="0.2"/>
    <row r="5874" s="20" customFormat="1" x14ac:dyDescent="0.2"/>
    <row r="5875" s="20" customFormat="1" x14ac:dyDescent="0.2"/>
    <row r="5876" s="20" customFormat="1" x14ac:dyDescent="0.2"/>
    <row r="5877" s="20" customFormat="1" x14ac:dyDescent="0.2"/>
    <row r="5878" s="20" customFormat="1" x14ac:dyDescent="0.2"/>
    <row r="5879" s="20" customFormat="1" x14ac:dyDescent="0.2"/>
    <row r="5880" s="20" customFormat="1" x14ac:dyDescent="0.2"/>
    <row r="5881" s="20" customFormat="1" x14ac:dyDescent="0.2"/>
    <row r="5882" s="20" customFormat="1" x14ac:dyDescent="0.2"/>
    <row r="5883" s="20" customFormat="1" x14ac:dyDescent="0.2"/>
    <row r="5884" s="20" customFormat="1" x14ac:dyDescent="0.2"/>
    <row r="5885" s="20" customFormat="1" x14ac:dyDescent="0.2"/>
    <row r="5886" s="20" customFormat="1" x14ac:dyDescent="0.2"/>
    <row r="5887" s="20" customFormat="1" x14ac:dyDescent="0.2"/>
    <row r="5888" s="20" customFormat="1" x14ac:dyDescent="0.2"/>
    <row r="5889" s="20" customFormat="1" x14ac:dyDescent="0.2"/>
    <row r="5890" s="20" customFormat="1" x14ac:dyDescent="0.2"/>
    <row r="5891" s="20" customFormat="1" x14ac:dyDescent="0.2"/>
    <row r="5892" s="20" customFormat="1" x14ac:dyDescent="0.2"/>
    <row r="5893" s="20" customFormat="1" x14ac:dyDescent="0.2"/>
    <row r="5894" s="20" customFormat="1" x14ac:dyDescent="0.2"/>
    <row r="5895" s="20" customFormat="1" x14ac:dyDescent="0.2"/>
    <row r="5896" s="20" customFormat="1" x14ac:dyDescent="0.2"/>
    <row r="5897" s="20" customFormat="1" x14ac:dyDescent="0.2"/>
    <row r="5898" s="20" customFormat="1" x14ac:dyDescent="0.2"/>
    <row r="5899" s="20" customFormat="1" x14ac:dyDescent="0.2"/>
    <row r="5900" s="20" customFormat="1" x14ac:dyDescent="0.2"/>
    <row r="5901" s="20" customFormat="1" x14ac:dyDescent="0.2"/>
    <row r="5902" s="20" customFormat="1" x14ac:dyDescent="0.2"/>
    <row r="5903" s="20" customFormat="1" x14ac:dyDescent="0.2"/>
    <row r="5904" s="20" customFormat="1" x14ac:dyDescent="0.2"/>
    <row r="5905" s="20" customFormat="1" x14ac:dyDescent="0.2"/>
    <row r="5906" s="20" customFormat="1" x14ac:dyDescent="0.2"/>
    <row r="5907" s="20" customFormat="1" x14ac:dyDescent="0.2"/>
    <row r="5908" s="20" customFormat="1" x14ac:dyDescent="0.2"/>
    <row r="5909" s="20" customFormat="1" x14ac:dyDescent="0.2"/>
    <row r="5910" s="20" customFormat="1" x14ac:dyDescent="0.2"/>
    <row r="5911" s="20" customFormat="1" x14ac:dyDescent="0.2"/>
    <row r="5912" s="20" customFormat="1" x14ac:dyDescent="0.2"/>
    <row r="5913" s="20" customFormat="1" x14ac:dyDescent="0.2"/>
    <row r="5914" s="20" customFormat="1" x14ac:dyDescent="0.2"/>
    <row r="5915" s="20" customFormat="1" x14ac:dyDescent="0.2"/>
    <row r="5916" s="20" customFormat="1" x14ac:dyDescent="0.2"/>
    <row r="5917" s="20" customFormat="1" x14ac:dyDescent="0.2"/>
    <row r="5918" s="20" customFormat="1" x14ac:dyDescent="0.2"/>
    <row r="5919" s="20" customFormat="1" x14ac:dyDescent="0.2"/>
    <row r="5920" s="20" customFormat="1" x14ac:dyDescent="0.2"/>
    <row r="5921" s="20" customFormat="1" x14ac:dyDescent="0.2"/>
    <row r="5922" s="20" customFormat="1" x14ac:dyDescent="0.2"/>
    <row r="5923" s="20" customFormat="1" x14ac:dyDescent="0.2"/>
    <row r="5924" s="20" customFormat="1" x14ac:dyDescent="0.2"/>
    <row r="5925" s="20" customFormat="1" x14ac:dyDescent="0.2"/>
    <row r="5926" s="20" customFormat="1" x14ac:dyDescent="0.2"/>
    <row r="5927" s="20" customFormat="1" x14ac:dyDescent="0.2"/>
    <row r="5928" s="20" customFormat="1" x14ac:dyDescent="0.2"/>
    <row r="5929" s="20" customFormat="1" x14ac:dyDescent="0.2"/>
    <row r="5930" s="20" customFormat="1" x14ac:dyDescent="0.2"/>
    <row r="5931" s="20" customFormat="1" x14ac:dyDescent="0.2"/>
    <row r="5932" s="20" customFormat="1" x14ac:dyDescent="0.2"/>
    <row r="5933" s="20" customFormat="1" x14ac:dyDescent="0.2"/>
    <row r="5934" s="20" customFormat="1" x14ac:dyDescent="0.2"/>
    <row r="5935" s="20" customFormat="1" x14ac:dyDescent="0.2"/>
    <row r="5936" s="20" customFormat="1" x14ac:dyDescent="0.2"/>
    <row r="5937" s="20" customFormat="1" x14ac:dyDescent="0.2"/>
    <row r="5938" s="20" customFormat="1" x14ac:dyDescent="0.2"/>
    <row r="5939" s="20" customFormat="1" x14ac:dyDescent="0.2"/>
    <row r="5940" s="20" customFormat="1" x14ac:dyDescent="0.2"/>
    <row r="5941" s="20" customFormat="1" x14ac:dyDescent="0.2"/>
    <row r="5942" s="20" customFormat="1" x14ac:dyDescent="0.2"/>
    <row r="5943" s="20" customFormat="1" x14ac:dyDescent="0.2"/>
    <row r="5944" s="20" customFormat="1" x14ac:dyDescent="0.2"/>
    <row r="5945" s="20" customFormat="1" x14ac:dyDescent="0.2"/>
    <row r="5946" s="20" customFormat="1" x14ac:dyDescent="0.2"/>
    <row r="5947" s="20" customFormat="1" x14ac:dyDescent="0.2"/>
    <row r="5948" s="20" customFormat="1" x14ac:dyDescent="0.2"/>
    <row r="5949" s="20" customFormat="1" x14ac:dyDescent="0.2"/>
    <row r="5950" s="20" customFormat="1" x14ac:dyDescent="0.2"/>
    <row r="5951" s="20" customFormat="1" x14ac:dyDescent="0.2"/>
    <row r="5952" s="20" customFormat="1" x14ac:dyDescent="0.2"/>
    <row r="5953" s="20" customFormat="1" x14ac:dyDescent="0.2"/>
    <row r="5954" s="20" customFormat="1" x14ac:dyDescent="0.2"/>
    <row r="5955" s="20" customFormat="1" x14ac:dyDescent="0.2"/>
    <row r="5956" s="20" customFormat="1" x14ac:dyDescent="0.2"/>
    <row r="5957" s="20" customFormat="1" x14ac:dyDescent="0.2"/>
    <row r="5958" s="20" customFormat="1" x14ac:dyDescent="0.2"/>
    <row r="5959" s="20" customFormat="1" x14ac:dyDescent="0.2"/>
    <row r="5960" s="20" customFormat="1" x14ac:dyDescent="0.2"/>
    <row r="5961" s="20" customFormat="1" x14ac:dyDescent="0.2"/>
    <row r="5962" s="20" customFormat="1" x14ac:dyDescent="0.2"/>
    <row r="5963" s="20" customFormat="1" x14ac:dyDescent="0.2"/>
    <row r="5964" s="20" customFormat="1" x14ac:dyDescent="0.2"/>
    <row r="5965" s="20" customFormat="1" x14ac:dyDescent="0.2"/>
    <row r="5966" s="20" customFormat="1" x14ac:dyDescent="0.2"/>
    <row r="5967" s="20" customFormat="1" x14ac:dyDescent="0.2"/>
    <row r="5968" s="20" customFormat="1" x14ac:dyDescent="0.2"/>
    <row r="5969" s="20" customFormat="1" x14ac:dyDescent="0.2"/>
    <row r="5970" s="20" customFormat="1" x14ac:dyDescent="0.2"/>
    <row r="5971" s="20" customFormat="1" x14ac:dyDescent="0.2"/>
    <row r="5972" s="20" customFormat="1" x14ac:dyDescent="0.2"/>
    <row r="5973" s="20" customFormat="1" x14ac:dyDescent="0.2"/>
    <row r="5974" s="20" customFormat="1" x14ac:dyDescent="0.2"/>
    <row r="5975" s="20" customFormat="1" x14ac:dyDescent="0.2"/>
    <row r="5976" s="20" customFormat="1" x14ac:dyDescent="0.2"/>
    <row r="5977" s="20" customFormat="1" x14ac:dyDescent="0.2"/>
    <row r="5978" s="20" customFormat="1" x14ac:dyDescent="0.2"/>
    <row r="5979" s="20" customFormat="1" x14ac:dyDescent="0.2"/>
    <row r="5980" s="20" customFormat="1" x14ac:dyDescent="0.2"/>
    <row r="5981" s="20" customFormat="1" x14ac:dyDescent="0.2"/>
    <row r="5982" s="20" customFormat="1" x14ac:dyDescent="0.2"/>
    <row r="5983" s="20" customFormat="1" x14ac:dyDescent="0.2"/>
    <row r="5984" s="20" customFormat="1" x14ac:dyDescent="0.2"/>
    <row r="5985" s="20" customFormat="1" x14ac:dyDescent="0.2"/>
    <row r="5986" s="20" customFormat="1" x14ac:dyDescent="0.2"/>
    <row r="5987" s="20" customFormat="1" x14ac:dyDescent="0.2"/>
    <row r="5988" s="20" customFormat="1" x14ac:dyDescent="0.2"/>
    <row r="5989" s="20" customFormat="1" x14ac:dyDescent="0.2"/>
    <row r="5990" s="20" customFormat="1" x14ac:dyDescent="0.2"/>
    <row r="5991" s="20" customFormat="1" x14ac:dyDescent="0.2"/>
    <row r="5992" s="20" customFormat="1" x14ac:dyDescent="0.2"/>
    <row r="5993" s="20" customFormat="1" x14ac:dyDescent="0.2"/>
    <row r="5994" s="20" customFormat="1" x14ac:dyDescent="0.2"/>
    <row r="5995" s="20" customFormat="1" x14ac:dyDescent="0.2"/>
    <row r="5996" s="20" customFormat="1" x14ac:dyDescent="0.2"/>
    <row r="5997" s="20" customFormat="1" x14ac:dyDescent="0.2"/>
    <row r="5998" s="20" customFormat="1" x14ac:dyDescent="0.2"/>
    <row r="5999" s="20" customFormat="1" x14ac:dyDescent="0.2"/>
    <row r="6000" s="20" customFormat="1" x14ac:dyDescent="0.2"/>
    <row r="6001" s="20" customFormat="1" x14ac:dyDescent="0.2"/>
    <row r="6002" s="20" customFormat="1" x14ac:dyDescent="0.2"/>
    <row r="6003" s="20" customFormat="1" x14ac:dyDescent="0.2"/>
    <row r="6004" s="20" customFormat="1" x14ac:dyDescent="0.2"/>
    <row r="6005" s="20" customFormat="1" x14ac:dyDescent="0.2"/>
    <row r="6006" s="20" customFormat="1" x14ac:dyDescent="0.2"/>
    <row r="6007" s="20" customFormat="1" x14ac:dyDescent="0.2"/>
    <row r="6008" s="20" customFormat="1" x14ac:dyDescent="0.2"/>
    <row r="6009" s="20" customFormat="1" x14ac:dyDescent="0.2"/>
    <row r="6010" s="20" customFormat="1" x14ac:dyDescent="0.2"/>
    <row r="6011" s="20" customFormat="1" x14ac:dyDescent="0.2"/>
    <row r="6012" s="20" customFormat="1" x14ac:dyDescent="0.2"/>
    <row r="6013" s="20" customFormat="1" x14ac:dyDescent="0.2"/>
    <row r="6014" s="20" customFormat="1" x14ac:dyDescent="0.2"/>
    <row r="6015" s="20" customFormat="1" x14ac:dyDescent="0.2"/>
    <row r="6016" s="20" customFormat="1" x14ac:dyDescent="0.2"/>
    <row r="6017" s="20" customFormat="1" x14ac:dyDescent="0.2"/>
    <row r="6018" s="20" customFormat="1" x14ac:dyDescent="0.2"/>
    <row r="6019" s="20" customFormat="1" x14ac:dyDescent="0.2"/>
    <row r="6020" s="20" customFormat="1" x14ac:dyDescent="0.2"/>
    <row r="6021" s="20" customFormat="1" x14ac:dyDescent="0.2"/>
    <row r="6022" s="20" customFormat="1" x14ac:dyDescent="0.2"/>
    <row r="6023" s="20" customFormat="1" x14ac:dyDescent="0.2"/>
    <row r="6024" s="20" customFormat="1" x14ac:dyDescent="0.2"/>
    <row r="6025" s="20" customFormat="1" x14ac:dyDescent="0.2"/>
    <row r="6026" s="20" customFormat="1" x14ac:dyDescent="0.2"/>
    <row r="6027" s="20" customFormat="1" x14ac:dyDescent="0.2"/>
    <row r="6028" s="20" customFormat="1" x14ac:dyDescent="0.2"/>
    <row r="6029" s="20" customFormat="1" x14ac:dyDescent="0.2"/>
    <row r="6030" s="20" customFormat="1" x14ac:dyDescent="0.2"/>
    <row r="6031" s="20" customFormat="1" x14ac:dyDescent="0.2"/>
    <row r="6032" s="20" customFormat="1" x14ac:dyDescent="0.2"/>
    <row r="6033" s="20" customFormat="1" x14ac:dyDescent="0.2"/>
    <row r="6034" s="20" customFormat="1" x14ac:dyDescent="0.2"/>
    <row r="6035" s="20" customFormat="1" x14ac:dyDescent="0.2"/>
    <row r="6036" s="20" customFormat="1" x14ac:dyDescent="0.2"/>
    <row r="6037" s="20" customFormat="1" x14ac:dyDescent="0.2"/>
    <row r="6038" s="20" customFormat="1" x14ac:dyDescent="0.2"/>
    <row r="6039" s="20" customFormat="1" x14ac:dyDescent="0.2"/>
    <row r="6040" s="20" customFormat="1" x14ac:dyDescent="0.2"/>
    <row r="6041" s="20" customFormat="1" x14ac:dyDescent="0.2"/>
    <row r="6042" s="20" customFormat="1" x14ac:dyDescent="0.2"/>
    <row r="6043" s="20" customFormat="1" x14ac:dyDescent="0.2"/>
    <row r="6044" s="20" customFormat="1" x14ac:dyDescent="0.2"/>
    <row r="6045" s="20" customFormat="1" x14ac:dyDescent="0.2"/>
    <row r="6046" s="20" customFormat="1" x14ac:dyDescent="0.2"/>
    <row r="6047" s="20" customFormat="1" x14ac:dyDescent="0.2"/>
    <row r="6048" s="20" customFormat="1" x14ac:dyDescent="0.2"/>
    <row r="6049" s="20" customFormat="1" x14ac:dyDescent="0.2"/>
    <row r="6050" s="20" customFormat="1" x14ac:dyDescent="0.2"/>
    <row r="6051" s="20" customFormat="1" x14ac:dyDescent="0.2"/>
    <row r="6052" s="20" customFormat="1" x14ac:dyDescent="0.2"/>
    <row r="6053" s="20" customFormat="1" x14ac:dyDescent="0.2"/>
    <row r="6054" s="20" customFormat="1" x14ac:dyDescent="0.2"/>
    <row r="6055" s="20" customFormat="1" x14ac:dyDescent="0.2"/>
    <row r="6056" s="20" customFormat="1" x14ac:dyDescent="0.2"/>
    <row r="6057" s="20" customFormat="1" x14ac:dyDescent="0.2"/>
    <row r="6058" s="20" customFormat="1" x14ac:dyDescent="0.2"/>
    <row r="6059" s="20" customFormat="1" x14ac:dyDescent="0.2"/>
    <row r="6060" s="20" customFormat="1" x14ac:dyDescent="0.2"/>
    <row r="6061" s="20" customFormat="1" x14ac:dyDescent="0.2"/>
    <row r="6062" s="20" customFormat="1" x14ac:dyDescent="0.2"/>
    <row r="6063" s="20" customFormat="1" x14ac:dyDescent="0.2"/>
    <row r="6064" s="20" customFormat="1" x14ac:dyDescent="0.2"/>
    <row r="6065" s="20" customFormat="1" x14ac:dyDescent="0.2"/>
    <row r="6066" s="20" customFormat="1" x14ac:dyDescent="0.2"/>
    <row r="6067" s="20" customFormat="1" x14ac:dyDescent="0.2"/>
    <row r="6068" s="20" customFormat="1" x14ac:dyDescent="0.2"/>
    <row r="6069" s="20" customFormat="1" x14ac:dyDescent="0.2"/>
    <row r="6070" s="20" customFormat="1" x14ac:dyDescent="0.2"/>
    <row r="6071" s="20" customFormat="1" x14ac:dyDescent="0.2"/>
    <row r="6072" s="20" customFormat="1" x14ac:dyDescent="0.2"/>
    <row r="6073" s="20" customFormat="1" x14ac:dyDescent="0.2"/>
    <row r="6074" s="20" customFormat="1" x14ac:dyDescent="0.2"/>
    <row r="6075" s="20" customFormat="1" x14ac:dyDescent="0.2"/>
    <row r="6076" s="20" customFormat="1" x14ac:dyDescent="0.2"/>
    <row r="6077" s="20" customFormat="1" x14ac:dyDescent="0.2"/>
    <row r="6078" s="20" customFormat="1" x14ac:dyDescent="0.2"/>
    <row r="6079" s="20" customFormat="1" x14ac:dyDescent="0.2"/>
    <row r="6080" s="20" customFormat="1" x14ac:dyDescent="0.2"/>
    <row r="6081" s="20" customFormat="1" x14ac:dyDescent="0.2"/>
    <row r="6082" s="20" customFormat="1" x14ac:dyDescent="0.2"/>
    <row r="6083" s="20" customFormat="1" x14ac:dyDescent="0.2"/>
    <row r="6084" s="20" customFormat="1" x14ac:dyDescent="0.2"/>
    <row r="6085" s="20" customFormat="1" x14ac:dyDescent="0.2"/>
    <row r="6086" s="20" customFormat="1" x14ac:dyDescent="0.2"/>
    <row r="6087" s="20" customFormat="1" x14ac:dyDescent="0.2"/>
    <row r="6088" s="20" customFormat="1" x14ac:dyDescent="0.2"/>
    <row r="6089" s="20" customFormat="1" x14ac:dyDescent="0.2"/>
    <row r="6090" s="20" customFormat="1" x14ac:dyDescent="0.2"/>
    <row r="6091" s="20" customFormat="1" x14ac:dyDescent="0.2"/>
    <row r="6092" s="20" customFormat="1" x14ac:dyDescent="0.2"/>
    <row r="6093" s="20" customFormat="1" x14ac:dyDescent="0.2"/>
    <row r="6094" s="20" customFormat="1" x14ac:dyDescent="0.2"/>
    <row r="6095" s="20" customFormat="1" x14ac:dyDescent="0.2"/>
    <row r="6096" s="20" customFormat="1" x14ac:dyDescent="0.2"/>
    <row r="6097" s="20" customFormat="1" x14ac:dyDescent="0.2"/>
    <row r="6098" s="20" customFormat="1" x14ac:dyDescent="0.2"/>
    <row r="6099" s="20" customFormat="1" x14ac:dyDescent="0.2"/>
    <row r="6100" s="20" customFormat="1" x14ac:dyDescent="0.2"/>
    <row r="6101" s="20" customFormat="1" x14ac:dyDescent="0.2"/>
    <row r="6102" s="20" customFormat="1" x14ac:dyDescent="0.2"/>
    <row r="6103" s="20" customFormat="1" x14ac:dyDescent="0.2"/>
    <row r="6104" s="20" customFormat="1" x14ac:dyDescent="0.2"/>
    <row r="6105" s="20" customFormat="1" x14ac:dyDescent="0.2"/>
    <row r="6106" s="20" customFormat="1" x14ac:dyDescent="0.2"/>
    <row r="6107" s="20" customFormat="1" x14ac:dyDescent="0.2"/>
    <row r="6108" s="20" customFormat="1" x14ac:dyDescent="0.2"/>
    <row r="6109" s="20" customFormat="1" x14ac:dyDescent="0.2"/>
    <row r="6110" s="20" customFormat="1" x14ac:dyDescent="0.2"/>
    <row r="6111" s="20" customFormat="1" x14ac:dyDescent="0.2"/>
    <row r="6112" s="20" customFormat="1" x14ac:dyDescent="0.2"/>
    <row r="6113" s="20" customFormat="1" x14ac:dyDescent="0.2"/>
    <row r="6114" s="20" customFormat="1" x14ac:dyDescent="0.2"/>
    <row r="6115" s="20" customFormat="1" x14ac:dyDescent="0.2"/>
    <row r="6116" s="20" customFormat="1" x14ac:dyDescent="0.2"/>
    <row r="6117" s="20" customFormat="1" x14ac:dyDescent="0.2"/>
    <row r="6118" s="20" customFormat="1" x14ac:dyDescent="0.2"/>
    <row r="6119" s="20" customFormat="1" x14ac:dyDescent="0.2"/>
    <row r="6120" s="20" customFormat="1" x14ac:dyDescent="0.2"/>
    <row r="6121" s="20" customFormat="1" x14ac:dyDescent="0.2"/>
    <row r="6122" s="20" customFormat="1" x14ac:dyDescent="0.2"/>
    <row r="6123" s="20" customFormat="1" x14ac:dyDescent="0.2"/>
    <row r="6124" s="20" customFormat="1" x14ac:dyDescent="0.2"/>
    <row r="6125" s="20" customFormat="1" x14ac:dyDescent="0.2"/>
    <row r="6126" s="20" customFormat="1" x14ac:dyDescent="0.2"/>
    <row r="6127" s="20" customFormat="1" x14ac:dyDescent="0.2"/>
    <row r="6128" s="20" customFormat="1" x14ac:dyDescent="0.2"/>
    <row r="6129" s="20" customFormat="1" x14ac:dyDescent="0.2"/>
    <row r="6130" s="20" customFormat="1" x14ac:dyDescent="0.2"/>
    <row r="6131" s="20" customFormat="1" x14ac:dyDescent="0.2"/>
    <row r="6132" s="20" customFormat="1" x14ac:dyDescent="0.2"/>
    <row r="6133" s="20" customFormat="1" x14ac:dyDescent="0.2"/>
    <row r="6134" s="20" customFormat="1" x14ac:dyDescent="0.2"/>
    <row r="6135" s="20" customFormat="1" x14ac:dyDescent="0.2"/>
    <row r="6136" s="20" customFormat="1" x14ac:dyDescent="0.2"/>
    <row r="6137" s="20" customFormat="1" x14ac:dyDescent="0.2"/>
    <row r="6138" s="20" customFormat="1" x14ac:dyDescent="0.2"/>
    <row r="6139" s="20" customFormat="1" x14ac:dyDescent="0.2"/>
    <row r="6140" s="20" customFormat="1" x14ac:dyDescent="0.2"/>
    <row r="6141" s="20" customFormat="1" x14ac:dyDescent="0.2"/>
    <row r="6142" s="20" customFormat="1" x14ac:dyDescent="0.2"/>
    <row r="6143" s="20" customFormat="1" x14ac:dyDescent="0.2"/>
    <row r="6144" s="20" customFormat="1" x14ac:dyDescent="0.2"/>
    <row r="6145" s="20" customFormat="1" x14ac:dyDescent="0.2"/>
    <row r="6146" s="20" customFormat="1" x14ac:dyDescent="0.2"/>
    <row r="6147" s="20" customFormat="1" x14ac:dyDescent="0.2"/>
    <row r="6148" s="20" customFormat="1" x14ac:dyDescent="0.2"/>
    <row r="6149" s="20" customFormat="1" x14ac:dyDescent="0.2"/>
    <row r="6150" s="20" customFormat="1" x14ac:dyDescent="0.2"/>
    <row r="6151" s="20" customFormat="1" x14ac:dyDescent="0.2"/>
    <row r="6152" s="20" customFormat="1" x14ac:dyDescent="0.2"/>
    <row r="6153" s="20" customFormat="1" x14ac:dyDescent="0.2"/>
    <row r="6154" s="20" customFormat="1" x14ac:dyDescent="0.2"/>
    <row r="6155" s="20" customFormat="1" x14ac:dyDescent="0.2"/>
    <row r="6156" s="20" customFormat="1" x14ac:dyDescent="0.2"/>
    <row r="6157" s="20" customFormat="1" x14ac:dyDescent="0.2"/>
    <row r="6158" s="20" customFormat="1" x14ac:dyDescent="0.2"/>
    <row r="6159" s="20" customFormat="1" x14ac:dyDescent="0.2"/>
    <row r="6160" s="20" customFormat="1" x14ac:dyDescent="0.2"/>
    <row r="6161" s="20" customFormat="1" x14ac:dyDescent="0.2"/>
    <row r="6162" s="20" customFormat="1" x14ac:dyDescent="0.2"/>
    <row r="6163" s="20" customFormat="1" x14ac:dyDescent="0.2"/>
    <row r="6164" s="20" customFormat="1" x14ac:dyDescent="0.2"/>
    <row r="6165" s="20" customFormat="1" x14ac:dyDescent="0.2"/>
    <row r="6166" s="20" customFormat="1" x14ac:dyDescent="0.2"/>
    <row r="6167" s="20" customFormat="1" x14ac:dyDescent="0.2"/>
    <row r="6168" s="20" customFormat="1" x14ac:dyDescent="0.2"/>
    <row r="6169" s="20" customFormat="1" x14ac:dyDescent="0.2"/>
    <row r="6170" s="20" customFormat="1" x14ac:dyDescent="0.2"/>
    <row r="6171" s="20" customFormat="1" x14ac:dyDescent="0.2"/>
    <row r="6172" s="20" customFormat="1" x14ac:dyDescent="0.2"/>
    <row r="6173" s="20" customFormat="1" x14ac:dyDescent="0.2"/>
    <row r="6174" s="20" customFormat="1" x14ac:dyDescent="0.2"/>
    <row r="6175" s="20" customFormat="1" x14ac:dyDescent="0.2"/>
    <row r="6176" s="20" customFormat="1" x14ac:dyDescent="0.2"/>
    <row r="6177" s="20" customFormat="1" x14ac:dyDescent="0.2"/>
    <row r="6178" s="20" customFormat="1" x14ac:dyDescent="0.2"/>
    <row r="6179" s="20" customFormat="1" x14ac:dyDescent="0.2"/>
    <row r="6180" s="20" customFormat="1" x14ac:dyDescent="0.2"/>
    <row r="6181" s="20" customFormat="1" x14ac:dyDescent="0.2"/>
    <row r="6182" s="20" customFormat="1" x14ac:dyDescent="0.2"/>
    <row r="6183" s="20" customFormat="1" x14ac:dyDescent="0.2"/>
    <row r="6184" s="20" customFormat="1" x14ac:dyDescent="0.2"/>
    <row r="6185" s="20" customFormat="1" x14ac:dyDescent="0.2"/>
    <row r="6186" s="20" customFormat="1" x14ac:dyDescent="0.2"/>
    <row r="6187" s="20" customFormat="1" x14ac:dyDescent="0.2"/>
    <row r="6188" s="20" customFormat="1" x14ac:dyDescent="0.2"/>
    <row r="6189" s="20" customFormat="1" x14ac:dyDescent="0.2"/>
    <row r="6190" s="20" customFormat="1" x14ac:dyDescent="0.2"/>
    <row r="6191" s="20" customFormat="1" x14ac:dyDescent="0.2"/>
    <row r="6192" s="20" customFormat="1" x14ac:dyDescent="0.2"/>
    <row r="6193" s="20" customFormat="1" x14ac:dyDescent="0.2"/>
    <row r="6194" s="20" customFormat="1" x14ac:dyDescent="0.2"/>
    <row r="6195" s="20" customFormat="1" x14ac:dyDescent="0.2"/>
    <row r="6196" s="20" customFormat="1" x14ac:dyDescent="0.2"/>
    <row r="6197" s="20" customFormat="1" x14ac:dyDescent="0.2"/>
    <row r="6198" s="20" customFormat="1" x14ac:dyDescent="0.2"/>
    <row r="6199" s="20" customFormat="1" x14ac:dyDescent="0.2"/>
    <row r="6200" s="20" customFormat="1" x14ac:dyDescent="0.2"/>
    <row r="6201" s="20" customFormat="1" x14ac:dyDescent="0.2"/>
    <row r="6202" s="20" customFormat="1" x14ac:dyDescent="0.2"/>
    <row r="6203" s="20" customFormat="1" x14ac:dyDescent="0.2"/>
    <row r="6204" s="20" customFormat="1" x14ac:dyDescent="0.2"/>
    <row r="6205" s="20" customFormat="1" x14ac:dyDescent="0.2"/>
    <row r="6206" s="20" customFormat="1" x14ac:dyDescent="0.2"/>
    <row r="6207" s="20" customFormat="1" x14ac:dyDescent="0.2"/>
    <row r="6208" s="20" customFormat="1" x14ac:dyDescent="0.2"/>
    <row r="6209" s="20" customFormat="1" x14ac:dyDescent="0.2"/>
    <row r="6210" s="20" customFormat="1" x14ac:dyDescent="0.2"/>
    <row r="6211" s="20" customFormat="1" x14ac:dyDescent="0.2"/>
    <row r="6212" s="20" customFormat="1" x14ac:dyDescent="0.2"/>
    <row r="6213" s="20" customFormat="1" x14ac:dyDescent="0.2"/>
    <row r="6214" s="20" customFormat="1" x14ac:dyDescent="0.2"/>
    <row r="6215" s="20" customFormat="1" x14ac:dyDescent="0.2"/>
    <row r="6216" s="20" customFormat="1" x14ac:dyDescent="0.2"/>
    <row r="6217" s="20" customFormat="1" x14ac:dyDescent="0.2"/>
    <row r="6218" s="20" customFormat="1" x14ac:dyDescent="0.2"/>
    <row r="6219" s="20" customFormat="1" x14ac:dyDescent="0.2"/>
    <row r="6220" s="20" customFormat="1" x14ac:dyDescent="0.2"/>
    <row r="6221" s="20" customFormat="1" x14ac:dyDescent="0.2"/>
    <row r="6222" s="20" customFormat="1" x14ac:dyDescent="0.2"/>
    <row r="6223" s="20" customFormat="1" x14ac:dyDescent="0.2"/>
    <row r="6224" s="20" customFormat="1" x14ac:dyDescent="0.2"/>
    <row r="6225" s="20" customFormat="1" x14ac:dyDescent="0.2"/>
    <row r="6226" s="20" customFormat="1" x14ac:dyDescent="0.2"/>
    <row r="6227" s="20" customFormat="1" x14ac:dyDescent="0.2"/>
    <row r="6228" s="20" customFormat="1" x14ac:dyDescent="0.2"/>
    <row r="6229" s="20" customFormat="1" x14ac:dyDescent="0.2"/>
    <row r="6230" s="20" customFormat="1" x14ac:dyDescent="0.2"/>
    <row r="6231" s="20" customFormat="1" x14ac:dyDescent="0.2"/>
    <row r="6232" s="20" customFormat="1" x14ac:dyDescent="0.2"/>
    <row r="6233" s="20" customFormat="1" x14ac:dyDescent="0.2"/>
    <row r="6234" s="20" customFormat="1" x14ac:dyDescent="0.2"/>
    <row r="6235" s="20" customFormat="1" x14ac:dyDescent="0.2"/>
    <row r="6236" s="20" customFormat="1" x14ac:dyDescent="0.2"/>
    <row r="6237" s="20" customFormat="1" x14ac:dyDescent="0.2"/>
    <row r="6238" s="20" customFormat="1" x14ac:dyDescent="0.2"/>
    <row r="6239" s="20" customFormat="1" x14ac:dyDescent="0.2"/>
    <row r="6240" s="20" customFormat="1" x14ac:dyDescent="0.2"/>
    <row r="6241" s="20" customFormat="1" x14ac:dyDescent="0.2"/>
    <row r="6242" s="20" customFormat="1" x14ac:dyDescent="0.2"/>
    <row r="6243" s="20" customFormat="1" x14ac:dyDescent="0.2"/>
    <row r="6244" s="20" customFormat="1" x14ac:dyDescent="0.2"/>
    <row r="6245" s="20" customFormat="1" x14ac:dyDescent="0.2"/>
    <row r="6246" s="20" customFormat="1" x14ac:dyDescent="0.2"/>
    <row r="6247" s="20" customFormat="1" x14ac:dyDescent="0.2"/>
    <row r="6248" s="20" customFormat="1" x14ac:dyDescent="0.2"/>
    <row r="6249" s="20" customFormat="1" x14ac:dyDescent="0.2"/>
    <row r="6250" s="20" customFormat="1" x14ac:dyDescent="0.2"/>
    <row r="6251" s="20" customFormat="1" x14ac:dyDescent="0.2"/>
    <row r="6252" s="20" customFormat="1" x14ac:dyDescent="0.2"/>
    <row r="6253" s="20" customFormat="1" x14ac:dyDescent="0.2"/>
    <row r="6254" s="20" customFormat="1" x14ac:dyDescent="0.2"/>
    <row r="6255" s="20" customFormat="1" x14ac:dyDescent="0.2"/>
    <row r="6256" s="20" customFormat="1" x14ac:dyDescent="0.2"/>
    <row r="6257" s="20" customFormat="1" x14ac:dyDescent="0.2"/>
    <row r="6258" s="20" customFormat="1" x14ac:dyDescent="0.2"/>
    <row r="6259" s="20" customFormat="1" x14ac:dyDescent="0.2"/>
    <row r="6260" s="20" customFormat="1" x14ac:dyDescent="0.2"/>
    <row r="6261" s="20" customFormat="1" x14ac:dyDescent="0.2"/>
    <row r="6262" s="20" customFormat="1" x14ac:dyDescent="0.2"/>
    <row r="6263" s="20" customFormat="1" x14ac:dyDescent="0.2"/>
    <row r="6264" s="20" customFormat="1" x14ac:dyDescent="0.2"/>
    <row r="6265" s="20" customFormat="1" x14ac:dyDescent="0.2"/>
    <row r="6266" s="20" customFormat="1" x14ac:dyDescent="0.2"/>
    <row r="6267" s="20" customFormat="1" x14ac:dyDescent="0.2"/>
    <row r="6268" s="20" customFormat="1" x14ac:dyDescent="0.2"/>
    <row r="6269" s="20" customFormat="1" x14ac:dyDescent="0.2"/>
    <row r="6270" s="20" customFormat="1" x14ac:dyDescent="0.2"/>
    <row r="6271" s="20" customFormat="1" x14ac:dyDescent="0.2"/>
    <row r="6272" s="20" customFormat="1" x14ac:dyDescent="0.2"/>
    <row r="6273" s="20" customFormat="1" x14ac:dyDescent="0.2"/>
    <row r="6274" s="20" customFormat="1" x14ac:dyDescent="0.2"/>
    <row r="6275" s="20" customFormat="1" x14ac:dyDescent="0.2"/>
    <row r="6276" s="20" customFormat="1" x14ac:dyDescent="0.2"/>
    <row r="6277" s="20" customFormat="1" x14ac:dyDescent="0.2"/>
    <row r="6278" s="20" customFormat="1" x14ac:dyDescent="0.2"/>
    <row r="6279" s="20" customFormat="1" x14ac:dyDescent="0.2"/>
    <row r="6280" s="20" customFormat="1" x14ac:dyDescent="0.2"/>
    <row r="6281" s="20" customFormat="1" x14ac:dyDescent="0.2"/>
    <row r="6282" s="20" customFormat="1" x14ac:dyDescent="0.2"/>
    <row r="6283" s="20" customFormat="1" x14ac:dyDescent="0.2"/>
    <row r="6284" s="20" customFormat="1" x14ac:dyDescent="0.2"/>
    <row r="6285" s="20" customFormat="1" x14ac:dyDescent="0.2"/>
    <row r="6286" s="20" customFormat="1" x14ac:dyDescent="0.2"/>
    <row r="6287" s="20" customFormat="1" x14ac:dyDescent="0.2"/>
    <row r="6288" s="20" customFormat="1" x14ac:dyDescent="0.2"/>
    <row r="6289" s="20" customFormat="1" x14ac:dyDescent="0.2"/>
    <row r="6290" s="20" customFormat="1" x14ac:dyDescent="0.2"/>
    <row r="6291" s="20" customFormat="1" x14ac:dyDescent="0.2"/>
    <row r="6292" s="20" customFormat="1" x14ac:dyDescent="0.2"/>
    <row r="6293" s="20" customFormat="1" x14ac:dyDescent="0.2"/>
    <row r="6294" s="20" customFormat="1" x14ac:dyDescent="0.2"/>
    <row r="6295" s="20" customFormat="1" x14ac:dyDescent="0.2"/>
    <row r="6296" s="20" customFormat="1" x14ac:dyDescent="0.2"/>
    <row r="6297" s="20" customFormat="1" x14ac:dyDescent="0.2"/>
    <row r="6298" s="20" customFormat="1" x14ac:dyDescent="0.2"/>
    <row r="6299" s="20" customFormat="1" x14ac:dyDescent="0.2"/>
    <row r="6300" s="20" customFormat="1" x14ac:dyDescent="0.2"/>
    <row r="6301" s="20" customFormat="1" x14ac:dyDescent="0.2"/>
    <row r="6302" s="20" customFormat="1" x14ac:dyDescent="0.2"/>
    <row r="6303" s="20" customFormat="1" x14ac:dyDescent="0.2"/>
    <row r="6304" s="20" customFormat="1" x14ac:dyDescent="0.2"/>
    <row r="6305" s="20" customFormat="1" x14ac:dyDescent="0.2"/>
    <row r="6306" s="20" customFormat="1" x14ac:dyDescent="0.2"/>
    <row r="6307" s="20" customFormat="1" x14ac:dyDescent="0.2"/>
    <row r="6308" s="20" customFormat="1" x14ac:dyDescent="0.2"/>
  </sheetData>
  <autoFilter ref="A9:H44">
    <sortState ref="A10:H53">
      <sortCondition ref="C9:C43"/>
    </sortState>
  </autoFilter>
  <mergeCells count="7">
    <mergeCell ref="A2:H2"/>
    <mergeCell ref="B56:C56"/>
    <mergeCell ref="A4:H4"/>
    <mergeCell ref="A7:H7"/>
    <mergeCell ref="A5:H5"/>
    <mergeCell ref="A6:H6"/>
    <mergeCell ref="A3:H3"/>
  </mergeCells>
  <phoneticPr fontId="0" type="noConversion"/>
  <printOptions verticalCentered="1"/>
  <pageMargins left="2.0472440944881889" right="0.78740157480314965" top="0.82677165354330717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AN526"/>
  <sheetViews>
    <sheetView zoomScale="90" zoomScaleNormal="90" workbookViewId="0">
      <selection activeCell="D16" sqref="D16"/>
    </sheetView>
  </sheetViews>
  <sheetFormatPr baseColWidth="10" defaultColWidth="11.5703125" defaultRowHeight="12.75" x14ac:dyDescent="0.2"/>
  <cols>
    <col min="1" max="1" width="8.42578125" style="3" customWidth="1"/>
    <col min="2" max="2" width="28.42578125" style="3" customWidth="1"/>
    <col min="3" max="3" width="22.85546875" customWidth="1"/>
    <col min="4" max="4" width="10.28515625" customWidth="1"/>
    <col min="5" max="5" width="11" customWidth="1"/>
    <col min="6" max="6" width="9.28515625" customWidth="1"/>
    <col min="7" max="7" width="11.85546875" customWidth="1"/>
    <col min="8" max="10" width="12.85546875" customWidth="1"/>
    <col min="11" max="11" width="12" customWidth="1"/>
    <col min="12" max="13" width="11.42578125" hidden="1" customWidth="1"/>
    <col min="14" max="14" width="14.42578125" customWidth="1"/>
    <col min="15" max="15" width="12.5703125" customWidth="1"/>
    <col min="16" max="16" width="11" customWidth="1"/>
    <col min="17" max="17" width="14.85546875" customWidth="1"/>
    <col min="21" max="21" width="13.7109375" customWidth="1"/>
    <col min="22" max="22" width="11.5703125" customWidth="1"/>
    <col min="23" max="23" width="13.5703125" customWidth="1"/>
  </cols>
  <sheetData>
    <row r="2" spans="1:40" x14ac:dyDescent="0.2">
      <c r="A2" s="304" t="s">
        <v>1050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40" x14ac:dyDescent="0.2">
      <c r="A3" s="306" t="s">
        <v>1049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40" x14ac:dyDescent="0.2">
      <c r="A4" s="309" t="s">
        <v>380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40" x14ac:dyDescent="0.2">
      <c r="A5" s="310" t="s">
        <v>10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40" x14ac:dyDescent="0.2">
      <c r="A6" s="310" t="s">
        <v>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40" x14ac:dyDescent="0.2">
      <c r="A7" s="301" t="s">
        <v>1004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15"/>
      <c r="R7" s="15"/>
      <c r="S7" s="15"/>
      <c r="T7" s="15"/>
      <c r="U7" s="15"/>
      <c r="V7" s="15"/>
      <c r="W7" s="15"/>
      <c r="X7" s="7"/>
      <c r="Y7" s="7"/>
      <c r="Z7" s="7"/>
      <c r="AA7" s="7"/>
      <c r="AB7" s="7"/>
      <c r="AC7" s="7"/>
    </row>
    <row r="8" spans="1:40" ht="13.5" thickBot="1" x14ac:dyDescent="0.25">
      <c r="L8" s="1"/>
      <c r="M8" s="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0" s="2" customFormat="1" ht="12.95" customHeight="1" x14ac:dyDescent="0.2">
      <c r="A9" s="286" t="s">
        <v>5</v>
      </c>
      <c r="B9" s="299" t="s">
        <v>11</v>
      </c>
      <c r="C9" s="288"/>
      <c r="D9" s="288" t="s">
        <v>1004</v>
      </c>
      <c r="E9" s="283" t="s">
        <v>1</v>
      </c>
      <c r="F9" s="284"/>
      <c r="G9" s="284"/>
      <c r="H9" s="284"/>
      <c r="I9" s="284"/>
      <c r="J9" s="284"/>
      <c r="K9" s="285"/>
      <c r="L9" s="283" t="s">
        <v>23</v>
      </c>
      <c r="M9" s="284"/>
      <c r="N9" s="285"/>
      <c r="O9" s="288" t="s">
        <v>325</v>
      </c>
      <c r="P9" s="269" t="s">
        <v>960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40" s="2" customFormat="1" ht="25.5" x14ac:dyDescent="0.2">
      <c r="A10" s="287"/>
      <c r="B10" s="300"/>
      <c r="C10" s="289"/>
      <c r="D10" s="289"/>
      <c r="E10" s="216" t="s">
        <v>17</v>
      </c>
      <c r="F10" s="124" t="s">
        <v>1035</v>
      </c>
      <c r="G10" s="216" t="s">
        <v>16</v>
      </c>
      <c r="H10" s="216" t="s">
        <v>1036</v>
      </c>
      <c r="I10" s="216" t="s">
        <v>1041</v>
      </c>
      <c r="J10" s="216" t="s">
        <v>987</v>
      </c>
      <c r="K10" s="216" t="s">
        <v>6</v>
      </c>
      <c r="L10" s="216" t="s">
        <v>18</v>
      </c>
      <c r="M10" s="216" t="s">
        <v>941</v>
      </c>
      <c r="N10" s="216" t="s">
        <v>511</v>
      </c>
      <c r="O10" s="289"/>
      <c r="P10" s="270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40" s="20" customFormat="1" ht="27" customHeight="1" x14ac:dyDescent="0.2">
      <c r="A11" s="162">
        <v>1</v>
      </c>
      <c r="B11" s="40" t="s">
        <v>190</v>
      </c>
      <c r="C11" s="40" t="s">
        <v>170</v>
      </c>
      <c r="D11" s="52">
        <v>74.63</v>
      </c>
      <c r="E11" s="52">
        <v>250</v>
      </c>
      <c r="F11" s="123">
        <v>30</v>
      </c>
      <c r="G11" s="52">
        <v>0</v>
      </c>
      <c r="H11" s="52">
        <f>500</f>
        <v>500</v>
      </c>
      <c r="I11" s="52">
        <v>2800</v>
      </c>
      <c r="J11" s="52">
        <v>0</v>
      </c>
      <c r="K11" s="28">
        <f t="shared" ref="K11:K41" si="0">(D11*F11)+E11+G11+H11</f>
        <v>2988.9</v>
      </c>
      <c r="L11" s="28">
        <f t="shared" ref="L11:L41" si="1">(D11*F11+G11+H11)*4.83%</f>
        <v>132.29</v>
      </c>
      <c r="M11" s="173">
        <v>0</v>
      </c>
      <c r="N11" s="28">
        <f>L11+M11</f>
        <v>132.29</v>
      </c>
      <c r="O11" s="28">
        <f t="shared" ref="O11:O42" si="2">K11-N11</f>
        <v>2856.61</v>
      </c>
      <c r="P11" s="28">
        <v>0</v>
      </c>
      <c r="Q11" s="19"/>
      <c r="R11" s="19"/>
      <c r="S11" s="19"/>
      <c r="T11" s="19"/>
      <c r="U11" s="19"/>
      <c r="V11" s="19"/>
      <c r="W11" s="19"/>
      <c r="X11" s="1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20" customFormat="1" ht="27" customHeight="1" x14ac:dyDescent="0.2">
      <c r="A12" s="162">
        <v>2</v>
      </c>
      <c r="B12" s="40" t="s">
        <v>532</v>
      </c>
      <c r="C12" s="40" t="s">
        <v>168</v>
      </c>
      <c r="D12" s="52">
        <v>75.64</v>
      </c>
      <c r="E12" s="52">
        <v>250</v>
      </c>
      <c r="F12" s="123">
        <v>30</v>
      </c>
      <c r="G12" s="52">
        <f>50</f>
        <v>50</v>
      </c>
      <c r="H12" s="52">
        <f>500</f>
        <v>500</v>
      </c>
      <c r="I12" s="52">
        <v>2800</v>
      </c>
      <c r="J12" s="52">
        <v>0</v>
      </c>
      <c r="K12" s="28">
        <f t="shared" si="0"/>
        <v>3069.2</v>
      </c>
      <c r="L12" s="28">
        <f t="shared" si="1"/>
        <v>136.16999999999999</v>
      </c>
      <c r="M12" s="28">
        <v>0</v>
      </c>
      <c r="N12" s="28">
        <f t="shared" ref="N12:N74" si="3">L12+M12</f>
        <v>136.16999999999999</v>
      </c>
      <c r="O12" s="28">
        <f t="shared" si="2"/>
        <v>2933.03</v>
      </c>
      <c r="P12" s="28">
        <v>0</v>
      </c>
      <c r="Q12" s="19"/>
      <c r="R12" s="19"/>
      <c r="S12" s="19"/>
      <c r="T12" s="19"/>
      <c r="U12" s="19"/>
      <c r="V12" s="19"/>
      <c r="W12" s="19"/>
      <c r="X12" s="1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20" customFormat="1" ht="27" customHeight="1" x14ac:dyDescent="0.2">
      <c r="A13" s="162">
        <v>3</v>
      </c>
      <c r="B13" s="40" t="s">
        <v>542</v>
      </c>
      <c r="C13" s="40" t="s">
        <v>176</v>
      </c>
      <c r="D13" s="52">
        <v>72.540000000000006</v>
      </c>
      <c r="E13" s="52">
        <v>250</v>
      </c>
      <c r="F13" s="123">
        <v>30</v>
      </c>
      <c r="G13" s="52">
        <v>50</v>
      </c>
      <c r="H13" s="52">
        <f>500</f>
        <v>500</v>
      </c>
      <c r="I13" s="52">
        <v>2800</v>
      </c>
      <c r="J13" s="52">
        <v>0</v>
      </c>
      <c r="K13" s="28">
        <f t="shared" si="0"/>
        <v>2976.2</v>
      </c>
      <c r="L13" s="28">
        <f t="shared" si="1"/>
        <v>131.68</v>
      </c>
      <c r="M13" s="28">
        <v>0</v>
      </c>
      <c r="N13" s="28">
        <f t="shared" si="3"/>
        <v>131.68</v>
      </c>
      <c r="O13" s="28">
        <f t="shared" si="2"/>
        <v>2844.52</v>
      </c>
      <c r="P13" s="28">
        <v>0</v>
      </c>
      <c r="Q13" s="19"/>
      <c r="R13" s="19"/>
      <c r="S13" s="19"/>
      <c r="T13" s="19"/>
      <c r="U13" s="19"/>
      <c r="V13" s="19"/>
      <c r="W13" s="19"/>
      <c r="X13" s="1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20" customFormat="1" ht="27" customHeight="1" x14ac:dyDescent="0.2">
      <c r="A14" s="162">
        <v>4</v>
      </c>
      <c r="B14" s="33" t="s">
        <v>520</v>
      </c>
      <c r="C14" s="40" t="s">
        <v>170</v>
      </c>
      <c r="D14" s="52">
        <v>74.63</v>
      </c>
      <c r="E14" s="52">
        <v>250</v>
      </c>
      <c r="F14" s="123">
        <v>30</v>
      </c>
      <c r="G14" s="52">
        <v>0</v>
      </c>
      <c r="H14" s="52">
        <f>500</f>
        <v>500</v>
      </c>
      <c r="I14" s="52">
        <v>2800</v>
      </c>
      <c r="J14" s="52">
        <v>0</v>
      </c>
      <c r="K14" s="28">
        <f t="shared" si="0"/>
        <v>2988.9</v>
      </c>
      <c r="L14" s="28">
        <f t="shared" si="1"/>
        <v>132.29</v>
      </c>
      <c r="M14" s="28">
        <f>(K14-E14)*11%</f>
        <v>301.27999999999997</v>
      </c>
      <c r="N14" s="28">
        <f t="shared" si="3"/>
        <v>433.57</v>
      </c>
      <c r="O14" s="28">
        <f t="shared" si="2"/>
        <v>2555.33</v>
      </c>
      <c r="P14" s="28">
        <v>0</v>
      </c>
      <c r="Q14" s="19"/>
      <c r="R14" s="19"/>
      <c r="S14" s="19"/>
      <c r="T14" s="19"/>
      <c r="U14" s="19"/>
      <c r="V14" s="19"/>
      <c r="W14" s="19"/>
      <c r="X14" s="1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20" customFormat="1" ht="44.25" customHeight="1" x14ac:dyDescent="0.2">
      <c r="A15" s="162">
        <v>5</v>
      </c>
      <c r="B15" s="24" t="s">
        <v>543</v>
      </c>
      <c r="C15" s="47" t="s">
        <v>1037</v>
      </c>
      <c r="D15" s="52">
        <v>78.25</v>
      </c>
      <c r="E15" s="52">
        <v>250</v>
      </c>
      <c r="F15" s="123">
        <v>30</v>
      </c>
      <c r="G15" s="52">
        <v>0</v>
      </c>
      <c r="H15" s="52">
        <f>500</f>
        <v>500</v>
      </c>
      <c r="I15" s="52">
        <v>2800</v>
      </c>
      <c r="J15" s="52">
        <v>0</v>
      </c>
      <c r="K15" s="28">
        <f t="shared" si="0"/>
        <v>3097.5</v>
      </c>
      <c r="L15" s="28">
        <f t="shared" si="1"/>
        <v>137.53</v>
      </c>
      <c r="M15" s="28">
        <v>0</v>
      </c>
      <c r="N15" s="28">
        <f t="shared" si="3"/>
        <v>137.53</v>
      </c>
      <c r="O15" s="28">
        <f t="shared" si="2"/>
        <v>2959.97</v>
      </c>
      <c r="P15" s="28">
        <v>0</v>
      </c>
      <c r="Q15" s="19"/>
      <c r="R15" s="19"/>
      <c r="S15" s="19"/>
      <c r="T15" s="19"/>
      <c r="U15" s="19"/>
      <c r="V15" s="19"/>
      <c r="W15" s="19"/>
      <c r="X15" s="1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20" customFormat="1" ht="27" customHeight="1" x14ac:dyDescent="0.2">
      <c r="A16" s="162">
        <v>6</v>
      </c>
      <c r="B16" s="117" t="s">
        <v>533</v>
      </c>
      <c r="C16" s="40" t="s">
        <v>170</v>
      </c>
      <c r="D16" s="52">
        <v>74.63</v>
      </c>
      <c r="E16" s="52">
        <v>250</v>
      </c>
      <c r="F16" s="123">
        <v>30</v>
      </c>
      <c r="G16" s="52">
        <v>0</v>
      </c>
      <c r="H16" s="52">
        <f>500</f>
        <v>500</v>
      </c>
      <c r="I16" s="52">
        <v>0</v>
      </c>
      <c r="J16" s="52">
        <v>0</v>
      </c>
      <c r="K16" s="28">
        <f t="shared" si="0"/>
        <v>2988.9</v>
      </c>
      <c r="L16" s="28">
        <f t="shared" si="1"/>
        <v>132.29</v>
      </c>
      <c r="M16" s="28">
        <v>0</v>
      </c>
      <c r="N16" s="28">
        <f t="shared" si="3"/>
        <v>132.29</v>
      </c>
      <c r="O16" s="28">
        <f t="shared" si="2"/>
        <v>2856.61</v>
      </c>
      <c r="P16" s="28">
        <v>0</v>
      </c>
      <c r="Q16" s="19"/>
      <c r="R16" s="19"/>
      <c r="S16" s="19"/>
      <c r="T16" s="19"/>
      <c r="U16" s="19"/>
      <c r="V16" s="19"/>
      <c r="W16" s="19"/>
      <c r="X16" s="1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20" customFormat="1" ht="27" customHeight="1" x14ac:dyDescent="0.2">
      <c r="A17" s="162">
        <v>7</v>
      </c>
      <c r="B17" s="40" t="s">
        <v>521</v>
      </c>
      <c r="C17" s="40" t="s">
        <v>27</v>
      </c>
      <c r="D17" s="52">
        <v>71.400000000000006</v>
      </c>
      <c r="E17" s="52">
        <v>250</v>
      </c>
      <c r="F17" s="123">
        <v>30</v>
      </c>
      <c r="G17" s="52">
        <f>50</f>
        <v>50</v>
      </c>
      <c r="H17" s="52">
        <f>500</f>
        <v>500</v>
      </c>
      <c r="I17" s="52">
        <v>2800</v>
      </c>
      <c r="J17" s="52">
        <v>0</v>
      </c>
      <c r="K17" s="28">
        <f t="shared" si="0"/>
        <v>2942</v>
      </c>
      <c r="L17" s="28">
        <f t="shared" si="1"/>
        <v>130.02000000000001</v>
      </c>
      <c r="M17" s="28">
        <v>0</v>
      </c>
      <c r="N17" s="28">
        <f t="shared" si="3"/>
        <v>130.02000000000001</v>
      </c>
      <c r="O17" s="28">
        <f t="shared" si="2"/>
        <v>2811.98</v>
      </c>
      <c r="P17" s="28">
        <v>0</v>
      </c>
      <c r="Q17" s="19"/>
      <c r="R17" s="19"/>
      <c r="S17" s="19"/>
      <c r="T17" s="19"/>
      <c r="U17" s="19"/>
      <c r="V17" s="19"/>
      <c r="W17" s="19"/>
      <c r="X17" s="1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20" customFormat="1" ht="27" customHeight="1" x14ac:dyDescent="0.2">
      <c r="A18" s="162">
        <v>8</v>
      </c>
      <c r="B18" s="40" t="s">
        <v>133</v>
      </c>
      <c r="C18" s="40" t="s">
        <v>168</v>
      </c>
      <c r="D18" s="52">
        <v>75.64</v>
      </c>
      <c r="E18" s="52">
        <v>250</v>
      </c>
      <c r="F18" s="123">
        <v>30</v>
      </c>
      <c r="G18" s="52">
        <f>35</f>
        <v>35</v>
      </c>
      <c r="H18" s="52">
        <f>500</f>
        <v>500</v>
      </c>
      <c r="I18" s="52">
        <v>2800</v>
      </c>
      <c r="J18" s="52">
        <v>0</v>
      </c>
      <c r="K18" s="28">
        <f t="shared" si="0"/>
        <v>3054.2</v>
      </c>
      <c r="L18" s="28">
        <f t="shared" si="1"/>
        <v>135.44</v>
      </c>
      <c r="M18" s="28">
        <f>(K18-E18)*11%</f>
        <v>308.45999999999998</v>
      </c>
      <c r="N18" s="28">
        <f t="shared" si="3"/>
        <v>443.9</v>
      </c>
      <c r="O18" s="28">
        <f t="shared" si="2"/>
        <v>2610.3000000000002</v>
      </c>
      <c r="P18" s="28">
        <v>0</v>
      </c>
      <c r="Q18" s="19"/>
      <c r="R18" s="19"/>
      <c r="S18" s="19"/>
      <c r="T18" s="19"/>
      <c r="U18" s="19"/>
      <c r="V18" s="19"/>
      <c r="W18" s="19"/>
      <c r="X18" s="1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20" customFormat="1" ht="27" customHeight="1" x14ac:dyDescent="0.2">
      <c r="A19" s="162">
        <v>9</v>
      </c>
      <c r="B19" s="40" t="s">
        <v>135</v>
      </c>
      <c r="C19" s="40" t="s">
        <v>27</v>
      </c>
      <c r="D19" s="52">
        <v>71.400000000000006</v>
      </c>
      <c r="E19" s="52">
        <v>250</v>
      </c>
      <c r="F19" s="123">
        <v>30</v>
      </c>
      <c r="G19" s="52">
        <f>35</f>
        <v>35</v>
      </c>
      <c r="H19" s="52">
        <f>500</f>
        <v>500</v>
      </c>
      <c r="I19" s="52">
        <v>2800</v>
      </c>
      <c r="J19" s="52">
        <v>0</v>
      </c>
      <c r="K19" s="28">
        <f t="shared" si="0"/>
        <v>2927</v>
      </c>
      <c r="L19" s="28">
        <f t="shared" si="1"/>
        <v>129.30000000000001</v>
      </c>
      <c r="M19" s="28">
        <v>0</v>
      </c>
      <c r="N19" s="28">
        <f t="shared" si="3"/>
        <v>129.30000000000001</v>
      </c>
      <c r="O19" s="28">
        <f t="shared" si="2"/>
        <v>2797.7</v>
      </c>
      <c r="P19" s="28">
        <v>0</v>
      </c>
      <c r="Q19" s="19"/>
      <c r="R19" s="19"/>
      <c r="S19" s="19"/>
      <c r="T19" s="19"/>
      <c r="U19" s="19"/>
      <c r="V19" s="19"/>
      <c r="W19" s="19"/>
      <c r="X19" s="1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20" customFormat="1" ht="27" customHeight="1" x14ac:dyDescent="0.2">
      <c r="A20" s="162">
        <v>10</v>
      </c>
      <c r="B20" s="40" t="s">
        <v>527</v>
      </c>
      <c r="C20" s="40" t="s">
        <v>28</v>
      </c>
      <c r="D20" s="52">
        <v>72.540000000000006</v>
      </c>
      <c r="E20" s="52">
        <v>250</v>
      </c>
      <c r="F20" s="123">
        <v>30</v>
      </c>
      <c r="G20" s="52">
        <f>35</f>
        <v>35</v>
      </c>
      <c r="H20" s="52">
        <f>500</f>
        <v>500</v>
      </c>
      <c r="I20" s="52">
        <v>2800</v>
      </c>
      <c r="J20" s="52">
        <v>0</v>
      </c>
      <c r="K20" s="28">
        <f t="shared" si="0"/>
        <v>2961.2</v>
      </c>
      <c r="L20" s="28">
        <f t="shared" si="1"/>
        <v>130.94999999999999</v>
      </c>
      <c r="M20" s="28">
        <v>0</v>
      </c>
      <c r="N20" s="28">
        <f t="shared" si="3"/>
        <v>130.94999999999999</v>
      </c>
      <c r="O20" s="28">
        <f t="shared" si="2"/>
        <v>2830.25</v>
      </c>
      <c r="P20" s="28">
        <v>0</v>
      </c>
      <c r="Q20" s="19"/>
      <c r="R20" s="19"/>
      <c r="S20" s="19"/>
      <c r="T20" s="19"/>
      <c r="U20" s="19"/>
      <c r="V20" s="19"/>
      <c r="W20" s="19"/>
      <c r="X20" s="1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20" customFormat="1" ht="27" customHeight="1" x14ac:dyDescent="0.2">
      <c r="A21" s="162">
        <v>11</v>
      </c>
      <c r="B21" s="40" t="s">
        <v>544</v>
      </c>
      <c r="C21" s="40" t="s">
        <v>168</v>
      </c>
      <c r="D21" s="52">
        <v>75.64</v>
      </c>
      <c r="E21" s="52">
        <v>250</v>
      </c>
      <c r="F21" s="123">
        <v>30</v>
      </c>
      <c r="G21" s="52">
        <f>35</f>
        <v>35</v>
      </c>
      <c r="H21" s="52">
        <f>500</f>
        <v>500</v>
      </c>
      <c r="I21" s="52">
        <v>2800</v>
      </c>
      <c r="J21" s="52">
        <v>0</v>
      </c>
      <c r="K21" s="28">
        <f t="shared" si="0"/>
        <v>3054.2</v>
      </c>
      <c r="L21" s="28">
        <f t="shared" si="1"/>
        <v>135.44</v>
      </c>
      <c r="M21" s="28">
        <f>(K21-E21)*11%</f>
        <v>308.45999999999998</v>
      </c>
      <c r="N21" s="28">
        <f t="shared" si="3"/>
        <v>443.9</v>
      </c>
      <c r="O21" s="28">
        <f t="shared" si="2"/>
        <v>2610.3000000000002</v>
      </c>
      <c r="P21" s="28">
        <v>0</v>
      </c>
      <c r="Q21" s="19"/>
      <c r="R21" s="19"/>
      <c r="S21" s="19"/>
      <c r="T21" s="19"/>
      <c r="U21" s="19"/>
      <c r="V21" s="19"/>
      <c r="W21" s="19"/>
      <c r="X21" s="19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20" customFormat="1" ht="27" customHeight="1" x14ac:dyDescent="0.2">
      <c r="A22" s="162">
        <v>12</v>
      </c>
      <c r="B22" s="24" t="s">
        <v>245</v>
      </c>
      <c r="C22" s="40" t="s">
        <v>170</v>
      </c>
      <c r="D22" s="118">
        <v>74.63</v>
      </c>
      <c r="E22" s="52">
        <v>250</v>
      </c>
      <c r="F22" s="123">
        <v>30</v>
      </c>
      <c r="G22" s="52"/>
      <c r="H22" s="52">
        <f>500</f>
        <v>500</v>
      </c>
      <c r="I22" s="52">
        <v>2800</v>
      </c>
      <c r="J22" s="52">
        <v>0</v>
      </c>
      <c r="K22" s="28">
        <f t="shared" si="0"/>
        <v>2988.9</v>
      </c>
      <c r="L22" s="28">
        <f t="shared" si="1"/>
        <v>132.29</v>
      </c>
      <c r="M22" s="28">
        <f>(K22-E22)*11%</f>
        <v>301.27999999999997</v>
      </c>
      <c r="N22" s="28">
        <f t="shared" si="3"/>
        <v>433.57</v>
      </c>
      <c r="O22" s="28">
        <f t="shared" si="2"/>
        <v>2555.33</v>
      </c>
      <c r="P22" s="28">
        <v>0</v>
      </c>
      <c r="Q22" s="19"/>
      <c r="R22" s="19"/>
      <c r="S22" s="19"/>
      <c r="T22" s="19"/>
      <c r="U22" s="19"/>
      <c r="V22" s="19"/>
      <c r="W22" s="19"/>
      <c r="X22" s="19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20" customFormat="1" ht="27" customHeight="1" x14ac:dyDescent="0.2">
      <c r="A23" s="162">
        <v>13</v>
      </c>
      <c r="B23" s="40" t="s">
        <v>556</v>
      </c>
      <c r="C23" s="40" t="s">
        <v>168</v>
      </c>
      <c r="D23" s="52">
        <v>75.64</v>
      </c>
      <c r="E23" s="52">
        <v>250</v>
      </c>
      <c r="F23" s="123">
        <v>30</v>
      </c>
      <c r="G23" s="52">
        <f>35</f>
        <v>35</v>
      </c>
      <c r="H23" s="52">
        <f>500</f>
        <v>500</v>
      </c>
      <c r="I23" s="52">
        <v>2800</v>
      </c>
      <c r="J23" s="52">
        <v>0</v>
      </c>
      <c r="K23" s="28">
        <f t="shared" si="0"/>
        <v>3054.2</v>
      </c>
      <c r="L23" s="28">
        <f t="shared" si="1"/>
        <v>135.44</v>
      </c>
      <c r="M23" s="28">
        <f>(K23-E23)*11%</f>
        <v>308.45999999999998</v>
      </c>
      <c r="N23" s="28">
        <f t="shared" si="3"/>
        <v>443.9</v>
      </c>
      <c r="O23" s="28">
        <f t="shared" si="2"/>
        <v>2610.3000000000002</v>
      </c>
      <c r="P23" s="28">
        <v>0</v>
      </c>
      <c r="Q23" s="19"/>
      <c r="R23" s="19"/>
      <c r="S23" s="19"/>
      <c r="T23" s="19"/>
      <c r="U23" s="19"/>
      <c r="V23" s="19"/>
      <c r="W23" s="19"/>
      <c r="X23" s="1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20" customFormat="1" ht="27" customHeight="1" x14ac:dyDescent="0.2">
      <c r="A24" s="162">
        <v>14</v>
      </c>
      <c r="B24" s="40" t="s">
        <v>130</v>
      </c>
      <c r="C24" s="40" t="s">
        <v>169</v>
      </c>
      <c r="D24" s="52">
        <v>74.63</v>
      </c>
      <c r="E24" s="52">
        <v>250</v>
      </c>
      <c r="F24" s="123">
        <v>30</v>
      </c>
      <c r="G24" s="52">
        <v>50</v>
      </c>
      <c r="H24" s="52">
        <f>500</f>
        <v>500</v>
      </c>
      <c r="I24" s="52">
        <v>2800</v>
      </c>
      <c r="J24" s="52">
        <v>0</v>
      </c>
      <c r="K24" s="28">
        <f t="shared" si="0"/>
        <v>3038.9</v>
      </c>
      <c r="L24" s="28">
        <f t="shared" si="1"/>
        <v>134.69999999999999</v>
      </c>
      <c r="M24" s="28">
        <v>0</v>
      </c>
      <c r="N24" s="28">
        <f t="shared" si="3"/>
        <v>134.69999999999999</v>
      </c>
      <c r="O24" s="28">
        <f t="shared" si="2"/>
        <v>2904.2</v>
      </c>
      <c r="P24" s="28">
        <v>0</v>
      </c>
      <c r="Q24" s="19"/>
      <c r="R24" s="19"/>
      <c r="S24" s="19"/>
      <c r="T24" s="19"/>
      <c r="U24" s="19"/>
      <c r="V24" s="19"/>
      <c r="W24" s="19"/>
      <c r="X24" s="19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20" customFormat="1" ht="27" customHeight="1" x14ac:dyDescent="0.2">
      <c r="A25" s="162">
        <v>15</v>
      </c>
      <c r="B25" s="24" t="s">
        <v>545</v>
      </c>
      <c r="C25" s="24" t="s">
        <v>239</v>
      </c>
      <c r="D25" s="118">
        <v>76.59</v>
      </c>
      <c r="E25" s="52">
        <v>250</v>
      </c>
      <c r="F25" s="123">
        <v>30</v>
      </c>
      <c r="G25" s="52">
        <v>0</v>
      </c>
      <c r="H25" s="52">
        <f>500</f>
        <v>500</v>
      </c>
      <c r="I25" s="52">
        <v>2800</v>
      </c>
      <c r="J25" s="52">
        <v>0</v>
      </c>
      <c r="K25" s="28">
        <f t="shared" si="0"/>
        <v>3047.7</v>
      </c>
      <c r="L25" s="28">
        <f t="shared" si="1"/>
        <v>135.13</v>
      </c>
      <c r="M25" s="28">
        <v>0</v>
      </c>
      <c r="N25" s="28">
        <f t="shared" si="3"/>
        <v>135.13</v>
      </c>
      <c r="O25" s="28">
        <f t="shared" si="2"/>
        <v>2912.57</v>
      </c>
      <c r="P25" s="28">
        <v>0</v>
      </c>
      <c r="Q25" s="19"/>
      <c r="R25" s="19"/>
      <c r="S25" s="19"/>
      <c r="T25" s="19"/>
      <c r="U25" s="19"/>
      <c r="V25" s="19"/>
      <c r="W25" s="19"/>
      <c r="X25" s="19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20" customFormat="1" ht="27" customHeight="1" x14ac:dyDescent="0.2">
      <c r="A26" s="162">
        <v>16</v>
      </c>
      <c r="B26" s="40" t="s">
        <v>134</v>
      </c>
      <c r="C26" s="40" t="s">
        <v>173</v>
      </c>
      <c r="D26" s="52">
        <v>74.63</v>
      </c>
      <c r="E26" s="52">
        <v>250</v>
      </c>
      <c r="F26" s="123">
        <v>30</v>
      </c>
      <c r="G26" s="52">
        <v>50</v>
      </c>
      <c r="H26" s="52">
        <f>500</f>
        <v>500</v>
      </c>
      <c r="I26" s="52">
        <v>2800</v>
      </c>
      <c r="J26" s="52">
        <v>0</v>
      </c>
      <c r="K26" s="28">
        <f t="shared" si="0"/>
        <v>3038.9</v>
      </c>
      <c r="L26" s="28">
        <f t="shared" si="1"/>
        <v>134.69999999999999</v>
      </c>
      <c r="M26" s="28">
        <v>0</v>
      </c>
      <c r="N26" s="28">
        <f t="shared" si="3"/>
        <v>134.69999999999999</v>
      </c>
      <c r="O26" s="28">
        <f t="shared" si="2"/>
        <v>2904.2</v>
      </c>
      <c r="P26" s="28">
        <v>0</v>
      </c>
      <c r="Q26" s="19"/>
      <c r="R26" s="19"/>
      <c r="S26" s="19"/>
      <c r="T26" s="19"/>
      <c r="U26" s="19"/>
      <c r="V26" s="19"/>
      <c r="W26" s="19"/>
      <c r="X26" s="19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20" customFormat="1" ht="27" customHeight="1" x14ac:dyDescent="0.2">
      <c r="A27" s="162">
        <v>17</v>
      </c>
      <c r="B27" s="40" t="s">
        <v>131</v>
      </c>
      <c r="C27" s="40" t="s">
        <v>168</v>
      </c>
      <c r="D27" s="52">
        <v>75.64</v>
      </c>
      <c r="E27" s="52">
        <v>250</v>
      </c>
      <c r="F27" s="123">
        <v>30</v>
      </c>
      <c r="G27" s="52">
        <v>0</v>
      </c>
      <c r="H27" s="52">
        <f>500</f>
        <v>500</v>
      </c>
      <c r="I27" s="52">
        <v>2800</v>
      </c>
      <c r="J27" s="52">
        <v>0</v>
      </c>
      <c r="K27" s="28">
        <f t="shared" si="0"/>
        <v>3019.2</v>
      </c>
      <c r="L27" s="28">
        <f t="shared" si="1"/>
        <v>133.75</v>
      </c>
      <c r="M27" s="28">
        <v>0</v>
      </c>
      <c r="N27" s="28">
        <f t="shared" si="3"/>
        <v>133.75</v>
      </c>
      <c r="O27" s="28">
        <f t="shared" si="2"/>
        <v>2885.45</v>
      </c>
      <c r="P27" s="28">
        <v>0</v>
      </c>
      <c r="Q27" s="19"/>
      <c r="R27" s="19"/>
      <c r="S27" s="19"/>
      <c r="T27" s="19"/>
      <c r="U27" s="19"/>
      <c r="V27" s="19"/>
      <c r="W27" s="19"/>
      <c r="X27" s="19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20" customFormat="1" x14ac:dyDescent="0.2">
      <c r="A28" s="162">
        <v>18</v>
      </c>
      <c r="B28" s="40" t="s">
        <v>534</v>
      </c>
      <c r="C28" s="40" t="s">
        <v>27</v>
      </c>
      <c r="D28" s="52">
        <v>71.400000000000006</v>
      </c>
      <c r="E28" s="52">
        <v>250</v>
      </c>
      <c r="F28" s="123">
        <v>30</v>
      </c>
      <c r="G28" s="52">
        <v>50</v>
      </c>
      <c r="H28" s="52">
        <f>500</f>
        <v>500</v>
      </c>
      <c r="I28" s="52">
        <v>2800</v>
      </c>
      <c r="J28" s="52">
        <v>0</v>
      </c>
      <c r="K28" s="28">
        <f t="shared" si="0"/>
        <v>2942</v>
      </c>
      <c r="L28" s="28">
        <f t="shared" si="1"/>
        <v>130.02000000000001</v>
      </c>
      <c r="M28" s="28">
        <v>0</v>
      </c>
      <c r="N28" s="28">
        <f t="shared" si="3"/>
        <v>130.02000000000001</v>
      </c>
      <c r="O28" s="28">
        <f t="shared" si="2"/>
        <v>2811.98</v>
      </c>
      <c r="P28" s="28">
        <v>0</v>
      </c>
      <c r="Q28" s="19"/>
      <c r="R28" s="19"/>
      <c r="S28" s="19"/>
      <c r="T28" s="19"/>
      <c r="U28" s="19"/>
      <c r="V28" s="19"/>
      <c r="W28" s="19"/>
      <c r="X28" s="19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20" customFormat="1" ht="38.25" x14ac:dyDescent="0.2">
      <c r="A29" s="162">
        <v>19</v>
      </c>
      <c r="B29" s="119" t="s">
        <v>536</v>
      </c>
      <c r="C29" s="120" t="s">
        <v>175</v>
      </c>
      <c r="D29" s="52">
        <v>78.25</v>
      </c>
      <c r="E29" s="52">
        <v>250</v>
      </c>
      <c r="F29" s="123">
        <v>0</v>
      </c>
      <c r="G29" s="52">
        <v>0</v>
      </c>
      <c r="H29" s="52">
        <v>0</v>
      </c>
      <c r="I29" s="52">
        <v>2800</v>
      </c>
      <c r="J29" s="52">
        <v>0</v>
      </c>
      <c r="K29" s="28">
        <f t="shared" si="0"/>
        <v>250</v>
      </c>
      <c r="L29" s="28">
        <f t="shared" si="1"/>
        <v>0</v>
      </c>
      <c r="M29" s="28">
        <v>0</v>
      </c>
      <c r="N29" s="28">
        <f t="shared" si="3"/>
        <v>0</v>
      </c>
      <c r="O29" s="28">
        <f t="shared" si="2"/>
        <v>250</v>
      </c>
      <c r="P29" s="28">
        <v>0</v>
      </c>
      <c r="Q29" s="19"/>
      <c r="R29" s="19"/>
      <c r="S29" s="19"/>
      <c r="T29" s="19"/>
      <c r="U29" s="19"/>
      <c r="V29" s="19"/>
      <c r="W29" s="19"/>
      <c r="X29" s="19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20" customFormat="1" x14ac:dyDescent="0.2">
      <c r="A30" s="162">
        <v>20</v>
      </c>
      <c r="B30" s="40" t="s">
        <v>522</v>
      </c>
      <c r="C30" s="40" t="s">
        <v>28</v>
      </c>
      <c r="D30" s="52">
        <v>72.540000000000006</v>
      </c>
      <c r="E30" s="52">
        <v>250</v>
      </c>
      <c r="F30" s="123">
        <v>30</v>
      </c>
      <c r="G30" s="52">
        <v>0</v>
      </c>
      <c r="H30" s="52">
        <f>500</f>
        <v>500</v>
      </c>
      <c r="I30" s="52">
        <v>2800</v>
      </c>
      <c r="J30" s="52">
        <v>0</v>
      </c>
      <c r="K30" s="28">
        <f t="shared" si="0"/>
        <v>2926.2</v>
      </c>
      <c r="L30" s="28">
        <f t="shared" si="1"/>
        <v>129.26</v>
      </c>
      <c r="M30" s="28">
        <v>0</v>
      </c>
      <c r="N30" s="28">
        <f t="shared" si="3"/>
        <v>129.26</v>
      </c>
      <c r="O30" s="28">
        <f t="shared" si="2"/>
        <v>2796.94</v>
      </c>
      <c r="P30" s="28">
        <v>0</v>
      </c>
      <c r="Q30" s="19"/>
      <c r="R30" s="19"/>
      <c r="S30" s="19"/>
      <c r="T30" s="19"/>
      <c r="U30" s="19"/>
      <c r="V30" s="19"/>
      <c r="W30" s="19"/>
      <c r="X30" s="19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20" customFormat="1" x14ac:dyDescent="0.2">
      <c r="A31" s="162">
        <v>21</v>
      </c>
      <c r="B31" s="40" t="s">
        <v>546</v>
      </c>
      <c r="C31" s="40" t="s">
        <v>28</v>
      </c>
      <c r="D31" s="52">
        <v>72.540000000000006</v>
      </c>
      <c r="E31" s="52">
        <v>250</v>
      </c>
      <c r="F31" s="123">
        <v>30</v>
      </c>
      <c r="G31" s="52">
        <f>35</f>
        <v>35</v>
      </c>
      <c r="H31" s="52">
        <f>500</f>
        <v>500</v>
      </c>
      <c r="I31" s="52">
        <v>2800</v>
      </c>
      <c r="J31" s="52">
        <v>0</v>
      </c>
      <c r="K31" s="28">
        <f t="shared" si="0"/>
        <v>2961.2</v>
      </c>
      <c r="L31" s="28">
        <f t="shared" si="1"/>
        <v>130.94999999999999</v>
      </c>
      <c r="M31" s="28">
        <v>0</v>
      </c>
      <c r="N31" s="28">
        <f t="shared" si="3"/>
        <v>130.94999999999999</v>
      </c>
      <c r="O31" s="28">
        <f t="shared" si="2"/>
        <v>2830.25</v>
      </c>
      <c r="P31" s="28">
        <v>0</v>
      </c>
      <c r="Q31" s="19"/>
      <c r="R31" s="19"/>
      <c r="S31" s="19"/>
      <c r="T31" s="19"/>
      <c r="U31" s="19"/>
      <c r="V31" s="19"/>
      <c r="W31" s="19"/>
      <c r="X31" s="19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20" customFormat="1" x14ac:dyDescent="0.2">
      <c r="A32" s="162">
        <v>22</v>
      </c>
      <c r="B32" s="40" t="s">
        <v>528</v>
      </c>
      <c r="C32" s="40" t="s">
        <v>178</v>
      </c>
      <c r="D32" s="52">
        <v>71.400000000000006</v>
      </c>
      <c r="E32" s="52">
        <v>250</v>
      </c>
      <c r="F32" s="123">
        <v>30</v>
      </c>
      <c r="G32" s="52">
        <v>0</v>
      </c>
      <c r="H32" s="52">
        <f>500</f>
        <v>500</v>
      </c>
      <c r="I32" s="52">
        <v>2800</v>
      </c>
      <c r="J32" s="52">
        <v>0</v>
      </c>
      <c r="K32" s="28">
        <f t="shared" si="0"/>
        <v>2892</v>
      </c>
      <c r="L32" s="28">
        <f t="shared" si="1"/>
        <v>127.61</v>
      </c>
      <c r="M32" s="28">
        <v>0</v>
      </c>
      <c r="N32" s="28">
        <f t="shared" si="3"/>
        <v>127.61</v>
      </c>
      <c r="O32" s="28">
        <f t="shared" si="2"/>
        <v>2764.39</v>
      </c>
      <c r="P32" s="28">
        <v>0</v>
      </c>
      <c r="Q32" s="19"/>
      <c r="R32" s="19"/>
      <c r="S32" s="19"/>
      <c r="T32" s="19"/>
      <c r="U32" s="19"/>
      <c r="V32" s="19"/>
      <c r="W32" s="19"/>
      <c r="X32" s="19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20" customFormat="1" ht="25.5" x14ac:dyDescent="0.2">
      <c r="A33" s="162">
        <v>23</v>
      </c>
      <c r="B33" s="40" t="s">
        <v>547</v>
      </c>
      <c r="C33" s="40" t="s">
        <v>170</v>
      </c>
      <c r="D33" s="52">
        <v>74.63</v>
      </c>
      <c r="E33" s="52">
        <v>250</v>
      </c>
      <c r="F33" s="123">
        <v>30</v>
      </c>
      <c r="G33" s="52">
        <v>0</v>
      </c>
      <c r="H33" s="52">
        <f>500</f>
        <v>500</v>
      </c>
      <c r="I33" s="52">
        <v>2800</v>
      </c>
      <c r="J33" s="52">
        <v>0</v>
      </c>
      <c r="K33" s="28">
        <f t="shared" si="0"/>
        <v>2988.9</v>
      </c>
      <c r="L33" s="28">
        <f t="shared" si="1"/>
        <v>132.29</v>
      </c>
      <c r="M33" s="28">
        <v>0</v>
      </c>
      <c r="N33" s="28">
        <f t="shared" si="3"/>
        <v>132.29</v>
      </c>
      <c r="O33" s="28">
        <f t="shared" si="2"/>
        <v>2856.61</v>
      </c>
      <c r="P33" s="28">
        <v>0</v>
      </c>
      <c r="Q33" s="19"/>
      <c r="R33" s="19"/>
      <c r="S33" s="19"/>
      <c r="T33" s="19"/>
      <c r="U33" s="19"/>
      <c r="V33" s="19"/>
      <c r="W33" s="19"/>
      <c r="X33" s="19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20" customFormat="1" x14ac:dyDescent="0.2">
      <c r="A34" s="162">
        <v>24</v>
      </c>
      <c r="B34" s="40" t="s">
        <v>139</v>
      </c>
      <c r="C34" s="40" t="s">
        <v>176</v>
      </c>
      <c r="D34" s="52">
        <v>72.540000000000006</v>
      </c>
      <c r="E34" s="52">
        <v>250</v>
      </c>
      <c r="F34" s="123">
        <v>30</v>
      </c>
      <c r="G34" s="52">
        <f>35</f>
        <v>35</v>
      </c>
      <c r="H34" s="52">
        <f>500</f>
        <v>500</v>
      </c>
      <c r="I34" s="52">
        <v>2800</v>
      </c>
      <c r="J34" s="52">
        <v>0</v>
      </c>
      <c r="K34" s="28">
        <f t="shared" si="0"/>
        <v>2961.2</v>
      </c>
      <c r="L34" s="28">
        <f t="shared" si="1"/>
        <v>130.94999999999999</v>
      </c>
      <c r="M34" s="28">
        <f>(K34-E34)*11%</f>
        <v>298.23</v>
      </c>
      <c r="N34" s="28">
        <f t="shared" si="3"/>
        <v>429.18</v>
      </c>
      <c r="O34" s="28">
        <f t="shared" si="2"/>
        <v>2532.02</v>
      </c>
      <c r="P34" s="28">
        <v>0</v>
      </c>
      <c r="Q34" s="19"/>
      <c r="R34" s="19"/>
      <c r="S34" s="19"/>
      <c r="T34" s="19"/>
      <c r="U34" s="19"/>
      <c r="V34" s="19"/>
      <c r="W34" s="19"/>
      <c r="X34" s="19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20" customFormat="1" x14ac:dyDescent="0.2">
      <c r="A35" s="162">
        <v>25</v>
      </c>
      <c r="B35" s="40" t="s">
        <v>529</v>
      </c>
      <c r="C35" s="40" t="s">
        <v>168</v>
      </c>
      <c r="D35" s="52">
        <v>75.64</v>
      </c>
      <c r="E35" s="52">
        <v>250</v>
      </c>
      <c r="F35" s="123">
        <v>30</v>
      </c>
      <c r="G35" s="52">
        <f>35</f>
        <v>35</v>
      </c>
      <c r="H35" s="52">
        <f>500</f>
        <v>500</v>
      </c>
      <c r="I35" s="52">
        <v>2800</v>
      </c>
      <c r="J35" s="52">
        <v>0</v>
      </c>
      <c r="K35" s="28">
        <f t="shared" si="0"/>
        <v>3054.2</v>
      </c>
      <c r="L35" s="28">
        <f t="shared" si="1"/>
        <v>135.44</v>
      </c>
      <c r="M35" s="28">
        <f>(K35-E35)*11%</f>
        <v>308.45999999999998</v>
      </c>
      <c r="N35" s="28">
        <f t="shared" si="3"/>
        <v>443.9</v>
      </c>
      <c r="O35" s="28">
        <f t="shared" si="2"/>
        <v>2610.3000000000002</v>
      </c>
      <c r="P35" s="28">
        <v>0</v>
      </c>
      <c r="Q35" s="19"/>
      <c r="R35" s="19"/>
      <c r="S35" s="19"/>
      <c r="T35" s="19"/>
      <c r="U35" s="19"/>
      <c r="V35" s="19"/>
      <c r="W35" s="19"/>
      <c r="X35" s="19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20" customFormat="1" x14ac:dyDescent="0.2">
      <c r="A36" s="162">
        <v>26</v>
      </c>
      <c r="B36" s="40" t="s">
        <v>66</v>
      </c>
      <c r="C36" s="40" t="s">
        <v>170</v>
      </c>
      <c r="D36" s="52">
        <v>74.63</v>
      </c>
      <c r="E36" s="52">
        <v>250</v>
      </c>
      <c r="F36" s="123">
        <v>30</v>
      </c>
      <c r="G36" s="52">
        <f>35</f>
        <v>35</v>
      </c>
      <c r="H36" s="52">
        <f>500</f>
        <v>500</v>
      </c>
      <c r="I36" s="52">
        <v>2800</v>
      </c>
      <c r="J36" s="52">
        <v>0</v>
      </c>
      <c r="K36" s="28">
        <f t="shared" si="0"/>
        <v>3023.9</v>
      </c>
      <c r="L36" s="28">
        <f t="shared" si="1"/>
        <v>133.97999999999999</v>
      </c>
      <c r="M36" s="28">
        <v>0</v>
      </c>
      <c r="N36" s="28">
        <f t="shared" si="3"/>
        <v>133.97999999999999</v>
      </c>
      <c r="O36" s="28">
        <f t="shared" si="2"/>
        <v>2889.92</v>
      </c>
      <c r="P36" s="28">
        <v>0</v>
      </c>
      <c r="Q36" s="19"/>
      <c r="R36" s="19"/>
      <c r="S36" s="19"/>
      <c r="T36" s="19"/>
      <c r="U36" s="19"/>
      <c r="V36" s="19"/>
      <c r="W36" s="19"/>
      <c r="X36" s="19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20" customFormat="1" x14ac:dyDescent="0.2">
      <c r="A37" s="162">
        <v>27</v>
      </c>
      <c r="B37" s="40" t="s">
        <v>142</v>
      </c>
      <c r="C37" s="22" t="s">
        <v>239</v>
      </c>
      <c r="D37" s="52">
        <v>76.59</v>
      </c>
      <c r="E37" s="52">
        <v>250</v>
      </c>
      <c r="F37" s="123">
        <v>30</v>
      </c>
      <c r="G37" s="52">
        <v>0</v>
      </c>
      <c r="H37" s="52">
        <f>500</f>
        <v>500</v>
      </c>
      <c r="I37" s="52">
        <v>2800</v>
      </c>
      <c r="J37" s="52">
        <v>0</v>
      </c>
      <c r="K37" s="28">
        <f t="shared" si="0"/>
        <v>3047.7</v>
      </c>
      <c r="L37" s="28">
        <f t="shared" si="1"/>
        <v>135.13</v>
      </c>
      <c r="M37" s="28">
        <v>0</v>
      </c>
      <c r="N37" s="28">
        <f t="shared" si="3"/>
        <v>135.13</v>
      </c>
      <c r="O37" s="28">
        <f t="shared" si="2"/>
        <v>2912.57</v>
      </c>
      <c r="P37" s="28">
        <v>0</v>
      </c>
      <c r="Q37" s="19"/>
      <c r="R37" s="19"/>
      <c r="S37" s="19"/>
      <c r="T37" s="19"/>
      <c r="U37" s="19"/>
      <c r="V37" s="19"/>
      <c r="W37" s="19"/>
      <c r="X37" s="19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20" customFormat="1" x14ac:dyDescent="0.2">
      <c r="A38" s="162">
        <v>28</v>
      </c>
      <c r="B38" s="24" t="s">
        <v>243</v>
      </c>
      <c r="C38" s="22" t="s">
        <v>28</v>
      </c>
      <c r="D38" s="52">
        <v>72.540000000000006</v>
      </c>
      <c r="E38" s="52">
        <v>250</v>
      </c>
      <c r="F38" s="123">
        <v>30</v>
      </c>
      <c r="G38" s="52">
        <v>0</v>
      </c>
      <c r="H38" s="52">
        <f>500</f>
        <v>500</v>
      </c>
      <c r="I38" s="52">
        <v>2800</v>
      </c>
      <c r="J38" s="52">
        <v>0</v>
      </c>
      <c r="K38" s="28">
        <f t="shared" si="0"/>
        <v>2926.2</v>
      </c>
      <c r="L38" s="28">
        <f t="shared" si="1"/>
        <v>129.26</v>
      </c>
      <c r="M38" s="28">
        <v>0</v>
      </c>
      <c r="N38" s="28">
        <f t="shared" si="3"/>
        <v>129.26</v>
      </c>
      <c r="O38" s="28">
        <f t="shared" si="2"/>
        <v>2796.94</v>
      </c>
      <c r="P38" s="28">
        <v>0</v>
      </c>
      <c r="Q38" s="19"/>
      <c r="R38" s="19"/>
      <c r="S38" s="19"/>
      <c r="T38" s="19"/>
      <c r="U38" s="19"/>
      <c r="V38" s="19"/>
      <c r="W38" s="19"/>
      <c r="X38" s="19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20" customFormat="1" ht="25.5" x14ac:dyDescent="0.2">
      <c r="A39" s="162">
        <v>29</v>
      </c>
      <c r="B39" s="119" t="s">
        <v>530</v>
      </c>
      <c r="C39" s="40" t="s">
        <v>168</v>
      </c>
      <c r="D39" s="52">
        <v>75.64</v>
      </c>
      <c r="E39" s="52">
        <v>250</v>
      </c>
      <c r="F39" s="123">
        <v>30</v>
      </c>
      <c r="G39" s="52">
        <v>0</v>
      </c>
      <c r="H39" s="52">
        <f>500</f>
        <v>500</v>
      </c>
      <c r="I39" s="52">
        <v>0</v>
      </c>
      <c r="J39" s="52">
        <v>0</v>
      </c>
      <c r="K39" s="28">
        <f t="shared" si="0"/>
        <v>3019.2</v>
      </c>
      <c r="L39" s="28">
        <f t="shared" si="1"/>
        <v>133.75</v>
      </c>
      <c r="M39" s="28">
        <v>0</v>
      </c>
      <c r="N39" s="28">
        <f t="shared" si="3"/>
        <v>133.75</v>
      </c>
      <c r="O39" s="28">
        <f t="shared" si="2"/>
        <v>2885.45</v>
      </c>
      <c r="P39" s="28">
        <v>0</v>
      </c>
      <c r="Q39" s="19"/>
      <c r="R39" s="19"/>
      <c r="S39" s="19"/>
      <c r="T39" s="19"/>
      <c r="U39" s="19"/>
      <c r="V39" s="19"/>
      <c r="W39" s="19"/>
      <c r="X39" s="19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20" customFormat="1" x14ac:dyDescent="0.2">
      <c r="A40" s="162">
        <v>30</v>
      </c>
      <c r="B40" s="40" t="s">
        <v>141</v>
      </c>
      <c r="C40" s="40" t="s">
        <v>27</v>
      </c>
      <c r="D40" s="52">
        <v>71.400000000000006</v>
      </c>
      <c r="E40" s="52">
        <v>250</v>
      </c>
      <c r="F40" s="123">
        <v>30</v>
      </c>
      <c r="G40" s="52">
        <v>0</v>
      </c>
      <c r="H40" s="52">
        <f>500</f>
        <v>500</v>
      </c>
      <c r="I40" s="52">
        <v>2800</v>
      </c>
      <c r="J40" s="52">
        <v>0</v>
      </c>
      <c r="K40" s="28">
        <f t="shared" si="0"/>
        <v>2892</v>
      </c>
      <c r="L40" s="28">
        <f t="shared" si="1"/>
        <v>127.61</v>
      </c>
      <c r="M40" s="28">
        <v>0</v>
      </c>
      <c r="N40" s="28">
        <f t="shared" si="3"/>
        <v>127.61</v>
      </c>
      <c r="O40" s="28">
        <f t="shared" si="2"/>
        <v>2764.39</v>
      </c>
      <c r="P40" s="28">
        <v>0</v>
      </c>
      <c r="Q40" s="19"/>
      <c r="R40" s="19"/>
      <c r="S40" s="19"/>
      <c r="T40" s="19"/>
      <c r="U40" s="19"/>
      <c r="V40" s="19"/>
      <c r="W40" s="19"/>
      <c r="X40" s="19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20" customFormat="1" x14ac:dyDescent="0.2">
      <c r="A41" s="162">
        <v>31</v>
      </c>
      <c r="B41" s="40" t="s">
        <v>156</v>
      </c>
      <c r="C41" s="40" t="s">
        <v>172</v>
      </c>
      <c r="D41" s="52">
        <v>73.59</v>
      </c>
      <c r="E41" s="52">
        <v>250</v>
      </c>
      <c r="F41" s="123">
        <v>30</v>
      </c>
      <c r="G41" s="52">
        <v>50</v>
      </c>
      <c r="H41" s="52">
        <f>500</f>
        <v>500</v>
      </c>
      <c r="I41" s="52">
        <v>2800</v>
      </c>
      <c r="J41" s="52">
        <v>0</v>
      </c>
      <c r="K41" s="28">
        <f t="shared" si="0"/>
        <v>3007.7</v>
      </c>
      <c r="L41" s="28">
        <f t="shared" si="1"/>
        <v>133.19999999999999</v>
      </c>
      <c r="M41" s="28">
        <v>0</v>
      </c>
      <c r="N41" s="28">
        <f t="shared" si="3"/>
        <v>133.19999999999999</v>
      </c>
      <c r="O41" s="28">
        <f t="shared" si="2"/>
        <v>2874.5</v>
      </c>
      <c r="P41" s="28">
        <v>0</v>
      </c>
      <c r="Q41" s="19"/>
      <c r="R41" s="19"/>
      <c r="S41" s="19"/>
      <c r="T41" s="19"/>
      <c r="U41" s="19"/>
      <c r="V41" s="19"/>
      <c r="W41" s="19"/>
      <c r="X41" s="19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20" customFormat="1" ht="25.5" x14ac:dyDescent="0.2">
      <c r="A42" s="162">
        <v>32</v>
      </c>
      <c r="B42" s="136" t="s">
        <v>481</v>
      </c>
      <c r="C42" s="40" t="s">
        <v>176</v>
      </c>
      <c r="D42" s="52">
        <v>72.540000000000006</v>
      </c>
      <c r="E42" s="52">
        <v>250</v>
      </c>
      <c r="F42" s="123">
        <v>30</v>
      </c>
      <c r="G42" s="52">
        <v>0</v>
      </c>
      <c r="H42" s="52">
        <f>500</f>
        <v>500</v>
      </c>
      <c r="I42" s="52">
        <v>2800</v>
      </c>
      <c r="J42" s="52">
        <v>0</v>
      </c>
      <c r="K42" s="28">
        <f t="shared" ref="K42:K73" si="4">(D42*F42)+E42+G42+H42</f>
        <v>2926.2</v>
      </c>
      <c r="L42" s="28">
        <f t="shared" ref="L42:L73" si="5">(D42*F42+G42+H42)*4.83%</f>
        <v>129.26</v>
      </c>
      <c r="M42" s="28">
        <v>0</v>
      </c>
      <c r="N42" s="28">
        <f t="shared" si="3"/>
        <v>129.26</v>
      </c>
      <c r="O42" s="28">
        <f t="shared" si="2"/>
        <v>2796.94</v>
      </c>
      <c r="P42" s="28">
        <v>0</v>
      </c>
      <c r="Q42" s="19"/>
      <c r="R42" s="19"/>
      <c r="S42" s="19"/>
      <c r="T42" s="19"/>
      <c r="U42" s="19"/>
      <c r="V42" s="19"/>
      <c r="W42" s="19"/>
      <c r="X42" s="19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20" customFormat="1" ht="23.25" customHeight="1" x14ac:dyDescent="0.2">
      <c r="A43" s="162">
        <v>33</v>
      </c>
      <c r="B43" s="119" t="s">
        <v>537</v>
      </c>
      <c r="C43" s="40" t="s">
        <v>170</v>
      </c>
      <c r="D43" s="52">
        <v>74.63</v>
      </c>
      <c r="E43" s="52">
        <v>250</v>
      </c>
      <c r="F43" s="123">
        <v>30</v>
      </c>
      <c r="G43" s="52">
        <f>35</f>
        <v>35</v>
      </c>
      <c r="H43" s="52">
        <f>500</f>
        <v>500</v>
      </c>
      <c r="I43" s="52">
        <v>2800</v>
      </c>
      <c r="J43" s="52">
        <v>0</v>
      </c>
      <c r="K43" s="28">
        <f t="shared" si="4"/>
        <v>3023.9</v>
      </c>
      <c r="L43" s="28">
        <f t="shared" si="5"/>
        <v>133.97999999999999</v>
      </c>
      <c r="M43" s="28">
        <v>0</v>
      </c>
      <c r="N43" s="28">
        <f t="shared" si="3"/>
        <v>133.97999999999999</v>
      </c>
      <c r="O43" s="28">
        <f t="shared" ref="O43:O74" si="6">K43-N43</f>
        <v>2889.92</v>
      </c>
      <c r="P43" s="28">
        <v>0</v>
      </c>
      <c r="Q43" s="19"/>
      <c r="R43" s="19"/>
      <c r="S43" s="19"/>
      <c r="T43" s="19"/>
      <c r="U43" s="19"/>
      <c r="V43" s="19"/>
      <c r="W43" s="19"/>
      <c r="X43" s="19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20" customFormat="1" ht="24" customHeight="1" x14ac:dyDescent="0.2">
      <c r="A44" s="162">
        <v>34</v>
      </c>
      <c r="B44" s="40" t="s">
        <v>523</v>
      </c>
      <c r="C44" s="40" t="s">
        <v>171</v>
      </c>
      <c r="D44" s="52">
        <v>72.540000000000006</v>
      </c>
      <c r="E44" s="52">
        <v>250</v>
      </c>
      <c r="F44" s="123">
        <v>30</v>
      </c>
      <c r="G44" s="52">
        <f>35</f>
        <v>35</v>
      </c>
      <c r="H44" s="52">
        <f>500</f>
        <v>500</v>
      </c>
      <c r="I44" s="52">
        <v>2800</v>
      </c>
      <c r="J44" s="52">
        <v>0</v>
      </c>
      <c r="K44" s="28">
        <f t="shared" si="4"/>
        <v>2961.2</v>
      </c>
      <c r="L44" s="28">
        <f t="shared" si="5"/>
        <v>130.94999999999999</v>
      </c>
      <c r="M44" s="28">
        <f>(K44-E44)*11%</f>
        <v>298.23</v>
      </c>
      <c r="N44" s="28">
        <f t="shared" si="3"/>
        <v>429.18</v>
      </c>
      <c r="O44" s="28">
        <f t="shared" si="6"/>
        <v>2532.02</v>
      </c>
      <c r="P44" s="28">
        <v>0</v>
      </c>
      <c r="Q44" s="19"/>
      <c r="R44" s="19"/>
      <c r="S44" s="19"/>
      <c r="T44" s="19"/>
      <c r="U44" s="19"/>
      <c r="V44" s="19"/>
      <c r="W44" s="19"/>
      <c r="X44" s="19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20" customFormat="1" x14ac:dyDescent="0.2">
      <c r="A45" s="162">
        <v>35</v>
      </c>
      <c r="B45" s="40" t="s">
        <v>548</v>
      </c>
      <c r="C45" s="40" t="s">
        <v>168</v>
      </c>
      <c r="D45" s="52">
        <v>75.64</v>
      </c>
      <c r="E45" s="52">
        <v>250</v>
      </c>
      <c r="F45" s="123">
        <v>30</v>
      </c>
      <c r="G45" s="52">
        <v>0</v>
      </c>
      <c r="H45" s="52">
        <f>500</f>
        <v>500</v>
      </c>
      <c r="I45" s="52">
        <v>2800</v>
      </c>
      <c r="J45" s="52">
        <v>0</v>
      </c>
      <c r="K45" s="28">
        <f t="shared" si="4"/>
        <v>3019.2</v>
      </c>
      <c r="L45" s="28">
        <f t="shared" si="5"/>
        <v>133.75</v>
      </c>
      <c r="M45" s="28">
        <v>0</v>
      </c>
      <c r="N45" s="28">
        <f t="shared" si="3"/>
        <v>133.75</v>
      </c>
      <c r="O45" s="28">
        <f t="shared" si="6"/>
        <v>2885.45</v>
      </c>
      <c r="P45" s="28">
        <v>0</v>
      </c>
      <c r="Q45" s="19"/>
      <c r="R45" s="19"/>
      <c r="S45" s="19"/>
      <c r="T45" s="19"/>
      <c r="U45" s="19"/>
      <c r="V45" s="19"/>
      <c r="W45" s="19"/>
      <c r="X45" s="19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20" customFormat="1" ht="28.5" customHeight="1" x14ac:dyDescent="0.2">
      <c r="A46" s="162">
        <v>36</v>
      </c>
      <c r="B46" s="40" t="s">
        <v>549</v>
      </c>
      <c r="C46" s="40" t="s">
        <v>1038</v>
      </c>
      <c r="D46" s="52">
        <v>75.64</v>
      </c>
      <c r="E46" s="52">
        <v>250</v>
      </c>
      <c r="F46" s="123">
        <v>30</v>
      </c>
      <c r="G46" s="52">
        <f>35</f>
        <v>35</v>
      </c>
      <c r="H46" s="52">
        <f>500</f>
        <v>500</v>
      </c>
      <c r="I46" s="52">
        <v>2800</v>
      </c>
      <c r="J46" s="52">
        <v>0</v>
      </c>
      <c r="K46" s="28">
        <f t="shared" si="4"/>
        <v>3054.2</v>
      </c>
      <c r="L46" s="28">
        <f t="shared" si="5"/>
        <v>135.44</v>
      </c>
      <c r="M46" s="28">
        <f>(K46-E46)*11%</f>
        <v>308.45999999999998</v>
      </c>
      <c r="N46" s="28">
        <f t="shared" si="3"/>
        <v>443.9</v>
      </c>
      <c r="O46" s="28">
        <f t="shared" si="6"/>
        <v>2610.3000000000002</v>
      </c>
      <c r="P46" s="28">
        <v>0</v>
      </c>
      <c r="Q46" s="19"/>
      <c r="R46" s="19"/>
      <c r="S46" s="19"/>
      <c r="T46" s="19"/>
      <c r="U46" s="19"/>
      <c r="V46" s="19"/>
      <c r="W46" s="19"/>
      <c r="X46" s="19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20" customFormat="1" x14ac:dyDescent="0.2">
      <c r="A47" s="162">
        <v>37</v>
      </c>
      <c r="B47" s="136" t="s">
        <v>480</v>
      </c>
      <c r="C47" s="67" t="s">
        <v>28</v>
      </c>
      <c r="D47" s="52">
        <v>72.540000000000006</v>
      </c>
      <c r="E47" s="52">
        <v>250</v>
      </c>
      <c r="F47" s="123">
        <v>30</v>
      </c>
      <c r="G47" s="52">
        <v>0</v>
      </c>
      <c r="H47" s="52">
        <f>500</f>
        <v>500</v>
      </c>
      <c r="I47" s="52">
        <v>2800</v>
      </c>
      <c r="J47" s="52">
        <v>0</v>
      </c>
      <c r="K47" s="28">
        <f t="shared" si="4"/>
        <v>2926.2</v>
      </c>
      <c r="L47" s="28">
        <f t="shared" si="5"/>
        <v>129.26</v>
      </c>
      <c r="M47" s="28">
        <v>0</v>
      </c>
      <c r="N47" s="28">
        <f t="shared" si="3"/>
        <v>129.26</v>
      </c>
      <c r="O47" s="28">
        <f t="shared" si="6"/>
        <v>2796.94</v>
      </c>
      <c r="P47" s="28">
        <v>0</v>
      </c>
      <c r="Q47" s="19"/>
      <c r="R47" s="19"/>
      <c r="S47" s="19"/>
      <c r="T47" s="19"/>
      <c r="U47" s="19"/>
      <c r="V47" s="19"/>
      <c r="W47" s="19"/>
      <c r="X47" s="19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20" customFormat="1" x14ac:dyDescent="0.2">
      <c r="A48" s="162">
        <v>38</v>
      </c>
      <c r="B48" s="119" t="s">
        <v>550</v>
      </c>
      <c r="C48" s="40" t="s">
        <v>168</v>
      </c>
      <c r="D48" s="52">
        <v>75.64</v>
      </c>
      <c r="E48" s="52">
        <v>250</v>
      </c>
      <c r="F48" s="123">
        <v>30</v>
      </c>
      <c r="G48" s="52">
        <v>0</v>
      </c>
      <c r="H48" s="52">
        <f>500</f>
        <v>500</v>
      </c>
      <c r="I48" s="52">
        <v>0</v>
      </c>
      <c r="J48" s="52">
        <v>0</v>
      </c>
      <c r="K48" s="28">
        <f t="shared" si="4"/>
        <v>3019.2</v>
      </c>
      <c r="L48" s="28">
        <f t="shared" si="5"/>
        <v>133.75</v>
      </c>
      <c r="M48" s="28">
        <v>0</v>
      </c>
      <c r="N48" s="28">
        <f t="shared" si="3"/>
        <v>133.75</v>
      </c>
      <c r="O48" s="28">
        <f t="shared" si="6"/>
        <v>2885.45</v>
      </c>
      <c r="P48" s="28">
        <v>0</v>
      </c>
      <c r="Q48" s="19"/>
      <c r="R48" s="19"/>
      <c r="S48" s="19"/>
      <c r="T48" s="19"/>
      <c r="U48" s="19"/>
      <c r="V48" s="19"/>
      <c r="W48" s="19"/>
      <c r="X48" s="19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20" customFormat="1" ht="25.5" x14ac:dyDescent="0.2">
      <c r="A49" s="162">
        <v>39</v>
      </c>
      <c r="B49" s="40" t="s">
        <v>551</v>
      </c>
      <c r="C49" s="40" t="s">
        <v>28</v>
      </c>
      <c r="D49" s="52">
        <v>72.540000000000006</v>
      </c>
      <c r="E49" s="52">
        <v>250</v>
      </c>
      <c r="F49" s="123">
        <v>30</v>
      </c>
      <c r="G49" s="52">
        <f>35</f>
        <v>35</v>
      </c>
      <c r="H49" s="52">
        <f>500</f>
        <v>500</v>
      </c>
      <c r="I49" s="52">
        <v>2800</v>
      </c>
      <c r="J49" s="52">
        <v>0</v>
      </c>
      <c r="K49" s="28">
        <f t="shared" si="4"/>
        <v>2961.2</v>
      </c>
      <c r="L49" s="28">
        <f t="shared" si="5"/>
        <v>130.94999999999999</v>
      </c>
      <c r="M49" s="28">
        <v>0</v>
      </c>
      <c r="N49" s="28">
        <f t="shared" si="3"/>
        <v>130.94999999999999</v>
      </c>
      <c r="O49" s="28">
        <f t="shared" si="6"/>
        <v>2830.25</v>
      </c>
      <c r="P49" s="28">
        <v>0</v>
      </c>
      <c r="Q49" s="19"/>
      <c r="R49" s="19"/>
      <c r="S49" s="19"/>
      <c r="T49" s="19"/>
      <c r="U49" s="19"/>
      <c r="V49" s="19"/>
      <c r="W49" s="19"/>
      <c r="X49" s="19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s="20" customFormat="1" x14ac:dyDescent="0.2">
      <c r="A50" s="162">
        <v>40</v>
      </c>
      <c r="B50" s="37" t="s">
        <v>238</v>
      </c>
      <c r="C50" s="40" t="s">
        <v>170</v>
      </c>
      <c r="D50" s="52">
        <v>74.63</v>
      </c>
      <c r="E50" s="52">
        <v>250</v>
      </c>
      <c r="F50" s="123">
        <v>30</v>
      </c>
      <c r="G50" s="52">
        <v>0</v>
      </c>
      <c r="H50" s="52">
        <f>500</f>
        <v>500</v>
      </c>
      <c r="I50" s="52">
        <v>2800</v>
      </c>
      <c r="J50" s="52">
        <v>0</v>
      </c>
      <c r="K50" s="28">
        <f t="shared" si="4"/>
        <v>2988.9</v>
      </c>
      <c r="L50" s="28">
        <f t="shared" si="5"/>
        <v>132.29</v>
      </c>
      <c r="M50" s="28">
        <v>0</v>
      </c>
      <c r="N50" s="28">
        <f t="shared" si="3"/>
        <v>132.29</v>
      </c>
      <c r="O50" s="28">
        <f t="shared" si="6"/>
        <v>2856.61</v>
      </c>
      <c r="P50" s="28">
        <v>0</v>
      </c>
      <c r="Q50" s="19"/>
      <c r="R50" s="19"/>
      <c r="S50" s="19"/>
      <c r="T50" s="19"/>
      <c r="U50" s="19"/>
      <c r="V50" s="19"/>
      <c r="W50" s="19"/>
      <c r="X50" s="19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20" customFormat="1" x14ac:dyDescent="0.2">
      <c r="A51" s="162">
        <v>41</v>
      </c>
      <c r="B51" s="40" t="s">
        <v>67</v>
      </c>
      <c r="C51" s="40" t="s">
        <v>68</v>
      </c>
      <c r="D51" s="52">
        <v>72.540000000000006</v>
      </c>
      <c r="E51" s="52">
        <v>250</v>
      </c>
      <c r="F51" s="123">
        <v>30</v>
      </c>
      <c r="G51" s="52">
        <v>0</v>
      </c>
      <c r="H51" s="52">
        <f>500</f>
        <v>500</v>
      </c>
      <c r="I51" s="52">
        <v>2800</v>
      </c>
      <c r="J51" s="52">
        <v>0</v>
      </c>
      <c r="K51" s="28">
        <f t="shared" si="4"/>
        <v>2926.2</v>
      </c>
      <c r="L51" s="28">
        <f t="shared" si="5"/>
        <v>129.26</v>
      </c>
      <c r="M51" s="28">
        <v>0</v>
      </c>
      <c r="N51" s="28">
        <f t="shared" si="3"/>
        <v>129.26</v>
      </c>
      <c r="O51" s="28">
        <f t="shared" si="6"/>
        <v>2796.94</v>
      </c>
      <c r="P51" s="28">
        <v>0</v>
      </c>
      <c r="Q51" s="19"/>
      <c r="R51" s="19"/>
      <c r="S51" s="19"/>
      <c r="T51" s="19"/>
      <c r="U51" s="19"/>
      <c r="V51" s="19"/>
      <c r="W51" s="19"/>
      <c r="X51" s="19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20" customFormat="1" x14ac:dyDescent="0.2">
      <c r="A52" s="162">
        <v>42</v>
      </c>
      <c r="B52" s="121" t="s">
        <v>127</v>
      </c>
      <c r="C52" s="40" t="s">
        <v>170</v>
      </c>
      <c r="D52" s="52">
        <v>74.63</v>
      </c>
      <c r="E52" s="52">
        <v>250</v>
      </c>
      <c r="F52" s="123">
        <v>30</v>
      </c>
      <c r="G52" s="52">
        <v>0</v>
      </c>
      <c r="H52" s="52">
        <f>500</f>
        <v>500</v>
      </c>
      <c r="I52" s="52">
        <v>2800</v>
      </c>
      <c r="J52" s="52">
        <v>0</v>
      </c>
      <c r="K52" s="28">
        <f t="shared" si="4"/>
        <v>2988.9</v>
      </c>
      <c r="L52" s="28">
        <f t="shared" si="5"/>
        <v>132.29</v>
      </c>
      <c r="M52" s="28">
        <v>0</v>
      </c>
      <c r="N52" s="28">
        <f t="shared" si="3"/>
        <v>132.29</v>
      </c>
      <c r="O52" s="28">
        <f t="shared" si="6"/>
        <v>2856.61</v>
      </c>
      <c r="P52" s="28">
        <v>0</v>
      </c>
      <c r="Q52" s="19"/>
      <c r="R52" s="19"/>
      <c r="S52" s="19"/>
      <c r="T52" s="19"/>
      <c r="U52" s="19"/>
      <c r="V52" s="19"/>
      <c r="W52" s="19"/>
      <c r="X52" s="19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20" customFormat="1" x14ac:dyDescent="0.2">
      <c r="A53" s="162">
        <v>43</v>
      </c>
      <c r="B53" s="40" t="s">
        <v>552</v>
      </c>
      <c r="C53" s="40" t="s">
        <v>168</v>
      </c>
      <c r="D53" s="52">
        <v>75.64</v>
      </c>
      <c r="E53" s="52">
        <v>250</v>
      </c>
      <c r="F53" s="123">
        <v>30</v>
      </c>
      <c r="G53" s="52">
        <f>35</f>
        <v>35</v>
      </c>
      <c r="H53" s="52">
        <f>500</f>
        <v>500</v>
      </c>
      <c r="I53" s="52">
        <v>2800</v>
      </c>
      <c r="J53" s="52">
        <v>0</v>
      </c>
      <c r="K53" s="28">
        <f t="shared" si="4"/>
        <v>3054.2</v>
      </c>
      <c r="L53" s="28">
        <f t="shared" si="5"/>
        <v>135.44</v>
      </c>
      <c r="M53" s="28">
        <f>(K53-E53)*11%</f>
        <v>308.45999999999998</v>
      </c>
      <c r="N53" s="28">
        <f t="shared" si="3"/>
        <v>443.9</v>
      </c>
      <c r="O53" s="28">
        <f t="shared" si="6"/>
        <v>2610.3000000000002</v>
      </c>
      <c r="P53" s="28">
        <v>0</v>
      </c>
      <c r="Q53" s="19"/>
      <c r="R53" s="19"/>
      <c r="S53" s="19"/>
      <c r="T53" s="19"/>
      <c r="U53" s="19"/>
      <c r="V53" s="19"/>
      <c r="W53" s="19"/>
      <c r="X53" s="19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20" customFormat="1" x14ac:dyDescent="0.2">
      <c r="A54" s="162">
        <v>44</v>
      </c>
      <c r="B54" s="24" t="s">
        <v>538</v>
      </c>
      <c r="C54" s="40" t="s">
        <v>168</v>
      </c>
      <c r="D54" s="52">
        <v>75.64</v>
      </c>
      <c r="E54" s="52">
        <v>250</v>
      </c>
      <c r="F54" s="123">
        <v>30</v>
      </c>
      <c r="G54" s="52">
        <v>0</v>
      </c>
      <c r="H54" s="52">
        <f>500</f>
        <v>500</v>
      </c>
      <c r="I54" s="52">
        <v>0</v>
      </c>
      <c r="J54" s="52">
        <v>0</v>
      </c>
      <c r="K54" s="28">
        <f t="shared" si="4"/>
        <v>3019.2</v>
      </c>
      <c r="L54" s="28">
        <f t="shared" si="5"/>
        <v>133.75</v>
      </c>
      <c r="M54" s="28">
        <v>0</v>
      </c>
      <c r="N54" s="28">
        <f t="shared" si="3"/>
        <v>133.75</v>
      </c>
      <c r="O54" s="28">
        <f t="shared" si="6"/>
        <v>2885.45</v>
      </c>
      <c r="P54" s="28">
        <v>0</v>
      </c>
      <c r="Q54" s="19"/>
      <c r="R54" s="19"/>
      <c r="S54" s="19"/>
      <c r="T54" s="19"/>
      <c r="U54" s="19"/>
      <c r="V54" s="19"/>
      <c r="W54" s="19"/>
      <c r="X54" s="1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20" customFormat="1" x14ac:dyDescent="0.2">
      <c r="A55" s="162">
        <v>45</v>
      </c>
      <c r="B55" s="40" t="s">
        <v>524</v>
      </c>
      <c r="C55" s="40" t="s">
        <v>177</v>
      </c>
      <c r="D55" s="52">
        <v>75.64</v>
      </c>
      <c r="E55" s="52">
        <v>250</v>
      </c>
      <c r="F55" s="123">
        <v>30</v>
      </c>
      <c r="G55" s="52">
        <v>0</v>
      </c>
      <c r="H55" s="52">
        <f>500</f>
        <v>500</v>
      </c>
      <c r="I55" s="52">
        <v>2800</v>
      </c>
      <c r="J55" s="52">
        <v>0</v>
      </c>
      <c r="K55" s="28">
        <f t="shared" si="4"/>
        <v>3019.2</v>
      </c>
      <c r="L55" s="28">
        <f t="shared" si="5"/>
        <v>133.75</v>
      </c>
      <c r="M55" s="28">
        <v>0</v>
      </c>
      <c r="N55" s="28">
        <f t="shared" si="3"/>
        <v>133.75</v>
      </c>
      <c r="O55" s="28">
        <f t="shared" si="6"/>
        <v>2885.45</v>
      </c>
      <c r="P55" s="28">
        <v>0</v>
      </c>
      <c r="Q55" s="19"/>
      <c r="R55" s="19"/>
      <c r="S55" s="19"/>
      <c r="T55" s="19"/>
      <c r="U55" s="19"/>
      <c r="V55" s="19"/>
      <c r="W55" s="19"/>
      <c r="X55" s="1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20" customFormat="1" ht="38.25" x14ac:dyDescent="0.2">
      <c r="A56" s="162">
        <v>46</v>
      </c>
      <c r="B56" s="40" t="s">
        <v>539</v>
      </c>
      <c r="C56" s="22" t="s">
        <v>1037</v>
      </c>
      <c r="D56" s="52">
        <v>78.25</v>
      </c>
      <c r="E56" s="52">
        <v>250</v>
      </c>
      <c r="F56" s="123">
        <v>30</v>
      </c>
      <c r="G56" s="52">
        <v>50</v>
      </c>
      <c r="H56" s="52">
        <f>500</f>
        <v>500</v>
      </c>
      <c r="I56" s="52">
        <v>2800</v>
      </c>
      <c r="J56" s="52">
        <v>0</v>
      </c>
      <c r="K56" s="28">
        <f t="shared" si="4"/>
        <v>3147.5</v>
      </c>
      <c r="L56" s="28">
        <f t="shared" si="5"/>
        <v>139.94999999999999</v>
      </c>
      <c r="M56" s="28">
        <v>0</v>
      </c>
      <c r="N56" s="28">
        <f t="shared" si="3"/>
        <v>139.94999999999999</v>
      </c>
      <c r="O56" s="28">
        <f t="shared" si="6"/>
        <v>3007.55</v>
      </c>
      <c r="P56" s="28">
        <v>0</v>
      </c>
      <c r="Q56" s="19"/>
      <c r="R56" s="19"/>
      <c r="S56" s="19"/>
      <c r="T56" s="19"/>
      <c r="U56" s="19"/>
      <c r="V56" s="19"/>
      <c r="W56" s="19"/>
      <c r="X56" s="19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20" customFormat="1" ht="25.5" x14ac:dyDescent="0.2">
      <c r="A57" s="162">
        <v>47</v>
      </c>
      <c r="B57" s="40" t="s">
        <v>540</v>
      </c>
      <c r="C57" s="40" t="s">
        <v>28</v>
      </c>
      <c r="D57" s="52">
        <v>72.540000000000006</v>
      </c>
      <c r="E57" s="52">
        <v>250</v>
      </c>
      <c r="F57" s="123">
        <v>30</v>
      </c>
      <c r="G57" s="52">
        <v>0</v>
      </c>
      <c r="H57" s="52">
        <f>500</f>
        <v>500</v>
      </c>
      <c r="I57" s="52">
        <v>2800</v>
      </c>
      <c r="J57" s="52">
        <v>0</v>
      </c>
      <c r="K57" s="28">
        <f t="shared" si="4"/>
        <v>2926.2</v>
      </c>
      <c r="L57" s="28">
        <f t="shared" si="5"/>
        <v>129.26</v>
      </c>
      <c r="M57" s="28">
        <v>0</v>
      </c>
      <c r="N57" s="28">
        <f t="shared" si="3"/>
        <v>129.26</v>
      </c>
      <c r="O57" s="28">
        <f t="shared" si="6"/>
        <v>2796.94</v>
      </c>
      <c r="P57" s="28">
        <v>0</v>
      </c>
      <c r="Q57" s="19"/>
      <c r="R57" s="19"/>
      <c r="S57" s="19"/>
      <c r="T57" s="19"/>
      <c r="U57" s="19"/>
      <c r="V57" s="19"/>
      <c r="W57" s="19"/>
      <c r="X57" s="19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20" customFormat="1" ht="29.25" customHeight="1" x14ac:dyDescent="0.2">
      <c r="A58" s="162">
        <v>48</v>
      </c>
      <c r="B58" s="24" t="s">
        <v>247</v>
      </c>
      <c r="C58" s="22" t="s">
        <v>237</v>
      </c>
      <c r="D58" s="52">
        <v>78.25</v>
      </c>
      <c r="E58" s="52">
        <v>250</v>
      </c>
      <c r="F58" s="123">
        <v>30</v>
      </c>
      <c r="G58" s="52">
        <v>0</v>
      </c>
      <c r="H58" s="52">
        <f>500</f>
        <v>500</v>
      </c>
      <c r="I58" s="52">
        <v>2800</v>
      </c>
      <c r="J58" s="52">
        <v>0</v>
      </c>
      <c r="K58" s="28">
        <f t="shared" si="4"/>
        <v>3097.5</v>
      </c>
      <c r="L58" s="28">
        <f t="shared" si="5"/>
        <v>137.53</v>
      </c>
      <c r="M58" s="28">
        <f>(K58-E58)*11%</f>
        <v>313.23</v>
      </c>
      <c r="N58" s="28">
        <f t="shared" si="3"/>
        <v>450.76</v>
      </c>
      <c r="O58" s="28">
        <f t="shared" si="6"/>
        <v>2646.74</v>
      </c>
      <c r="P58" s="28">
        <v>0</v>
      </c>
      <c r="Q58" s="19"/>
      <c r="R58" s="19"/>
      <c r="S58" s="19"/>
      <c r="T58" s="19"/>
      <c r="U58" s="19"/>
      <c r="V58" s="19"/>
      <c r="W58" s="19"/>
      <c r="X58" s="19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20" customFormat="1" x14ac:dyDescent="0.2">
      <c r="A59" s="162">
        <v>49</v>
      </c>
      <c r="B59" s="40" t="s">
        <v>132</v>
      </c>
      <c r="C59" s="40" t="s">
        <v>168</v>
      </c>
      <c r="D59" s="52">
        <v>75.64</v>
      </c>
      <c r="E59" s="52">
        <v>250</v>
      </c>
      <c r="F59" s="123">
        <v>30</v>
      </c>
      <c r="G59" s="52">
        <v>50</v>
      </c>
      <c r="H59" s="52">
        <f>500</f>
        <v>500</v>
      </c>
      <c r="I59" s="52">
        <v>2800</v>
      </c>
      <c r="J59" s="52">
        <v>0</v>
      </c>
      <c r="K59" s="28">
        <f t="shared" si="4"/>
        <v>3069.2</v>
      </c>
      <c r="L59" s="28">
        <f t="shared" si="5"/>
        <v>136.16999999999999</v>
      </c>
      <c r="M59" s="28">
        <v>0</v>
      </c>
      <c r="N59" s="28">
        <f t="shared" si="3"/>
        <v>136.16999999999999</v>
      </c>
      <c r="O59" s="28">
        <f t="shared" si="6"/>
        <v>2933.03</v>
      </c>
      <c r="P59" s="28">
        <v>0</v>
      </c>
      <c r="Q59" s="19"/>
      <c r="R59" s="19"/>
      <c r="S59" s="19"/>
      <c r="T59" s="19"/>
      <c r="U59" s="19"/>
      <c r="V59" s="19"/>
      <c r="W59" s="19"/>
      <c r="X59" s="19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20" customFormat="1" x14ac:dyDescent="0.2">
      <c r="A60" s="162">
        <v>50</v>
      </c>
      <c r="B60" s="40" t="s">
        <v>559</v>
      </c>
      <c r="C60" s="40" t="s">
        <v>168</v>
      </c>
      <c r="D60" s="52">
        <v>75.64</v>
      </c>
      <c r="E60" s="52">
        <v>250</v>
      </c>
      <c r="F60" s="123">
        <v>30</v>
      </c>
      <c r="G60" s="52">
        <v>0</v>
      </c>
      <c r="H60" s="52">
        <f>500</f>
        <v>500</v>
      </c>
      <c r="I60" s="52">
        <v>2800</v>
      </c>
      <c r="J60" s="52">
        <v>0</v>
      </c>
      <c r="K60" s="28">
        <f t="shared" si="4"/>
        <v>3019.2</v>
      </c>
      <c r="L60" s="28">
        <f t="shared" si="5"/>
        <v>133.75</v>
      </c>
      <c r="M60" s="28">
        <v>0</v>
      </c>
      <c r="N60" s="28">
        <f t="shared" si="3"/>
        <v>133.75</v>
      </c>
      <c r="O60" s="28">
        <f t="shared" si="6"/>
        <v>2885.45</v>
      </c>
      <c r="P60" s="28">
        <v>0</v>
      </c>
      <c r="Q60" s="19"/>
      <c r="R60" s="19"/>
      <c r="S60" s="19"/>
      <c r="T60" s="19"/>
      <c r="U60" s="19"/>
      <c r="V60" s="19"/>
      <c r="W60" s="19"/>
      <c r="X60" s="19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20" customFormat="1" x14ac:dyDescent="0.2">
      <c r="A61" s="162">
        <v>51</v>
      </c>
      <c r="B61" s="40" t="s">
        <v>157</v>
      </c>
      <c r="C61" s="40" t="s">
        <v>168</v>
      </c>
      <c r="D61" s="52">
        <v>75.64</v>
      </c>
      <c r="E61" s="52">
        <v>250</v>
      </c>
      <c r="F61" s="123">
        <v>30</v>
      </c>
      <c r="G61" s="52">
        <v>0</v>
      </c>
      <c r="H61" s="52">
        <f>500</f>
        <v>500</v>
      </c>
      <c r="I61" s="52">
        <v>2800</v>
      </c>
      <c r="J61" s="52">
        <v>0</v>
      </c>
      <c r="K61" s="28">
        <f t="shared" si="4"/>
        <v>3019.2</v>
      </c>
      <c r="L61" s="28">
        <f t="shared" si="5"/>
        <v>133.75</v>
      </c>
      <c r="M61" s="28">
        <v>0</v>
      </c>
      <c r="N61" s="28">
        <f t="shared" si="3"/>
        <v>133.75</v>
      </c>
      <c r="O61" s="28">
        <f t="shared" si="6"/>
        <v>2885.45</v>
      </c>
      <c r="P61" s="28">
        <v>0</v>
      </c>
      <c r="Q61" s="19"/>
      <c r="R61" s="19"/>
      <c r="S61" s="19"/>
      <c r="T61" s="19"/>
      <c r="U61" s="19"/>
      <c r="V61" s="19"/>
      <c r="W61" s="19"/>
      <c r="X61" s="19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20" customFormat="1" x14ac:dyDescent="0.2">
      <c r="A62" s="162">
        <v>52</v>
      </c>
      <c r="B62" s="40" t="s">
        <v>531</v>
      </c>
      <c r="C62" s="40" t="s">
        <v>27</v>
      </c>
      <c r="D62" s="52">
        <v>71.400000000000006</v>
      </c>
      <c r="E62" s="52">
        <v>250</v>
      </c>
      <c r="F62" s="123">
        <v>30</v>
      </c>
      <c r="G62" s="52">
        <v>50</v>
      </c>
      <c r="H62" s="52">
        <f>500</f>
        <v>500</v>
      </c>
      <c r="I62" s="52">
        <v>2800</v>
      </c>
      <c r="J62" s="52">
        <v>0</v>
      </c>
      <c r="K62" s="28">
        <f t="shared" si="4"/>
        <v>2942</v>
      </c>
      <c r="L62" s="28">
        <f t="shared" si="5"/>
        <v>130.02000000000001</v>
      </c>
      <c r="M62" s="28">
        <f>(K62-E62)*11%</f>
        <v>296.12</v>
      </c>
      <c r="N62" s="28">
        <f t="shared" si="3"/>
        <v>426.14</v>
      </c>
      <c r="O62" s="28">
        <f t="shared" si="6"/>
        <v>2515.86</v>
      </c>
      <c r="P62" s="28">
        <v>0</v>
      </c>
      <c r="Q62" s="19"/>
      <c r="R62" s="19"/>
      <c r="S62" s="19"/>
      <c r="T62" s="19"/>
      <c r="U62" s="19"/>
      <c r="V62" s="19"/>
      <c r="W62" s="19"/>
      <c r="X62" s="19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20" customFormat="1" x14ac:dyDescent="0.2">
      <c r="A63" s="162">
        <v>53</v>
      </c>
      <c r="B63" s="40" t="s">
        <v>525</v>
      </c>
      <c r="C63" s="40" t="s">
        <v>28</v>
      </c>
      <c r="D63" s="52">
        <v>72.540000000000006</v>
      </c>
      <c r="E63" s="52">
        <v>250</v>
      </c>
      <c r="F63" s="123">
        <v>30</v>
      </c>
      <c r="G63" s="52">
        <v>50</v>
      </c>
      <c r="H63" s="52">
        <f>500</f>
        <v>500</v>
      </c>
      <c r="I63" s="52">
        <v>2800</v>
      </c>
      <c r="J63" s="52">
        <v>0</v>
      </c>
      <c r="K63" s="28">
        <f t="shared" si="4"/>
        <v>2976.2</v>
      </c>
      <c r="L63" s="28">
        <f t="shared" si="5"/>
        <v>131.68</v>
      </c>
      <c r="M63" s="28">
        <v>0</v>
      </c>
      <c r="N63" s="28">
        <f t="shared" si="3"/>
        <v>131.68</v>
      </c>
      <c r="O63" s="28">
        <f t="shared" si="6"/>
        <v>2844.52</v>
      </c>
      <c r="P63" s="28">
        <v>0</v>
      </c>
      <c r="Q63" s="19"/>
      <c r="R63" s="19"/>
      <c r="S63" s="19"/>
      <c r="T63" s="19"/>
      <c r="U63" s="19"/>
      <c r="V63" s="19"/>
      <c r="W63" s="19"/>
      <c r="X63" s="19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20" customFormat="1" x14ac:dyDescent="0.2">
      <c r="A64" s="162">
        <v>54</v>
      </c>
      <c r="B64" s="40" t="s">
        <v>136</v>
      </c>
      <c r="C64" s="40" t="s">
        <v>174</v>
      </c>
      <c r="D64" s="52">
        <v>73.59</v>
      </c>
      <c r="E64" s="52">
        <v>250</v>
      </c>
      <c r="F64" s="123">
        <v>30</v>
      </c>
      <c r="G64" s="52">
        <v>50</v>
      </c>
      <c r="H64" s="52">
        <f>500</f>
        <v>500</v>
      </c>
      <c r="I64" s="52">
        <v>2800</v>
      </c>
      <c r="J64" s="52">
        <v>0</v>
      </c>
      <c r="K64" s="28">
        <f t="shared" si="4"/>
        <v>3007.7</v>
      </c>
      <c r="L64" s="28">
        <f t="shared" si="5"/>
        <v>133.19999999999999</v>
      </c>
      <c r="M64" s="28">
        <v>0</v>
      </c>
      <c r="N64" s="28">
        <f t="shared" si="3"/>
        <v>133.19999999999999</v>
      </c>
      <c r="O64" s="28">
        <f t="shared" si="6"/>
        <v>2874.5</v>
      </c>
      <c r="P64" s="28">
        <v>0</v>
      </c>
      <c r="Q64" s="19"/>
      <c r="R64" s="19"/>
      <c r="S64" s="19"/>
      <c r="T64" s="19"/>
      <c r="U64" s="19"/>
      <c r="V64" s="19"/>
      <c r="W64" s="19"/>
      <c r="X64" s="19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20" customFormat="1" x14ac:dyDescent="0.2">
      <c r="A65" s="162">
        <v>55</v>
      </c>
      <c r="B65" s="40" t="s">
        <v>553</v>
      </c>
      <c r="C65" s="40" t="s">
        <v>27</v>
      </c>
      <c r="D65" s="52">
        <v>71.400000000000006</v>
      </c>
      <c r="E65" s="52">
        <v>250</v>
      </c>
      <c r="F65" s="123">
        <v>30</v>
      </c>
      <c r="G65" s="52">
        <v>50</v>
      </c>
      <c r="H65" s="52">
        <f>500</f>
        <v>500</v>
      </c>
      <c r="I65" s="52">
        <v>2800</v>
      </c>
      <c r="J65" s="52">
        <v>0</v>
      </c>
      <c r="K65" s="28">
        <f t="shared" si="4"/>
        <v>2942</v>
      </c>
      <c r="L65" s="28">
        <f t="shared" si="5"/>
        <v>130.02000000000001</v>
      </c>
      <c r="M65" s="28">
        <f>(K65-E65)*11%</f>
        <v>296.12</v>
      </c>
      <c r="N65" s="28">
        <f t="shared" si="3"/>
        <v>426.14</v>
      </c>
      <c r="O65" s="28">
        <f t="shared" si="6"/>
        <v>2515.86</v>
      </c>
      <c r="P65" s="28">
        <v>0</v>
      </c>
      <c r="Q65" s="19"/>
      <c r="R65" s="19"/>
      <c r="S65" s="19"/>
      <c r="T65" s="19"/>
      <c r="U65" s="19"/>
      <c r="V65" s="19"/>
      <c r="W65" s="19"/>
      <c r="X65" s="19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20" customFormat="1" ht="25.5" x14ac:dyDescent="0.2">
      <c r="A66" s="162">
        <v>56</v>
      </c>
      <c r="B66" s="40" t="s">
        <v>158</v>
      </c>
      <c r="C66" s="40" t="s">
        <v>27</v>
      </c>
      <c r="D66" s="52">
        <v>71.400000000000006</v>
      </c>
      <c r="E66" s="52">
        <v>250</v>
      </c>
      <c r="F66" s="123">
        <v>30</v>
      </c>
      <c r="G66" s="52">
        <v>0</v>
      </c>
      <c r="H66" s="52">
        <f>500</f>
        <v>500</v>
      </c>
      <c r="I66" s="52">
        <v>2800</v>
      </c>
      <c r="J66" s="52">
        <v>0</v>
      </c>
      <c r="K66" s="28">
        <f t="shared" si="4"/>
        <v>2892</v>
      </c>
      <c r="L66" s="28">
        <f t="shared" si="5"/>
        <v>127.61</v>
      </c>
      <c r="M66" s="28">
        <v>0</v>
      </c>
      <c r="N66" s="28">
        <f t="shared" si="3"/>
        <v>127.61</v>
      </c>
      <c r="O66" s="28">
        <f t="shared" si="6"/>
        <v>2764.39</v>
      </c>
      <c r="P66" s="28">
        <v>0</v>
      </c>
      <c r="Q66" s="19"/>
      <c r="R66" s="19"/>
      <c r="S66" s="19"/>
      <c r="T66" s="19"/>
      <c r="U66" s="19"/>
      <c r="V66" s="19"/>
      <c r="W66" s="19"/>
      <c r="X66" s="19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20" customFormat="1" x14ac:dyDescent="0.2">
      <c r="A67" s="162">
        <v>57</v>
      </c>
      <c r="B67" s="40" t="s">
        <v>554</v>
      </c>
      <c r="C67" s="40" t="s">
        <v>27</v>
      </c>
      <c r="D67" s="52">
        <v>71.400000000000006</v>
      </c>
      <c r="E67" s="52">
        <v>250</v>
      </c>
      <c r="F67" s="123">
        <v>30</v>
      </c>
      <c r="G67" s="52">
        <v>50</v>
      </c>
      <c r="H67" s="52">
        <f>500</f>
        <v>500</v>
      </c>
      <c r="I67" s="52">
        <v>2800</v>
      </c>
      <c r="J67" s="52">
        <v>0</v>
      </c>
      <c r="K67" s="28">
        <f t="shared" si="4"/>
        <v>2942</v>
      </c>
      <c r="L67" s="28">
        <f t="shared" si="5"/>
        <v>130.02000000000001</v>
      </c>
      <c r="M67" s="28">
        <f>(K67-E67)*11%</f>
        <v>296.12</v>
      </c>
      <c r="N67" s="28">
        <f t="shared" si="3"/>
        <v>426.14</v>
      </c>
      <c r="O67" s="28">
        <f t="shared" si="6"/>
        <v>2515.86</v>
      </c>
      <c r="P67" s="28">
        <v>0</v>
      </c>
      <c r="Q67" s="19"/>
      <c r="R67" s="19"/>
      <c r="S67" s="19"/>
      <c r="T67" s="19"/>
      <c r="U67" s="19"/>
      <c r="V67" s="19"/>
      <c r="W67" s="19"/>
      <c r="X67" s="19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20" customFormat="1" x14ac:dyDescent="0.2">
      <c r="A68" s="162">
        <v>58</v>
      </c>
      <c r="B68" s="136" t="s">
        <v>473</v>
      </c>
      <c r="C68" s="136" t="s">
        <v>28</v>
      </c>
      <c r="D68" s="52">
        <v>72.540000000000006</v>
      </c>
      <c r="E68" s="52">
        <v>250</v>
      </c>
      <c r="F68" s="123">
        <v>30</v>
      </c>
      <c r="G68" s="122"/>
      <c r="H68" s="52">
        <f>500</f>
        <v>500</v>
      </c>
      <c r="I68" s="52">
        <v>2800</v>
      </c>
      <c r="J68" s="52">
        <v>0</v>
      </c>
      <c r="K68" s="28">
        <f t="shared" si="4"/>
        <v>2926.2</v>
      </c>
      <c r="L68" s="28">
        <f t="shared" si="5"/>
        <v>129.26</v>
      </c>
      <c r="M68" s="28">
        <v>0</v>
      </c>
      <c r="N68" s="28">
        <f t="shared" si="3"/>
        <v>129.26</v>
      </c>
      <c r="O68" s="28">
        <f t="shared" si="6"/>
        <v>2796.94</v>
      </c>
      <c r="P68" s="28">
        <v>0</v>
      </c>
      <c r="Q68" s="19"/>
      <c r="R68" s="19"/>
      <c r="S68" s="19"/>
      <c r="T68" s="19"/>
      <c r="U68" s="19"/>
      <c r="V68" s="19"/>
      <c r="W68" s="19"/>
      <c r="X68" s="19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s="20" customFormat="1" ht="25.5" x14ac:dyDescent="0.2">
      <c r="A69" s="162">
        <v>59</v>
      </c>
      <c r="B69" s="119" t="s">
        <v>126</v>
      </c>
      <c r="C69" s="40" t="s">
        <v>170</v>
      </c>
      <c r="D69" s="52">
        <v>74.63</v>
      </c>
      <c r="E69" s="52">
        <v>250</v>
      </c>
      <c r="F69" s="123">
        <v>30</v>
      </c>
      <c r="G69" s="52">
        <v>0</v>
      </c>
      <c r="H69" s="52">
        <f>500</f>
        <v>500</v>
      </c>
      <c r="I69" s="52">
        <v>2800</v>
      </c>
      <c r="J69" s="52">
        <v>0</v>
      </c>
      <c r="K69" s="28">
        <f t="shared" si="4"/>
        <v>2988.9</v>
      </c>
      <c r="L69" s="28">
        <f t="shared" si="5"/>
        <v>132.29</v>
      </c>
      <c r="M69" s="28">
        <v>0</v>
      </c>
      <c r="N69" s="28">
        <f t="shared" si="3"/>
        <v>132.29</v>
      </c>
      <c r="O69" s="28">
        <f t="shared" si="6"/>
        <v>2856.61</v>
      </c>
      <c r="P69" s="28">
        <v>0</v>
      </c>
      <c r="Q69" s="19"/>
      <c r="R69" s="19"/>
      <c r="S69" s="19"/>
      <c r="T69" s="19"/>
      <c r="U69" s="19"/>
      <c r="V69" s="19"/>
      <c r="W69" s="19"/>
      <c r="X69" s="19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20" customFormat="1" x14ac:dyDescent="0.2">
      <c r="A70" s="162">
        <v>60</v>
      </c>
      <c r="B70" s="40" t="s">
        <v>557</v>
      </c>
      <c r="C70" s="40" t="s">
        <v>176</v>
      </c>
      <c r="D70" s="52">
        <v>72.540000000000006</v>
      </c>
      <c r="E70" s="52">
        <v>250</v>
      </c>
      <c r="F70" s="123">
        <v>30</v>
      </c>
      <c r="G70" s="52">
        <v>0</v>
      </c>
      <c r="H70" s="52">
        <f>500</f>
        <v>500</v>
      </c>
      <c r="I70" s="52">
        <v>2800</v>
      </c>
      <c r="J70" s="52">
        <v>0</v>
      </c>
      <c r="K70" s="28">
        <f t="shared" si="4"/>
        <v>2926.2</v>
      </c>
      <c r="L70" s="28">
        <f t="shared" si="5"/>
        <v>129.26</v>
      </c>
      <c r="M70" s="28">
        <v>0</v>
      </c>
      <c r="N70" s="28">
        <f t="shared" si="3"/>
        <v>129.26</v>
      </c>
      <c r="O70" s="28">
        <f t="shared" si="6"/>
        <v>2796.94</v>
      </c>
      <c r="P70" s="28">
        <v>0</v>
      </c>
      <c r="Q70" s="19"/>
      <c r="R70" s="19"/>
      <c r="S70" s="19"/>
      <c r="T70" s="19"/>
      <c r="U70" s="19"/>
      <c r="V70" s="19"/>
      <c r="W70" s="19"/>
      <c r="X70" s="19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s="20" customFormat="1" ht="25.5" x14ac:dyDescent="0.2">
      <c r="A71" s="162">
        <v>61</v>
      </c>
      <c r="B71" s="136" t="s">
        <v>479</v>
      </c>
      <c r="C71" s="67" t="s">
        <v>176</v>
      </c>
      <c r="D71" s="52">
        <v>72.540000000000006</v>
      </c>
      <c r="E71" s="52">
        <v>250</v>
      </c>
      <c r="F71" s="123">
        <v>30</v>
      </c>
      <c r="G71" s="52">
        <v>0</v>
      </c>
      <c r="H71" s="52">
        <f>500</f>
        <v>500</v>
      </c>
      <c r="I71" s="52">
        <v>2800</v>
      </c>
      <c r="J71" s="52">
        <v>0</v>
      </c>
      <c r="K71" s="28">
        <f t="shared" si="4"/>
        <v>2926.2</v>
      </c>
      <c r="L71" s="28">
        <f t="shared" si="5"/>
        <v>129.26</v>
      </c>
      <c r="M71" s="28">
        <v>0</v>
      </c>
      <c r="N71" s="28">
        <f t="shared" si="3"/>
        <v>129.26</v>
      </c>
      <c r="O71" s="28">
        <f t="shared" si="6"/>
        <v>2796.94</v>
      </c>
      <c r="P71" s="28">
        <v>0</v>
      </c>
      <c r="Q71" s="19"/>
      <c r="R71" s="19"/>
      <c r="S71" s="19"/>
      <c r="T71" s="19"/>
      <c r="U71" s="19"/>
      <c r="V71" s="19"/>
      <c r="W71" s="19"/>
      <c r="X71" s="19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s="20" customFormat="1" ht="25.5" x14ac:dyDescent="0.2">
      <c r="A72" s="162">
        <v>62</v>
      </c>
      <c r="B72" s="40" t="s">
        <v>129</v>
      </c>
      <c r="C72" s="40" t="s">
        <v>168</v>
      </c>
      <c r="D72" s="52">
        <v>75.64</v>
      </c>
      <c r="E72" s="52">
        <v>250</v>
      </c>
      <c r="F72" s="123">
        <v>30</v>
      </c>
      <c r="G72" s="52">
        <v>0</v>
      </c>
      <c r="H72" s="52">
        <f>500</f>
        <v>500</v>
      </c>
      <c r="I72" s="52">
        <v>2800</v>
      </c>
      <c r="J72" s="52">
        <v>0</v>
      </c>
      <c r="K72" s="28">
        <f t="shared" si="4"/>
        <v>3019.2</v>
      </c>
      <c r="L72" s="28">
        <f t="shared" si="5"/>
        <v>133.75</v>
      </c>
      <c r="M72" s="28">
        <v>0</v>
      </c>
      <c r="N72" s="28">
        <f t="shared" si="3"/>
        <v>133.75</v>
      </c>
      <c r="O72" s="28">
        <f t="shared" si="6"/>
        <v>2885.45</v>
      </c>
      <c r="P72" s="28">
        <v>0</v>
      </c>
      <c r="Q72" s="19"/>
      <c r="R72" s="19"/>
      <c r="S72" s="19"/>
      <c r="T72" s="19"/>
      <c r="U72" s="19"/>
      <c r="V72" s="19"/>
      <c r="W72" s="19"/>
      <c r="X72" s="19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s="20" customFormat="1" x14ac:dyDescent="0.2">
      <c r="A73" s="162">
        <v>63</v>
      </c>
      <c r="B73" s="40" t="s">
        <v>65</v>
      </c>
      <c r="C73" s="40" t="s">
        <v>170</v>
      </c>
      <c r="D73" s="52">
        <v>74.63</v>
      </c>
      <c r="E73" s="52">
        <v>250</v>
      </c>
      <c r="F73" s="123">
        <v>30</v>
      </c>
      <c r="G73" s="52">
        <f>35</f>
        <v>35</v>
      </c>
      <c r="H73" s="52">
        <f>500</f>
        <v>500</v>
      </c>
      <c r="I73" s="52">
        <v>2800</v>
      </c>
      <c r="J73" s="52">
        <v>0</v>
      </c>
      <c r="K73" s="28">
        <f t="shared" si="4"/>
        <v>3023.9</v>
      </c>
      <c r="L73" s="28">
        <f t="shared" si="5"/>
        <v>133.97999999999999</v>
      </c>
      <c r="M73" s="28">
        <v>0</v>
      </c>
      <c r="N73" s="28">
        <f t="shared" si="3"/>
        <v>133.97999999999999</v>
      </c>
      <c r="O73" s="28">
        <f t="shared" si="6"/>
        <v>2889.92</v>
      </c>
      <c r="P73" s="28">
        <v>0</v>
      </c>
      <c r="Q73" s="19"/>
      <c r="R73" s="19"/>
      <c r="S73" s="19"/>
      <c r="T73" s="19"/>
      <c r="U73" s="19"/>
      <c r="V73" s="19"/>
      <c r="W73" s="19"/>
      <c r="X73" s="19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s="20" customFormat="1" x14ac:dyDescent="0.2">
      <c r="A74" s="162">
        <v>64</v>
      </c>
      <c r="B74" s="40" t="s">
        <v>140</v>
      </c>
      <c r="C74" s="40" t="s">
        <v>168</v>
      </c>
      <c r="D74" s="52">
        <v>75.64</v>
      </c>
      <c r="E74" s="52">
        <v>250</v>
      </c>
      <c r="F74" s="123">
        <v>30</v>
      </c>
      <c r="G74" s="52">
        <v>50</v>
      </c>
      <c r="H74" s="52">
        <f>500</f>
        <v>500</v>
      </c>
      <c r="I74" s="52">
        <v>2800</v>
      </c>
      <c r="J74" s="52">
        <v>0</v>
      </c>
      <c r="K74" s="28">
        <f t="shared" ref="K74:K81" si="7">(D74*F74)+E74+G74+H74</f>
        <v>3069.2</v>
      </c>
      <c r="L74" s="28">
        <f t="shared" ref="L74:L81" si="8">(D74*F74+G74+H74)*4.83%</f>
        <v>136.16999999999999</v>
      </c>
      <c r="M74" s="28">
        <v>0</v>
      </c>
      <c r="N74" s="28">
        <f t="shared" si="3"/>
        <v>136.16999999999999</v>
      </c>
      <c r="O74" s="28">
        <f t="shared" si="6"/>
        <v>2933.03</v>
      </c>
      <c r="P74" s="28">
        <v>0</v>
      </c>
      <c r="Q74" s="19"/>
      <c r="R74" s="19"/>
      <c r="S74" s="19"/>
      <c r="T74" s="19"/>
      <c r="U74" s="19"/>
      <c r="V74" s="19"/>
      <c r="W74" s="19"/>
      <c r="X74" s="19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s="20" customFormat="1" x14ac:dyDescent="0.2">
      <c r="A75" s="162">
        <v>65</v>
      </c>
      <c r="B75" s="119" t="s">
        <v>558</v>
      </c>
      <c r="C75" s="40" t="s">
        <v>168</v>
      </c>
      <c r="D75" s="52">
        <v>75.64</v>
      </c>
      <c r="E75" s="52">
        <v>250</v>
      </c>
      <c r="F75" s="123">
        <v>30</v>
      </c>
      <c r="G75" s="52">
        <v>0</v>
      </c>
      <c r="H75" s="52">
        <f>500</f>
        <v>500</v>
      </c>
      <c r="I75" s="52">
        <v>0</v>
      </c>
      <c r="J75" s="52">
        <v>0</v>
      </c>
      <c r="K75" s="28">
        <f t="shared" si="7"/>
        <v>3019.2</v>
      </c>
      <c r="L75" s="28">
        <f t="shared" si="8"/>
        <v>133.75</v>
      </c>
      <c r="M75" s="28">
        <v>0</v>
      </c>
      <c r="N75" s="28">
        <f t="shared" ref="N75:N81" si="9">L75+M75</f>
        <v>133.75</v>
      </c>
      <c r="O75" s="28">
        <f t="shared" ref="O75:O81" si="10">K75-N75</f>
        <v>2885.45</v>
      </c>
      <c r="P75" s="28">
        <v>0</v>
      </c>
      <c r="Q75" s="19"/>
      <c r="R75" s="19"/>
      <c r="S75" s="19"/>
      <c r="T75" s="19"/>
      <c r="U75" s="19"/>
      <c r="V75" s="19"/>
      <c r="W75" s="19"/>
      <c r="X75" s="19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s="20" customFormat="1" x14ac:dyDescent="0.2">
      <c r="A76" s="162">
        <v>66</v>
      </c>
      <c r="B76" s="119" t="s">
        <v>242</v>
      </c>
      <c r="C76" s="40" t="s">
        <v>168</v>
      </c>
      <c r="D76" s="52">
        <v>75.64</v>
      </c>
      <c r="E76" s="52">
        <v>250</v>
      </c>
      <c r="F76" s="123">
        <v>30</v>
      </c>
      <c r="G76" s="52">
        <v>0</v>
      </c>
      <c r="H76" s="52">
        <f>500</f>
        <v>500</v>
      </c>
      <c r="I76" s="52">
        <v>0</v>
      </c>
      <c r="J76" s="52">
        <v>0</v>
      </c>
      <c r="K76" s="28">
        <f t="shared" si="7"/>
        <v>3019.2</v>
      </c>
      <c r="L76" s="28">
        <f t="shared" si="8"/>
        <v>133.75</v>
      </c>
      <c r="M76" s="28">
        <v>0</v>
      </c>
      <c r="N76" s="28">
        <f t="shared" si="9"/>
        <v>133.75</v>
      </c>
      <c r="O76" s="28">
        <f t="shared" si="10"/>
        <v>2885.45</v>
      </c>
      <c r="P76" s="28">
        <v>0</v>
      </c>
      <c r="Q76" s="19"/>
      <c r="R76" s="19"/>
      <c r="S76" s="19"/>
      <c r="T76" s="19"/>
      <c r="U76" s="19"/>
      <c r="V76" s="19"/>
      <c r="W76" s="19"/>
      <c r="X76" s="19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s="20" customFormat="1" x14ac:dyDescent="0.2">
      <c r="A77" s="162">
        <v>67</v>
      </c>
      <c r="B77" s="40" t="s">
        <v>555</v>
      </c>
      <c r="C77" s="40" t="s">
        <v>169</v>
      </c>
      <c r="D77" s="52">
        <v>74.63</v>
      </c>
      <c r="E77" s="52">
        <v>250</v>
      </c>
      <c r="F77" s="123">
        <v>30</v>
      </c>
      <c r="G77" s="52">
        <v>0</v>
      </c>
      <c r="H77" s="52">
        <f>500</f>
        <v>500</v>
      </c>
      <c r="I77" s="52">
        <v>2800</v>
      </c>
      <c r="J77" s="52">
        <v>0</v>
      </c>
      <c r="K77" s="28">
        <f t="shared" si="7"/>
        <v>2988.9</v>
      </c>
      <c r="L77" s="28">
        <f t="shared" si="8"/>
        <v>132.29</v>
      </c>
      <c r="M77" s="28">
        <v>0</v>
      </c>
      <c r="N77" s="28">
        <f t="shared" si="9"/>
        <v>132.29</v>
      </c>
      <c r="O77" s="28">
        <f t="shared" si="10"/>
        <v>2856.61</v>
      </c>
      <c r="P77" s="28">
        <v>0</v>
      </c>
      <c r="Q77" s="19"/>
      <c r="R77" s="19"/>
      <c r="S77" s="19"/>
      <c r="T77" s="19"/>
      <c r="U77" s="19"/>
      <c r="V77" s="19"/>
      <c r="W77" s="19"/>
      <c r="X77" s="1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s="20" customFormat="1" ht="25.5" x14ac:dyDescent="0.2">
      <c r="A78" s="162">
        <v>68</v>
      </c>
      <c r="B78" s="40" t="s">
        <v>159</v>
      </c>
      <c r="C78" s="40" t="s">
        <v>27</v>
      </c>
      <c r="D78" s="52">
        <v>71.400000000000006</v>
      </c>
      <c r="E78" s="52">
        <v>250</v>
      </c>
      <c r="F78" s="123">
        <v>30</v>
      </c>
      <c r="G78" s="52">
        <v>0</v>
      </c>
      <c r="H78" s="52">
        <f>500</f>
        <v>500</v>
      </c>
      <c r="I78" s="52">
        <v>2800</v>
      </c>
      <c r="J78" s="52">
        <v>0</v>
      </c>
      <c r="K78" s="28">
        <f t="shared" si="7"/>
        <v>2892</v>
      </c>
      <c r="L78" s="28">
        <f t="shared" si="8"/>
        <v>127.61</v>
      </c>
      <c r="M78" s="28">
        <v>0</v>
      </c>
      <c r="N78" s="28">
        <f t="shared" si="9"/>
        <v>127.61</v>
      </c>
      <c r="O78" s="28">
        <f t="shared" si="10"/>
        <v>2764.39</v>
      </c>
      <c r="P78" s="28">
        <v>0</v>
      </c>
      <c r="Q78" s="19"/>
      <c r="R78" s="19"/>
      <c r="S78" s="19"/>
      <c r="T78" s="19"/>
      <c r="U78" s="19"/>
      <c r="V78" s="19"/>
      <c r="W78" s="19"/>
      <c r="X78" s="19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s="20" customFormat="1" x14ac:dyDescent="0.2">
      <c r="A79" s="162">
        <v>69</v>
      </c>
      <c r="B79" s="40" t="s">
        <v>541</v>
      </c>
      <c r="C79" s="40" t="s">
        <v>168</v>
      </c>
      <c r="D79" s="52">
        <v>75.64</v>
      </c>
      <c r="E79" s="52">
        <v>250</v>
      </c>
      <c r="F79" s="123">
        <v>30</v>
      </c>
      <c r="G79" s="52">
        <f>35</f>
        <v>35</v>
      </c>
      <c r="H79" s="52">
        <f>500</f>
        <v>500</v>
      </c>
      <c r="I79" s="52">
        <v>2800</v>
      </c>
      <c r="J79" s="52">
        <v>0</v>
      </c>
      <c r="K79" s="28">
        <f t="shared" si="7"/>
        <v>3054.2</v>
      </c>
      <c r="L79" s="28">
        <f t="shared" si="8"/>
        <v>135.44</v>
      </c>
      <c r="M79" s="28">
        <v>0</v>
      </c>
      <c r="N79" s="28">
        <f t="shared" si="9"/>
        <v>135.44</v>
      </c>
      <c r="O79" s="28">
        <f t="shared" si="10"/>
        <v>2918.76</v>
      </c>
      <c r="P79" s="28">
        <v>0</v>
      </c>
      <c r="Q79" s="19"/>
      <c r="R79" s="19"/>
      <c r="S79" s="19"/>
      <c r="T79" s="19"/>
      <c r="U79" s="19"/>
      <c r="V79" s="19"/>
      <c r="W79" s="19"/>
      <c r="X79" s="19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s="20" customFormat="1" x14ac:dyDescent="0.2">
      <c r="A80" s="162">
        <v>70</v>
      </c>
      <c r="B80" s="119" t="s">
        <v>526</v>
      </c>
      <c r="C80" s="40" t="s">
        <v>170</v>
      </c>
      <c r="D80" s="52">
        <v>74.63</v>
      </c>
      <c r="E80" s="52">
        <v>250</v>
      </c>
      <c r="F80" s="123">
        <v>30</v>
      </c>
      <c r="G80" s="52">
        <v>0</v>
      </c>
      <c r="H80" s="52">
        <f>500</f>
        <v>500</v>
      </c>
      <c r="I80" s="52">
        <v>0</v>
      </c>
      <c r="J80" s="52">
        <v>0</v>
      </c>
      <c r="K80" s="28">
        <f t="shared" si="7"/>
        <v>2988.9</v>
      </c>
      <c r="L80" s="28">
        <f t="shared" si="8"/>
        <v>132.29</v>
      </c>
      <c r="M80" s="28">
        <v>0</v>
      </c>
      <c r="N80" s="28">
        <f t="shared" si="9"/>
        <v>132.29</v>
      </c>
      <c r="O80" s="28">
        <f t="shared" si="10"/>
        <v>2856.61</v>
      </c>
      <c r="P80" s="28">
        <v>0</v>
      </c>
      <c r="Q80" s="19"/>
      <c r="R80" s="19"/>
      <c r="S80" s="19"/>
      <c r="T80" s="19"/>
      <c r="U80" s="19"/>
      <c r="V80" s="19"/>
      <c r="W80" s="19"/>
      <c r="X80" s="19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s="20" customFormat="1" ht="25.5" customHeight="1" x14ac:dyDescent="0.2">
      <c r="A81" s="162">
        <v>71</v>
      </c>
      <c r="B81" s="174" t="s">
        <v>927</v>
      </c>
      <c r="C81" s="40" t="s">
        <v>168</v>
      </c>
      <c r="D81" s="52">
        <v>75.64</v>
      </c>
      <c r="E81" s="52">
        <v>250</v>
      </c>
      <c r="F81" s="123">
        <v>30</v>
      </c>
      <c r="G81" s="52">
        <v>0</v>
      </c>
      <c r="H81" s="52">
        <v>0</v>
      </c>
      <c r="I81" s="52">
        <v>1853.88</v>
      </c>
      <c r="J81" s="52">
        <v>0</v>
      </c>
      <c r="K81" s="28">
        <f t="shared" si="7"/>
        <v>2519.1999999999998</v>
      </c>
      <c r="L81" s="28">
        <f t="shared" si="8"/>
        <v>109.6</v>
      </c>
      <c r="M81" s="28">
        <v>0</v>
      </c>
      <c r="N81" s="28">
        <f t="shared" si="9"/>
        <v>109.6</v>
      </c>
      <c r="O81" s="28">
        <f t="shared" si="10"/>
        <v>2409.6</v>
      </c>
      <c r="P81" s="28">
        <v>0</v>
      </c>
      <c r="Q81" s="19"/>
      <c r="R81" s="19"/>
      <c r="S81" s="19"/>
      <c r="T81" s="19"/>
      <c r="U81" s="19"/>
      <c r="V81" s="19"/>
      <c r="W81" s="19"/>
      <c r="X81" s="19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ht="13.5" thickBot="1" x14ac:dyDescent="0.25">
      <c r="A82" s="311" t="s">
        <v>465</v>
      </c>
      <c r="B82" s="312"/>
      <c r="C82" s="312"/>
      <c r="D82" s="313"/>
      <c r="E82" s="74">
        <f>SUM(E11:E81)</f>
        <v>17750</v>
      </c>
      <c r="F82" s="74"/>
      <c r="G82" s="74">
        <f t="shared" ref="G82:P82" si="11">SUM(G11:G81)</f>
        <v>1310</v>
      </c>
      <c r="H82" s="74">
        <f t="shared" si="11"/>
        <v>34500</v>
      </c>
      <c r="I82" s="74">
        <f>SUM(I11:I81)</f>
        <v>178253.88</v>
      </c>
      <c r="J82" s="74">
        <f t="shared" si="11"/>
        <v>0</v>
      </c>
      <c r="K82" s="74">
        <f t="shared" si="11"/>
        <v>209358.4</v>
      </c>
      <c r="L82" s="74">
        <f t="shared" si="11"/>
        <v>9254.64</v>
      </c>
      <c r="M82" s="74">
        <f t="shared" si="11"/>
        <v>4251.37</v>
      </c>
      <c r="N82" s="74">
        <f t="shared" si="11"/>
        <v>13506.01</v>
      </c>
      <c r="O82" s="74">
        <f t="shared" si="11"/>
        <v>195852.39</v>
      </c>
      <c r="P82" s="75">
        <f t="shared" si="11"/>
        <v>0</v>
      </c>
      <c r="Q82" s="10"/>
      <c r="R82" s="10"/>
      <c r="S82" s="10"/>
      <c r="T82" s="10"/>
      <c r="U82" s="10"/>
      <c r="V82" s="10"/>
      <c r="W82" s="10"/>
      <c r="X82" s="10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x14ac:dyDescent="0.2">
      <c r="A83" s="9"/>
      <c r="B83" s="14"/>
      <c r="C83" s="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x14ac:dyDescent="0.2">
      <c r="A84" s="9"/>
      <c r="B84" s="14"/>
      <c r="C84" s="7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x14ac:dyDescent="0.2">
      <c r="A85" s="255" t="s">
        <v>1039</v>
      </c>
      <c r="B85" s="14" t="s">
        <v>1040</v>
      </c>
      <c r="C85" s="7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x14ac:dyDescent="0.2">
      <c r="A86" s="9"/>
      <c r="B86" s="14"/>
      <c r="C86" s="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x14ac:dyDescent="0.2">
      <c r="A87" s="9"/>
      <c r="B87" s="14"/>
      <c r="C87" s="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x14ac:dyDescent="0.2">
      <c r="A88" s="9"/>
      <c r="B88" s="14"/>
      <c r="C88" s="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x14ac:dyDescent="0.2">
      <c r="A89" s="9"/>
      <c r="B89" s="14"/>
      <c r="C89" s="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x14ac:dyDescent="0.2">
      <c r="A90" s="9"/>
      <c r="B90" s="14"/>
      <c r="C90" s="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x14ac:dyDescent="0.2">
      <c r="A91" s="9"/>
      <c r="B91" s="14"/>
      <c r="C91" s="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x14ac:dyDescent="0.2">
      <c r="A92" s="9"/>
      <c r="B92" s="14"/>
      <c r="C92" s="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x14ac:dyDescent="0.2">
      <c r="A93" s="9"/>
      <c r="B93" s="14"/>
      <c r="C93" s="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x14ac:dyDescent="0.2">
      <c r="A94" s="9"/>
      <c r="B94" s="14"/>
      <c r="C94" s="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x14ac:dyDescent="0.2">
      <c r="A95" s="9"/>
      <c r="B95" s="14"/>
      <c r="C95" s="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x14ac:dyDescent="0.2">
      <c r="A96" s="9"/>
      <c r="B96" s="14"/>
      <c r="C96" s="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x14ac:dyDescent="0.2">
      <c r="A97" s="9"/>
      <c r="B97" s="14"/>
      <c r="C97" s="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x14ac:dyDescent="0.2">
      <c r="A98" s="9"/>
      <c r="B98" s="14"/>
      <c r="C98" s="7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x14ac:dyDescent="0.2">
      <c r="A99" s="9"/>
      <c r="B99" s="14"/>
      <c r="C99" s="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x14ac:dyDescent="0.2">
      <c r="A100" s="9"/>
      <c r="B100" s="14"/>
      <c r="C100" s="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x14ac:dyDescent="0.2">
      <c r="A101" s="9"/>
      <c r="B101" s="14"/>
      <c r="C101" s="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x14ac:dyDescent="0.2">
      <c r="A102" s="9"/>
      <c r="B102" s="14"/>
      <c r="C102" s="7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x14ac:dyDescent="0.2">
      <c r="A103" s="9"/>
      <c r="B103" s="14"/>
      <c r="C103" s="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x14ac:dyDescent="0.2">
      <c r="A104" s="9"/>
      <c r="B104" s="14"/>
      <c r="C104" s="7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x14ac:dyDescent="0.2">
      <c r="A105" s="9"/>
      <c r="B105" s="14"/>
      <c r="C105" s="7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x14ac:dyDescent="0.2">
      <c r="A106" s="9"/>
      <c r="B106" s="14"/>
      <c r="C106" s="7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x14ac:dyDescent="0.2">
      <c r="A107" s="9"/>
      <c r="B107" s="14"/>
      <c r="C107" s="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x14ac:dyDescent="0.2">
      <c r="A108" s="9"/>
      <c r="B108" s="14"/>
      <c r="C108" s="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x14ac:dyDescent="0.2">
      <c r="A109" s="9"/>
      <c r="B109" s="14"/>
      <c r="C109" s="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x14ac:dyDescent="0.2">
      <c r="A110" s="9"/>
      <c r="B110" s="14"/>
      <c r="C110" s="7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x14ac:dyDescent="0.2">
      <c r="A111" s="9"/>
      <c r="B111" s="14"/>
      <c r="C111" s="7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x14ac:dyDescent="0.2">
      <c r="A112" s="9"/>
      <c r="B112" s="14"/>
      <c r="C112" s="7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x14ac:dyDescent="0.2">
      <c r="A113" s="9"/>
      <c r="B113" s="14"/>
      <c r="C113" s="7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x14ac:dyDescent="0.2">
      <c r="A114" s="9"/>
      <c r="B114" s="14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x14ac:dyDescent="0.2">
      <c r="A115" s="9"/>
      <c r="B115" s="14"/>
      <c r="C115" s="7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x14ac:dyDescent="0.2">
      <c r="A116" s="9"/>
      <c r="B116" s="14"/>
      <c r="C116" s="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x14ac:dyDescent="0.2">
      <c r="A117" s="9"/>
      <c r="B117" s="14"/>
      <c r="C117" s="7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x14ac:dyDescent="0.2">
      <c r="A118" s="9"/>
      <c r="B118" s="14"/>
      <c r="C118" s="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x14ac:dyDescent="0.2">
      <c r="A119" s="9"/>
      <c r="B119" s="14"/>
      <c r="C119" s="7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x14ac:dyDescent="0.2">
      <c r="A120" s="9"/>
      <c r="B120" s="14"/>
      <c r="C120" s="7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x14ac:dyDescent="0.2">
      <c r="A121" s="9"/>
      <c r="B121" s="14"/>
      <c r="C121" s="7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x14ac:dyDescent="0.2">
      <c r="A122" s="9"/>
      <c r="B122" s="14"/>
      <c r="C122" s="7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x14ac:dyDescent="0.2">
      <c r="A123" s="9"/>
      <c r="B123" s="14"/>
      <c r="C123" s="7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x14ac:dyDescent="0.2">
      <c r="A124" s="9"/>
      <c r="B124" s="14"/>
      <c r="C124" s="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x14ac:dyDescent="0.2">
      <c r="A125" s="9"/>
      <c r="B125" s="14"/>
      <c r="C125" s="7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x14ac:dyDescent="0.2">
      <c r="A126" s="9"/>
      <c r="B126" s="14"/>
      <c r="C126" s="7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x14ac:dyDescent="0.2">
      <c r="A127" s="9"/>
      <c r="B127" s="14"/>
      <c r="C127" s="7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x14ac:dyDescent="0.2">
      <c r="A128" s="9"/>
      <c r="B128" s="14"/>
      <c r="C128" s="7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x14ac:dyDescent="0.2">
      <c r="A129" s="9"/>
      <c r="B129" s="14"/>
      <c r="C129" s="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x14ac:dyDescent="0.2">
      <c r="A130" s="9"/>
      <c r="B130" s="14"/>
      <c r="C130" s="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x14ac:dyDescent="0.2">
      <c r="A131" s="9"/>
      <c r="B131" s="14"/>
      <c r="C131" s="7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x14ac:dyDescent="0.2">
      <c r="A132" s="9"/>
      <c r="B132" s="14"/>
      <c r="C132" s="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x14ac:dyDescent="0.2">
      <c r="A133" s="9"/>
      <c r="B133" s="14"/>
      <c r="C133" s="7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x14ac:dyDescent="0.2">
      <c r="A134" s="9"/>
      <c r="B134" s="14"/>
      <c r="C134" s="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x14ac:dyDescent="0.2">
      <c r="A135" s="9"/>
      <c r="B135" s="14"/>
      <c r="C135" s="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x14ac:dyDescent="0.2">
      <c r="A136" s="9"/>
      <c r="B136" s="14"/>
      <c r="C136" s="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x14ac:dyDescent="0.2">
      <c r="A137" s="9"/>
      <c r="B137" s="14"/>
      <c r="C137" s="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x14ac:dyDescent="0.2">
      <c r="A138" s="9"/>
      <c r="B138" s="14"/>
      <c r="C138" s="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x14ac:dyDescent="0.2">
      <c r="A139" s="9"/>
      <c r="B139" s="14"/>
      <c r="C139" s="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x14ac:dyDescent="0.2">
      <c r="A140" s="9"/>
      <c r="B140" s="14"/>
      <c r="C140" s="7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x14ac:dyDescent="0.2">
      <c r="A141" s="9"/>
      <c r="B141" s="14"/>
      <c r="C141" s="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x14ac:dyDescent="0.2">
      <c r="A142" s="9"/>
      <c r="B142" s="14"/>
      <c r="C142" s="7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x14ac:dyDescent="0.2">
      <c r="A143" s="9"/>
      <c r="B143" s="14"/>
      <c r="C143" s="7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x14ac:dyDescent="0.2">
      <c r="A144" s="9"/>
      <c r="B144" s="14"/>
      <c r="C144" s="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x14ac:dyDescent="0.2">
      <c r="A145" s="9"/>
      <c r="B145" s="14"/>
      <c r="C145" s="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x14ac:dyDescent="0.2">
      <c r="A146" s="9"/>
      <c r="B146" s="14"/>
      <c r="C146" s="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x14ac:dyDescent="0.2">
      <c r="A147" s="9"/>
      <c r="B147" s="14"/>
      <c r="C147" s="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x14ac:dyDescent="0.2">
      <c r="A148" s="9"/>
      <c r="B148" s="14"/>
      <c r="C148" s="7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x14ac:dyDescent="0.2">
      <c r="A149" s="9"/>
      <c r="B149" s="14"/>
      <c r="C149" s="7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x14ac:dyDescent="0.2">
      <c r="A150" s="9"/>
      <c r="B150" s="14"/>
      <c r="C150" s="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x14ac:dyDescent="0.2">
      <c r="A151" s="9"/>
      <c r="B151" s="14"/>
      <c r="C151" s="7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x14ac:dyDescent="0.2">
      <c r="A152" s="9"/>
      <c r="B152" s="14"/>
      <c r="C152" s="7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x14ac:dyDescent="0.2">
      <c r="A153" s="9"/>
      <c r="B153" s="14"/>
      <c r="C153" s="7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x14ac:dyDescent="0.2">
      <c r="A154" s="9"/>
      <c r="B154" s="14"/>
      <c r="C154" s="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x14ac:dyDescent="0.2">
      <c r="A155" s="9"/>
      <c r="B155" s="14"/>
      <c r="C155" s="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x14ac:dyDescent="0.2">
      <c r="A156" s="9"/>
      <c r="B156" s="14"/>
      <c r="C156" s="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x14ac:dyDescent="0.2">
      <c r="A157" s="9"/>
      <c r="B157" s="14"/>
      <c r="C157" s="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x14ac:dyDescent="0.2">
      <c r="A158" s="9"/>
      <c r="B158" s="14"/>
      <c r="C158" s="7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x14ac:dyDescent="0.2">
      <c r="A159" s="9"/>
      <c r="B159" s="14"/>
      <c r="C159" s="7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x14ac:dyDescent="0.2">
      <c r="A160" s="9"/>
      <c r="B160" s="14"/>
      <c r="C160" s="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x14ac:dyDescent="0.2">
      <c r="A161" s="9"/>
      <c r="B161" s="14"/>
      <c r="C161" s="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x14ac:dyDescent="0.2">
      <c r="A162" s="9"/>
      <c r="B162" s="14"/>
      <c r="C162" s="7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x14ac:dyDescent="0.2">
      <c r="A163" s="9"/>
      <c r="B163" s="14"/>
      <c r="C163" s="7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x14ac:dyDescent="0.2">
      <c r="A164" s="9"/>
      <c r="B164" s="14"/>
      <c r="C164" s="7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x14ac:dyDescent="0.2">
      <c r="A165" s="9"/>
      <c r="B165" s="14"/>
      <c r="C165" s="7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x14ac:dyDescent="0.2">
      <c r="A166" s="9"/>
      <c r="B166" s="14"/>
      <c r="C166" s="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x14ac:dyDescent="0.2">
      <c r="A167" s="9"/>
      <c r="B167" s="14"/>
      <c r="C167" s="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x14ac:dyDescent="0.2">
      <c r="A168" s="9"/>
      <c r="B168" s="14"/>
      <c r="C168" s="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x14ac:dyDescent="0.2">
      <c r="A169" s="9"/>
      <c r="B169" s="14"/>
      <c r="C169" s="7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x14ac:dyDescent="0.2">
      <c r="A170" s="9"/>
      <c r="B170" s="14"/>
      <c r="C170" s="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x14ac:dyDescent="0.2">
      <c r="A171" s="9"/>
      <c r="B171" s="14"/>
      <c r="C171" s="7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x14ac:dyDescent="0.2">
      <c r="A172" s="12"/>
      <c r="B172" s="63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0"/>
      <c r="S172" s="10"/>
      <c r="T172" s="10"/>
      <c r="U172" s="10"/>
      <c r="V172" s="10"/>
      <c r="W172" s="10"/>
      <c r="X172" s="10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x14ac:dyDescent="0.2">
      <c r="A173" s="12"/>
      <c r="B173" s="63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0"/>
      <c r="S173" s="10"/>
      <c r="T173" s="10"/>
      <c r="U173" s="10"/>
      <c r="V173" s="10"/>
      <c r="W173" s="10"/>
      <c r="X173" s="10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x14ac:dyDescent="0.2">
      <c r="A174" s="12"/>
      <c r="B174" s="63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0"/>
      <c r="S174" s="10"/>
      <c r="T174" s="10"/>
      <c r="U174" s="10"/>
      <c r="V174" s="10"/>
      <c r="W174" s="10"/>
      <c r="X174" s="10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x14ac:dyDescent="0.2">
      <c r="A175" s="12"/>
      <c r="B175" s="63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0"/>
      <c r="S175" s="10"/>
      <c r="T175" s="10"/>
      <c r="U175" s="10"/>
      <c r="V175" s="10"/>
      <c r="W175" s="10"/>
      <c r="X175" s="10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x14ac:dyDescent="0.2">
      <c r="A176" s="12"/>
      <c r="B176" s="63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0"/>
      <c r="S176" s="10"/>
      <c r="T176" s="10"/>
      <c r="U176" s="10"/>
      <c r="V176" s="10"/>
      <c r="W176" s="10"/>
      <c r="X176" s="10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x14ac:dyDescent="0.2">
      <c r="A177" s="12"/>
      <c r="B177" s="63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0"/>
      <c r="S177" s="10"/>
      <c r="T177" s="10"/>
      <c r="U177" s="10"/>
      <c r="V177" s="10"/>
      <c r="W177" s="10"/>
      <c r="X177" s="10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x14ac:dyDescent="0.2">
      <c r="A178" s="12"/>
      <c r="B178" s="63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0"/>
      <c r="S178" s="10"/>
      <c r="T178" s="10"/>
      <c r="U178" s="10"/>
      <c r="V178" s="10"/>
      <c r="W178" s="10"/>
      <c r="X178" s="10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x14ac:dyDescent="0.2">
      <c r="A179" s="12"/>
      <c r="B179" s="63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0"/>
      <c r="S179" s="10"/>
      <c r="T179" s="10"/>
      <c r="U179" s="10"/>
      <c r="V179" s="10"/>
      <c r="W179" s="10"/>
      <c r="X179" s="10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x14ac:dyDescent="0.2">
      <c r="A180" s="12"/>
      <c r="B180" s="63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x14ac:dyDescent="0.2">
      <c r="A181" s="12"/>
      <c r="B181" s="63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x14ac:dyDescent="0.2">
      <c r="A182" s="12"/>
      <c r="B182" s="63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x14ac:dyDescent="0.2">
      <c r="A183" s="12"/>
      <c r="B183" s="63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x14ac:dyDescent="0.2">
      <c r="A184" s="12"/>
      <c r="B184" s="63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x14ac:dyDescent="0.2">
      <c r="A185" s="12"/>
      <c r="B185" s="63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x14ac:dyDescent="0.2">
      <c r="A186" s="12"/>
      <c r="B186" s="63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x14ac:dyDescent="0.2">
      <c r="A187" s="12"/>
      <c r="B187" s="63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x14ac:dyDescent="0.2">
      <c r="A188" s="12"/>
      <c r="B188" s="63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x14ac:dyDescent="0.2">
      <c r="A189" s="12"/>
      <c r="B189" s="63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x14ac:dyDescent="0.2">
      <c r="A190" s="12"/>
      <c r="B190" s="63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x14ac:dyDescent="0.2">
      <c r="A191" s="12"/>
      <c r="B191" s="63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x14ac:dyDescent="0.2">
      <c r="A192" s="12"/>
      <c r="B192" s="63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x14ac:dyDescent="0.2">
      <c r="A193" s="12"/>
      <c r="B193" s="63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x14ac:dyDescent="0.2">
      <c r="A194" s="12"/>
      <c r="B194" s="63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x14ac:dyDescent="0.2">
      <c r="A195" s="12"/>
      <c r="B195" s="63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x14ac:dyDescent="0.2">
      <c r="A196" s="12"/>
      <c r="B196" s="63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x14ac:dyDescent="0.2">
      <c r="A197" s="12"/>
      <c r="B197" s="63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x14ac:dyDescent="0.2">
      <c r="A198" s="12"/>
      <c r="B198" s="63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x14ac:dyDescent="0.2">
      <c r="A199" s="12"/>
      <c r="B199" s="63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x14ac:dyDescent="0.2">
      <c r="A200" s="12"/>
      <c r="B200" s="63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x14ac:dyDescent="0.2">
      <c r="A201" s="12"/>
      <c r="B201" s="63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x14ac:dyDescent="0.2">
      <c r="A202" s="12"/>
      <c r="B202" s="63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x14ac:dyDescent="0.2">
      <c r="A203" s="12"/>
      <c r="B203" s="63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x14ac:dyDescent="0.2">
      <c r="A204" s="12"/>
      <c r="B204" s="63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x14ac:dyDescent="0.2">
      <c r="A205" s="12"/>
      <c r="B205" s="6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x14ac:dyDescent="0.2">
      <c r="A206" s="12"/>
      <c r="B206" s="63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x14ac:dyDescent="0.2">
      <c r="A207" s="12"/>
      <c r="B207" s="63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x14ac:dyDescent="0.2">
      <c r="A208" s="12"/>
      <c r="B208" s="63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x14ac:dyDescent="0.2">
      <c r="A209" s="12"/>
      <c r="B209" s="63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x14ac:dyDescent="0.2">
      <c r="A210" s="12"/>
      <c r="B210" s="63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x14ac:dyDescent="0.2">
      <c r="A211" s="12"/>
      <c r="B211" s="63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x14ac:dyDescent="0.2">
      <c r="A212" s="12"/>
      <c r="B212" s="63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x14ac:dyDescent="0.2">
      <c r="A213" s="12"/>
      <c r="B213" s="63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x14ac:dyDescent="0.2">
      <c r="A214" s="12"/>
      <c r="B214" s="63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x14ac:dyDescent="0.2">
      <c r="A215" s="12"/>
      <c r="B215" s="63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x14ac:dyDescent="0.2">
      <c r="A216" s="12"/>
      <c r="B216" s="63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x14ac:dyDescent="0.2">
      <c r="A217" s="12"/>
      <c r="B217" s="63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x14ac:dyDescent="0.2">
      <c r="A218" s="12"/>
      <c r="B218" s="63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x14ac:dyDescent="0.2">
      <c r="A219" s="12"/>
      <c r="B219" s="63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x14ac:dyDescent="0.2">
      <c r="A220" s="12"/>
      <c r="B220" s="63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x14ac:dyDescent="0.2">
      <c r="A221" s="12"/>
      <c r="B221" s="63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x14ac:dyDescent="0.2">
      <c r="A222" s="12"/>
      <c r="B222" s="63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21"/>
      <c r="Q222" s="18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x14ac:dyDescent="0.2">
      <c r="A223" s="12"/>
      <c r="B223" s="63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x14ac:dyDescent="0.2">
      <c r="A224" s="12"/>
      <c r="B224" s="63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x14ac:dyDescent="0.2">
      <c r="A225" s="12"/>
      <c r="B225" s="63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x14ac:dyDescent="0.2">
      <c r="A226" s="12"/>
      <c r="B226" s="63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x14ac:dyDescent="0.2">
      <c r="A227" s="12"/>
      <c r="B227" s="6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x14ac:dyDescent="0.2">
      <c r="A228" s="12"/>
      <c r="B228" s="63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x14ac:dyDescent="0.2">
      <c r="A229" s="12"/>
      <c r="B229" s="63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x14ac:dyDescent="0.2">
      <c r="A230" s="12"/>
      <c r="B230" s="63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x14ac:dyDescent="0.2">
      <c r="A231" s="12"/>
      <c r="B231" s="63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x14ac:dyDescent="0.2">
      <c r="A232" s="12"/>
      <c r="B232" s="63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x14ac:dyDescent="0.2">
      <c r="A233" s="12"/>
      <c r="B233" s="63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x14ac:dyDescent="0.2">
      <c r="A234" s="12"/>
      <c r="B234" s="63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x14ac:dyDescent="0.2">
      <c r="A235" s="12"/>
      <c r="B235" s="63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x14ac:dyDescent="0.2">
      <c r="A236" s="12"/>
      <c r="B236" s="63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x14ac:dyDescent="0.2">
      <c r="A237" s="12"/>
      <c r="B237" s="63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x14ac:dyDescent="0.2">
      <c r="A238" s="12"/>
      <c r="B238" s="63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x14ac:dyDescent="0.2">
      <c r="A239" s="12"/>
      <c r="B239" s="63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x14ac:dyDescent="0.2">
      <c r="A240" s="12"/>
      <c r="B240" s="63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x14ac:dyDescent="0.2">
      <c r="A241" s="12"/>
      <c r="B241" s="63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x14ac:dyDescent="0.2">
      <c r="A242" s="12"/>
      <c r="B242" s="63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x14ac:dyDescent="0.2">
      <c r="A243" s="12"/>
      <c r="B243" s="63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x14ac:dyDescent="0.2">
      <c r="A244" s="12"/>
      <c r="B244" s="63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x14ac:dyDescent="0.2">
      <c r="A245" s="12"/>
      <c r="B245" s="63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x14ac:dyDescent="0.2">
      <c r="A246" s="12"/>
      <c r="B246" s="63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x14ac:dyDescent="0.2">
      <c r="A247" s="12"/>
      <c r="B247" s="63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x14ac:dyDescent="0.2">
      <c r="A248" s="12"/>
      <c r="B248" s="63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x14ac:dyDescent="0.2">
      <c r="A249" s="63"/>
      <c r="B249" s="63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x14ac:dyDescent="0.2">
      <c r="A250" s="63"/>
      <c r="B250" s="63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x14ac:dyDescent="0.2">
      <c r="A251" s="63"/>
      <c r="B251" s="63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x14ac:dyDescent="0.2">
      <c r="A252" s="63"/>
      <c r="B252" s="63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x14ac:dyDescent="0.2">
      <c r="A253" s="63"/>
      <c r="B253" s="6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x14ac:dyDescent="0.2">
      <c r="A254" s="63"/>
      <c r="B254" s="63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x14ac:dyDescent="0.2">
      <c r="A255" s="63"/>
      <c r="B255" s="63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x14ac:dyDescent="0.2">
      <c r="A256" s="63"/>
      <c r="B256" s="63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x14ac:dyDescent="0.2">
      <c r="A257" s="63"/>
      <c r="B257" s="63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x14ac:dyDescent="0.2">
      <c r="A258" s="63"/>
      <c r="B258" s="63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x14ac:dyDescent="0.2">
      <c r="A259" s="63"/>
      <c r="B259" s="63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x14ac:dyDescent="0.2">
      <c r="A260" s="63"/>
      <c r="B260" s="63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x14ac:dyDescent="0.2">
      <c r="A261" s="63"/>
      <c r="B261" s="63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x14ac:dyDescent="0.2">
      <c r="A262" s="63"/>
      <c r="B262" s="63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x14ac:dyDescent="0.2">
      <c r="A263" s="63"/>
      <c r="B263" s="63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x14ac:dyDescent="0.2">
      <c r="A264" s="63"/>
      <c r="B264" s="63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x14ac:dyDescent="0.2">
      <c r="A265" s="63"/>
      <c r="B265" s="63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x14ac:dyDescent="0.2">
      <c r="A266" s="63"/>
      <c r="B266" s="63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x14ac:dyDescent="0.2">
      <c r="A267" s="63"/>
      <c r="B267" s="63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x14ac:dyDescent="0.2">
      <c r="A268" s="63"/>
      <c r="B268" s="63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x14ac:dyDescent="0.2">
      <c r="A269" s="63"/>
      <c r="B269" s="63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x14ac:dyDescent="0.2">
      <c r="A270" s="63"/>
      <c r="B270" s="63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x14ac:dyDescent="0.2">
      <c r="A271" s="63"/>
      <c r="B271" s="63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x14ac:dyDescent="0.2">
      <c r="A272" s="63"/>
      <c r="B272" s="63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x14ac:dyDescent="0.2">
      <c r="A273" s="63"/>
      <c r="B273" s="63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x14ac:dyDescent="0.2">
      <c r="A274" s="63"/>
      <c r="B274" s="63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x14ac:dyDescent="0.2">
      <c r="A275" s="63"/>
      <c r="B275" s="63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x14ac:dyDescent="0.2">
      <c r="A276" s="63"/>
      <c r="B276" s="63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21"/>
      <c r="Q276" s="18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25.5" customHeight="1" x14ac:dyDescent="0.2">
      <c r="A277" s="63"/>
      <c r="B277" s="63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x14ac:dyDescent="0.2">
      <c r="A278" s="63"/>
      <c r="B278" s="63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x14ac:dyDescent="0.2">
      <c r="A279" s="63"/>
      <c r="B279" s="63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x14ac:dyDescent="0.2">
      <c r="A280" s="63"/>
      <c r="B280" s="63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x14ac:dyDescent="0.2">
      <c r="A281" s="63"/>
      <c r="B281" s="63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x14ac:dyDescent="0.2">
      <c r="A282" s="63"/>
      <c r="B282" s="63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x14ac:dyDescent="0.2">
      <c r="A283" s="63"/>
      <c r="B283" s="63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x14ac:dyDescent="0.2">
      <c r="A284" s="63"/>
      <c r="B284" s="63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x14ac:dyDescent="0.2">
      <c r="A285" s="63"/>
      <c r="B285" s="63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x14ac:dyDescent="0.2">
      <c r="A286" s="63"/>
      <c r="B286" s="63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x14ac:dyDescent="0.2">
      <c r="A287" s="63"/>
      <c r="B287" s="63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x14ac:dyDescent="0.2">
      <c r="A288" s="63"/>
      <c r="B288" s="63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x14ac:dyDescent="0.2">
      <c r="A289" s="63"/>
      <c r="B289" s="63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x14ac:dyDescent="0.2">
      <c r="A290" s="63"/>
      <c r="B290" s="63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x14ac:dyDescent="0.2">
      <c r="A291" s="63"/>
      <c r="B291" s="63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x14ac:dyDescent="0.2">
      <c r="A292" s="63"/>
      <c r="B292" s="63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x14ac:dyDescent="0.2">
      <c r="A293" s="63"/>
      <c r="B293" s="63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x14ac:dyDescent="0.2">
      <c r="A294" s="63"/>
      <c r="B294" s="63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x14ac:dyDescent="0.2">
      <c r="A295" s="63"/>
      <c r="B295" s="63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x14ac:dyDescent="0.2">
      <c r="A296" s="63"/>
      <c r="B296" s="63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x14ac:dyDescent="0.2">
      <c r="A297" s="63"/>
      <c r="B297" s="63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x14ac:dyDescent="0.2">
      <c r="A298" s="63"/>
      <c r="B298" s="63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x14ac:dyDescent="0.2">
      <c r="A299" s="63"/>
      <c r="B299" s="63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x14ac:dyDescent="0.2">
      <c r="A300" s="63"/>
      <c r="B300" s="63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x14ac:dyDescent="0.2">
      <c r="A301" s="63"/>
      <c r="B301" s="63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x14ac:dyDescent="0.2">
      <c r="A302" s="63"/>
      <c r="B302" s="63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x14ac:dyDescent="0.2">
      <c r="A303" s="63"/>
      <c r="B303" s="63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x14ac:dyDescent="0.2">
      <c r="A304" s="63"/>
      <c r="B304" s="63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x14ac:dyDescent="0.2">
      <c r="A305" s="63"/>
      <c r="B305" s="63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x14ac:dyDescent="0.2">
      <c r="A306" s="63"/>
      <c r="B306" s="63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x14ac:dyDescent="0.2">
      <c r="A307" s="63"/>
      <c r="B307" s="63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x14ac:dyDescent="0.2">
      <c r="A308" s="63"/>
      <c r="B308" s="63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x14ac:dyDescent="0.2">
      <c r="A309" s="63"/>
      <c r="B309" s="63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x14ac:dyDescent="0.2">
      <c r="A310" s="63"/>
      <c r="B310" s="63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x14ac:dyDescent="0.2">
      <c r="A311" s="63"/>
      <c r="B311" s="63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x14ac:dyDescent="0.2">
      <c r="A312" s="63"/>
      <c r="B312" s="63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x14ac:dyDescent="0.2">
      <c r="A313" s="63"/>
      <c r="B313" s="63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x14ac:dyDescent="0.2">
      <c r="A314" s="63"/>
      <c r="B314" s="63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x14ac:dyDescent="0.2">
      <c r="A315" s="63"/>
      <c r="B315" s="63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x14ac:dyDescent="0.2">
      <c r="A316" s="63"/>
      <c r="B316" s="63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x14ac:dyDescent="0.2">
      <c r="A317" s="63"/>
      <c r="B317" s="63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x14ac:dyDescent="0.2">
      <c r="A318" s="63"/>
      <c r="B318" s="63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x14ac:dyDescent="0.2">
      <c r="A319" s="63"/>
      <c r="B319" s="63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x14ac:dyDescent="0.2">
      <c r="A320" s="63"/>
      <c r="B320" s="63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x14ac:dyDescent="0.2">
      <c r="A321" s="63"/>
      <c r="B321" s="63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x14ac:dyDescent="0.2">
      <c r="A322" s="63"/>
      <c r="B322" s="63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x14ac:dyDescent="0.2">
      <c r="A323" s="63"/>
      <c r="B323" s="63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x14ac:dyDescent="0.2">
      <c r="A324" s="63"/>
      <c r="B324" s="63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x14ac:dyDescent="0.2">
      <c r="A325" s="63"/>
      <c r="B325" s="63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x14ac:dyDescent="0.2">
      <c r="A326" s="63"/>
      <c r="B326" s="63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x14ac:dyDescent="0.2">
      <c r="A327" s="63"/>
      <c r="B327" s="63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x14ac:dyDescent="0.2">
      <c r="A328" s="63"/>
      <c r="B328" s="63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x14ac:dyDescent="0.2">
      <c r="A329" s="63"/>
      <c r="B329" s="63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x14ac:dyDescent="0.2">
      <c r="A330" s="63"/>
      <c r="B330" s="63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x14ac:dyDescent="0.2">
      <c r="A331" s="63"/>
      <c r="B331" s="63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x14ac:dyDescent="0.2">
      <c r="A332" s="63"/>
      <c r="B332" s="63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x14ac:dyDescent="0.2">
      <c r="A333" s="63"/>
      <c r="B333" s="63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x14ac:dyDescent="0.2">
      <c r="A334" s="63"/>
      <c r="B334" s="63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x14ac:dyDescent="0.2">
      <c r="A335" s="63"/>
      <c r="B335" s="63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x14ac:dyDescent="0.2">
      <c r="A336" s="63"/>
      <c r="B336" s="63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x14ac:dyDescent="0.2">
      <c r="A337" s="63"/>
      <c r="B337" s="63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x14ac:dyDescent="0.2">
      <c r="A338" s="63"/>
      <c r="B338" s="63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x14ac:dyDescent="0.2">
      <c r="A339" s="63"/>
      <c r="B339" s="63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x14ac:dyDescent="0.2">
      <c r="A340" s="63"/>
      <c r="B340" s="63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x14ac:dyDescent="0.2">
      <c r="A341" s="63"/>
      <c r="B341" s="63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x14ac:dyDescent="0.2">
      <c r="A342" s="63"/>
      <c r="B342" s="63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x14ac:dyDescent="0.2">
      <c r="A343" s="63"/>
      <c r="B343" s="63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x14ac:dyDescent="0.2">
      <c r="A344" s="63"/>
      <c r="B344" s="63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x14ac:dyDescent="0.2">
      <c r="A345" s="63"/>
      <c r="B345" s="63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x14ac:dyDescent="0.2">
      <c r="A346" s="63"/>
      <c r="B346" s="63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x14ac:dyDescent="0.2">
      <c r="A347" s="63"/>
      <c r="B347" s="63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x14ac:dyDescent="0.2">
      <c r="A348" s="63"/>
      <c r="B348" s="63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x14ac:dyDescent="0.2">
      <c r="A349" s="63"/>
      <c r="B349" s="63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x14ac:dyDescent="0.2">
      <c r="A350" s="63"/>
      <c r="B350" s="63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x14ac:dyDescent="0.2">
      <c r="A351" s="63"/>
      <c r="B351" s="63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x14ac:dyDescent="0.2">
      <c r="A352" s="63"/>
      <c r="B352" s="63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x14ac:dyDescent="0.2">
      <c r="A353" s="63"/>
      <c r="B353" s="63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x14ac:dyDescent="0.2">
      <c r="A354" s="63"/>
      <c r="B354" s="63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x14ac:dyDescent="0.2">
      <c r="A355" s="63"/>
      <c r="B355" s="63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x14ac:dyDescent="0.2">
      <c r="A356" s="63"/>
      <c r="B356" s="63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x14ac:dyDescent="0.2">
      <c r="A357" s="63"/>
      <c r="B357" s="63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x14ac:dyDescent="0.2">
      <c r="A358" s="63"/>
      <c r="B358" s="63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x14ac:dyDescent="0.2">
      <c r="A359" s="63"/>
      <c r="B359" s="63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x14ac:dyDescent="0.2">
      <c r="A360" s="63"/>
      <c r="B360" s="63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x14ac:dyDescent="0.2">
      <c r="A361" s="63"/>
      <c r="B361" s="63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x14ac:dyDescent="0.2">
      <c r="A362" s="63"/>
      <c r="B362" s="63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x14ac:dyDescent="0.2">
      <c r="A363" s="63"/>
      <c r="B363" s="63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x14ac:dyDescent="0.2">
      <c r="A364" s="63"/>
      <c r="B364" s="63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x14ac:dyDescent="0.2">
      <c r="A365" s="63"/>
      <c r="B365" s="63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x14ac:dyDescent="0.2">
      <c r="A366" s="63"/>
      <c r="B366" s="63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x14ac:dyDescent="0.2">
      <c r="A367" s="63"/>
      <c r="B367" s="63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x14ac:dyDescent="0.2">
      <c r="A368" s="63"/>
      <c r="B368" s="63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x14ac:dyDescent="0.2">
      <c r="A369" s="63"/>
      <c r="B369" s="63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x14ac:dyDescent="0.2">
      <c r="A370" s="63"/>
      <c r="B370" s="63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x14ac:dyDescent="0.2">
      <c r="A371" s="63"/>
      <c r="B371" s="63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x14ac:dyDescent="0.2">
      <c r="A372" s="63"/>
      <c r="B372" s="63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x14ac:dyDescent="0.2">
      <c r="A373" s="63"/>
      <c r="B373" s="63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x14ac:dyDescent="0.2">
      <c r="A374" s="63"/>
      <c r="B374" s="63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x14ac:dyDescent="0.2">
      <c r="A375" s="63"/>
      <c r="B375" s="63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x14ac:dyDescent="0.2">
      <c r="A376" s="63"/>
      <c r="B376" s="63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x14ac:dyDescent="0.2">
      <c r="A377" s="63"/>
      <c r="B377" s="63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x14ac:dyDescent="0.2">
      <c r="A378" s="63"/>
      <c r="B378" s="63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x14ac:dyDescent="0.2">
      <c r="A379" s="63"/>
      <c r="B379" s="63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x14ac:dyDescent="0.2">
      <c r="A380" s="63"/>
      <c r="B380" s="63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x14ac:dyDescent="0.2">
      <c r="A381" s="63"/>
      <c r="B381" s="63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x14ac:dyDescent="0.2">
      <c r="A382" s="63"/>
      <c r="B382" s="63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x14ac:dyDescent="0.2">
      <c r="A383" s="63"/>
      <c r="B383" s="63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x14ac:dyDescent="0.2">
      <c r="A384" s="63"/>
      <c r="B384" s="63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x14ac:dyDescent="0.2">
      <c r="A385" s="63"/>
      <c r="B385" s="63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x14ac:dyDescent="0.2">
      <c r="A386" s="63"/>
      <c r="B386" s="63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x14ac:dyDescent="0.2">
      <c r="A387" s="63"/>
      <c r="B387" s="63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x14ac:dyDescent="0.2">
      <c r="A388" s="63"/>
      <c r="B388" s="63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x14ac:dyDescent="0.2">
      <c r="A389" s="63"/>
      <c r="B389" s="63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x14ac:dyDescent="0.2">
      <c r="A390" s="63"/>
      <c r="B390" s="63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x14ac:dyDescent="0.2">
      <c r="A391" s="63"/>
      <c r="B391" s="63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x14ac:dyDescent="0.2">
      <c r="A392" s="63"/>
      <c r="B392" s="63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x14ac:dyDescent="0.2">
      <c r="A393" s="63"/>
      <c r="B393" s="63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x14ac:dyDescent="0.2">
      <c r="A394" s="63"/>
      <c r="B394" s="63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x14ac:dyDescent="0.2">
      <c r="A395" s="63"/>
      <c r="B395" s="63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x14ac:dyDescent="0.2">
      <c r="A396" s="63"/>
      <c r="B396" s="63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x14ac:dyDescent="0.2">
      <c r="A397" s="63"/>
      <c r="B397" s="63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x14ac:dyDescent="0.2">
      <c r="A398" s="63"/>
      <c r="B398" s="63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x14ac:dyDescent="0.2">
      <c r="A399" s="63"/>
      <c r="B399" s="63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x14ac:dyDescent="0.2">
      <c r="A400" s="63"/>
      <c r="B400" s="63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x14ac:dyDescent="0.2">
      <c r="A401" s="63"/>
      <c r="B401" s="63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x14ac:dyDescent="0.2">
      <c r="A402" s="63"/>
      <c r="B402" s="63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x14ac:dyDescent="0.2">
      <c r="A403" s="63"/>
      <c r="B403" s="63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x14ac:dyDescent="0.2">
      <c r="A404" s="63"/>
      <c r="B404" s="63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x14ac:dyDescent="0.2">
      <c r="A405" s="63"/>
      <c r="B405" s="63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x14ac:dyDescent="0.2">
      <c r="A406" s="63"/>
      <c r="B406" s="63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x14ac:dyDescent="0.2">
      <c r="A407" s="63"/>
      <c r="B407" s="63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x14ac:dyDescent="0.2">
      <c r="A408" s="63"/>
      <c r="B408" s="63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x14ac:dyDescent="0.2">
      <c r="A409" s="63"/>
      <c r="B409" s="63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x14ac:dyDescent="0.2">
      <c r="A410" s="63"/>
      <c r="B410" s="63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x14ac:dyDescent="0.2">
      <c r="A411" s="63"/>
      <c r="B411" s="63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x14ac:dyDescent="0.2">
      <c r="A412" s="63"/>
      <c r="B412" s="63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x14ac:dyDescent="0.2">
      <c r="A413" s="63"/>
      <c r="B413" s="63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x14ac:dyDescent="0.2">
      <c r="A414" s="63"/>
      <c r="B414" s="63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x14ac:dyDescent="0.2">
      <c r="A415" s="63"/>
      <c r="B415" s="63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x14ac:dyDescent="0.2">
      <c r="A416" s="63"/>
      <c r="B416" s="63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x14ac:dyDescent="0.2">
      <c r="A417" s="63"/>
      <c r="B417" s="63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x14ac:dyDescent="0.2">
      <c r="A418" s="63"/>
      <c r="B418" s="63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x14ac:dyDescent="0.2">
      <c r="A419" s="63"/>
      <c r="B419" s="63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x14ac:dyDescent="0.2">
      <c r="A420" s="63"/>
      <c r="B420" s="63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x14ac:dyDescent="0.2">
      <c r="A421" s="63"/>
      <c r="B421" s="63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x14ac:dyDescent="0.2">
      <c r="A422" s="63"/>
      <c r="B422" s="63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x14ac:dyDescent="0.2">
      <c r="A423" s="63"/>
      <c r="B423" s="63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x14ac:dyDescent="0.2">
      <c r="A424" s="63"/>
      <c r="B424" s="63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x14ac:dyDescent="0.2">
      <c r="A425" s="63"/>
      <c r="B425" s="63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x14ac:dyDescent="0.2">
      <c r="A426" s="63"/>
      <c r="B426" s="63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x14ac:dyDescent="0.2">
      <c r="A427" s="63"/>
      <c r="B427" s="63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x14ac:dyDescent="0.2">
      <c r="A428" s="63"/>
      <c r="B428" s="63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x14ac:dyDescent="0.2">
      <c r="A429" s="63"/>
      <c r="B429" s="63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x14ac:dyDescent="0.2">
      <c r="A430" s="63"/>
      <c r="B430" s="63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x14ac:dyDescent="0.2">
      <c r="A431" s="63"/>
      <c r="B431" s="63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x14ac:dyDescent="0.2">
      <c r="A432" s="63"/>
      <c r="B432" s="63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x14ac:dyDescent="0.2">
      <c r="A433" s="63"/>
      <c r="B433" s="63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x14ac:dyDescent="0.2">
      <c r="A434" s="63"/>
      <c r="B434" s="63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x14ac:dyDescent="0.2">
      <c r="A435" s="63"/>
      <c r="B435" s="63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x14ac:dyDescent="0.2">
      <c r="A436" s="63"/>
      <c r="B436" s="63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x14ac:dyDescent="0.2">
      <c r="A437" s="63"/>
      <c r="B437" s="63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x14ac:dyDescent="0.2">
      <c r="A438" s="63"/>
      <c r="B438" s="63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x14ac:dyDescent="0.2">
      <c r="A439" s="63"/>
      <c r="B439" s="63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x14ac:dyDescent="0.2">
      <c r="A440" s="63"/>
      <c r="B440" s="63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x14ac:dyDescent="0.2">
      <c r="A441" s="63"/>
      <c r="B441" s="63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x14ac:dyDescent="0.2">
      <c r="A442" s="63"/>
      <c r="B442" s="63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x14ac:dyDescent="0.2">
      <c r="A443" s="63"/>
      <c r="B443" s="63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x14ac:dyDescent="0.2">
      <c r="A444" s="63"/>
      <c r="B444" s="63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x14ac:dyDescent="0.2">
      <c r="A445" s="63"/>
      <c r="B445" s="63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x14ac:dyDescent="0.2">
      <c r="A446" s="63"/>
      <c r="B446" s="63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x14ac:dyDescent="0.2">
      <c r="A447" s="63"/>
      <c r="B447" s="63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x14ac:dyDescent="0.2">
      <c r="A448" s="63"/>
      <c r="B448" s="63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x14ac:dyDescent="0.2">
      <c r="A449" s="63"/>
      <c r="B449" s="63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x14ac:dyDescent="0.2">
      <c r="A450" s="63"/>
      <c r="B450" s="63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x14ac:dyDescent="0.2">
      <c r="A451" s="63"/>
      <c r="B451" s="63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x14ac:dyDescent="0.2">
      <c r="A452" s="63"/>
      <c r="B452" s="63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x14ac:dyDescent="0.2">
      <c r="A453" s="63"/>
      <c r="B453" s="63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x14ac:dyDescent="0.2">
      <c r="A454" s="63"/>
      <c r="B454" s="63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x14ac:dyDescent="0.2">
      <c r="A455" s="63"/>
      <c r="B455" s="63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x14ac:dyDescent="0.2">
      <c r="A456" s="63"/>
      <c r="B456" s="63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x14ac:dyDescent="0.2">
      <c r="A457" s="63"/>
      <c r="B457" s="63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x14ac:dyDescent="0.2">
      <c r="A458" s="63"/>
      <c r="B458" s="63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x14ac:dyDescent="0.2">
      <c r="A459" s="63"/>
      <c r="B459" s="63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x14ac:dyDescent="0.2">
      <c r="A460" s="63"/>
      <c r="B460" s="63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x14ac:dyDescent="0.2">
      <c r="A461" s="63"/>
      <c r="B461" s="63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x14ac:dyDescent="0.2">
      <c r="A462" s="63"/>
      <c r="B462" s="63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x14ac:dyDescent="0.2">
      <c r="A463" s="63"/>
      <c r="B463" s="63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x14ac:dyDescent="0.2">
      <c r="A464" s="63"/>
      <c r="B464" s="63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x14ac:dyDescent="0.2">
      <c r="A465" s="63"/>
      <c r="B465" s="63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x14ac:dyDescent="0.2">
      <c r="A466" s="63"/>
      <c r="B466" s="63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x14ac:dyDescent="0.2">
      <c r="A467" s="63"/>
      <c r="B467" s="63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x14ac:dyDescent="0.2">
      <c r="A468" s="63"/>
      <c r="B468" s="63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x14ac:dyDescent="0.2">
      <c r="A469" s="63"/>
      <c r="B469" s="63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x14ac:dyDescent="0.2">
      <c r="A470" s="63"/>
      <c r="B470" s="63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x14ac:dyDescent="0.2">
      <c r="A471" s="63"/>
      <c r="B471" s="63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x14ac:dyDescent="0.2">
      <c r="A472" s="63"/>
      <c r="B472" s="63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x14ac:dyDescent="0.2">
      <c r="A473" s="63"/>
      <c r="B473" s="63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x14ac:dyDescent="0.2">
      <c r="A474" s="63"/>
      <c r="B474" s="63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x14ac:dyDescent="0.2">
      <c r="A475" s="63"/>
      <c r="B475" s="63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x14ac:dyDescent="0.2">
      <c r="A476" s="63"/>
      <c r="B476" s="63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x14ac:dyDescent="0.2">
      <c r="A477" s="63"/>
      <c r="B477" s="63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x14ac:dyDescent="0.2">
      <c r="A478" s="63"/>
      <c r="B478" s="63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x14ac:dyDescent="0.2">
      <c r="A479" s="63"/>
      <c r="B479" s="63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x14ac:dyDescent="0.2">
      <c r="A480" s="63"/>
      <c r="B480" s="63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x14ac:dyDescent="0.2">
      <c r="A481" s="63"/>
      <c r="B481" s="63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x14ac:dyDescent="0.2">
      <c r="A482" s="63"/>
      <c r="B482" s="63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x14ac:dyDescent="0.2">
      <c r="A483" s="63"/>
      <c r="B483" s="63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x14ac:dyDescent="0.2">
      <c r="A484" s="63"/>
      <c r="B484" s="63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x14ac:dyDescent="0.2">
      <c r="A485" s="63"/>
      <c r="B485" s="63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x14ac:dyDescent="0.2">
      <c r="A486" s="63"/>
      <c r="B486" s="63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x14ac:dyDescent="0.2">
      <c r="A487" s="63"/>
      <c r="B487" s="63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x14ac:dyDescent="0.2">
      <c r="A488" s="63"/>
      <c r="B488" s="63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x14ac:dyDescent="0.2">
      <c r="A489" s="63"/>
      <c r="B489" s="63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x14ac:dyDescent="0.2">
      <c r="A490" s="63"/>
      <c r="B490" s="63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x14ac:dyDescent="0.2">
      <c r="A491" s="63"/>
      <c r="B491" s="63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x14ac:dyDescent="0.2">
      <c r="A492" s="63"/>
      <c r="B492" s="63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x14ac:dyDescent="0.2">
      <c r="A493" s="63"/>
      <c r="B493" s="63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x14ac:dyDescent="0.2">
      <c r="A494" s="63"/>
      <c r="B494" s="63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x14ac:dyDescent="0.2">
      <c r="A495" s="63"/>
      <c r="B495" s="63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x14ac:dyDescent="0.2">
      <c r="A496" s="63"/>
      <c r="B496" s="63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x14ac:dyDescent="0.2">
      <c r="A497" s="63"/>
      <c r="B497" s="63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x14ac:dyDescent="0.2">
      <c r="A498" s="63"/>
      <c r="B498" s="63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x14ac:dyDescent="0.2">
      <c r="A499" s="63"/>
      <c r="B499" s="63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x14ac:dyDescent="0.2">
      <c r="A500" s="63"/>
      <c r="B500" s="63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x14ac:dyDescent="0.2">
      <c r="A501" s="63"/>
      <c r="B501" s="63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x14ac:dyDescent="0.2">
      <c r="A502" s="63"/>
      <c r="B502" s="63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x14ac:dyDescent="0.2">
      <c r="A503" s="63"/>
      <c r="B503" s="63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x14ac:dyDescent="0.2">
      <c r="A504" s="63"/>
      <c r="B504" s="63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x14ac:dyDescent="0.2">
      <c r="A505" s="63"/>
      <c r="B505" s="63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x14ac:dyDescent="0.2">
      <c r="A506" s="63"/>
      <c r="B506" s="63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x14ac:dyDescent="0.2">
      <c r="A507" s="63"/>
      <c r="B507" s="63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x14ac:dyDescent="0.2">
      <c r="A508" s="63"/>
      <c r="B508" s="63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x14ac:dyDescent="0.2">
      <c r="A509" s="63"/>
      <c r="B509" s="63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x14ac:dyDescent="0.2">
      <c r="A510" s="63"/>
      <c r="B510" s="63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x14ac:dyDescent="0.2">
      <c r="A511" s="63"/>
      <c r="B511" s="63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x14ac:dyDescent="0.2">
      <c r="A512" s="63"/>
      <c r="B512" s="63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x14ac:dyDescent="0.2">
      <c r="A513" s="63"/>
      <c r="B513" s="63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x14ac:dyDescent="0.2">
      <c r="A514" s="63"/>
      <c r="B514" s="63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x14ac:dyDescent="0.2">
      <c r="A515" s="63"/>
      <c r="B515" s="63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x14ac:dyDescent="0.2">
      <c r="A516" s="63"/>
      <c r="B516" s="63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x14ac:dyDescent="0.2">
      <c r="A517" s="63"/>
      <c r="B517" s="63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x14ac:dyDescent="0.2">
      <c r="A518" s="63"/>
      <c r="B518" s="63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x14ac:dyDescent="0.2">
      <c r="A519" s="63"/>
      <c r="B519" s="63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x14ac:dyDescent="0.2">
      <c r="A520" s="63"/>
      <c r="B520" s="63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x14ac:dyDescent="0.2">
      <c r="A521" s="63"/>
      <c r="B521" s="63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x14ac:dyDescent="0.2">
      <c r="A522" s="63"/>
      <c r="B522" s="63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x14ac:dyDescent="0.2">
      <c r="A523" s="63"/>
      <c r="B523" s="63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x14ac:dyDescent="0.2">
      <c r="A524" s="63"/>
      <c r="B524" s="63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x14ac:dyDescent="0.2">
      <c r="A525" s="14"/>
      <c r="B525" s="14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x14ac:dyDescent="0.2">
      <c r="A526" s="14"/>
      <c r="B526" s="14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</sheetData>
  <mergeCells count="15">
    <mergeCell ref="A7:P7"/>
    <mergeCell ref="A6:P6"/>
    <mergeCell ref="A5:P5"/>
    <mergeCell ref="A4:P4"/>
    <mergeCell ref="A2:P2"/>
    <mergeCell ref="A3:P3"/>
    <mergeCell ref="A82:D82"/>
    <mergeCell ref="O9:O10"/>
    <mergeCell ref="P9:P10"/>
    <mergeCell ref="A9:A10"/>
    <mergeCell ref="B9:B10"/>
    <mergeCell ref="C9:C10"/>
    <mergeCell ref="L9:N9"/>
    <mergeCell ref="E9:K9"/>
    <mergeCell ref="D9:D10"/>
  </mergeCells>
  <pageMargins left="0.70866141732283472" right="0.70866141732283472" top="1.299212598425197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44"/>
  <sheetViews>
    <sheetView workbookViewId="0">
      <selection activeCell="D31" sqref="D31"/>
    </sheetView>
  </sheetViews>
  <sheetFormatPr baseColWidth="10" defaultRowHeight="12.75" x14ac:dyDescent="0.2"/>
  <cols>
    <col min="2" max="2" width="36.140625" customWidth="1"/>
    <col min="3" max="3" width="34.140625" customWidth="1"/>
    <col min="4" max="4" width="27" customWidth="1"/>
    <col min="5" max="5" width="14.28515625" customWidth="1"/>
  </cols>
  <sheetData>
    <row r="2" spans="1:9" x14ac:dyDescent="0.2">
      <c r="A2" s="314" t="s">
        <v>1051</v>
      </c>
      <c r="B2" s="314"/>
      <c r="C2" s="314"/>
      <c r="D2" s="314"/>
      <c r="E2" s="314"/>
    </row>
    <row r="3" spans="1:9" x14ac:dyDescent="0.2">
      <c r="A3" s="310" t="s">
        <v>1052</v>
      </c>
      <c r="B3" s="310"/>
      <c r="C3" s="310"/>
      <c r="D3" s="310"/>
      <c r="E3" s="310"/>
    </row>
    <row r="4" spans="1:9" x14ac:dyDescent="0.2">
      <c r="A4" s="309" t="s">
        <v>1053</v>
      </c>
      <c r="B4" s="309"/>
      <c r="C4" s="309"/>
      <c r="D4" s="309"/>
      <c r="E4" s="309"/>
    </row>
    <row r="5" spans="1:9" x14ac:dyDescent="0.2">
      <c r="A5" s="256"/>
      <c r="B5" s="310" t="s">
        <v>1054</v>
      </c>
      <c r="C5" s="310"/>
      <c r="D5" s="310"/>
      <c r="E5" s="310"/>
      <c r="F5" s="166"/>
      <c r="G5" s="166"/>
      <c r="H5" s="166"/>
      <c r="I5" s="166"/>
    </row>
    <row r="6" spans="1:9" x14ac:dyDescent="0.2">
      <c r="A6" s="256"/>
      <c r="B6" s="310" t="s">
        <v>1055</v>
      </c>
      <c r="C6" s="310"/>
      <c r="D6" s="310"/>
      <c r="E6" s="310"/>
      <c r="F6" s="166"/>
      <c r="G6" s="166"/>
      <c r="H6" s="166"/>
      <c r="I6" s="166"/>
    </row>
    <row r="7" spans="1:9" x14ac:dyDescent="0.2">
      <c r="A7" s="315" t="s">
        <v>1056</v>
      </c>
      <c r="B7" s="315"/>
      <c r="C7" s="315"/>
      <c r="D7" s="315"/>
      <c r="E7" s="315"/>
      <c r="F7" s="166"/>
      <c r="G7" s="166"/>
      <c r="H7" s="166"/>
      <c r="I7" s="166"/>
    </row>
    <row r="8" spans="1:9" ht="13.5" thickBot="1" x14ac:dyDescent="0.25">
      <c r="A8" s="166"/>
      <c r="B8" s="166"/>
      <c r="C8" s="166"/>
      <c r="D8" s="166"/>
      <c r="E8" s="166"/>
      <c r="F8" s="166"/>
      <c r="G8" s="166"/>
      <c r="H8" s="166"/>
      <c r="I8" s="166"/>
    </row>
    <row r="9" spans="1:9" ht="13.5" thickBot="1" x14ac:dyDescent="0.25">
      <c r="A9" s="316" t="s">
        <v>5</v>
      </c>
      <c r="B9" s="317" t="s">
        <v>11</v>
      </c>
      <c r="C9" s="317" t="s">
        <v>1057</v>
      </c>
      <c r="D9" s="318" t="s">
        <v>12</v>
      </c>
      <c r="E9" s="318" t="s">
        <v>1058</v>
      </c>
    </row>
    <row r="10" spans="1:9" x14ac:dyDescent="0.2">
      <c r="A10" s="319"/>
      <c r="B10" s="320"/>
      <c r="C10" s="321"/>
      <c r="D10" s="322"/>
      <c r="E10" s="322"/>
    </row>
    <row r="11" spans="1:9" ht="24.75" customHeight="1" x14ac:dyDescent="0.2">
      <c r="A11" s="323">
        <v>1</v>
      </c>
      <c r="B11" s="324" t="s">
        <v>1059</v>
      </c>
      <c r="C11" s="325" t="s">
        <v>1060</v>
      </c>
      <c r="D11" s="325" t="s">
        <v>1061</v>
      </c>
      <c r="E11" s="326">
        <v>7000</v>
      </c>
      <c r="F11" s="8"/>
      <c r="G11" s="10"/>
      <c r="H11" s="10"/>
      <c r="I11" s="10"/>
    </row>
    <row r="12" spans="1:9" ht="25.5" x14ac:dyDescent="0.2">
      <c r="A12" s="323">
        <v>2</v>
      </c>
      <c r="B12" s="327" t="s">
        <v>1062</v>
      </c>
      <c r="C12" s="328" t="s">
        <v>1060</v>
      </c>
      <c r="D12" s="329" t="s">
        <v>1061</v>
      </c>
      <c r="E12" s="330">
        <v>7000</v>
      </c>
      <c r="F12" s="10"/>
      <c r="G12" s="10"/>
      <c r="H12" s="10"/>
      <c r="I12" s="10"/>
    </row>
    <row r="13" spans="1:9" x14ac:dyDescent="0.2">
      <c r="A13" s="331">
        <v>3</v>
      </c>
      <c r="B13" s="327" t="s">
        <v>1063</v>
      </c>
      <c r="C13" s="328" t="s">
        <v>1060</v>
      </c>
      <c r="D13" s="328" t="s">
        <v>1061</v>
      </c>
      <c r="E13" s="330">
        <v>7000</v>
      </c>
      <c r="F13" s="19"/>
      <c r="G13" s="19"/>
      <c r="H13" s="19"/>
      <c r="I13" s="19"/>
    </row>
    <row r="14" spans="1:9" x14ac:dyDescent="0.2">
      <c r="A14" s="323">
        <v>4</v>
      </c>
      <c r="B14" s="327" t="s">
        <v>1064</v>
      </c>
      <c r="C14" s="328" t="s">
        <v>1060</v>
      </c>
      <c r="D14" s="328" t="s">
        <v>1061</v>
      </c>
      <c r="E14" s="330">
        <v>7000</v>
      </c>
      <c r="F14" s="19"/>
      <c r="G14" s="19"/>
      <c r="H14" s="19"/>
      <c r="I14" s="19"/>
    </row>
    <row r="15" spans="1:9" x14ac:dyDescent="0.2">
      <c r="A15" s="323">
        <v>5</v>
      </c>
      <c r="B15" s="327" t="s">
        <v>1065</v>
      </c>
      <c r="C15" s="328" t="s">
        <v>1060</v>
      </c>
      <c r="D15" s="328" t="s">
        <v>1061</v>
      </c>
      <c r="E15" s="330">
        <v>3500</v>
      </c>
      <c r="F15" s="19"/>
      <c r="G15" s="19"/>
      <c r="H15" s="19"/>
      <c r="I15" s="19"/>
    </row>
    <row r="16" spans="1:9" x14ac:dyDescent="0.2">
      <c r="A16" s="332">
        <v>6</v>
      </c>
      <c r="B16" s="327" t="s">
        <v>1066</v>
      </c>
      <c r="C16" s="328" t="s">
        <v>1060</v>
      </c>
      <c r="D16" s="328" t="s">
        <v>1061</v>
      </c>
      <c r="E16" s="330">
        <v>6000</v>
      </c>
      <c r="F16" s="19"/>
      <c r="G16" s="19"/>
      <c r="H16" s="19"/>
      <c r="I16" s="19"/>
    </row>
    <row r="17" spans="1:9" x14ac:dyDescent="0.2">
      <c r="A17" s="332">
        <v>7</v>
      </c>
      <c r="B17" s="327" t="s">
        <v>1067</v>
      </c>
      <c r="C17" s="328" t="s">
        <v>1060</v>
      </c>
      <c r="D17" s="328" t="s">
        <v>1061</v>
      </c>
      <c r="E17" s="330">
        <v>6000</v>
      </c>
      <c r="F17" s="19"/>
      <c r="G17" s="19"/>
      <c r="H17" s="19"/>
      <c r="I17" s="19"/>
    </row>
    <row r="18" spans="1:9" x14ac:dyDescent="0.2">
      <c r="A18" s="331">
        <v>8</v>
      </c>
      <c r="B18" s="327" t="s">
        <v>1068</v>
      </c>
      <c r="C18" s="328" t="s">
        <v>1060</v>
      </c>
      <c r="D18" s="328" t="s">
        <v>1061</v>
      </c>
      <c r="E18" s="330">
        <v>6000</v>
      </c>
      <c r="F18" s="19"/>
      <c r="G18" s="19"/>
      <c r="H18" s="19"/>
      <c r="I18" s="19"/>
    </row>
    <row r="19" spans="1:9" x14ac:dyDescent="0.2">
      <c r="A19" s="323">
        <v>9</v>
      </c>
      <c r="B19" s="327" t="s">
        <v>1069</v>
      </c>
      <c r="C19" s="328" t="s">
        <v>1060</v>
      </c>
      <c r="D19" s="328" t="s">
        <v>1061</v>
      </c>
      <c r="E19" s="330">
        <v>6000</v>
      </c>
      <c r="F19" s="19"/>
      <c r="G19" s="19"/>
      <c r="H19" s="19"/>
      <c r="I19" s="19"/>
    </row>
    <row r="20" spans="1:9" x14ac:dyDescent="0.2">
      <c r="A20" s="323">
        <v>10</v>
      </c>
      <c r="B20" s="327" t="s">
        <v>1070</v>
      </c>
      <c r="C20" s="328" t="s">
        <v>1060</v>
      </c>
      <c r="D20" s="328" t="s">
        <v>1061</v>
      </c>
      <c r="E20" s="330">
        <v>6000</v>
      </c>
      <c r="F20" s="18"/>
      <c r="G20" s="18"/>
      <c r="H20" s="18"/>
      <c r="I20" s="18"/>
    </row>
    <row r="21" spans="1:9" x14ac:dyDescent="0.2">
      <c r="A21" s="332">
        <v>11</v>
      </c>
      <c r="B21" s="327" t="s">
        <v>1071</v>
      </c>
      <c r="C21" s="328" t="s">
        <v>1060</v>
      </c>
      <c r="D21" s="328" t="s">
        <v>1072</v>
      </c>
      <c r="E21" s="330">
        <v>12500</v>
      </c>
      <c r="F21" s="18"/>
      <c r="G21" s="18"/>
      <c r="H21" s="18"/>
      <c r="I21" s="18"/>
    </row>
    <row r="22" spans="1:9" x14ac:dyDescent="0.2">
      <c r="A22" s="332">
        <v>12</v>
      </c>
      <c r="B22" s="327" t="s">
        <v>1073</v>
      </c>
      <c r="C22" s="328" t="s">
        <v>1060</v>
      </c>
      <c r="D22" s="328" t="s">
        <v>1074</v>
      </c>
      <c r="E22" s="330">
        <v>12500</v>
      </c>
      <c r="F22" s="18"/>
      <c r="G22" s="18"/>
      <c r="H22" s="18"/>
      <c r="I22" s="18"/>
    </row>
    <row r="23" spans="1:9" x14ac:dyDescent="0.2">
      <c r="A23" s="331">
        <v>13</v>
      </c>
      <c r="B23" s="327" t="s">
        <v>1075</v>
      </c>
      <c r="C23" s="328" t="s">
        <v>1060</v>
      </c>
      <c r="D23" s="328" t="s">
        <v>1072</v>
      </c>
      <c r="E23" s="330">
        <v>9750</v>
      </c>
      <c r="F23" s="18"/>
      <c r="G23" s="18"/>
      <c r="H23" s="18"/>
      <c r="I23" s="18"/>
    </row>
    <row r="24" spans="1:9" x14ac:dyDescent="0.2">
      <c r="A24" s="323">
        <v>14</v>
      </c>
      <c r="B24" s="327" t="s">
        <v>1076</v>
      </c>
      <c r="C24" s="328" t="s">
        <v>1060</v>
      </c>
      <c r="D24" s="328" t="s">
        <v>1077</v>
      </c>
      <c r="E24" s="330">
        <v>10500</v>
      </c>
      <c r="F24" s="18"/>
      <c r="G24" s="18"/>
      <c r="H24" s="18"/>
      <c r="I24" s="18"/>
    </row>
    <row r="25" spans="1:9" x14ac:dyDescent="0.2">
      <c r="A25" s="323">
        <v>15</v>
      </c>
      <c r="B25" s="327" t="s">
        <v>1078</v>
      </c>
      <c r="C25" s="328" t="s">
        <v>1060</v>
      </c>
      <c r="D25" s="328" t="s">
        <v>1072</v>
      </c>
      <c r="E25" s="330">
        <v>6000</v>
      </c>
      <c r="F25" s="18"/>
      <c r="G25" s="18"/>
      <c r="H25" s="18"/>
      <c r="I25" s="18"/>
    </row>
    <row r="26" spans="1:9" x14ac:dyDescent="0.2">
      <c r="A26" s="332">
        <v>16</v>
      </c>
      <c r="B26" s="327" t="s">
        <v>1079</v>
      </c>
      <c r="C26" s="328" t="s">
        <v>1060</v>
      </c>
      <c r="D26" s="328" t="s">
        <v>1077</v>
      </c>
      <c r="E26" s="330">
        <v>15000</v>
      </c>
      <c r="F26" s="18"/>
      <c r="G26" s="18"/>
      <c r="H26" s="18"/>
      <c r="I26" s="18"/>
    </row>
    <row r="27" spans="1:9" x14ac:dyDescent="0.2">
      <c r="A27" s="332">
        <v>17</v>
      </c>
      <c r="B27" s="327" t="s">
        <v>1080</v>
      </c>
      <c r="C27" s="328" t="s">
        <v>1060</v>
      </c>
      <c r="D27" s="328" t="s">
        <v>1074</v>
      </c>
      <c r="E27" s="330">
        <v>6875</v>
      </c>
      <c r="F27" s="18"/>
      <c r="G27" s="18"/>
      <c r="H27" s="18"/>
      <c r="I27" s="18"/>
    </row>
    <row r="28" spans="1:9" x14ac:dyDescent="0.2">
      <c r="A28" s="323">
        <v>18</v>
      </c>
      <c r="B28" s="327" t="s">
        <v>1081</v>
      </c>
      <c r="C28" s="328" t="s">
        <v>1060</v>
      </c>
      <c r="D28" s="328" t="s">
        <v>1061</v>
      </c>
      <c r="E28" s="330">
        <v>6875</v>
      </c>
      <c r="F28" s="18"/>
      <c r="G28" s="18"/>
      <c r="H28" s="18"/>
      <c r="I28" s="18"/>
    </row>
    <row r="29" spans="1:9" x14ac:dyDescent="0.2">
      <c r="A29" s="332">
        <v>19</v>
      </c>
      <c r="B29" s="327" t="s">
        <v>1082</v>
      </c>
      <c r="C29" s="328" t="s">
        <v>1060</v>
      </c>
      <c r="D29" s="328" t="s">
        <v>1061</v>
      </c>
      <c r="E29" s="330">
        <v>5880</v>
      </c>
      <c r="F29" s="18"/>
      <c r="G29" s="18"/>
      <c r="H29" s="18"/>
      <c r="I29" s="18"/>
    </row>
    <row r="30" spans="1:9" x14ac:dyDescent="0.2">
      <c r="A30" s="332">
        <v>20</v>
      </c>
      <c r="B30" s="327" t="s">
        <v>1083</v>
      </c>
      <c r="C30" s="328" t="s">
        <v>1084</v>
      </c>
      <c r="D30" s="328" t="s">
        <v>1072</v>
      </c>
      <c r="E30" s="330">
        <v>5250</v>
      </c>
      <c r="F30" s="18"/>
      <c r="G30" s="18"/>
      <c r="H30" s="18"/>
      <c r="I30" s="18"/>
    </row>
    <row r="31" spans="1:9" x14ac:dyDescent="0.2">
      <c r="A31" s="323">
        <v>21</v>
      </c>
      <c r="B31" s="327" t="s">
        <v>1085</v>
      </c>
      <c r="C31" s="328" t="s">
        <v>1084</v>
      </c>
      <c r="D31" s="328" t="s">
        <v>1074</v>
      </c>
      <c r="E31" s="330">
        <v>10000</v>
      </c>
      <c r="F31" s="18"/>
      <c r="G31" s="18"/>
      <c r="H31" s="18"/>
      <c r="I31" s="18"/>
    </row>
    <row r="32" spans="1:9" x14ac:dyDescent="0.2">
      <c r="A32" s="323">
        <v>22</v>
      </c>
      <c r="B32" s="327" t="s">
        <v>1086</v>
      </c>
      <c r="C32" s="328" t="s">
        <v>1084</v>
      </c>
      <c r="D32" s="328" t="s">
        <v>1074</v>
      </c>
      <c r="E32" s="330">
        <v>9000</v>
      </c>
      <c r="F32" s="18"/>
      <c r="G32" s="18"/>
      <c r="H32" s="18"/>
      <c r="I32" s="18"/>
    </row>
    <row r="33" spans="1:9" x14ac:dyDescent="0.2">
      <c r="A33" s="332">
        <v>23</v>
      </c>
      <c r="B33" s="327" t="s">
        <v>1087</v>
      </c>
      <c r="C33" s="328" t="s">
        <v>1084</v>
      </c>
      <c r="D33" s="328" t="s">
        <v>1077</v>
      </c>
      <c r="E33" s="330">
        <v>10000</v>
      </c>
      <c r="F33" s="18"/>
      <c r="G33" s="18"/>
      <c r="H33" s="18"/>
      <c r="I33" s="18"/>
    </row>
    <row r="34" spans="1:9" x14ac:dyDescent="0.2">
      <c r="A34" s="332">
        <v>24</v>
      </c>
      <c r="B34" s="327" t="s">
        <v>1088</v>
      </c>
      <c r="C34" s="328" t="s">
        <v>1089</v>
      </c>
      <c r="D34" s="328" t="s">
        <v>1077</v>
      </c>
      <c r="E34" s="330">
        <v>13600</v>
      </c>
      <c r="F34" s="18"/>
      <c r="G34" s="18"/>
      <c r="H34" s="18"/>
      <c r="I34" s="18"/>
    </row>
    <row r="35" spans="1:9" x14ac:dyDescent="0.2">
      <c r="A35" s="323">
        <v>25</v>
      </c>
      <c r="B35" s="327" t="s">
        <v>1090</v>
      </c>
      <c r="C35" s="328" t="s">
        <v>1091</v>
      </c>
      <c r="D35" s="328" t="s">
        <v>1092</v>
      </c>
      <c r="E35" s="330">
        <v>6000</v>
      </c>
      <c r="F35" s="18"/>
      <c r="G35" s="18"/>
      <c r="H35" s="18"/>
      <c r="I35" s="18"/>
    </row>
    <row r="36" spans="1:9" x14ac:dyDescent="0.2">
      <c r="A36" s="323">
        <v>26</v>
      </c>
      <c r="B36" s="327" t="s">
        <v>1093</v>
      </c>
      <c r="C36" s="328" t="s">
        <v>1091</v>
      </c>
      <c r="D36" s="328" t="s">
        <v>1092</v>
      </c>
      <c r="E36" s="330">
        <v>9000</v>
      </c>
      <c r="F36" s="18"/>
      <c r="G36" s="18"/>
      <c r="H36" s="18"/>
      <c r="I36" s="18"/>
    </row>
    <row r="37" spans="1:9" x14ac:dyDescent="0.2">
      <c r="A37" s="332">
        <v>27</v>
      </c>
      <c r="B37" s="327" t="s">
        <v>1094</v>
      </c>
      <c r="C37" s="328" t="s">
        <v>1091</v>
      </c>
      <c r="D37" s="328" t="s">
        <v>1061</v>
      </c>
      <c r="E37" s="330">
        <v>5000</v>
      </c>
      <c r="F37" s="18"/>
      <c r="G37" s="18"/>
      <c r="H37" s="18"/>
      <c r="I37" s="18"/>
    </row>
    <row r="38" spans="1:9" x14ac:dyDescent="0.2">
      <c r="A38" s="332">
        <v>28</v>
      </c>
      <c r="B38" s="327" t="s">
        <v>1095</v>
      </c>
      <c r="C38" s="328" t="s">
        <v>1096</v>
      </c>
      <c r="D38" s="328" t="s">
        <v>1097</v>
      </c>
      <c r="E38" s="330">
        <v>44825</v>
      </c>
      <c r="F38" s="18"/>
      <c r="G38" s="18"/>
      <c r="H38" s="18"/>
      <c r="I38" s="18"/>
    </row>
    <row r="39" spans="1:9" x14ac:dyDescent="0.2">
      <c r="A39" s="323">
        <v>29</v>
      </c>
      <c r="B39" s="327" t="s">
        <v>1098</v>
      </c>
      <c r="C39" s="328" t="s">
        <v>1099</v>
      </c>
      <c r="D39" s="328" t="s">
        <v>1077</v>
      </c>
      <c r="E39" s="330">
        <v>9600</v>
      </c>
      <c r="F39" s="18"/>
      <c r="G39" s="18"/>
      <c r="H39" s="18"/>
      <c r="I39" s="18"/>
    </row>
    <row r="40" spans="1:9" x14ac:dyDescent="0.2">
      <c r="A40" s="323">
        <v>30</v>
      </c>
      <c r="B40" s="327" t="s">
        <v>1100</v>
      </c>
      <c r="C40" s="328" t="s">
        <v>1096</v>
      </c>
      <c r="D40" s="328" t="s">
        <v>1077</v>
      </c>
      <c r="E40" s="330">
        <v>36000</v>
      </c>
      <c r="F40" s="18"/>
      <c r="G40" s="18"/>
      <c r="H40" s="18"/>
      <c r="I40" s="18"/>
    </row>
    <row r="41" spans="1:9" x14ac:dyDescent="0.2">
      <c r="A41" s="332">
        <v>31</v>
      </c>
      <c r="B41" s="327" t="s">
        <v>1101</v>
      </c>
      <c r="C41" s="328" t="s">
        <v>1102</v>
      </c>
      <c r="D41" s="328" t="s">
        <v>1077</v>
      </c>
      <c r="E41" s="330">
        <v>27000</v>
      </c>
      <c r="F41" s="18"/>
      <c r="G41" s="18"/>
      <c r="H41" s="18"/>
      <c r="I41" s="18"/>
    </row>
    <row r="42" spans="1:9" x14ac:dyDescent="0.2">
      <c r="A42" s="332">
        <v>32</v>
      </c>
      <c r="B42" s="327" t="s">
        <v>1103</v>
      </c>
      <c r="C42" s="328" t="s">
        <v>1102</v>
      </c>
      <c r="D42" s="328" t="s">
        <v>1104</v>
      </c>
      <c r="E42" s="330">
        <v>12000</v>
      </c>
      <c r="F42" s="18"/>
      <c r="G42" s="18"/>
      <c r="H42" s="18"/>
      <c r="I42" s="18"/>
    </row>
    <row r="43" spans="1:9" x14ac:dyDescent="0.2">
      <c r="A43" s="12"/>
      <c r="B43" s="12"/>
      <c r="C43" s="12"/>
      <c r="D43" s="12"/>
      <c r="E43" s="333"/>
      <c r="F43" s="18"/>
      <c r="G43" s="18"/>
      <c r="H43" s="18"/>
      <c r="I43" s="18"/>
    </row>
    <row r="44" spans="1:9" x14ac:dyDescent="0.2">
      <c r="A44" s="12"/>
      <c r="B44" s="12"/>
      <c r="C44" s="12"/>
      <c r="D44" s="12"/>
      <c r="E44" s="333"/>
      <c r="F44" s="18"/>
      <c r="G44" s="18"/>
      <c r="H44" s="18"/>
      <c r="I44" s="18"/>
    </row>
  </sheetData>
  <mergeCells count="11">
    <mergeCell ref="A9:A10"/>
    <mergeCell ref="B9:B10"/>
    <mergeCell ref="C9:C10"/>
    <mergeCell ref="D9:D10"/>
    <mergeCell ref="E9:E10"/>
    <mergeCell ref="A2:E2"/>
    <mergeCell ref="A3:E3"/>
    <mergeCell ref="A4:E4"/>
    <mergeCell ref="B5:E5"/>
    <mergeCell ref="B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ANA PAOLA</dc:creator>
  <cp:lastModifiedBy>amperez</cp:lastModifiedBy>
  <cp:lastPrinted>2017-05-09T15:51:46Z</cp:lastPrinted>
  <dcterms:created xsi:type="dcterms:W3CDTF">2013-11-29T23:12:09Z</dcterms:created>
  <dcterms:modified xsi:type="dcterms:W3CDTF">2017-05-09T22:52:26Z</dcterms:modified>
</cp:coreProperties>
</file>