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3. ARTES\5. MAYO\"/>
    </mc:Choice>
  </mc:AlternateContent>
  <bookViews>
    <workbookView xWindow="0" yWindow="0" windowWidth="16380" windowHeight="8190" tabRatio="987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Excel_BuiltIn__FilterDatabase" localSheetId="0">'RENGLON 011'!$A$8:$W$336</definedName>
    <definedName name="Excel_BuiltIn__FilterDatabase" localSheetId="1">'RENGLON 021'!$A$9:$P$383</definedName>
    <definedName name="Excel_BuiltIn__FilterDatabase" localSheetId="3">'RENGLON 029'!$A$9:$H$49</definedName>
    <definedName name="Excel_BuiltIn__FilterDatabase" localSheetId="4">'RENGLON 031'!$A$9:$O$83</definedName>
  </definedNames>
  <calcPr calcId="152511" fullPrecision="0"/>
</workbook>
</file>

<file path=xl/calcChain.xml><?xml version="1.0" encoding="utf-8"?>
<calcChain xmlns="http://schemas.openxmlformats.org/spreadsheetml/2006/main">
  <c r="P10" i="1" l="1"/>
  <c r="V10" i="1" s="1"/>
  <c r="Q10" i="1"/>
  <c r="U10" i="1" s="1"/>
  <c r="R10" i="1"/>
  <c r="W10" i="1"/>
  <c r="P11" i="1"/>
  <c r="Q11" i="1"/>
  <c r="R11" i="1"/>
  <c r="U11" i="1"/>
  <c r="P12" i="1"/>
  <c r="Q12" i="1"/>
  <c r="R12" i="1"/>
  <c r="U12" i="1" s="1"/>
  <c r="P13" i="1"/>
  <c r="Q13" i="1"/>
  <c r="R13" i="1"/>
  <c r="U13" i="1"/>
  <c r="P14" i="1"/>
  <c r="Q14" i="1"/>
  <c r="R14" i="1"/>
  <c r="U14" i="1"/>
  <c r="V14" i="1" s="1"/>
  <c r="P15" i="1"/>
  <c r="Q15" i="1"/>
  <c r="U15" i="1" s="1"/>
  <c r="R15" i="1"/>
  <c r="P16" i="1"/>
  <c r="Q16" i="1"/>
  <c r="R16" i="1"/>
  <c r="U16" i="1"/>
  <c r="V16" i="1" s="1"/>
  <c r="P17" i="1"/>
  <c r="Q17" i="1"/>
  <c r="U17" i="1" s="1"/>
  <c r="V17" i="1" s="1"/>
  <c r="R17" i="1"/>
  <c r="P18" i="1"/>
  <c r="Q18" i="1"/>
  <c r="R18" i="1"/>
  <c r="P19" i="1"/>
  <c r="Q19" i="1"/>
  <c r="R19" i="1"/>
  <c r="U19" i="1"/>
  <c r="V19" i="1" s="1"/>
  <c r="P20" i="1"/>
  <c r="Q20" i="1"/>
  <c r="U20" i="1" s="1"/>
  <c r="R20" i="1"/>
  <c r="P21" i="1"/>
  <c r="Q21" i="1"/>
  <c r="U21" i="1" s="1"/>
  <c r="R21" i="1"/>
  <c r="P22" i="1"/>
  <c r="Q22" i="1"/>
  <c r="R22" i="1"/>
  <c r="U22" i="1"/>
  <c r="V22" i="1" s="1"/>
  <c r="P23" i="1"/>
  <c r="V23" i="1" s="1"/>
  <c r="Q23" i="1"/>
  <c r="U23" i="1" s="1"/>
  <c r="R23" i="1"/>
  <c r="P24" i="1"/>
  <c r="Q24" i="1"/>
  <c r="R24" i="1"/>
  <c r="U24" i="1"/>
  <c r="V24" i="1" s="1"/>
  <c r="P25" i="1"/>
  <c r="Q25" i="1"/>
  <c r="U25" i="1" s="1"/>
  <c r="V25" i="1" s="1"/>
  <c r="R25" i="1"/>
  <c r="P26" i="1"/>
  <c r="Q26" i="1"/>
  <c r="R26" i="1"/>
  <c r="P27" i="1"/>
  <c r="Q27" i="1"/>
  <c r="R27" i="1"/>
  <c r="U27" i="1"/>
  <c r="V27" i="1" s="1"/>
  <c r="W27" i="1"/>
  <c r="P28" i="1"/>
  <c r="Q28" i="1"/>
  <c r="U28" i="1" s="1"/>
  <c r="V28" i="1" s="1"/>
  <c r="R28" i="1"/>
  <c r="P29" i="1"/>
  <c r="V29" i="1" s="1"/>
  <c r="Q29" i="1"/>
  <c r="U29" i="1" s="1"/>
  <c r="R29" i="1"/>
  <c r="P30" i="1"/>
  <c r="Q30" i="1"/>
  <c r="R30" i="1"/>
  <c r="U30" i="1" s="1"/>
  <c r="V30" i="1"/>
  <c r="D31" i="1"/>
  <c r="F31" i="1"/>
  <c r="D32" i="1"/>
  <c r="F32" i="1"/>
  <c r="P33" i="1"/>
  <c r="Q33" i="1"/>
  <c r="R33" i="1"/>
  <c r="P34" i="1"/>
  <c r="Q34" i="1"/>
  <c r="R34" i="1"/>
  <c r="U34" i="1"/>
  <c r="V34" i="1" s="1"/>
  <c r="P35" i="1"/>
  <c r="V35" i="1" s="1"/>
  <c r="Q35" i="1"/>
  <c r="U35" i="1" s="1"/>
  <c r="R35" i="1"/>
  <c r="E36" i="1"/>
  <c r="P36" i="1" s="1"/>
  <c r="R36" i="1"/>
  <c r="P37" i="1"/>
  <c r="Q37" i="1"/>
  <c r="R37" i="1"/>
  <c r="U37" i="1"/>
  <c r="V37" i="1" s="1"/>
  <c r="P38" i="1"/>
  <c r="Q38" i="1"/>
  <c r="U38" i="1" s="1"/>
  <c r="R38" i="1"/>
  <c r="E39" i="1"/>
  <c r="I39" i="1"/>
  <c r="P39" i="1"/>
  <c r="Q39" i="1"/>
  <c r="P40" i="1"/>
  <c r="Q40" i="1"/>
  <c r="R40" i="1"/>
  <c r="U40" i="1"/>
  <c r="V40" i="1" s="1"/>
  <c r="W40" i="1"/>
  <c r="P41" i="1"/>
  <c r="Q41" i="1"/>
  <c r="R41" i="1"/>
  <c r="U41" i="1"/>
  <c r="V41" i="1"/>
  <c r="W41" i="1"/>
  <c r="P42" i="1"/>
  <c r="Q42" i="1"/>
  <c r="U42" i="1" s="1"/>
  <c r="R42" i="1"/>
  <c r="P43" i="1"/>
  <c r="V43" i="1" s="1"/>
  <c r="Q43" i="1"/>
  <c r="U43" i="1" s="1"/>
  <c r="R43" i="1"/>
  <c r="W43" i="1"/>
  <c r="P44" i="1"/>
  <c r="Q44" i="1"/>
  <c r="R44" i="1"/>
  <c r="U44" i="1" s="1"/>
  <c r="V44" i="1" s="1"/>
  <c r="P45" i="1"/>
  <c r="Q45" i="1"/>
  <c r="U45" i="1" s="1"/>
  <c r="R45" i="1"/>
  <c r="P46" i="1"/>
  <c r="Q46" i="1"/>
  <c r="R46" i="1"/>
  <c r="U46" i="1"/>
  <c r="P47" i="1"/>
  <c r="Q47" i="1"/>
  <c r="R47" i="1"/>
  <c r="U47" i="1"/>
  <c r="V47" i="1" s="1"/>
  <c r="P48" i="1"/>
  <c r="V48" i="1" s="1"/>
  <c r="Q48" i="1"/>
  <c r="U48" i="1" s="1"/>
  <c r="R48" i="1"/>
  <c r="P49" i="1"/>
  <c r="Q49" i="1"/>
  <c r="R49" i="1"/>
  <c r="U49" i="1"/>
  <c r="V49" i="1" s="1"/>
  <c r="P50" i="1"/>
  <c r="Q50" i="1"/>
  <c r="U50" i="1" s="1"/>
  <c r="V50" i="1" s="1"/>
  <c r="R50" i="1"/>
  <c r="P51" i="1"/>
  <c r="Q51" i="1"/>
  <c r="R51" i="1"/>
  <c r="D52" i="1"/>
  <c r="F52" i="1"/>
  <c r="P52" i="1"/>
  <c r="V52" i="1" s="1"/>
  <c r="Q52" i="1"/>
  <c r="U52" i="1" s="1"/>
  <c r="R52" i="1"/>
  <c r="D53" i="1"/>
  <c r="P53" i="1" s="1"/>
  <c r="R53" i="1"/>
  <c r="D54" i="1"/>
  <c r="F54" i="1"/>
  <c r="P55" i="1"/>
  <c r="Q55" i="1"/>
  <c r="U55" i="1" s="1"/>
  <c r="R55" i="1"/>
  <c r="P56" i="1"/>
  <c r="Q56" i="1"/>
  <c r="U56" i="1" s="1"/>
  <c r="V56" i="1" s="1"/>
  <c r="R56" i="1"/>
  <c r="P57" i="1"/>
  <c r="Q57" i="1"/>
  <c r="U57" i="1" s="1"/>
  <c r="V57" i="1" s="1"/>
  <c r="R57" i="1"/>
  <c r="E58" i="1"/>
  <c r="I58" i="1"/>
  <c r="P59" i="1"/>
  <c r="Q59" i="1"/>
  <c r="R59" i="1"/>
  <c r="P60" i="1"/>
  <c r="Q60" i="1"/>
  <c r="R60" i="1"/>
  <c r="U60" i="1"/>
  <c r="V60" i="1" s="1"/>
  <c r="P61" i="1"/>
  <c r="Q61" i="1"/>
  <c r="U61" i="1" s="1"/>
  <c r="R61" i="1"/>
  <c r="P62" i="1"/>
  <c r="Q62" i="1"/>
  <c r="R62" i="1"/>
  <c r="P63" i="1"/>
  <c r="Q63" i="1"/>
  <c r="U63" i="1" s="1"/>
  <c r="R63" i="1"/>
  <c r="V63" i="1"/>
  <c r="P64" i="1"/>
  <c r="Q64" i="1"/>
  <c r="U64" i="1" s="1"/>
  <c r="R64" i="1"/>
  <c r="P65" i="1"/>
  <c r="Q65" i="1"/>
  <c r="R65" i="1"/>
  <c r="U65" i="1" s="1"/>
  <c r="V65" i="1"/>
  <c r="P66" i="1"/>
  <c r="V66" i="1" s="1"/>
  <c r="Q66" i="1"/>
  <c r="U66" i="1" s="1"/>
  <c r="R66" i="1"/>
  <c r="W66" i="1"/>
  <c r="P67" i="1"/>
  <c r="Q67" i="1"/>
  <c r="U67" i="1" s="1"/>
  <c r="R67" i="1"/>
  <c r="D68" i="1"/>
  <c r="P68" i="1" s="1"/>
  <c r="Q68" i="1"/>
  <c r="U68" i="1" s="1"/>
  <c r="R68" i="1"/>
  <c r="P69" i="1"/>
  <c r="Q69" i="1"/>
  <c r="U69" i="1" s="1"/>
  <c r="V69" i="1" s="1"/>
  <c r="R69" i="1"/>
  <c r="P70" i="1"/>
  <c r="Q70" i="1"/>
  <c r="U70" i="1" s="1"/>
  <c r="R70" i="1"/>
  <c r="P71" i="1"/>
  <c r="Q71" i="1"/>
  <c r="R71" i="1"/>
  <c r="U71" i="1" s="1"/>
  <c r="V71" i="1" s="1"/>
  <c r="P72" i="1"/>
  <c r="V72" i="1" s="1"/>
  <c r="Q72" i="1"/>
  <c r="U72" i="1" s="1"/>
  <c r="R72" i="1"/>
  <c r="P73" i="1"/>
  <c r="Q73" i="1"/>
  <c r="R73" i="1"/>
  <c r="P74" i="1"/>
  <c r="Q74" i="1"/>
  <c r="R74" i="1"/>
  <c r="U74" i="1"/>
  <c r="V74" i="1" s="1"/>
  <c r="P75" i="1"/>
  <c r="Q75" i="1"/>
  <c r="U75" i="1" s="1"/>
  <c r="R75" i="1"/>
  <c r="P76" i="1"/>
  <c r="Q76" i="1"/>
  <c r="U76" i="1" s="1"/>
  <c r="V76" i="1" s="1"/>
  <c r="R76" i="1"/>
  <c r="P77" i="1"/>
  <c r="Q77" i="1"/>
  <c r="U77" i="1" s="1"/>
  <c r="R77" i="1"/>
  <c r="V77" i="1"/>
  <c r="D78" i="1"/>
  <c r="P78" i="1"/>
  <c r="P79" i="1"/>
  <c r="Q79" i="1"/>
  <c r="U79" i="1" s="1"/>
  <c r="V79" i="1" s="1"/>
  <c r="R79" i="1"/>
  <c r="P80" i="1"/>
  <c r="Q80" i="1"/>
  <c r="U80" i="1" s="1"/>
  <c r="V80" i="1" s="1"/>
  <c r="R80" i="1"/>
  <c r="P81" i="1"/>
  <c r="Q81" i="1"/>
  <c r="U81" i="1" s="1"/>
  <c r="R81" i="1"/>
  <c r="P82" i="1"/>
  <c r="Q82" i="1"/>
  <c r="R82" i="1"/>
  <c r="U82" i="1" s="1"/>
  <c r="V82" i="1" s="1"/>
  <c r="P83" i="1"/>
  <c r="Q83" i="1"/>
  <c r="U83" i="1" s="1"/>
  <c r="R83" i="1"/>
  <c r="P84" i="1"/>
  <c r="V84" i="1" s="1"/>
  <c r="Q84" i="1"/>
  <c r="U84" i="1" s="1"/>
  <c r="R84" i="1"/>
  <c r="P85" i="1"/>
  <c r="Q85" i="1"/>
  <c r="R85" i="1"/>
  <c r="U85" i="1"/>
  <c r="V85" i="1"/>
  <c r="P86" i="1"/>
  <c r="V86" i="1" s="1"/>
  <c r="Q86" i="1"/>
  <c r="U86" i="1" s="1"/>
  <c r="R86" i="1"/>
  <c r="P87" i="1"/>
  <c r="Q87" i="1"/>
  <c r="R87" i="1"/>
  <c r="W87" i="1"/>
  <c r="P88" i="1"/>
  <c r="Q88" i="1"/>
  <c r="R88" i="1"/>
  <c r="U88" i="1"/>
  <c r="V88" i="1"/>
  <c r="W88" i="1"/>
  <c r="P89" i="1"/>
  <c r="Q89" i="1"/>
  <c r="U89" i="1" s="1"/>
  <c r="R89" i="1"/>
  <c r="I90" i="1"/>
  <c r="P90" i="1" s="1"/>
  <c r="R90" i="1"/>
  <c r="P91" i="1"/>
  <c r="Q91" i="1"/>
  <c r="R91" i="1"/>
  <c r="U91" i="1" s="1"/>
  <c r="V91" i="1" s="1"/>
  <c r="P92" i="1"/>
  <c r="Q92" i="1"/>
  <c r="U92" i="1" s="1"/>
  <c r="R92" i="1"/>
  <c r="P93" i="1"/>
  <c r="Q93" i="1"/>
  <c r="R93" i="1"/>
  <c r="U93" i="1"/>
  <c r="D94" i="1"/>
  <c r="P94" i="1" s="1"/>
  <c r="R94" i="1"/>
  <c r="P95" i="1"/>
  <c r="Q95" i="1"/>
  <c r="U95" i="1" s="1"/>
  <c r="R95" i="1"/>
  <c r="P96" i="1"/>
  <c r="Q96" i="1"/>
  <c r="U96" i="1" s="1"/>
  <c r="R96" i="1"/>
  <c r="P97" i="1"/>
  <c r="Q97" i="1"/>
  <c r="R97" i="1"/>
  <c r="U97" i="1"/>
  <c r="V97" i="1" s="1"/>
  <c r="P98" i="1"/>
  <c r="V98" i="1" s="1"/>
  <c r="Q98" i="1"/>
  <c r="U98" i="1" s="1"/>
  <c r="R98" i="1"/>
  <c r="W98" i="1"/>
  <c r="P99" i="1"/>
  <c r="Q99" i="1"/>
  <c r="U99" i="1" s="1"/>
  <c r="R99" i="1"/>
  <c r="P100" i="1"/>
  <c r="Q100" i="1"/>
  <c r="R100" i="1"/>
  <c r="U100" i="1"/>
  <c r="V100" i="1" s="1"/>
  <c r="P101" i="1"/>
  <c r="V101" i="1" s="1"/>
  <c r="Q101" i="1"/>
  <c r="U101" i="1" s="1"/>
  <c r="R101" i="1"/>
  <c r="P102" i="1"/>
  <c r="Q102" i="1"/>
  <c r="R102" i="1"/>
  <c r="U102" i="1"/>
  <c r="V102" i="1" s="1"/>
  <c r="W102" i="1"/>
  <c r="P103" i="1"/>
  <c r="Q103" i="1"/>
  <c r="R103" i="1"/>
  <c r="U103" i="1"/>
  <c r="V103" i="1"/>
  <c r="D104" i="1"/>
  <c r="P105" i="1"/>
  <c r="Q105" i="1"/>
  <c r="R105" i="1"/>
  <c r="P106" i="1"/>
  <c r="Q106" i="1"/>
  <c r="R106" i="1"/>
  <c r="U106" i="1"/>
  <c r="V106" i="1"/>
  <c r="P107" i="1"/>
  <c r="Q107" i="1"/>
  <c r="U107" i="1" s="1"/>
  <c r="R107" i="1"/>
  <c r="P108" i="1"/>
  <c r="Q108" i="1"/>
  <c r="U108" i="1" s="1"/>
  <c r="V108" i="1" s="1"/>
  <c r="R108" i="1"/>
  <c r="P109" i="1"/>
  <c r="Q109" i="1"/>
  <c r="U109" i="1" s="1"/>
  <c r="V109" i="1" s="1"/>
  <c r="R109" i="1"/>
  <c r="P110" i="1"/>
  <c r="Q110" i="1"/>
  <c r="U110" i="1" s="1"/>
  <c r="R110" i="1"/>
  <c r="P111" i="1"/>
  <c r="Q111" i="1"/>
  <c r="R111" i="1"/>
  <c r="U111" i="1" s="1"/>
  <c r="V111" i="1" s="1"/>
  <c r="P112" i="1"/>
  <c r="Q112" i="1"/>
  <c r="U112" i="1" s="1"/>
  <c r="R112" i="1"/>
  <c r="W112" i="1"/>
  <c r="P113" i="1"/>
  <c r="V113" i="1" s="1"/>
  <c r="Q113" i="1"/>
  <c r="U113" i="1" s="1"/>
  <c r="R113" i="1"/>
  <c r="P114" i="1"/>
  <c r="Q114" i="1"/>
  <c r="R114" i="1"/>
  <c r="U114" i="1" s="1"/>
  <c r="V114" i="1"/>
  <c r="P115" i="1"/>
  <c r="V115" i="1" s="1"/>
  <c r="Q115" i="1"/>
  <c r="U115" i="1" s="1"/>
  <c r="R115" i="1"/>
  <c r="W115" i="1"/>
  <c r="P116" i="1"/>
  <c r="Q116" i="1"/>
  <c r="U116" i="1" s="1"/>
  <c r="R116" i="1"/>
  <c r="P117" i="1"/>
  <c r="Q117" i="1"/>
  <c r="R117" i="1"/>
  <c r="U117" i="1" s="1"/>
  <c r="V117" i="1" s="1"/>
  <c r="P118" i="1"/>
  <c r="Q118" i="1"/>
  <c r="U118" i="1" s="1"/>
  <c r="R118" i="1"/>
  <c r="P119" i="1"/>
  <c r="Q119" i="1"/>
  <c r="R119" i="1"/>
  <c r="E120" i="1"/>
  <c r="P120" i="1" s="1"/>
  <c r="I120" i="1"/>
  <c r="Q120" i="1"/>
  <c r="R120" i="1"/>
  <c r="U120" i="1"/>
  <c r="V120" i="1" s="1"/>
  <c r="P121" i="1"/>
  <c r="Q121" i="1"/>
  <c r="U121" i="1" s="1"/>
  <c r="V121" i="1" s="1"/>
  <c r="R121" i="1"/>
  <c r="P122" i="1"/>
  <c r="Q122" i="1"/>
  <c r="R122" i="1"/>
  <c r="I123" i="1"/>
  <c r="P123" i="1" s="1"/>
  <c r="V123" i="1" s="1"/>
  <c r="Q123" i="1"/>
  <c r="U123" i="1" s="1"/>
  <c r="R123" i="1"/>
  <c r="P124" i="1"/>
  <c r="Q124" i="1"/>
  <c r="U124" i="1" s="1"/>
  <c r="R124" i="1"/>
  <c r="V124" i="1"/>
  <c r="D125" i="1"/>
  <c r="F125" i="1"/>
  <c r="D126" i="1"/>
  <c r="F126" i="1"/>
  <c r="Q126" i="1" s="1"/>
  <c r="P127" i="1"/>
  <c r="Q127" i="1"/>
  <c r="U127" i="1" s="1"/>
  <c r="V127" i="1" s="1"/>
  <c r="R127" i="1"/>
  <c r="P128" i="1"/>
  <c r="Q128" i="1"/>
  <c r="U128" i="1" s="1"/>
  <c r="R128" i="1"/>
  <c r="V128" i="1"/>
  <c r="W128" i="1"/>
  <c r="P129" i="1"/>
  <c r="V129" i="1" s="1"/>
  <c r="Q129" i="1"/>
  <c r="U129" i="1" s="1"/>
  <c r="R129" i="1"/>
  <c r="D130" i="1"/>
  <c r="F130" i="1"/>
  <c r="P130" i="1"/>
  <c r="Q130" i="1"/>
  <c r="U130" i="1" s="1"/>
  <c r="R130" i="1"/>
  <c r="P131" i="1"/>
  <c r="Q131" i="1"/>
  <c r="R131" i="1"/>
  <c r="U131" i="1"/>
  <c r="V131" i="1" s="1"/>
  <c r="P132" i="1"/>
  <c r="V132" i="1" s="1"/>
  <c r="Q132" i="1"/>
  <c r="U132" i="1" s="1"/>
  <c r="R132" i="1"/>
  <c r="W132" i="1"/>
  <c r="P133" i="1"/>
  <c r="Q133" i="1"/>
  <c r="R133" i="1"/>
  <c r="P134" i="1"/>
  <c r="Q134" i="1"/>
  <c r="R134" i="1"/>
  <c r="U134" i="1"/>
  <c r="V134" i="1" s="1"/>
  <c r="P135" i="1"/>
  <c r="Q135" i="1"/>
  <c r="U135" i="1" s="1"/>
  <c r="R135" i="1"/>
  <c r="D136" i="1"/>
  <c r="P136" i="1"/>
  <c r="Q136" i="1"/>
  <c r="U136" i="1" s="1"/>
  <c r="R136" i="1"/>
  <c r="P137" i="1"/>
  <c r="Q137" i="1"/>
  <c r="R137" i="1"/>
  <c r="U137" i="1"/>
  <c r="V137" i="1" s="1"/>
  <c r="P138" i="1"/>
  <c r="Q138" i="1"/>
  <c r="U138" i="1" s="1"/>
  <c r="R138" i="1"/>
  <c r="D139" i="1"/>
  <c r="P139" i="1" s="1"/>
  <c r="R139" i="1"/>
  <c r="P140" i="1"/>
  <c r="Q140" i="1"/>
  <c r="R140" i="1"/>
  <c r="U140" i="1" s="1"/>
  <c r="V140" i="1" s="1"/>
  <c r="P141" i="1"/>
  <c r="Q141" i="1"/>
  <c r="U141" i="1" s="1"/>
  <c r="R141" i="1"/>
  <c r="P142" i="1"/>
  <c r="Q142" i="1"/>
  <c r="U142" i="1" s="1"/>
  <c r="R142" i="1"/>
  <c r="P143" i="1"/>
  <c r="Q143" i="1"/>
  <c r="R143" i="1"/>
  <c r="U143" i="1"/>
  <c r="V143" i="1" s="1"/>
  <c r="D144" i="1"/>
  <c r="F144" i="1"/>
  <c r="T144" i="1"/>
  <c r="D145" i="1"/>
  <c r="P145" i="1"/>
  <c r="P146" i="1"/>
  <c r="Q146" i="1"/>
  <c r="R146" i="1"/>
  <c r="U146" i="1"/>
  <c r="P147" i="1"/>
  <c r="Q147" i="1"/>
  <c r="R147" i="1"/>
  <c r="U147" i="1"/>
  <c r="V147" i="1" s="1"/>
  <c r="P148" i="1"/>
  <c r="Q148" i="1"/>
  <c r="U148" i="1" s="1"/>
  <c r="R148" i="1"/>
  <c r="P149" i="1"/>
  <c r="Q149" i="1"/>
  <c r="R149" i="1"/>
  <c r="U149" i="1"/>
  <c r="V149" i="1" s="1"/>
  <c r="D150" i="1"/>
  <c r="P150" i="1" s="1"/>
  <c r="F150" i="1"/>
  <c r="Q150" i="1"/>
  <c r="R150" i="1"/>
  <c r="U150" i="1" s="1"/>
  <c r="T150" i="1"/>
  <c r="V150" i="1"/>
  <c r="P151" i="1"/>
  <c r="Q151" i="1"/>
  <c r="U151" i="1" s="1"/>
  <c r="V151" i="1" s="1"/>
  <c r="R151" i="1"/>
  <c r="D152" i="1"/>
  <c r="P152" i="1" s="1"/>
  <c r="F152" i="1"/>
  <c r="P153" i="1"/>
  <c r="V153" i="1" s="1"/>
  <c r="Q153" i="1"/>
  <c r="R153" i="1"/>
  <c r="U153" i="1" s="1"/>
  <c r="P154" i="1"/>
  <c r="Q154" i="1"/>
  <c r="R154" i="1"/>
  <c r="U154" i="1"/>
  <c r="V154" i="1"/>
  <c r="P155" i="1"/>
  <c r="Q155" i="1"/>
  <c r="U155" i="1" s="1"/>
  <c r="R155" i="1"/>
  <c r="D156" i="1"/>
  <c r="F156" i="1"/>
  <c r="P156" i="1" s="1"/>
  <c r="R156" i="1"/>
  <c r="P157" i="1"/>
  <c r="Q157" i="1"/>
  <c r="R157" i="1"/>
  <c r="U157" i="1" s="1"/>
  <c r="V157" i="1" s="1"/>
  <c r="W157" i="1"/>
  <c r="D158" i="1"/>
  <c r="F158" i="1"/>
  <c r="P158" i="1"/>
  <c r="Q158" i="1"/>
  <c r="R158" i="1"/>
  <c r="T158" i="1"/>
  <c r="T336" i="1" s="1"/>
  <c r="P159" i="1"/>
  <c r="Q159" i="1"/>
  <c r="U159" i="1" s="1"/>
  <c r="V159" i="1" s="1"/>
  <c r="R159" i="1"/>
  <c r="P160" i="1"/>
  <c r="V160" i="1" s="1"/>
  <c r="Q160" i="1"/>
  <c r="U160" i="1" s="1"/>
  <c r="R160" i="1"/>
  <c r="P161" i="1"/>
  <c r="Q161" i="1"/>
  <c r="R161" i="1"/>
  <c r="U161" i="1" s="1"/>
  <c r="V161" i="1" s="1"/>
  <c r="I162" i="1"/>
  <c r="P163" i="1"/>
  <c r="Q163" i="1"/>
  <c r="R163" i="1"/>
  <c r="P164" i="1"/>
  <c r="Q164" i="1"/>
  <c r="R164" i="1"/>
  <c r="U164" i="1"/>
  <c r="V164" i="1"/>
  <c r="W164" i="1"/>
  <c r="P165" i="1"/>
  <c r="Q165" i="1"/>
  <c r="U165" i="1" s="1"/>
  <c r="V165" i="1" s="1"/>
  <c r="R165" i="1"/>
  <c r="P166" i="1"/>
  <c r="Q166" i="1"/>
  <c r="R166" i="1"/>
  <c r="P167" i="1"/>
  <c r="Q167" i="1"/>
  <c r="R167" i="1"/>
  <c r="U167" i="1"/>
  <c r="V167" i="1" s="1"/>
  <c r="P168" i="1"/>
  <c r="V168" i="1" s="1"/>
  <c r="Q168" i="1"/>
  <c r="U168" i="1" s="1"/>
  <c r="R168" i="1"/>
  <c r="P169" i="1"/>
  <c r="Q169" i="1"/>
  <c r="R169" i="1"/>
  <c r="U169" i="1"/>
  <c r="P170" i="1"/>
  <c r="Q170" i="1"/>
  <c r="R170" i="1"/>
  <c r="U170" i="1"/>
  <c r="V170" i="1" s="1"/>
  <c r="P171" i="1"/>
  <c r="Q171" i="1"/>
  <c r="U171" i="1" s="1"/>
  <c r="R171" i="1"/>
  <c r="P172" i="1"/>
  <c r="Q172" i="1"/>
  <c r="U172" i="1" s="1"/>
  <c r="V172" i="1" s="1"/>
  <c r="R172" i="1"/>
  <c r="D173" i="1"/>
  <c r="P173" i="1" s="1"/>
  <c r="R173" i="1"/>
  <c r="P174" i="1"/>
  <c r="Q174" i="1"/>
  <c r="U174" i="1" s="1"/>
  <c r="R174" i="1"/>
  <c r="D175" i="1"/>
  <c r="F175" i="1"/>
  <c r="R175" i="1" s="1"/>
  <c r="P175" i="1"/>
  <c r="Q175" i="1"/>
  <c r="P176" i="1"/>
  <c r="Q176" i="1"/>
  <c r="R176" i="1"/>
  <c r="U176" i="1" s="1"/>
  <c r="V176" i="1" s="1"/>
  <c r="P177" i="1"/>
  <c r="Q177" i="1"/>
  <c r="U177" i="1" s="1"/>
  <c r="R177" i="1"/>
  <c r="P178" i="1"/>
  <c r="Q178" i="1"/>
  <c r="R178" i="1"/>
  <c r="P179" i="1"/>
  <c r="Q179" i="1"/>
  <c r="R179" i="1"/>
  <c r="U179" i="1"/>
  <c r="V179" i="1"/>
  <c r="P180" i="1"/>
  <c r="Q180" i="1"/>
  <c r="U180" i="1" s="1"/>
  <c r="R180" i="1"/>
  <c r="D181" i="1"/>
  <c r="P181" i="1"/>
  <c r="Q181" i="1"/>
  <c r="U181" i="1" s="1"/>
  <c r="R181" i="1"/>
  <c r="P182" i="1"/>
  <c r="Q182" i="1"/>
  <c r="R182" i="1"/>
  <c r="U182" i="1"/>
  <c r="V182" i="1"/>
  <c r="P183" i="1"/>
  <c r="V183" i="1" s="1"/>
  <c r="Q183" i="1"/>
  <c r="U183" i="1" s="1"/>
  <c r="R183" i="1"/>
  <c r="W183" i="1"/>
  <c r="D184" i="1"/>
  <c r="F184" i="1"/>
  <c r="P185" i="1"/>
  <c r="Q185" i="1"/>
  <c r="R185" i="1"/>
  <c r="U185" i="1"/>
  <c r="V185" i="1" s="1"/>
  <c r="P186" i="1"/>
  <c r="Q186" i="1"/>
  <c r="R186" i="1"/>
  <c r="U186" i="1"/>
  <c r="V186" i="1"/>
  <c r="P187" i="1"/>
  <c r="V187" i="1" s="1"/>
  <c r="Q187" i="1"/>
  <c r="U187" i="1" s="1"/>
  <c r="R187" i="1"/>
  <c r="P188" i="1"/>
  <c r="Q188" i="1"/>
  <c r="R188" i="1"/>
  <c r="U188" i="1"/>
  <c r="V188" i="1" s="1"/>
  <c r="P189" i="1"/>
  <c r="V189" i="1" s="1"/>
  <c r="Q189" i="1"/>
  <c r="U189" i="1" s="1"/>
  <c r="R189" i="1"/>
  <c r="P190" i="1"/>
  <c r="Q190" i="1"/>
  <c r="R190" i="1"/>
  <c r="U190" i="1"/>
  <c r="P191" i="1"/>
  <c r="Q191" i="1"/>
  <c r="R191" i="1"/>
  <c r="U191" i="1"/>
  <c r="V191" i="1" s="1"/>
  <c r="P192" i="1"/>
  <c r="Q192" i="1"/>
  <c r="U192" i="1" s="1"/>
  <c r="R192" i="1"/>
  <c r="P193" i="1"/>
  <c r="Q193" i="1"/>
  <c r="R193" i="1"/>
  <c r="U193" i="1" s="1"/>
  <c r="V193" i="1" s="1"/>
  <c r="E194" i="1"/>
  <c r="P194" i="1" s="1"/>
  <c r="I194" i="1"/>
  <c r="Q194" i="1"/>
  <c r="R194" i="1"/>
  <c r="U194" i="1"/>
  <c r="V194" i="1" s="1"/>
  <c r="P195" i="1"/>
  <c r="V195" i="1" s="1"/>
  <c r="Q195" i="1"/>
  <c r="U195" i="1" s="1"/>
  <c r="R195" i="1"/>
  <c r="P196" i="1"/>
  <c r="Q196" i="1"/>
  <c r="R196" i="1"/>
  <c r="U196" i="1"/>
  <c r="D197" i="1"/>
  <c r="P197" i="1" s="1"/>
  <c r="Q197" i="1"/>
  <c r="R197" i="1"/>
  <c r="U197" i="1" s="1"/>
  <c r="P198" i="1"/>
  <c r="V198" i="1" s="1"/>
  <c r="Q198" i="1"/>
  <c r="U198" i="1" s="1"/>
  <c r="R198" i="1"/>
  <c r="P199" i="1"/>
  <c r="Q199" i="1"/>
  <c r="U199" i="1" s="1"/>
  <c r="R199" i="1"/>
  <c r="E200" i="1"/>
  <c r="P200" i="1" s="1"/>
  <c r="Q200" i="1"/>
  <c r="R200" i="1"/>
  <c r="U200" i="1"/>
  <c r="V200" i="1" s="1"/>
  <c r="P201" i="1"/>
  <c r="V201" i="1" s="1"/>
  <c r="Q201" i="1"/>
  <c r="U201" i="1" s="1"/>
  <c r="R201" i="1"/>
  <c r="P202" i="1"/>
  <c r="Q202" i="1"/>
  <c r="U202" i="1" s="1"/>
  <c r="R202" i="1"/>
  <c r="P203" i="1"/>
  <c r="Q203" i="1"/>
  <c r="R203" i="1"/>
  <c r="U203" i="1"/>
  <c r="V203" i="1"/>
  <c r="E204" i="1"/>
  <c r="I204" i="1"/>
  <c r="P205" i="1"/>
  <c r="Q205" i="1"/>
  <c r="U205" i="1" s="1"/>
  <c r="R205" i="1"/>
  <c r="P206" i="1"/>
  <c r="Q206" i="1"/>
  <c r="R206" i="1"/>
  <c r="U206" i="1" s="1"/>
  <c r="V206" i="1"/>
  <c r="P207" i="1"/>
  <c r="V207" i="1" s="1"/>
  <c r="Q207" i="1"/>
  <c r="U207" i="1" s="1"/>
  <c r="R207" i="1"/>
  <c r="P208" i="1"/>
  <c r="Q208" i="1"/>
  <c r="R208" i="1"/>
  <c r="P209" i="1"/>
  <c r="Q209" i="1"/>
  <c r="R209" i="1"/>
  <c r="U209" i="1"/>
  <c r="V209" i="1" s="1"/>
  <c r="P210" i="1"/>
  <c r="Q210" i="1"/>
  <c r="U210" i="1" s="1"/>
  <c r="R210" i="1"/>
  <c r="P211" i="1"/>
  <c r="Q211" i="1"/>
  <c r="R211" i="1"/>
  <c r="P212" i="1"/>
  <c r="Q212" i="1"/>
  <c r="U212" i="1" s="1"/>
  <c r="R212" i="1"/>
  <c r="V212" i="1"/>
  <c r="P213" i="1"/>
  <c r="Q213" i="1"/>
  <c r="U213" i="1" s="1"/>
  <c r="R213" i="1"/>
  <c r="E214" i="1"/>
  <c r="I214" i="1"/>
  <c r="P214" i="1"/>
  <c r="Q214" i="1"/>
  <c r="R214" i="1"/>
  <c r="U214" i="1" s="1"/>
  <c r="P215" i="1"/>
  <c r="Q215" i="1"/>
  <c r="R215" i="1"/>
  <c r="U215" i="1"/>
  <c r="V215" i="1"/>
  <c r="P216" i="1"/>
  <c r="Q216" i="1"/>
  <c r="U216" i="1" s="1"/>
  <c r="R216" i="1"/>
  <c r="P217" i="1"/>
  <c r="Q217" i="1"/>
  <c r="R217" i="1"/>
  <c r="U217" i="1"/>
  <c r="V217" i="1"/>
  <c r="P218" i="1"/>
  <c r="Q218" i="1"/>
  <c r="U218" i="1" s="1"/>
  <c r="V218" i="1" s="1"/>
  <c r="R218" i="1"/>
  <c r="P219" i="1"/>
  <c r="Q219" i="1"/>
  <c r="R219" i="1"/>
  <c r="P220" i="1"/>
  <c r="Q220" i="1"/>
  <c r="R220" i="1"/>
  <c r="U220" i="1" s="1"/>
  <c r="V220" i="1" s="1"/>
  <c r="P221" i="1"/>
  <c r="V221" i="1" s="1"/>
  <c r="Q221" i="1"/>
  <c r="U221" i="1" s="1"/>
  <c r="R221" i="1"/>
  <c r="P222" i="1"/>
  <c r="Q222" i="1"/>
  <c r="R222" i="1"/>
  <c r="U222" i="1" s="1"/>
  <c r="P223" i="1"/>
  <c r="Q223" i="1"/>
  <c r="R223" i="1"/>
  <c r="U223" i="1"/>
  <c r="V223" i="1"/>
  <c r="P224" i="1"/>
  <c r="Q224" i="1"/>
  <c r="U224" i="1" s="1"/>
  <c r="R224" i="1"/>
  <c r="E225" i="1"/>
  <c r="I225" i="1"/>
  <c r="P225" i="1" s="1"/>
  <c r="Q225" i="1"/>
  <c r="R225" i="1"/>
  <c r="P226" i="1"/>
  <c r="Q226" i="1"/>
  <c r="R226" i="1"/>
  <c r="U226" i="1" s="1"/>
  <c r="V226" i="1" s="1"/>
  <c r="P227" i="1"/>
  <c r="Q227" i="1"/>
  <c r="U227" i="1" s="1"/>
  <c r="R227" i="1"/>
  <c r="P228" i="1"/>
  <c r="Q228" i="1"/>
  <c r="R228" i="1"/>
  <c r="U228" i="1"/>
  <c r="P229" i="1"/>
  <c r="Q229" i="1"/>
  <c r="R229" i="1"/>
  <c r="U229" i="1"/>
  <c r="V229" i="1" s="1"/>
  <c r="P230" i="1"/>
  <c r="V230" i="1" s="1"/>
  <c r="Q230" i="1"/>
  <c r="U230" i="1" s="1"/>
  <c r="R230" i="1"/>
  <c r="P231" i="1"/>
  <c r="Q231" i="1"/>
  <c r="R231" i="1"/>
  <c r="U231" i="1"/>
  <c r="V231" i="1" s="1"/>
  <c r="P232" i="1"/>
  <c r="Q232" i="1"/>
  <c r="U232" i="1" s="1"/>
  <c r="V232" i="1" s="1"/>
  <c r="R232" i="1"/>
  <c r="P233" i="1"/>
  <c r="Q233" i="1"/>
  <c r="R233" i="1"/>
  <c r="P234" i="1"/>
  <c r="Q234" i="1"/>
  <c r="R234" i="1"/>
  <c r="U234" i="1" s="1"/>
  <c r="V234" i="1" s="1"/>
  <c r="P235" i="1"/>
  <c r="Q235" i="1"/>
  <c r="U235" i="1" s="1"/>
  <c r="R235" i="1"/>
  <c r="P236" i="1"/>
  <c r="Q236" i="1"/>
  <c r="U236" i="1" s="1"/>
  <c r="R236" i="1"/>
  <c r="P237" i="1"/>
  <c r="Q237" i="1"/>
  <c r="R237" i="1"/>
  <c r="U237" i="1"/>
  <c r="V237" i="1" s="1"/>
  <c r="P238" i="1"/>
  <c r="Q238" i="1"/>
  <c r="U238" i="1" s="1"/>
  <c r="R238" i="1"/>
  <c r="P239" i="1"/>
  <c r="Q239" i="1"/>
  <c r="R239" i="1"/>
  <c r="U239" i="1"/>
  <c r="V239" i="1" s="1"/>
  <c r="P240" i="1"/>
  <c r="Q240" i="1"/>
  <c r="R240" i="1"/>
  <c r="U240" i="1" s="1"/>
  <c r="V240" i="1" s="1"/>
  <c r="P241" i="1"/>
  <c r="Q241" i="1"/>
  <c r="R241" i="1"/>
  <c r="W241" i="1"/>
  <c r="P242" i="1"/>
  <c r="Q242" i="1"/>
  <c r="R242" i="1"/>
  <c r="V242" i="1"/>
  <c r="P243" i="1"/>
  <c r="Q243" i="1"/>
  <c r="U243" i="1" s="1"/>
  <c r="R243" i="1"/>
  <c r="P244" i="1"/>
  <c r="Q244" i="1"/>
  <c r="U244" i="1" s="1"/>
  <c r="R244" i="1"/>
  <c r="P245" i="1"/>
  <c r="Q245" i="1"/>
  <c r="R245" i="1"/>
  <c r="U245" i="1"/>
  <c r="V245" i="1" s="1"/>
  <c r="P246" i="1"/>
  <c r="Q246" i="1"/>
  <c r="U246" i="1" s="1"/>
  <c r="R246" i="1"/>
  <c r="W246" i="1"/>
  <c r="P247" i="1"/>
  <c r="Q247" i="1"/>
  <c r="U247" i="1" s="1"/>
  <c r="R247" i="1"/>
  <c r="P248" i="1"/>
  <c r="Q248" i="1"/>
  <c r="R248" i="1"/>
  <c r="U248" i="1"/>
  <c r="V248" i="1" s="1"/>
  <c r="W248" i="1"/>
  <c r="P249" i="1"/>
  <c r="V249" i="1" s="1"/>
  <c r="Q249" i="1"/>
  <c r="R249" i="1"/>
  <c r="U249" i="1"/>
  <c r="P250" i="1"/>
  <c r="V250" i="1" s="1"/>
  <c r="Q250" i="1"/>
  <c r="R250" i="1"/>
  <c r="U250" i="1"/>
  <c r="D251" i="1"/>
  <c r="P251" i="1"/>
  <c r="Q251" i="1"/>
  <c r="R251" i="1"/>
  <c r="U251" i="1" s="1"/>
  <c r="V251" i="1" s="1"/>
  <c r="P252" i="1"/>
  <c r="Q252" i="1"/>
  <c r="U252" i="1" s="1"/>
  <c r="R252" i="1"/>
  <c r="P253" i="1"/>
  <c r="Q253" i="1"/>
  <c r="U253" i="1" s="1"/>
  <c r="R253" i="1"/>
  <c r="P254" i="1"/>
  <c r="Q254" i="1"/>
  <c r="R254" i="1"/>
  <c r="U254" i="1"/>
  <c r="V254" i="1" s="1"/>
  <c r="P255" i="1"/>
  <c r="V255" i="1" s="1"/>
  <c r="Q255" i="1"/>
  <c r="U255" i="1" s="1"/>
  <c r="R255" i="1"/>
  <c r="P256" i="1"/>
  <c r="Q256" i="1"/>
  <c r="R256" i="1"/>
  <c r="U256" i="1"/>
  <c r="V256" i="1" s="1"/>
  <c r="W256" i="1"/>
  <c r="P257" i="1"/>
  <c r="Q257" i="1"/>
  <c r="R257" i="1"/>
  <c r="U257" i="1"/>
  <c r="V257" i="1"/>
  <c r="W257" i="1"/>
  <c r="D258" i="1"/>
  <c r="P259" i="1"/>
  <c r="Q259" i="1"/>
  <c r="U259" i="1" s="1"/>
  <c r="R259" i="1"/>
  <c r="P260" i="1"/>
  <c r="Q260" i="1"/>
  <c r="R260" i="1"/>
  <c r="U260" i="1" s="1"/>
  <c r="V260" i="1"/>
  <c r="P261" i="1"/>
  <c r="Q261" i="1"/>
  <c r="U261" i="1" s="1"/>
  <c r="R261" i="1"/>
  <c r="P262" i="1"/>
  <c r="Q262" i="1"/>
  <c r="U262" i="1" s="1"/>
  <c r="R262" i="1"/>
  <c r="W262" i="1"/>
  <c r="P263" i="1"/>
  <c r="Q263" i="1"/>
  <c r="R263" i="1"/>
  <c r="U263" i="1" s="1"/>
  <c r="V263" i="1" s="1"/>
  <c r="P264" i="1"/>
  <c r="V264" i="1" s="1"/>
  <c r="Q264" i="1"/>
  <c r="U264" i="1" s="1"/>
  <c r="R264" i="1"/>
  <c r="P265" i="1"/>
  <c r="Q265" i="1"/>
  <c r="U265" i="1" s="1"/>
  <c r="R265" i="1"/>
  <c r="P266" i="1"/>
  <c r="Q266" i="1"/>
  <c r="R266" i="1"/>
  <c r="U266" i="1"/>
  <c r="V266" i="1" s="1"/>
  <c r="P267" i="1"/>
  <c r="V267" i="1" s="1"/>
  <c r="Q267" i="1"/>
  <c r="U267" i="1" s="1"/>
  <c r="R267" i="1"/>
  <c r="P268" i="1"/>
  <c r="Q268" i="1"/>
  <c r="R268" i="1"/>
  <c r="U268" i="1"/>
  <c r="V268" i="1" s="1"/>
  <c r="P269" i="1"/>
  <c r="Q269" i="1"/>
  <c r="U269" i="1" s="1"/>
  <c r="R269" i="1"/>
  <c r="V269" i="1"/>
  <c r="P270" i="1"/>
  <c r="Q270" i="1"/>
  <c r="R270" i="1"/>
  <c r="P271" i="1"/>
  <c r="Q271" i="1"/>
  <c r="R271" i="1"/>
  <c r="U271" i="1" s="1"/>
  <c r="V271" i="1" s="1"/>
  <c r="P272" i="1"/>
  <c r="V272" i="1" s="1"/>
  <c r="Q272" i="1"/>
  <c r="U272" i="1" s="1"/>
  <c r="R272" i="1"/>
  <c r="W272" i="1"/>
  <c r="P273" i="1"/>
  <c r="V273" i="1" s="1"/>
  <c r="Q273" i="1"/>
  <c r="U273" i="1" s="1"/>
  <c r="R273" i="1"/>
  <c r="P274" i="1"/>
  <c r="Q274" i="1"/>
  <c r="R274" i="1"/>
  <c r="U274" i="1"/>
  <c r="V274" i="1" s="1"/>
  <c r="P275" i="1"/>
  <c r="V275" i="1" s="1"/>
  <c r="Q275" i="1"/>
  <c r="U275" i="1" s="1"/>
  <c r="R275" i="1"/>
  <c r="P276" i="1"/>
  <c r="Q276" i="1"/>
  <c r="U276" i="1" s="1"/>
  <c r="R276" i="1"/>
  <c r="P277" i="1"/>
  <c r="Q277" i="1"/>
  <c r="R277" i="1"/>
  <c r="U277" i="1"/>
  <c r="V277" i="1"/>
  <c r="P278" i="1"/>
  <c r="V278" i="1" s="1"/>
  <c r="Q278" i="1"/>
  <c r="U278" i="1" s="1"/>
  <c r="R278" i="1"/>
  <c r="D279" i="1"/>
  <c r="F279" i="1"/>
  <c r="P280" i="1"/>
  <c r="Q280" i="1"/>
  <c r="R280" i="1"/>
  <c r="P281" i="1"/>
  <c r="Q281" i="1"/>
  <c r="U281" i="1" s="1"/>
  <c r="V281" i="1" s="1"/>
  <c r="R281" i="1"/>
  <c r="P282" i="1"/>
  <c r="V282" i="1" s="1"/>
  <c r="Q282" i="1"/>
  <c r="U282" i="1" s="1"/>
  <c r="R282" i="1"/>
  <c r="P283" i="1"/>
  <c r="Q283" i="1"/>
  <c r="R283" i="1"/>
  <c r="U283" i="1" s="1"/>
  <c r="P284" i="1"/>
  <c r="Q284" i="1"/>
  <c r="R284" i="1"/>
  <c r="U284" i="1"/>
  <c r="P285" i="1"/>
  <c r="V285" i="1" s="1"/>
  <c r="Q285" i="1"/>
  <c r="U285" i="1" s="1"/>
  <c r="R285" i="1"/>
  <c r="P286" i="1"/>
  <c r="Q286" i="1"/>
  <c r="U286" i="1" s="1"/>
  <c r="V286" i="1" s="1"/>
  <c r="R286" i="1"/>
  <c r="W286" i="1"/>
  <c r="E287" i="1"/>
  <c r="R287" i="1" s="1"/>
  <c r="I287" i="1"/>
  <c r="P287" i="1"/>
  <c r="V287" i="1" s="1"/>
  <c r="Q287" i="1"/>
  <c r="U287" i="1"/>
  <c r="D288" i="1"/>
  <c r="Q288" i="1" s="1"/>
  <c r="F288" i="1"/>
  <c r="P289" i="1"/>
  <c r="Q289" i="1"/>
  <c r="U289" i="1" s="1"/>
  <c r="R289" i="1"/>
  <c r="V289" i="1"/>
  <c r="P290" i="1"/>
  <c r="V290" i="1" s="1"/>
  <c r="Q290" i="1"/>
  <c r="R290" i="1"/>
  <c r="U290" i="1" s="1"/>
  <c r="P291" i="1"/>
  <c r="Q291" i="1"/>
  <c r="R291" i="1"/>
  <c r="U291" i="1"/>
  <c r="P292" i="1"/>
  <c r="V292" i="1" s="1"/>
  <c r="Q292" i="1"/>
  <c r="U292" i="1" s="1"/>
  <c r="R292" i="1"/>
  <c r="D293" i="1"/>
  <c r="P293" i="1" s="1"/>
  <c r="F293" i="1"/>
  <c r="Q293" i="1"/>
  <c r="T293" i="1"/>
  <c r="P294" i="1"/>
  <c r="Q294" i="1"/>
  <c r="U294" i="1" s="1"/>
  <c r="V294" i="1" s="1"/>
  <c r="R294" i="1"/>
  <c r="P295" i="1"/>
  <c r="Q295" i="1"/>
  <c r="U295" i="1" s="1"/>
  <c r="R295" i="1"/>
  <c r="P296" i="1"/>
  <c r="Q296" i="1"/>
  <c r="R296" i="1"/>
  <c r="U296" i="1" s="1"/>
  <c r="V296" i="1" s="1"/>
  <c r="P297" i="1"/>
  <c r="Q297" i="1"/>
  <c r="R297" i="1"/>
  <c r="P298" i="1"/>
  <c r="Q298" i="1"/>
  <c r="U298" i="1" s="1"/>
  <c r="V298" i="1" s="1"/>
  <c r="R298" i="1"/>
  <c r="D299" i="1"/>
  <c r="P299" i="1" s="1"/>
  <c r="P300" i="1"/>
  <c r="Q300" i="1"/>
  <c r="R300" i="1"/>
  <c r="P301" i="1"/>
  <c r="Q301" i="1"/>
  <c r="R301" i="1"/>
  <c r="P302" i="1"/>
  <c r="V302" i="1" s="1"/>
  <c r="Q302" i="1"/>
  <c r="R302" i="1"/>
  <c r="U302" i="1" s="1"/>
  <c r="P303" i="1"/>
  <c r="Q303" i="1"/>
  <c r="R303" i="1"/>
  <c r="U303" i="1"/>
  <c r="P304" i="1"/>
  <c r="Q304" i="1"/>
  <c r="U304" i="1" s="1"/>
  <c r="R304" i="1"/>
  <c r="P305" i="1"/>
  <c r="Q305" i="1"/>
  <c r="R305" i="1"/>
  <c r="U305" i="1"/>
  <c r="V305" i="1" s="1"/>
  <c r="P306" i="1"/>
  <c r="V306" i="1" s="1"/>
  <c r="Q306" i="1"/>
  <c r="U306" i="1" s="1"/>
  <c r="R306" i="1"/>
  <c r="P307" i="1"/>
  <c r="Q307" i="1"/>
  <c r="R307" i="1"/>
  <c r="P308" i="1"/>
  <c r="Q308" i="1"/>
  <c r="R308" i="1"/>
  <c r="W308" i="1"/>
  <c r="P309" i="1"/>
  <c r="Q309" i="1"/>
  <c r="U309" i="1" s="1"/>
  <c r="R309" i="1"/>
  <c r="W309" i="1"/>
  <c r="D310" i="1"/>
  <c r="F310" i="1"/>
  <c r="Q310" i="1" s="1"/>
  <c r="P310" i="1"/>
  <c r="P311" i="1"/>
  <c r="Q311" i="1"/>
  <c r="U311" i="1" s="1"/>
  <c r="V311" i="1" s="1"/>
  <c r="R311" i="1"/>
  <c r="W311" i="1"/>
  <c r="P312" i="1"/>
  <c r="V312" i="1" s="1"/>
  <c r="Q312" i="1"/>
  <c r="R312" i="1"/>
  <c r="U312" i="1"/>
  <c r="P313" i="1"/>
  <c r="V313" i="1" s="1"/>
  <c r="Q313" i="1"/>
  <c r="U313" i="1" s="1"/>
  <c r="R313" i="1"/>
  <c r="P314" i="1"/>
  <c r="Q314" i="1"/>
  <c r="R314" i="1"/>
  <c r="U314" i="1"/>
  <c r="V314" i="1" s="1"/>
  <c r="P315" i="1"/>
  <c r="Q315" i="1"/>
  <c r="U315" i="1" s="1"/>
  <c r="V315" i="1" s="1"/>
  <c r="R315" i="1"/>
  <c r="P316" i="1"/>
  <c r="Q316" i="1"/>
  <c r="R316" i="1"/>
  <c r="P317" i="1"/>
  <c r="V317" i="1" s="1"/>
  <c r="Q317" i="1"/>
  <c r="R317" i="1"/>
  <c r="U317" i="1"/>
  <c r="D318" i="1"/>
  <c r="P318" i="1" s="1"/>
  <c r="Q318" i="1"/>
  <c r="R318" i="1"/>
  <c r="P319" i="1"/>
  <c r="Q319" i="1"/>
  <c r="R319" i="1"/>
  <c r="P320" i="1"/>
  <c r="Q320" i="1"/>
  <c r="R320" i="1"/>
  <c r="U320" i="1"/>
  <c r="V320" i="1" s="1"/>
  <c r="P321" i="1"/>
  <c r="Q321" i="1"/>
  <c r="R321" i="1"/>
  <c r="U321" i="1" s="1"/>
  <c r="W321" i="1"/>
  <c r="P322" i="1"/>
  <c r="V322" i="1" s="1"/>
  <c r="Q322" i="1"/>
  <c r="U322" i="1" s="1"/>
  <c r="R322" i="1"/>
  <c r="W322" i="1"/>
  <c r="D323" i="1"/>
  <c r="P323" i="1"/>
  <c r="Q323" i="1"/>
  <c r="R323" i="1"/>
  <c r="U323" i="1"/>
  <c r="P324" i="1"/>
  <c r="Q324" i="1"/>
  <c r="R324" i="1"/>
  <c r="U324" i="1"/>
  <c r="I325" i="1"/>
  <c r="Q325" i="1" s="1"/>
  <c r="P326" i="1"/>
  <c r="Q326" i="1"/>
  <c r="R326" i="1"/>
  <c r="W326" i="1"/>
  <c r="P327" i="1"/>
  <c r="V327" i="1" s="1"/>
  <c r="Q327" i="1"/>
  <c r="R327" i="1"/>
  <c r="U327" i="1" s="1"/>
  <c r="P328" i="1"/>
  <c r="Q328" i="1"/>
  <c r="R328" i="1"/>
  <c r="U328" i="1"/>
  <c r="P329" i="1"/>
  <c r="Q329" i="1"/>
  <c r="U329" i="1" s="1"/>
  <c r="R329" i="1"/>
  <c r="P330" i="1"/>
  <c r="Q330" i="1"/>
  <c r="R330" i="1"/>
  <c r="U330" i="1"/>
  <c r="V330" i="1"/>
  <c r="P331" i="1"/>
  <c r="V331" i="1" s="1"/>
  <c r="Q331" i="1"/>
  <c r="R331" i="1"/>
  <c r="U331" i="1"/>
  <c r="I332" i="1"/>
  <c r="P332" i="1"/>
  <c r="V332" i="1" s="1"/>
  <c r="Q332" i="1"/>
  <c r="U332" i="1" s="1"/>
  <c r="R332" i="1"/>
  <c r="P333" i="1"/>
  <c r="Q333" i="1"/>
  <c r="U333" i="1" s="1"/>
  <c r="V333" i="1" s="1"/>
  <c r="R333" i="1"/>
  <c r="P334" i="1"/>
  <c r="V334" i="1" s="1"/>
  <c r="Q334" i="1"/>
  <c r="U334" i="1" s="1"/>
  <c r="R334" i="1"/>
  <c r="P335" i="1"/>
  <c r="Q335" i="1"/>
  <c r="U335" i="1" s="1"/>
  <c r="V335" i="1" s="1"/>
  <c r="R335" i="1"/>
  <c r="G336" i="1"/>
  <c r="H336" i="1"/>
  <c r="I336" i="1"/>
  <c r="J336" i="1"/>
  <c r="K336" i="1"/>
  <c r="L336" i="1"/>
  <c r="M336" i="1"/>
  <c r="N336" i="1"/>
  <c r="O336" i="1"/>
  <c r="S336" i="1"/>
  <c r="I11" i="2"/>
  <c r="J11" i="2"/>
  <c r="N11" i="2" s="1"/>
  <c r="K11" i="2"/>
  <c r="I12" i="2"/>
  <c r="O12" i="2" s="1"/>
  <c r="J12" i="2"/>
  <c r="N12" i="2" s="1"/>
  <c r="K12" i="2"/>
  <c r="I13" i="2"/>
  <c r="J13" i="2"/>
  <c r="K13" i="2"/>
  <c r="N13" i="2"/>
  <c r="I14" i="2"/>
  <c r="J14" i="2"/>
  <c r="K14" i="2"/>
  <c r="N14" i="2"/>
  <c r="I15" i="2"/>
  <c r="J15" i="2"/>
  <c r="N15" i="2" s="1"/>
  <c r="O15" i="2" s="1"/>
  <c r="K15" i="2"/>
  <c r="I16" i="2"/>
  <c r="J16" i="2"/>
  <c r="K16" i="2"/>
  <c r="I17" i="2"/>
  <c r="J17" i="2"/>
  <c r="K17" i="2"/>
  <c r="N17" i="2" s="1"/>
  <c r="I18" i="2"/>
  <c r="J18" i="2"/>
  <c r="K18" i="2"/>
  <c r="N18" i="2"/>
  <c r="I19" i="2"/>
  <c r="J19" i="2"/>
  <c r="N19" i="2" s="1"/>
  <c r="K19" i="2"/>
  <c r="I20" i="2"/>
  <c r="J20" i="2"/>
  <c r="N20" i="2" s="1"/>
  <c r="O20" i="2" s="1"/>
  <c r="K20" i="2"/>
  <c r="E21" i="2"/>
  <c r="I22" i="2"/>
  <c r="J22" i="2"/>
  <c r="N22" i="2" s="1"/>
  <c r="I23" i="2"/>
  <c r="J23" i="2"/>
  <c r="K23" i="2"/>
  <c r="I24" i="2"/>
  <c r="J24" i="2"/>
  <c r="N24" i="2" s="1"/>
  <c r="K24" i="2"/>
  <c r="I25" i="2"/>
  <c r="O25" i="2" s="1"/>
  <c r="J25" i="2"/>
  <c r="K25" i="2"/>
  <c r="N25" i="2"/>
  <c r="I26" i="2"/>
  <c r="O26" i="2" s="1"/>
  <c r="J26" i="2"/>
  <c r="K26" i="2"/>
  <c r="N26" i="2"/>
  <c r="I27" i="2"/>
  <c r="J27" i="2"/>
  <c r="K27" i="2"/>
  <c r="I28" i="2"/>
  <c r="J28" i="2"/>
  <c r="K28" i="2"/>
  <c r="N28" i="2"/>
  <c r="O28" i="2" s="1"/>
  <c r="I29" i="2"/>
  <c r="O29" i="2" s="1"/>
  <c r="J29" i="2"/>
  <c r="N29" i="2" s="1"/>
  <c r="K29" i="2"/>
  <c r="P29" i="2"/>
  <c r="I30" i="2"/>
  <c r="O30" i="2" s="1"/>
  <c r="J30" i="2"/>
  <c r="N30" i="2" s="1"/>
  <c r="K30" i="2"/>
  <c r="I31" i="2"/>
  <c r="J31" i="2"/>
  <c r="N31" i="2" s="1"/>
  <c r="K31" i="2"/>
  <c r="O31" i="2"/>
  <c r="I32" i="2"/>
  <c r="O32" i="2" s="1"/>
  <c r="J32" i="2"/>
  <c r="N32" i="2" s="1"/>
  <c r="K32" i="2"/>
  <c r="I33" i="2"/>
  <c r="J33" i="2"/>
  <c r="N33" i="2" s="1"/>
  <c r="O33" i="2" s="1"/>
  <c r="K33" i="2"/>
  <c r="E34" i="2"/>
  <c r="K34" i="2" s="1"/>
  <c r="I34" i="2"/>
  <c r="J34" i="2"/>
  <c r="I35" i="2"/>
  <c r="J35" i="2"/>
  <c r="N35" i="2" s="1"/>
  <c r="K35" i="2"/>
  <c r="O35" i="2"/>
  <c r="P35" i="2"/>
  <c r="I36" i="2"/>
  <c r="J36" i="2"/>
  <c r="K36" i="2"/>
  <c r="I37" i="2"/>
  <c r="J37" i="2"/>
  <c r="K37" i="2"/>
  <c r="N37" i="2"/>
  <c r="O37" i="2"/>
  <c r="I38" i="2"/>
  <c r="J38" i="2"/>
  <c r="N38" i="2" s="1"/>
  <c r="K38" i="2"/>
  <c r="O38" i="2"/>
  <c r="I39" i="2"/>
  <c r="J39" i="2"/>
  <c r="N39" i="2" s="1"/>
  <c r="O39" i="2" s="1"/>
  <c r="K39" i="2"/>
  <c r="I40" i="2"/>
  <c r="J40" i="2"/>
  <c r="K40" i="2"/>
  <c r="I41" i="2"/>
  <c r="J41" i="2"/>
  <c r="N41" i="2" s="1"/>
  <c r="K41" i="2"/>
  <c r="I42" i="2"/>
  <c r="O42" i="2" s="1"/>
  <c r="J42" i="2"/>
  <c r="K42" i="2"/>
  <c r="N42" i="2"/>
  <c r="P42" i="2"/>
  <c r="I43" i="2"/>
  <c r="J43" i="2"/>
  <c r="K43" i="2"/>
  <c r="I44" i="2"/>
  <c r="J44" i="2"/>
  <c r="N44" i="2" s="1"/>
  <c r="K44" i="2"/>
  <c r="I45" i="2"/>
  <c r="J45" i="2"/>
  <c r="K45" i="2"/>
  <c r="N45" i="2" s="1"/>
  <c r="O45" i="2" s="1"/>
  <c r="I46" i="2"/>
  <c r="O46" i="2" s="1"/>
  <c r="J46" i="2"/>
  <c r="K46" i="2"/>
  <c r="N46" i="2"/>
  <c r="I47" i="2"/>
  <c r="J47" i="2"/>
  <c r="K47" i="2"/>
  <c r="I48" i="2"/>
  <c r="J48" i="2"/>
  <c r="K48" i="2"/>
  <c r="N48" i="2"/>
  <c r="O48" i="2" s="1"/>
  <c r="I49" i="2"/>
  <c r="O49" i="2" s="1"/>
  <c r="J49" i="2"/>
  <c r="N49" i="2" s="1"/>
  <c r="K49" i="2"/>
  <c r="I50" i="2"/>
  <c r="J50" i="2"/>
  <c r="K50" i="2"/>
  <c r="I51" i="2"/>
  <c r="J51" i="2"/>
  <c r="N51" i="2" s="1"/>
  <c r="O51" i="2" s="1"/>
  <c r="K51" i="2"/>
  <c r="I52" i="2"/>
  <c r="J52" i="2"/>
  <c r="N52" i="2" s="1"/>
  <c r="K52" i="2"/>
  <c r="I53" i="2"/>
  <c r="J53" i="2"/>
  <c r="K53" i="2"/>
  <c r="N53" i="2"/>
  <c r="O53" i="2" s="1"/>
  <c r="I54" i="2"/>
  <c r="O54" i="2" s="1"/>
  <c r="J54" i="2"/>
  <c r="K54" i="2"/>
  <c r="N54" i="2"/>
  <c r="I55" i="2"/>
  <c r="J55" i="2"/>
  <c r="K55" i="2"/>
  <c r="I56" i="2"/>
  <c r="J56" i="2"/>
  <c r="K56" i="2"/>
  <c r="N56" i="2"/>
  <c r="O56" i="2" s="1"/>
  <c r="I57" i="2"/>
  <c r="O57" i="2" s="1"/>
  <c r="J57" i="2"/>
  <c r="N57" i="2" s="1"/>
  <c r="K57" i="2"/>
  <c r="I58" i="2"/>
  <c r="J58" i="2"/>
  <c r="N58" i="2" s="1"/>
  <c r="O58" i="2" s="1"/>
  <c r="K58" i="2"/>
  <c r="I59" i="2"/>
  <c r="J59" i="2"/>
  <c r="K59" i="2"/>
  <c r="I60" i="2"/>
  <c r="J60" i="2"/>
  <c r="N60" i="2" s="1"/>
  <c r="I61" i="2"/>
  <c r="J61" i="2"/>
  <c r="K61" i="2"/>
  <c r="N61" i="2"/>
  <c r="O61" i="2"/>
  <c r="I62" i="2"/>
  <c r="J62" i="2"/>
  <c r="N62" i="2" s="1"/>
  <c r="K62" i="2"/>
  <c r="O62" i="2"/>
  <c r="I63" i="2"/>
  <c r="J63" i="2"/>
  <c r="N63" i="2" s="1"/>
  <c r="O63" i="2" s="1"/>
  <c r="K63" i="2"/>
  <c r="I64" i="2"/>
  <c r="J64" i="2"/>
  <c r="K64" i="2"/>
  <c r="I65" i="2"/>
  <c r="J65" i="2"/>
  <c r="N65" i="2" s="1"/>
  <c r="K65" i="2"/>
  <c r="I66" i="2"/>
  <c r="J66" i="2"/>
  <c r="K66" i="2"/>
  <c r="N66" i="2"/>
  <c r="O66" i="2"/>
  <c r="I67" i="2"/>
  <c r="J67" i="2"/>
  <c r="K67" i="2"/>
  <c r="N67" i="2"/>
  <c r="I68" i="2"/>
  <c r="J68" i="2"/>
  <c r="K68" i="2"/>
  <c r="I69" i="2"/>
  <c r="J69" i="2"/>
  <c r="K69" i="2"/>
  <c r="N69" i="2"/>
  <c r="O69" i="2"/>
  <c r="I70" i="2"/>
  <c r="J70" i="2"/>
  <c r="N70" i="2" s="1"/>
  <c r="K70" i="2"/>
  <c r="O70" i="2"/>
  <c r="I71" i="2"/>
  <c r="J71" i="2"/>
  <c r="N71" i="2" s="1"/>
  <c r="O71" i="2" s="1"/>
  <c r="K71" i="2"/>
  <c r="I72" i="2"/>
  <c r="J72" i="2"/>
  <c r="K72" i="2"/>
  <c r="I73" i="2"/>
  <c r="J73" i="2"/>
  <c r="N73" i="2" s="1"/>
  <c r="K73" i="2"/>
  <c r="I74" i="2"/>
  <c r="J74" i="2"/>
  <c r="K74" i="2"/>
  <c r="N74" i="2"/>
  <c r="O74" i="2"/>
  <c r="I75" i="2"/>
  <c r="J75" i="2"/>
  <c r="K75" i="2"/>
  <c r="N75" i="2"/>
  <c r="I76" i="2"/>
  <c r="J76" i="2"/>
  <c r="K76" i="2"/>
  <c r="I77" i="2"/>
  <c r="J77" i="2"/>
  <c r="K77" i="2"/>
  <c r="N77" i="2"/>
  <c r="O77" i="2"/>
  <c r="I78" i="2"/>
  <c r="J78" i="2"/>
  <c r="N78" i="2" s="1"/>
  <c r="K78" i="2"/>
  <c r="O78" i="2"/>
  <c r="I79" i="2"/>
  <c r="J79" i="2"/>
  <c r="N79" i="2" s="1"/>
  <c r="O79" i="2" s="1"/>
  <c r="K79" i="2"/>
  <c r="I80" i="2"/>
  <c r="J80" i="2"/>
  <c r="K80" i="2"/>
  <c r="I81" i="2"/>
  <c r="J81" i="2"/>
  <c r="N81" i="2" s="1"/>
  <c r="K81" i="2"/>
  <c r="I82" i="2"/>
  <c r="J82" i="2"/>
  <c r="K82" i="2"/>
  <c r="N82" i="2"/>
  <c r="O82" i="2"/>
  <c r="I83" i="2"/>
  <c r="J83" i="2"/>
  <c r="K83" i="2"/>
  <c r="I84" i="2"/>
  <c r="J84" i="2"/>
  <c r="K84" i="2"/>
  <c r="N84" i="2"/>
  <c r="O84" i="2"/>
  <c r="I85" i="2"/>
  <c r="J85" i="2"/>
  <c r="K85" i="2"/>
  <c r="N85" i="2"/>
  <c r="I86" i="2"/>
  <c r="J86" i="2"/>
  <c r="K86" i="2"/>
  <c r="I87" i="2"/>
  <c r="J87" i="2"/>
  <c r="K87" i="2"/>
  <c r="N87" i="2"/>
  <c r="O87" i="2"/>
  <c r="I88" i="2"/>
  <c r="J88" i="2"/>
  <c r="N88" i="2" s="1"/>
  <c r="K88" i="2"/>
  <c r="O88" i="2"/>
  <c r="I89" i="2"/>
  <c r="J89" i="2"/>
  <c r="N89" i="2" s="1"/>
  <c r="O89" i="2" s="1"/>
  <c r="K89" i="2"/>
  <c r="I90" i="2"/>
  <c r="J90" i="2"/>
  <c r="K90" i="2"/>
  <c r="I91" i="2"/>
  <c r="J91" i="2"/>
  <c r="N91" i="2" s="1"/>
  <c r="K91" i="2"/>
  <c r="I92" i="2"/>
  <c r="J92" i="2"/>
  <c r="K92" i="2"/>
  <c r="N92" i="2"/>
  <c r="I93" i="2"/>
  <c r="O93" i="2" s="1"/>
  <c r="J93" i="2"/>
  <c r="K93" i="2"/>
  <c r="N93" i="2"/>
  <c r="I94" i="2"/>
  <c r="J94" i="2"/>
  <c r="K94" i="2"/>
  <c r="I95" i="2"/>
  <c r="J95" i="2"/>
  <c r="N95" i="2" s="1"/>
  <c r="O95" i="2" s="1"/>
  <c r="K95" i="2"/>
  <c r="P95" i="2"/>
  <c r="I96" i="2"/>
  <c r="J96" i="2"/>
  <c r="K96" i="2"/>
  <c r="N96" i="2"/>
  <c r="I97" i="2"/>
  <c r="J97" i="2"/>
  <c r="N97" i="2" s="1"/>
  <c r="K97" i="2"/>
  <c r="I98" i="2"/>
  <c r="J98" i="2"/>
  <c r="K98" i="2"/>
  <c r="N98" i="2"/>
  <c r="O98" i="2"/>
  <c r="I99" i="2"/>
  <c r="J99" i="2"/>
  <c r="N99" i="2" s="1"/>
  <c r="K99" i="2"/>
  <c r="O99" i="2"/>
  <c r="I100" i="2"/>
  <c r="J100" i="2"/>
  <c r="K100" i="2"/>
  <c r="N100" i="2"/>
  <c r="O100" i="2" s="1"/>
  <c r="I101" i="2"/>
  <c r="J101" i="2"/>
  <c r="K101" i="2"/>
  <c r="I102" i="2"/>
  <c r="O102" i="2" s="1"/>
  <c r="J102" i="2"/>
  <c r="N102" i="2" s="1"/>
  <c r="K102" i="2"/>
  <c r="I103" i="2"/>
  <c r="J103" i="2"/>
  <c r="K103" i="2"/>
  <c r="N103" i="2"/>
  <c r="I104" i="2"/>
  <c r="O104" i="2" s="1"/>
  <c r="J104" i="2"/>
  <c r="K104" i="2"/>
  <c r="N104" i="2"/>
  <c r="I105" i="2"/>
  <c r="J105" i="2"/>
  <c r="N105" i="2" s="1"/>
  <c r="K105" i="2"/>
  <c r="I106" i="2"/>
  <c r="J106" i="2"/>
  <c r="N106" i="2" s="1"/>
  <c r="O106" i="2" s="1"/>
  <c r="K106" i="2"/>
  <c r="I107" i="2"/>
  <c r="J107" i="2"/>
  <c r="K107" i="2"/>
  <c r="N107" i="2"/>
  <c r="O107" i="2" s="1"/>
  <c r="I108" i="2"/>
  <c r="J108" i="2"/>
  <c r="N108" i="2" s="1"/>
  <c r="O108" i="2" s="1"/>
  <c r="K108" i="2"/>
  <c r="I109" i="2"/>
  <c r="J109" i="2"/>
  <c r="K109" i="2"/>
  <c r="I110" i="2"/>
  <c r="J110" i="2"/>
  <c r="K110" i="2"/>
  <c r="I111" i="2"/>
  <c r="J111" i="2"/>
  <c r="K111" i="2"/>
  <c r="N111" i="2" s="1"/>
  <c r="O111" i="2" s="1"/>
  <c r="I112" i="2"/>
  <c r="J112" i="2"/>
  <c r="K112" i="2"/>
  <c r="N112" i="2" s="1"/>
  <c r="I113" i="2"/>
  <c r="J113" i="2"/>
  <c r="K113" i="2"/>
  <c r="I114" i="2"/>
  <c r="J114" i="2"/>
  <c r="N114" i="2" s="1"/>
  <c r="K114" i="2"/>
  <c r="O114" i="2"/>
  <c r="I115" i="2"/>
  <c r="O115" i="2" s="1"/>
  <c r="J115" i="2"/>
  <c r="N115" i="2" s="1"/>
  <c r="K115" i="2"/>
  <c r="I116" i="2"/>
  <c r="J116" i="2"/>
  <c r="K116" i="2"/>
  <c r="N116" i="2"/>
  <c r="O116" i="2"/>
  <c r="I117" i="2"/>
  <c r="J117" i="2"/>
  <c r="K117" i="2"/>
  <c r="I118" i="2"/>
  <c r="J118" i="2"/>
  <c r="K118" i="2"/>
  <c r="I119" i="2"/>
  <c r="O119" i="2" s="1"/>
  <c r="J119" i="2"/>
  <c r="K119" i="2"/>
  <c r="N119" i="2"/>
  <c r="P119" i="2"/>
  <c r="I120" i="2"/>
  <c r="J120" i="2"/>
  <c r="K120" i="2"/>
  <c r="I121" i="2"/>
  <c r="J121" i="2"/>
  <c r="N121" i="2" s="1"/>
  <c r="K121" i="2"/>
  <c r="I122" i="2"/>
  <c r="O122" i="2" s="1"/>
  <c r="J122" i="2"/>
  <c r="K122" i="2"/>
  <c r="N122" i="2" s="1"/>
  <c r="I123" i="2"/>
  <c r="O123" i="2" s="1"/>
  <c r="J123" i="2"/>
  <c r="K123" i="2"/>
  <c r="N123" i="2" s="1"/>
  <c r="P123" i="2"/>
  <c r="I124" i="2"/>
  <c r="J124" i="2"/>
  <c r="K124" i="2"/>
  <c r="I125" i="2"/>
  <c r="J125" i="2"/>
  <c r="K125" i="2"/>
  <c r="N125" i="2"/>
  <c r="O125" i="2" s="1"/>
  <c r="I126" i="2"/>
  <c r="J126" i="2"/>
  <c r="K126" i="2"/>
  <c r="N126" i="2" s="1"/>
  <c r="I127" i="2"/>
  <c r="J127" i="2"/>
  <c r="N127" i="2" s="1"/>
  <c r="I128" i="2"/>
  <c r="J128" i="2"/>
  <c r="N128" i="2"/>
  <c r="I129" i="2"/>
  <c r="J129" i="2"/>
  <c r="K129" i="2"/>
  <c r="N129" i="2"/>
  <c r="I130" i="2"/>
  <c r="J130" i="2"/>
  <c r="K130" i="2"/>
  <c r="N130" i="2"/>
  <c r="P130" i="2"/>
  <c r="I131" i="2"/>
  <c r="J131" i="2"/>
  <c r="K131" i="2"/>
  <c r="N131" i="2" s="1"/>
  <c r="I132" i="2"/>
  <c r="J132" i="2"/>
  <c r="K132" i="2"/>
  <c r="N132" i="2"/>
  <c r="I133" i="2"/>
  <c r="J133" i="2"/>
  <c r="N133" i="2" s="1"/>
  <c r="K133" i="2"/>
  <c r="I134" i="2"/>
  <c r="O134" i="2" s="1"/>
  <c r="J134" i="2"/>
  <c r="K134" i="2"/>
  <c r="N134" i="2"/>
  <c r="I135" i="2"/>
  <c r="J135" i="2"/>
  <c r="K135" i="2"/>
  <c r="N135" i="2"/>
  <c r="O135" i="2" s="1"/>
  <c r="I136" i="2"/>
  <c r="J136" i="2"/>
  <c r="K136" i="2"/>
  <c r="I137" i="2"/>
  <c r="J137" i="2"/>
  <c r="K137" i="2"/>
  <c r="I138" i="2"/>
  <c r="O138" i="2" s="1"/>
  <c r="J138" i="2"/>
  <c r="K138" i="2"/>
  <c r="N138" i="2" s="1"/>
  <c r="I139" i="2"/>
  <c r="J139" i="2"/>
  <c r="K139" i="2"/>
  <c r="N139" i="2"/>
  <c r="I140" i="2"/>
  <c r="J140" i="2"/>
  <c r="N140" i="2" s="1"/>
  <c r="K140" i="2"/>
  <c r="I141" i="2"/>
  <c r="J141" i="2"/>
  <c r="K141" i="2"/>
  <c r="N141" i="2"/>
  <c r="O141" i="2" s="1"/>
  <c r="I142" i="2"/>
  <c r="J142" i="2"/>
  <c r="N142" i="2" s="1"/>
  <c r="K142" i="2"/>
  <c r="I143" i="2"/>
  <c r="J143" i="2"/>
  <c r="N143" i="2" s="1"/>
  <c r="O143" i="2" s="1"/>
  <c r="K143" i="2"/>
  <c r="I144" i="2"/>
  <c r="J144" i="2"/>
  <c r="K144" i="2"/>
  <c r="I145" i="2"/>
  <c r="J145" i="2"/>
  <c r="K145" i="2"/>
  <c r="I146" i="2"/>
  <c r="J146" i="2"/>
  <c r="K146" i="2"/>
  <c r="N146" i="2" s="1"/>
  <c r="O146" i="2"/>
  <c r="I147" i="2"/>
  <c r="O147" i="2" s="1"/>
  <c r="J147" i="2"/>
  <c r="K147" i="2"/>
  <c r="N147" i="2" s="1"/>
  <c r="I148" i="2"/>
  <c r="J148" i="2"/>
  <c r="K148" i="2"/>
  <c r="N148" i="2"/>
  <c r="I149" i="2"/>
  <c r="O149" i="2" s="1"/>
  <c r="J149" i="2"/>
  <c r="N149" i="2" s="1"/>
  <c r="K149" i="2"/>
  <c r="I150" i="2"/>
  <c r="J150" i="2"/>
  <c r="K150" i="2"/>
  <c r="N150" i="2"/>
  <c r="O150" i="2"/>
  <c r="I151" i="2"/>
  <c r="J151" i="2"/>
  <c r="K151" i="2"/>
  <c r="N151" i="2"/>
  <c r="O151" i="2" s="1"/>
  <c r="I152" i="2"/>
  <c r="J152" i="2"/>
  <c r="N152" i="2" s="1"/>
  <c r="O152" i="2" s="1"/>
  <c r="K152" i="2"/>
  <c r="I153" i="2"/>
  <c r="J153" i="2"/>
  <c r="N153" i="2"/>
  <c r="I154" i="2"/>
  <c r="J154" i="2"/>
  <c r="K154" i="2"/>
  <c r="N154" i="2"/>
  <c r="O154" i="2" s="1"/>
  <c r="I155" i="2"/>
  <c r="J155" i="2"/>
  <c r="N155" i="2" s="1"/>
  <c r="K155" i="2"/>
  <c r="O155" i="2"/>
  <c r="I156" i="2"/>
  <c r="J156" i="2"/>
  <c r="N156" i="2" s="1"/>
  <c r="O156" i="2" s="1"/>
  <c r="K156" i="2"/>
  <c r="I157" i="2"/>
  <c r="J157" i="2"/>
  <c r="K157" i="2"/>
  <c r="I158" i="2"/>
  <c r="O158" i="2" s="1"/>
  <c r="J158" i="2"/>
  <c r="N158" i="2" s="1"/>
  <c r="K158" i="2"/>
  <c r="I159" i="2"/>
  <c r="J159" i="2"/>
  <c r="K159" i="2"/>
  <c r="N159" i="2"/>
  <c r="O159" i="2"/>
  <c r="I160" i="2"/>
  <c r="J160" i="2"/>
  <c r="K160" i="2"/>
  <c r="N160" i="2"/>
  <c r="I161" i="2"/>
  <c r="J161" i="2"/>
  <c r="K161" i="2"/>
  <c r="N161" i="2"/>
  <c r="I162" i="2"/>
  <c r="O162" i="2" s="1"/>
  <c r="J162" i="2"/>
  <c r="K162" i="2"/>
  <c r="N162" i="2"/>
  <c r="I163" i="2"/>
  <c r="J163" i="2"/>
  <c r="K163" i="2"/>
  <c r="I164" i="2"/>
  <c r="J164" i="2"/>
  <c r="N164" i="2" s="1"/>
  <c r="O164" i="2" s="1"/>
  <c r="K164" i="2"/>
  <c r="I165" i="2"/>
  <c r="J165" i="2"/>
  <c r="K165" i="2"/>
  <c r="N165" i="2"/>
  <c r="O165" i="2"/>
  <c r="I166" i="2"/>
  <c r="J166" i="2"/>
  <c r="K166" i="2"/>
  <c r="N166" i="2"/>
  <c r="O166" i="2" s="1"/>
  <c r="I167" i="2"/>
  <c r="J167" i="2"/>
  <c r="K167" i="2"/>
  <c r="I168" i="2"/>
  <c r="O168" i="2" s="1"/>
  <c r="J168" i="2"/>
  <c r="N168" i="2" s="1"/>
  <c r="K168" i="2"/>
  <c r="I169" i="2"/>
  <c r="J169" i="2"/>
  <c r="K169" i="2"/>
  <c r="N169" i="2"/>
  <c r="O169" i="2"/>
  <c r="I170" i="2"/>
  <c r="J170" i="2"/>
  <c r="K170" i="2"/>
  <c r="N170" i="2"/>
  <c r="I171" i="2"/>
  <c r="J171" i="2"/>
  <c r="K171" i="2"/>
  <c r="I172" i="2"/>
  <c r="J172" i="2"/>
  <c r="N172" i="2" s="1"/>
  <c r="O172" i="2" s="1"/>
  <c r="K172" i="2"/>
  <c r="P172" i="2"/>
  <c r="I173" i="2"/>
  <c r="O173" i="2" s="1"/>
  <c r="J173" i="2"/>
  <c r="K173" i="2"/>
  <c r="N173" i="2"/>
  <c r="I174" i="2"/>
  <c r="J174" i="2"/>
  <c r="K174" i="2"/>
  <c r="I175" i="2"/>
  <c r="J175" i="2"/>
  <c r="K175" i="2"/>
  <c r="N175" i="2"/>
  <c r="O175" i="2" s="1"/>
  <c r="I176" i="2"/>
  <c r="J176" i="2"/>
  <c r="K176" i="2"/>
  <c r="N176" i="2"/>
  <c r="O176" i="2"/>
  <c r="I177" i="2"/>
  <c r="J177" i="2"/>
  <c r="N177" i="2" s="1"/>
  <c r="O177" i="2" s="1"/>
  <c r="K177" i="2"/>
  <c r="E178" i="2"/>
  <c r="K178" i="2" s="1"/>
  <c r="I178" i="2"/>
  <c r="J178" i="2"/>
  <c r="N178" i="2"/>
  <c r="O178" i="2"/>
  <c r="I179" i="2"/>
  <c r="O179" i="2" s="1"/>
  <c r="J179" i="2"/>
  <c r="N179" i="2" s="1"/>
  <c r="I180" i="2"/>
  <c r="J180" i="2"/>
  <c r="K180" i="2"/>
  <c r="N180" i="2" s="1"/>
  <c r="O180" i="2" s="1"/>
  <c r="I181" i="2"/>
  <c r="O181" i="2" s="1"/>
  <c r="J181" i="2"/>
  <c r="K181" i="2"/>
  <c r="N181" i="2"/>
  <c r="I182" i="2"/>
  <c r="J182" i="2"/>
  <c r="N182" i="2" s="1"/>
  <c r="K182" i="2"/>
  <c r="I183" i="2"/>
  <c r="J183" i="2"/>
  <c r="N183" i="2" s="1"/>
  <c r="O183" i="2" s="1"/>
  <c r="K183" i="2"/>
  <c r="I184" i="2"/>
  <c r="J184" i="2"/>
  <c r="K184" i="2"/>
  <c r="N184" i="2"/>
  <c r="O184" i="2"/>
  <c r="I185" i="2"/>
  <c r="J185" i="2"/>
  <c r="N185" i="2" s="1"/>
  <c r="O185" i="2" s="1"/>
  <c r="K185" i="2"/>
  <c r="I186" i="2"/>
  <c r="J186" i="2"/>
  <c r="K186" i="2"/>
  <c r="I187" i="2"/>
  <c r="O187" i="2" s="1"/>
  <c r="J187" i="2"/>
  <c r="N187" i="2" s="1"/>
  <c r="K187" i="2"/>
  <c r="I188" i="2"/>
  <c r="J188" i="2"/>
  <c r="K188" i="2"/>
  <c r="N188" i="2"/>
  <c r="O188" i="2"/>
  <c r="I189" i="2"/>
  <c r="O189" i="2" s="1"/>
  <c r="J189" i="2"/>
  <c r="K189" i="2"/>
  <c r="N189" i="2"/>
  <c r="I190" i="2"/>
  <c r="J190" i="2"/>
  <c r="K190" i="2"/>
  <c r="I191" i="2"/>
  <c r="J191" i="2"/>
  <c r="N191" i="2" s="1"/>
  <c r="O191" i="2" s="1"/>
  <c r="K191" i="2"/>
  <c r="I192" i="2"/>
  <c r="J192" i="2"/>
  <c r="K192" i="2"/>
  <c r="N192" i="2"/>
  <c r="O192" i="2"/>
  <c r="I193" i="2"/>
  <c r="J193" i="2"/>
  <c r="K193" i="2"/>
  <c r="N193" i="2"/>
  <c r="O193" i="2" s="1"/>
  <c r="I194" i="2"/>
  <c r="J194" i="2"/>
  <c r="K194" i="2"/>
  <c r="I195" i="2"/>
  <c r="O195" i="2" s="1"/>
  <c r="J195" i="2"/>
  <c r="N195" i="2" s="1"/>
  <c r="K195" i="2"/>
  <c r="P195" i="2"/>
  <c r="I196" i="2"/>
  <c r="J196" i="2"/>
  <c r="K196" i="2"/>
  <c r="N196" i="2" s="1"/>
  <c r="O196" i="2" s="1"/>
  <c r="I197" i="2"/>
  <c r="J197" i="2"/>
  <c r="K197" i="2"/>
  <c r="E198" i="2"/>
  <c r="J198" i="2" s="1"/>
  <c r="N198" i="2" s="1"/>
  <c r="I198" i="2"/>
  <c r="K198" i="2"/>
  <c r="O198" i="2"/>
  <c r="I199" i="2"/>
  <c r="J199" i="2"/>
  <c r="K199" i="2"/>
  <c r="N199" i="2"/>
  <c r="O199" i="2" s="1"/>
  <c r="I200" i="2"/>
  <c r="J200" i="2"/>
  <c r="K200" i="2"/>
  <c r="I201" i="2"/>
  <c r="O201" i="2" s="1"/>
  <c r="J201" i="2"/>
  <c r="N201" i="2" s="1"/>
  <c r="K201" i="2"/>
  <c r="I202" i="2"/>
  <c r="J202" i="2"/>
  <c r="K202" i="2"/>
  <c r="N202" i="2"/>
  <c r="O202" i="2"/>
  <c r="I203" i="2"/>
  <c r="J203" i="2"/>
  <c r="K203" i="2"/>
  <c r="N203" i="2"/>
  <c r="I204" i="2"/>
  <c r="J204" i="2"/>
  <c r="K204" i="2"/>
  <c r="I205" i="2"/>
  <c r="J205" i="2"/>
  <c r="N205" i="2" s="1"/>
  <c r="O205" i="2" s="1"/>
  <c r="K205" i="2"/>
  <c r="I206" i="2"/>
  <c r="J206" i="2"/>
  <c r="K206" i="2"/>
  <c r="N206" i="2"/>
  <c r="O206" i="2"/>
  <c r="P206" i="2"/>
  <c r="I207" i="2"/>
  <c r="J207" i="2"/>
  <c r="N207" i="2" s="1"/>
  <c r="K207" i="2"/>
  <c r="I208" i="2"/>
  <c r="J208" i="2"/>
  <c r="N208" i="2" s="1"/>
  <c r="O208" i="2" s="1"/>
  <c r="K208" i="2"/>
  <c r="I209" i="2"/>
  <c r="J209" i="2"/>
  <c r="K209" i="2"/>
  <c r="N209" i="2"/>
  <c r="O209" i="2"/>
  <c r="I210" i="2"/>
  <c r="J210" i="2"/>
  <c r="N210" i="2" s="1"/>
  <c r="O210" i="2" s="1"/>
  <c r="K210" i="2"/>
  <c r="E211" i="2"/>
  <c r="I211" i="2"/>
  <c r="J211" i="2"/>
  <c r="K211" i="2"/>
  <c r="N211" i="2"/>
  <c r="O211" i="2" s="1"/>
  <c r="I212" i="2"/>
  <c r="J212" i="2"/>
  <c r="K212" i="2"/>
  <c r="N212" i="2"/>
  <c r="O212" i="2"/>
  <c r="I213" i="2"/>
  <c r="J213" i="2"/>
  <c r="N213" i="2" s="1"/>
  <c r="O213" i="2" s="1"/>
  <c r="K213" i="2"/>
  <c r="I214" i="2"/>
  <c r="J214" i="2"/>
  <c r="N214" i="2" s="1"/>
  <c r="K214" i="2"/>
  <c r="O214" i="2"/>
  <c r="I215" i="2"/>
  <c r="O215" i="2" s="1"/>
  <c r="J215" i="2"/>
  <c r="N215" i="2" s="1"/>
  <c r="K215" i="2"/>
  <c r="I216" i="2"/>
  <c r="J216" i="2"/>
  <c r="K216" i="2"/>
  <c r="N216" i="2" s="1"/>
  <c r="O216" i="2" s="1"/>
  <c r="I217" i="2"/>
  <c r="O217" i="2" s="1"/>
  <c r="J217" i="2"/>
  <c r="K217" i="2"/>
  <c r="N217" i="2"/>
  <c r="I218" i="2"/>
  <c r="J218" i="2"/>
  <c r="N218" i="2" s="1"/>
  <c r="K218" i="2"/>
  <c r="I219" i="2"/>
  <c r="J219" i="2"/>
  <c r="N219" i="2" s="1"/>
  <c r="O219" i="2" s="1"/>
  <c r="K219" i="2"/>
  <c r="I220" i="2"/>
  <c r="J220" i="2"/>
  <c r="K220" i="2"/>
  <c r="N220" i="2"/>
  <c r="O220" i="2"/>
  <c r="I221" i="2"/>
  <c r="J221" i="2"/>
  <c r="N221" i="2" s="1"/>
  <c r="O221" i="2" s="1"/>
  <c r="K221" i="2"/>
  <c r="I222" i="2"/>
  <c r="J222" i="2"/>
  <c r="K222" i="2"/>
  <c r="I223" i="2"/>
  <c r="O223" i="2" s="1"/>
  <c r="J223" i="2"/>
  <c r="N223" i="2" s="1"/>
  <c r="K223" i="2"/>
  <c r="I224" i="2"/>
  <c r="J224" i="2"/>
  <c r="K224" i="2"/>
  <c r="N224" i="2"/>
  <c r="O224" i="2"/>
  <c r="I225" i="2"/>
  <c r="O225" i="2" s="1"/>
  <c r="J225" i="2"/>
  <c r="K225" i="2"/>
  <c r="N225" i="2"/>
  <c r="I226" i="2"/>
  <c r="J226" i="2"/>
  <c r="K226" i="2"/>
  <c r="I227" i="2"/>
  <c r="J227" i="2"/>
  <c r="N227" i="2" s="1"/>
  <c r="O227" i="2" s="1"/>
  <c r="K227" i="2"/>
  <c r="I228" i="2"/>
  <c r="J228" i="2"/>
  <c r="K228" i="2"/>
  <c r="N228" i="2"/>
  <c r="O228" i="2"/>
  <c r="I229" i="2"/>
  <c r="J229" i="2"/>
  <c r="K229" i="2"/>
  <c r="N229" i="2"/>
  <c r="O229" i="2" s="1"/>
  <c r="I230" i="2"/>
  <c r="J230" i="2"/>
  <c r="K230" i="2"/>
  <c r="I231" i="2"/>
  <c r="O231" i="2" s="1"/>
  <c r="J231" i="2"/>
  <c r="N231" i="2" s="1"/>
  <c r="K231" i="2"/>
  <c r="I232" i="2"/>
  <c r="J232" i="2"/>
  <c r="K232" i="2"/>
  <c r="N232" i="2"/>
  <c r="O232" i="2"/>
  <c r="I233" i="2"/>
  <c r="J233" i="2"/>
  <c r="K233" i="2"/>
  <c r="N233" i="2"/>
  <c r="I234" i="2"/>
  <c r="J234" i="2"/>
  <c r="K234" i="2"/>
  <c r="I235" i="2"/>
  <c r="J235" i="2"/>
  <c r="N235" i="2" s="1"/>
  <c r="O235" i="2" s="1"/>
  <c r="K235" i="2"/>
  <c r="I236" i="2"/>
  <c r="J236" i="2"/>
  <c r="K236" i="2"/>
  <c r="N236" i="2"/>
  <c r="O236" i="2"/>
  <c r="I237" i="2"/>
  <c r="J237" i="2"/>
  <c r="N237" i="2" s="1"/>
  <c r="O237" i="2" s="1"/>
  <c r="K237" i="2"/>
  <c r="I238" i="2"/>
  <c r="J238" i="2"/>
  <c r="K238" i="2"/>
  <c r="I239" i="2"/>
  <c r="J239" i="2"/>
  <c r="N239" i="2" s="1"/>
  <c r="K239" i="2"/>
  <c r="I240" i="2"/>
  <c r="J240" i="2"/>
  <c r="K240" i="2"/>
  <c r="N240" i="2" s="1"/>
  <c r="O240" i="2" s="1"/>
  <c r="I241" i="2"/>
  <c r="J241" i="2"/>
  <c r="K241" i="2"/>
  <c r="N241" i="2"/>
  <c r="I242" i="2"/>
  <c r="J242" i="2"/>
  <c r="N242" i="2" s="1"/>
  <c r="K242" i="2"/>
  <c r="I243" i="2"/>
  <c r="J243" i="2"/>
  <c r="K243" i="2"/>
  <c r="N243" i="2"/>
  <c r="O243" i="2" s="1"/>
  <c r="I244" i="2"/>
  <c r="O244" i="2" s="1"/>
  <c r="J244" i="2"/>
  <c r="K244" i="2"/>
  <c r="N244" i="2"/>
  <c r="I245" i="2"/>
  <c r="J245" i="2"/>
  <c r="K245" i="2"/>
  <c r="N245" i="2"/>
  <c r="O245" i="2" s="1"/>
  <c r="P245" i="2"/>
  <c r="I246" i="2"/>
  <c r="J246" i="2"/>
  <c r="N246" i="2" s="1"/>
  <c r="O246" i="2" s="1"/>
  <c r="K246" i="2"/>
  <c r="P246" i="2"/>
  <c r="I247" i="2"/>
  <c r="O247" i="2" s="1"/>
  <c r="J247" i="2"/>
  <c r="K247" i="2"/>
  <c r="N247" i="2"/>
  <c r="I248" i="2"/>
  <c r="J248" i="2"/>
  <c r="K248" i="2"/>
  <c r="I249" i="2"/>
  <c r="J249" i="2"/>
  <c r="N249" i="2" s="1"/>
  <c r="O249" i="2" s="1"/>
  <c r="K249" i="2"/>
  <c r="I250" i="2"/>
  <c r="J250" i="2"/>
  <c r="K250" i="2"/>
  <c r="N250" i="2"/>
  <c r="O250" i="2"/>
  <c r="I251" i="2"/>
  <c r="J251" i="2"/>
  <c r="N251" i="2" s="1"/>
  <c r="O251" i="2" s="1"/>
  <c r="K251" i="2"/>
  <c r="P251" i="2"/>
  <c r="I252" i="2"/>
  <c r="J252" i="2"/>
  <c r="K252" i="2"/>
  <c r="N252" i="2"/>
  <c r="O252" i="2"/>
  <c r="I253" i="2"/>
  <c r="O253" i="2" s="1"/>
  <c r="J253" i="2"/>
  <c r="K253" i="2"/>
  <c r="N253" i="2"/>
  <c r="I254" i="2"/>
  <c r="J254" i="2"/>
  <c r="N254" i="2" s="1"/>
  <c r="O254" i="2" s="1"/>
  <c r="K254" i="2"/>
  <c r="I255" i="2"/>
  <c r="J255" i="2"/>
  <c r="K255" i="2"/>
  <c r="I256" i="2"/>
  <c r="J256" i="2"/>
  <c r="N256" i="2" s="1"/>
  <c r="I257" i="2"/>
  <c r="J257" i="2"/>
  <c r="N257" i="2" s="1"/>
  <c r="O257" i="2" s="1"/>
  <c r="K257" i="2"/>
  <c r="I258" i="2"/>
  <c r="J258" i="2"/>
  <c r="K258" i="2"/>
  <c r="N258" i="2"/>
  <c r="O258" i="2"/>
  <c r="I259" i="2"/>
  <c r="J259" i="2"/>
  <c r="N259" i="2" s="1"/>
  <c r="O259" i="2" s="1"/>
  <c r="K259" i="2"/>
  <c r="I260" i="2"/>
  <c r="J260" i="2"/>
  <c r="N260" i="2" s="1"/>
  <c r="O260" i="2" s="1"/>
  <c r="K260" i="2"/>
  <c r="I261" i="2"/>
  <c r="J261" i="2"/>
  <c r="N261" i="2" s="1"/>
  <c r="K261" i="2"/>
  <c r="I262" i="2"/>
  <c r="J262" i="2"/>
  <c r="K262" i="2"/>
  <c r="N262" i="2"/>
  <c r="O262" i="2" s="1"/>
  <c r="I263" i="2"/>
  <c r="J263" i="2"/>
  <c r="K263" i="2"/>
  <c r="N263" i="2"/>
  <c r="I264" i="2"/>
  <c r="J264" i="2"/>
  <c r="K264" i="2"/>
  <c r="I265" i="2"/>
  <c r="J265" i="2"/>
  <c r="K265" i="2"/>
  <c r="N265" i="2"/>
  <c r="O265" i="2" s="1"/>
  <c r="I266" i="2"/>
  <c r="O266" i="2" s="1"/>
  <c r="J266" i="2"/>
  <c r="K266" i="2"/>
  <c r="N266" i="2"/>
  <c r="I267" i="2"/>
  <c r="J267" i="2"/>
  <c r="K267" i="2"/>
  <c r="N267" i="2"/>
  <c r="O267" i="2" s="1"/>
  <c r="I268" i="2"/>
  <c r="J268" i="2"/>
  <c r="N268" i="2" s="1"/>
  <c r="O268" i="2" s="1"/>
  <c r="K268" i="2"/>
  <c r="I269" i="2"/>
  <c r="J269" i="2"/>
  <c r="N269" i="2" s="1"/>
  <c r="K269" i="2"/>
  <c r="I270" i="2"/>
  <c r="J270" i="2"/>
  <c r="K270" i="2"/>
  <c r="N270" i="2" s="1"/>
  <c r="I271" i="2"/>
  <c r="J271" i="2"/>
  <c r="K271" i="2"/>
  <c r="N271" i="2"/>
  <c r="I272" i="2"/>
  <c r="J272" i="2"/>
  <c r="N272" i="2" s="1"/>
  <c r="K272" i="2"/>
  <c r="I273" i="2"/>
  <c r="J273" i="2"/>
  <c r="N273" i="2" s="1"/>
  <c r="O273" i="2" s="1"/>
  <c r="K273" i="2"/>
  <c r="I274" i="2"/>
  <c r="O274" i="2" s="1"/>
  <c r="J274" i="2"/>
  <c r="K274" i="2"/>
  <c r="N274" i="2"/>
  <c r="I275" i="2"/>
  <c r="J275" i="2"/>
  <c r="K275" i="2"/>
  <c r="N275" i="2"/>
  <c r="O275" i="2" s="1"/>
  <c r="I276" i="2"/>
  <c r="J276" i="2"/>
  <c r="N276" i="2" s="1"/>
  <c r="O276" i="2" s="1"/>
  <c r="K276" i="2"/>
  <c r="I277" i="2"/>
  <c r="O277" i="2" s="1"/>
  <c r="J277" i="2"/>
  <c r="N277" i="2" s="1"/>
  <c r="K277" i="2"/>
  <c r="I278" i="2"/>
  <c r="J278" i="2"/>
  <c r="K278" i="2"/>
  <c r="N278" i="2" s="1"/>
  <c r="I279" i="2"/>
  <c r="J279" i="2"/>
  <c r="K279" i="2"/>
  <c r="N279" i="2"/>
  <c r="I280" i="2"/>
  <c r="O280" i="2" s="1"/>
  <c r="J280" i="2"/>
  <c r="N280" i="2" s="1"/>
  <c r="K280" i="2"/>
  <c r="I281" i="2"/>
  <c r="J281" i="2"/>
  <c r="K281" i="2"/>
  <c r="N281" i="2"/>
  <c r="O281" i="2"/>
  <c r="I282" i="2"/>
  <c r="O282" i="2" s="1"/>
  <c r="J282" i="2"/>
  <c r="K282" i="2"/>
  <c r="N282" i="2"/>
  <c r="I283" i="2"/>
  <c r="J283" i="2"/>
  <c r="K283" i="2"/>
  <c r="N283" i="2"/>
  <c r="O283" i="2" s="1"/>
  <c r="I284" i="2"/>
  <c r="J284" i="2"/>
  <c r="K284" i="2"/>
  <c r="I285" i="2"/>
  <c r="J285" i="2"/>
  <c r="N285" i="2" s="1"/>
  <c r="K285" i="2"/>
  <c r="O285" i="2"/>
  <c r="I286" i="2"/>
  <c r="O286" i="2" s="1"/>
  <c r="J286" i="2"/>
  <c r="K286" i="2"/>
  <c r="N286" i="2"/>
  <c r="I287" i="2"/>
  <c r="O287" i="2" s="1"/>
  <c r="J287" i="2"/>
  <c r="K287" i="2"/>
  <c r="N287" i="2" s="1"/>
  <c r="I288" i="2"/>
  <c r="J288" i="2"/>
  <c r="K288" i="2"/>
  <c r="P288" i="2"/>
  <c r="I289" i="2"/>
  <c r="O289" i="2" s="1"/>
  <c r="J289" i="2"/>
  <c r="K289" i="2"/>
  <c r="N289" i="2" s="1"/>
  <c r="I290" i="2"/>
  <c r="J290" i="2"/>
  <c r="K290" i="2"/>
  <c r="N290" i="2"/>
  <c r="I291" i="2"/>
  <c r="J291" i="2"/>
  <c r="N291" i="2" s="1"/>
  <c r="K291" i="2"/>
  <c r="I292" i="2"/>
  <c r="J292" i="2"/>
  <c r="N292" i="2" s="1"/>
  <c r="K292" i="2"/>
  <c r="O292" i="2"/>
  <c r="P292" i="2"/>
  <c r="I293" i="2"/>
  <c r="O293" i="2" s="1"/>
  <c r="J293" i="2"/>
  <c r="K293" i="2"/>
  <c r="N293" i="2"/>
  <c r="I294" i="2"/>
  <c r="J294" i="2"/>
  <c r="K294" i="2"/>
  <c r="I295" i="2"/>
  <c r="O295" i="2" s="1"/>
  <c r="J295" i="2"/>
  <c r="N295" i="2" s="1"/>
  <c r="K295" i="2"/>
  <c r="I296" i="2"/>
  <c r="J296" i="2"/>
  <c r="K296" i="2"/>
  <c r="N296" i="2"/>
  <c r="O296" i="2"/>
  <c r="I297" i="2"/>
  <c r="J297" i="2"/>
  <c r="K297" i="2"/>
  <c r="N297" i="2"/>
  <c r="O297" i="2" s="1"/>
  <c r="I298" i="2"/>
  <c r="J298" i="2"/>
  <c r="K298" i="2"/>
  <c r="I299" i="2"/>
  <c r="J299" i="2"/>
  <c r="N299" i="2" s="1"/>
  <c r="K299" i="2"/>
  <c r="O299" i="2"/>
  <c r="P299" i="2"/>
  <c r="I300" i="2"/>
  <c r="J300" i="2"/>
  <c r="K300" i="2"/>
  <c r="I301" i="2"/>
  <c r="J301" i="2"/>
  <c r="K301" i="2"/>
  <c r="I302" i="2"/>
  <c r="O302" i="2" s="1"/>
  <c r="J302" i="2"/>
  <c r="N302" i="2" s="1"/>
  <c r="K302" i="2"/>
  <c r="I303" i="2"/>
  <c r="J303" i="2"/>
  <c r="K303" i="2"/>
  <c r="N303" i="2" s="1"/>
  <c r="O303" i="2" s="1"/>
  <c r="I304" i="2"/>
  <c r="O304" i="2" s="1"/>
  <c r="J304" i="2"/>
  <c r="K304" i="2"/>
  <c r="N304" i="2" s="1"/>
  <c r="I305" i="2"/>
  <c r="J305" i="2"/>
  <c r="N305" i="2" s="1"/>
  <c r="K305" i="2"/>
  <c r="I306" i="2"/>
  <c r="O306" i="2" s="1"/>
  <c r="J306" i="2"/>
  <c r="N306" i="2" s="1"/>
  <c r="K306" i="2"/>
  <c r="I307" i="2"/>
  <c r="J307" i="2"/>
  <c r="K307" i="2"/>
  <c r="N307" i="2"/>
  <c r="O307" i="2"/>
  <c r="I308" i="2"/>
  <c r="J308" i="2"/>
  <c r="N308" i="2" s="1"/>
  <c r="O308" i="2" s="1"/>
  <c r="K308" i="2"/>
  <c r="I309" i="2"/>
  <c r="J309" i="2"/>
  <c r="K309" i="2"/>
  <c r="I310" i="2"/>
  <c r="O310" i="2" s="1"/>
  <c r="J310" i="2"/>
  <c r="N310" i="2" s="1"/>
  <c r="K310" i="2"/>
  <c r="I311" i="2"/>
  <c r="J311" i="2"/>
  <c r="K311" i="2"/>
  <c r="N311" i="2"/>
  <c r="O311" i="2"/>
  <c r="I312" i="2"/>
  <c r="J312" i="2"/>
  <c r="K312" i="2"/>
  <c r="N312" i="2"/>
  <c r="I313" i="2"/>
  <c r="J313" i="2"/>
  <c r="K313" i="2"/>
  <c r="I314" i="2"/>
  <c r="J314" i="2"/>
  <c r="N314" i="2" s="1"/>
  <c r="K314" i="2"/>
  <c r="I316" i="2"/>
  <c r="J316" i="2"/>
  <c r="K316" i="2"/>
  <c r="N316" i="2"/>
  <c r="O316" i="2" s="1"/>
  <c r="I317" i="2"/>
  <c r="J317" i="2"/>
  <c r="N317" i="2" s="1"/>
  <c r="O317" i="2" s="1"/>
  <c r="K317" i="2"/>
  <c r="I318" i="2"/>
  <c r="J318" i="2"/>
  <c r="K318" i="2"/>
  <c r="I319" i="2"/>
  <c r="J319" i="2"/>
  <c r="N319" i="2" s="1"/>
  <c r="O319" i="2" s="1"/>
  <c r="K319" i="2"/>
  <c r="I320" i="2"/>
  <c r="O320" i="2" s="1"/>
  <c r="J320" i="2"/>
  <c r="K320" i="2"/>
  <c r="N320" i="2" s="1"/>
  <c r="I321" i="2"/>
  <c r="J321" i="2"/>
  <c r="K321" i="2"/>
  <c r="N321" i="2"/>
  <c r="I322" i="2"/>
  <c r="J322" i="2"/>
  <c r="N322" i="2" s="1"/>
  <c r="K322" i="2"/>
  <c r="I323" i="2"/>
  <c r="J323" i="2"/>
  <c r="N323" i="2" s="1"/>
  <c r="K323" i="2"/>
  <c r="O323" i="2"/>
  <c r="P323" i="2"/>
  <c r="I324" i="2"/>
  <c r="O324" i="2" s="1"/>
  <c r="J324" i="2"/>
  <c r="K324" i="2"/>
  <c r="N324" i="2"/>
  <c r="I325" i="2"/>
  <c r="J325" i="2"/>
  <c r="K325" i="2"/>
  <c r="I326" i="2"/>
  <c r="J326" i="2"/>
  <c r="N326" i="2" s="1"/>
  <c r="K326" i="2"/>
  <c r="I327" i="2"/>
  <c r="J327" i="2"/>
  <c r="K327" i="2"/>
  <c r="N327" i="2"/>
  <c r="O327" i="2"/>
  <c r="I328" i="2"/>
  <c r="J328" i="2"/>
  <c r="K328" i="2"/>
  <c r="N328" i="2"/>
  <c r="O328" i="2" s="1"/>
  <c r="I329" i="2"/>
  <c r="J329" i="2"/>
  <c r="K329" i="2"/>
  <c r="I330" i="2"/>
  <c r="J330" i="2"/>
  <c r="K330" i="2"/>
  <c r="I331" i="2"/>
  <c r="O331" i="2" s="1"/>
  <c r="J331" i="2"/>
  <c r="K331" i="2"/>
  <c r="N331" i="2" s="1"/>
  <c r="I332" i="2"/>
  <c r="J332" i="2"/>
  <c r="K332" i="2"/>
  <c r="N332" i="2"/>
  <c r="I333" i="2"/>
  <c r="J333" i="2"/>
  <c r="N333" i="2" s="1"/>
  <c r="K333" i="2"/>
  <c r="I334" i="2"/>
  <c r="J334" i="2"/>
  <c r="K334" i="2"/>
  <c r="N334" i="2"/>
  <c r="O334" i="2" s="1"/>
  <c r="P334" i="2"/>
  <c r="I335" i="2"/>
  <c r="J335" i="2"/>
  <c r="K335" i="2"/>
  <c r="N335" i="2"/>
  <c r="I336" i="2"/>
  <c r="J336" i="2"/>
  <c r="N336" i="2" s="1"/>
  <c r="K336" i="2"/>
  <c r="I337" i="2"/>
  <c r="O337" i="2" s="1"/>
  <c r="J337" i="2"/>
  <c r="K337" i="2"/>
  <c r="N337" i="2"/>
  <c r="I338" i="2"/>
  <c r="J338" i="2"/>
  <c r="N338" i="2" s="1"/>
  <c r="K338" i="2"/>
  <c r="I339" i="2"/>
  <c r="J339" i="2"/>
  <c r="K339" i="2"/>
  <c r="N339" i="2"/>
  <c r="O339" i="2" s="1"/>
  <c r="I340" i="2"/>
  <c r="J340" i="2"/>
  <c r="N340" i="2" s="1"/>
  <c r="O340" i="2" s="1"/>
  <c r="K340" i="2"/>
  <c r="I341" i="2"/>
  <c r="J341" i="2"/>
  <c r="K341" i="2"/>
  <c r="I342" i="2"/>
  <c r="O342" i="2" s="1"/>
  <c r="J342" i="2"/>
  <c r="K342" i="2"/>
  <c r="N342" i="2"/>
  <c r="I343" i="2"/>
  <c r="J343" i="2"/>
  <c r="K343" i="2"/>
  <c r="N343" i="2" s="1"/>
  <c r="I344" i="2"/>
  <c r="J344" i="2"/>
  <c r="K344" i="2"/>
  <c r="N344" i="2"/>
  <c r="I345" i="2"/>
  <c r="J345" i="2"/>
  <c r="N345" i="2" s="1"/>
  <c r="O345" i="2" s="1"/>
  <c r="K345" i="2"/>
  <c r="I346" i="2"/>
  <c r="J346" i="2"/>
  <c r="N346" i="2" s="1"/>
  <c r="O346" i="2" s="1"/>
  <c r="K346" i="2"/>
  <c r="I347" i="2"/>
  <c r="J347" i="2"/>
  <c r="N347" i="2" s="1"/>
  <c r="O347" i="2" s="1"/>
  <c r="K347" i="2"/>
  <c r="I348" i="2"/>
  <c r="J348" i="2"/>
  <c r="K348" i="2"/>
  <c r="I349" i="2"/>
  <c r="O349" i="2" s="1"/>
  <c r="J349" i="2"/>
  <c r="N349" i="2" s="1"/>
  <c r="K349" i="2"/>
  <c r="I350" i="2"/>
  <c r="J350" i="2"/>
  <c r="K350" i="2"/>
  <c r="N350" i="2"/>
  <c r="O350" i="2"/>
  <c r="I351" i="2"/>
  <c r="J351" i="2"/>
  <c r="K351" i="2"/>
  <c r="N351" i="2"/>
  <c r="I352" i="2"/>
  <c r="J352" i="2"/>
  <c r="K352" i="2"/>
  <c r="N352" i="2"/>
  <c r="I353" i="2"/>
  <c r="O353" i="2" s="1"/>
  <c r="J353" i="2"/>
  <c r="K353" i="2"/>
  <c r="N353" i="2"/>
  <c r="I354" i="2"/>
  <c r="O354" i="2" s="1"/>
  <c r="J354" i="2"/>
  <c r="N354" i="2" s="1"/>
  <c r="K354" i="2"/>
  <c r="I355" i="2"/>
  <c r="J355" i="2"/>
  <c r="K355" i="2"/>
  <c r="N355" i="2"/>
  <c r="O355" i="2"/>
  <c r="I356" i="2"/>
  <c r="J356" i="2"/>
  <c r="N356" i="2" s="1"/>
  <c r="O356" i="2" s="1"/>
  <c r="K356" i="2"/>
  <c r="I357" i="2"/>
  <c r="J357" i="2"/>
  <c r="K357" i="2"/>
  <c r="I358" i="2"/>
  <c r="O358" i="2" s="1"/>
  <c r="J358" i="2"/>
  <c r="K358" i="2"/>
  <c r="N358" i="2"/>
  <c r="I359" i="2"/>
  <c r="J359" i="2"/>
  <c r="K359" i="2"/>
  <c r="N359" i="2"/>
  <c r="I360" i="2"/>
  <c r="J360" i="2"/>
  <c r="K360" i="2"/>
  <c r="N360" i="2"/>
  <c r="I361" i="2"/>
  <c r="J361" i="2"/>
  <c r="K361" i="2"/>
  <c r="N361" i="2"/>
  <c r="O361" i="2" s="1"/>
  <c r="I362" i="2"/>
  <c r="J362" i="2"/>
  <c r="N362" i="2" s="1"/>
  <c r="O362" i="2" s="1"/>
  <c r="K362" i="2"/>
  <c r="I363" i="2"/>
  <c r="J363" i="2"/>
  <c r="N363" i="2" s="1"/>
  <c r="O363" i="2" s="1"/>
  <c r="K363" i="2"/>
  <c r="I364" i="2"/>
  <c r="J364" i="2"/>
  <c r="K364" i="2"/>
  <c r="I365" i="2"/>
  <c r="O365" i="2" s="1"/>
  <c r="J365" i="2"/>
  <c r="N365" i="2" s="1"/>
  <c r="K365" i="2"/>
  <c r="I366" i="2"/>
  <c r="J366" i="2"/>
  <c r="K366" i="2"/>
  <c r="N366" i="2" s="1"/>
  <c r="O366" i="2" s="1"/>
  <c r="I367" i="2"/>
  <c r="J367" i="2"/>
  <c r="K367" i="2"/>
  <c r="N367" i="2"/>
  <c r="I368" i="2"/>
  <c r="J368" i="2"/>
  <c r="N368" i="2" s="1"/>
  <c r="K368" i="2"/>
  <c r="P368" i="2"/>
  <c r="I369" i="2"/>
  <c r="J369" i="2"/>
  <c r="K369" i="2"/>
  <c r="N369" i="2" s="1"/>
  <c r="O369" i="2"/>
  <c r="I370" i="2"/>
  <c r="O370" i="2" s="1"/>
  <c r="J370" i="2"/>
  <c r="K370" i="2"/>
  <c r="N370" i="2" s="1"/>
  <c r="I371" i="2"/>
  <c r="J371" i="2"/>
  <c r="K371" i="2"/>
  <c r="N371" i="2"/>
  <c r="O371" i="2"/>
  <c r="I372" i="2"/>
  <c r="O372" i="2" s="1"/>
  <c r="J372" i="2"/>
  <c r="N372" i="2" s="1"/>
  <c r="K372" i="2"/>
  <c r="I373" i="2"/>
  <c r="J373" i="2"/>
  <c r="N373" i="2" s="1"/>
  <c r="O373" i="2" s="1"/>
  <c r="K373" i="2"/>
  <c r="P373" i="2"/>
  <c r="I374" i="2"/>
  <c r="J374" i="2"/>
  <c r="N374" i="2" s="1"/>
  <c r="O374" i="2" s="1"/>
  <c r="K374" i="2"/>
  <c r="I375" i="2"/>
  <c r="J375" i="2"/>
  <c r="N375" i="2" s="1"/>
  <c r="K375" i="2"/>
  <c r="O375" i="2"/>
  <c r="I376" i="2"/>
  <c r="J376" i="2"/>
  <c r="K376" i="2"/>
  <c r="N376" i="2"/>
  <c r="O376" i="2" s="1"/>
  <c r="I377" i="2"/>
  <c r="J377" i="2"/>
  <c r="K377" i="2"/>
  <c r="I378" i="2"/>
  <c r="O378" i="2" s="1"/>
  <c r="J378" i="2"/>
  <c r="N378" i="2" s="1"/>
  <c r="K378" i="2"/>
  <c r="I379" i="2"/>
  <c r="J379" i="2"/>
  <c r="K379" i="2"/>
  <c r="N379" i="2"/>
  <c r="O379" i="2"/>
  <c r="I380" i="2"/>
  <c r="J380" i="2"/>
  <c r="K380" i="2"/>
  <c r="N380" i="2"/>
  <c r="I381" i="2"/>
  <c r="J381" i="2"/>
  <c r="K381" i="2"/>
  <c r="I382" i="2"/>
  <c r="J382" i="2"/>
  <c r="N382" i="2" s="1"/>
  <c r="O382" i="2" s="1"/>
  <c r="K382" i="2"/>
  <c r="D383" i="2"/>
  <c r="E383" i="2"/>
  <c r="F383" i="2"/>
  <c r="G383" i="2"/>
  <c r="H383" i="2"/>
  <c r="L383" i="2"/>
  <c r="M383" i="2"/>
  <c r="P383" i="2"/>
  <c r="J11" i="3"/>
  <c r="K11" i="3"/>
  <c r="K14" i="3" s="1"/>
  <c r="L11" i="3"/>
  <c r="L14" i="3" s="1"/>
  <c r="Q11" i="3"/>
  <c r="J12" i="3"/>
  <c r="K12" i="3"/>
  <c r="L12" i="3"/>
  <c r="O12" i="3"/>
  <c r="P12" i="3"/>
  <c r="J13" i="3"/>
  <c r="K13" i="3"/>
  <c r="O13" i="3" s="1"/>
  <c r="L13" i="3"/>
  <c r="P13" i="3"/>
  <c r="Q13" i="3"/>
  <c r="D14" i="3"/>
  <c r="E14" i="3"/>
  <c r="F14" i="3"/>
  <c r="G14" i="3"/>
  <c r="H14" i="3"/>
  <c r="I14" i="3"/>
  <c r="J14" i="3"/>
  <c r="M14" i="3"/>
  <c r="N14" i="3"/>
  <c r="D62" i="4"/>
  <c r="G62" i="4"/>
  <c r="H11" i="5"/>
  <c r="J11" i="5"/>
  <c r="K11" i="5"/>
  <c r="M11" i="5" s="1"/>
  <c r="G12" i="5"/>
  <c r="H12" i="5"/>
  <c r="K12" i="5" s="1"/>
  <c r="J12" i="5"/>
  <c r="L12" i="5" s="1"/>
  <c r="H13" i="5"/>
  <c r="J13" i="5" s="1"/>
  <c r="H14" i="5"/>
  <c r="J14" i="5"/>
  <c r="K14" i="5"/>
  <c r="H15" i="5"/>
  <c r="J15" i="5" s="1"/>
  <c r="H16" i="5"/>
  <c r="J16" i="5" s="1"/>
  <c r="G17" i="5"/>
  <c r="H17" i="5"/>
  <c r="G18" i="5"/>
  <c r="H18" i="5"/>
  <c r="J18" i="5"/>
  <c r="L18" i="5" s="1"/>
  <c r="K18" i="5"/>
  <c r="G19" i="5"/>
  <c r="H19" i="5"/>
  <c r="K19" i="5" s="1"/>
  <c r="M19" i="5" s="1"/>
  <c r="G20" i="5"/>
  <c r="J20" i="5" s="1"/>
  <c r="H20" i="5"/>
  <c r="K20" i="5"/>
  <c r="M20" i="5" s="1"/>
  <c r="N20" i="5"/>
  <c r="G21" i="5"/>
  <c r="H21" i="5"/>
  <c r="H22" i="5"/>
  <c r="K22" i="5" s="1"/>
  <c r="J22" i="5"/>
  <c r="G23" i="5"/>
  <c r="K23" i="5" s="1"/>
  <c r="H23" i="5"/>
  <c r="J23" i="5"/>
  <c r="H24" i="5"/>
  <c r="K24" i="5" s="1"/>
  <c r="M24" i="5" s="1"/>
  <c r="J24" i="5"/>
  <c r="N24" i="5" s="1"/>
  <c r="H25" i="5"/>
  <c r="H26" i="5"/>
  <c r="J26" i="5"/>
  <c r="K26" i="5"/>
  <c r="M26" i="5"/>
  <c r="H27" i="5"/>
  <c r="J27" i="5"/>
  <c r="K27" i="5"/>
  <c r="M27" i="5" s="1"/>
  <c r="N27" i="5"/>
  <c r="H28" i="5"/>
  <c r="K28" i="5" s="1"/>
  <c r="M28" i="5" s="1"/>
  <c r="J30" i="5"/>
  <c r="K30" i="5"/>
  <c r="M30" i="5"/>
  <c r="N30" i="5"/>
  <c r="H31" i="5"/>
  <c r="G32" i="5"/>
  <c r="H32" i="5"/>
  <c r="J32" i="5"/>
  <c r="K32" i="5"/>
  <c r="M32" i="5" s="1"/>
  <c r="H33" i="5"/>
  <c r="K33" i="5" s="1"/>
  <c r="J33" i="5"/>
  <c r="M33" i="5"/>
  <c r="N33" i="5"/>
  <c r="H34" i="5"/>
  <c r="G35" i="5"/>
  <c r="H35" i="5"/>
  <c r="J35" i="5" s="1"/>
  <c r="G36" i="5"/>
  <c r="J36" i="5" s="1"/>
  <c r="H36" i="5"/>
  <c r="G37" i="5"/>
  <c r="J37" i="5" s="1"/>
  <c r="H37" i="5"/>
  <c r="K37" i="5"/>
  <c r="M37" i="5"/>
  <c r="N37" i="5"/>
  <c r="H38" i="5"/>
  <c r="J38" i="5" s="1"/>
  <c r="H39" i="5"/>
  <c r="K39" i="5" s="1"/>
  <c r="M39" i="5" s="1"/>
  <c r="J39" i="5"/>
  <c r="H40" i="5"/>
  <c r="K40" i="5" s="1"/>
  <c r="J40" i="5"/>
  <c r="N40" i="5" s="1"/>
  <c r="M40" i="5"/>
  <c r="H41" i="5"/>
  <c r="H42" i="5"/>
  <c r="J42" i="5"/>
  <c r="K42" i="5"/>
  <c r="M42" i="5"/>
  <c r="H43" i="5"/>
  <c r="J43" i="5"/>
  <c r="L43" i="5" s="1"/>
  <c r="M43" i="5" s="1"/>
  <c r="N43" i="5" s="1"/>
  <c r="K43" i="5"/>
  <c r="G44" i="5"/>
  <c r="H44" i="5"/>
  <c r="G45" i="5"/>
  <c r="K45" i="5" s="1"/>
  <c r="H45" i="5"/>
  <c r="H46" i="5"/>
  <c r="J46" i="5"/>
  <c r="K46" i="5"/>
  <c r="M46" i="5"/>
  <c r="G47" i="5"/>
  <c r="K47" i="5" s="1"/>
  <c r="M47" i="5" s="1"/>
  <c r="N47" i="5" s="1"/>
  <c r="H47" i="5"/>
  <c r="J47" i="5"/>
  <c r="L47" i="5"/>
  <c r="H48" i="5"/>
  <c r="J48" i="5" s="1"/>
  <c r="H49" i="5"/>
  <c r="J49" i="5" s="1"/>
  <c r="G50" i="5"/>
  <c r="H50" i="5"/>
  <c r="K50" i="5" s="1"/>
  <c r="M50" i="5" s="1"/>
  <c r="H51" i="5"/>
  <c r="J51" i="5" s="1"/>
  <c r="H52" i="5"/>
  <c r="J52" i="5"/>
  <c r="K52" i="5"/>
  <c r="M52" i="5" s="1"/>
  <c r="H53" i="5"/>
  <c r="K53" i="5" s="1"/>
  <c r="J53" i="5"/>
  <c r="M53" i="5"/>
  <c r="N53" i="5"/>
  <c r="G54" i="5"/>
  <c r="H54" i="5"/>
  <c r="H55" i="5"/>
  <c r="K55" i="5" s="1"/>
  <c r="M55" i="5" s="1"/>
  <c r="J55" i="5"/>
  <c r="N55" i="5" s="1"/>
  <c r="H56" i="5"/>
  <c r="J56" i="5" s="1"/>
  <c r="K56" i="5"/>
  <c r="M56" i="5" s="1"/>
  <c r="H57" i="5"/>
  <c r="J57" i="5" s="1"/>
  <c r="H58" i="5"/>
  <c r="J58" i="5"/>
  <c r="K58" i="5"/>
  <c r="M58" i="5" s="1"/>
  <c r="H59" i="5"/>
  <c r="K59" i="5" s="1"/>
  <c r="M59" i="5" s="1"/>
  <c r="N59" i="5" s="1"/>
  <c r="J59" i="5"/>
  <c r="L59" i="5" s="1"/>
  <c r="H60" i="5"/>
  <c r="J60" i="5" s="1"/>
  <c r="H61" i="5"/>
  <c r="K61" i="5" s="1"/>
  <c r="M61" i="5" s="1"/>
  <c r="J61" i="5"/>
  <c r="H62" i="5"/>
  <c r="K62" i="5" s="1"/>
  <c r="J62" i="5"/>
  <c r="N62" i="5" s="1"/>
  <c r="M62" i="5"/>
  <c r="H63" i="5"/>
  <c r="H64" i="5"/>
  <c r="J64" i="5" s="1"/>
  <c r="H65" i="5"/>
  <c r="K65" i="5" s="1"/>
  <c r="M65" i="5" s="1"/>
  <c r="N65" i="5" s="1"/>
  <c r="J65" i="5"/>
  <c r="H66" i="5"/>
  <c r="H67" i="5"/>
  <c r="J67" i="5" s="1"/>
  <c r="H68" i="5"/>
  <c r="K68" i="5" s="1"/>
  <c r="J68" i="5"/>
  <c r="L68" i="5"/>
  <c r="M68" i="5"/>
  <c r="N68" i="5"/>
  <c r="H69" i="5"/>
  <c r="J69" i="5" s="1"/>
  <c r="H70" i="5"/>
  <c r="K70" i="5" s="1"/>
  <c r="M70" i="5" s="1"/>
  <c r="J70" i="5"/>
  <c r="H71" i="5"/>
  <c r="K71" i="5" s="1"/>
  <c r="J71" i="5"/>
  <c r="N71" i="5" s="1"/>
  <c r="M71" i="5"/>
  <c r="H72" i="5"/>
  <c r="H73" i="5"/>
  <c r="J73" i="5" s="1"/>
  <c r="N73" i="5" s="1"/>
  <c r="K73" i="5"/>
  <c r="M73" i="5" s="1"/>
  <c r="G74" i="5"/>
  <c r="H74" i="5"/>
  <c r="K74" i="5" s="1"/>
  <c r="M74" i="5" s="1"/>
  <c r="H75" i="5"/>
  <c r="J75" i="5" s="1"/>
  <c r="H76" i="5"/>
  <c r="J76" i="5"/>
  <c r="K76" i="5"/>
  <c r="M76" i="5" s="1"/>
  <c r="H77" i="5"/>
  <c r="K77" i="5" s="1"/>
  <c r="M77" i="5" s="1"/>
  <c r="N77" i="5" s="1"/>
  <c r="J77" i="5"/>
  <c r="H78" i="5"/>
  <c r="H79" i="5"/>
  <c r="J79" i="5"/>
  <c r="K79" i="5"/>
  <c r="M79" i="5" s="1"/>
  <c r="G80" i="5"/>
  <c r="H80" i="5"/>
  <c r="K80" i="5" s="1"/>
  <c r="J80" i="5"/>
  <c r="M80" i="5"/>
  <c r="N80" i="5"/>
  <c r="H81" i="5"/>
  <c r="J82" i="5"/>
  <c r="K82" i="5"/>
  <c r="M82" i="5"/>
  <c r="N82" i="5" s="1"/>
  <c r="E83" i="5"/>
  <c r="I83" i="5"/>
  <c r="O83" i="5"/>
  <c r="M12" i="5" l="1"/>
  <c r="L36" i="5"/>
  <c r="N56" i="5"/>
  <c r="L35" i="5"/>
  <c r="M22" i="5"/>
  <c r="J31" i="5"/>
  <c r="N31" i="5" s="1"/>
  <c r="K31" i="5"/>
  <c r="M31" i="5" s="1"/>
  <c r="J63" i="5"/>
  <c r="K63" i="5"/>
  <c r="N58" i="5"/>
  <c r="N48" i="5"/>
  <c r="K35" i="5"/>
  <c r="M35" i="5" s="1"/>
  <c r="N35" i="5" s="1"/>
  <c r="N381" i="2"/>
  <c r="O381" i="2" s="1"/>
  <c r="N377" i="2"/>
  <c r="O377" i="2" s="1"/>
  <c r="O333" i="2"/>
  <c r="O322" i="2"/>
  <c r="N298" i="2"/>
  <c r="O298" i="2" s="1"/>
  <c r="O270" i="2"/>
  <c r="O256" i="2"/>
  <c r="O127" i="2"/>
  <c r="O91" i="2"/>
  <c r="J78" i="5"/>
  <c r="K78" i="5"/>
  <c r="M78" i="5" s="1"/>
  <c r="N46" i="5"/>
  <c r="J44" i="5"/>
  <c r="K44" i="5"/>
  <c r="M44" i="5" s="1"/>
  <c r="N42" i="5"/>
  <c r="M18" i="5"/>
  <c r="N18" i="5" s="1"/>
  <c r="O326" i="2"/>
  <c r="N313" i="2"/>
  <c r="O272" i="2"/>
  <c r="J81" i="5"/>
  <c r="K81" i="5"/>
  <c r="M81" i="5" s="1"/>
  <c r="N61" i="5"/>
  <c r="J25" i="5"/>
  <c r="K25" i="5"/>
  <c r="M25" i="5" s="1"/>
  <c r="J19" i="5"/>
  <c r="N19" i="5" s="1"/>
  <c r="O314" i="2"/>
  <c r="V90" i="1"/>
  <c r="J50" i="5"/>
  <c r="N50" i="5" s="1"/>
  <c r="N32" i="5"/>
  <c r="N12" i="5"/>
  <c r="N76" i="5"/>
  <c r="K17" i="5"/>
  <c r="M17" i="5" s="1"/>
  <c r="G83" i="5"/>
  <c r="N70" i="5"/>
  <c r="N39" i="5"/>
  <c r="L22" i="5"/>
  <c r="N22" i="5"/>
  <c r="U310" i="1"/>
  <c r="V310" i="1" s="1"/>
  <c r="V301" i="1"/>
  <c r="K67" i="5"/>
  <c r="M67" i="5" s="1"/>
  <c r="N67" i="5" s="1"/>
  <c r="N52" i="5"/>
  <c r="N11" i="5"/>
  <c r="O338" i="2"/>
  <c r="J72" i="5"/>
  <c r="K72" i="5"/>
  <c r="K64" i="5"/>
  <c r="M64" i="5" s="1"/>
  <c r="N64" i="5" s="1"/>
  <c r="K49" i="5"/>
  <c r="M49" i="5" s="1"/>
  <c r="N49" i="5" s="1"/>
  <c r="J45" i="5"/>
  <c r="J41" i="5"/>
  <c r="K41" i="5"/>
  <c r="M41" i="5" s="1"/>
  <c r="K36" i="5"/>
  <c r="J28" i="5"/>
  <c r="N28" i="5" s="1"/>
  <c r="N26" i="5"/>
  <c r="L23" i="5"/>
  <c r="M23" i="5" s="1"/>
  <c r="N23" i="5" s="1"/>
  <c r="K15" i="5"/>
  <c r="M15" i="5" s="1"/>
  <c r="N15" i="5" s="1"/>
  <c r="O11" i="3"/>
  <c r="N329" i="2"/>
  <c r="O329" i="2" s="1"/>
  <c r="N318" i="2"/>
  <c r="O318" i="2" s="1"/>
  <c r="O291" i="2"/>
  <c r="O278" i="2"/>
  <c r="N264" i="2"/>
  <c r="O264" i="2" s="1"/>
  <c r="N238" i="2"/>
  <c r="O238" i="2" s="1"/>
  <c r="O142" i="2"/>
  <c r="O13" i="2"/>
  <c r="N79" i="5"/>
  <c r="J21" i="5"/>
  <c r="K21" i="5"/>
  <c r="V11" i="1"/>
  <c r="J74" i="5"/>
  <c r="N74" i="5" s="1"/>
  <c r="J66" i="5"/>
  <c r="K66" i="5"/>
  <c r="L14" i="5"/>
  <c r="M14" i="5" s="1"/>
  <c r="N14" i="5" s="1"/>
  <c r="N300" i="2"/>
  <c r="O300" i="2" s="1"/>
  <c r="N75" i="5"/>
  <c r="J54" i="5"/>
  <c r="K54" i="5"/>
  <c r="N38" i="5"/>
  <c r="J34" i="5"/>
  <c r="K34" i="5"/>
  <c r="M34" i="5" s="1"/>
  <c r="J17" i="5"/>
  <c r="N17" i="5" s="1"/>
  <c r="O380" i="2"/>
  <c r="O14" i="2"/>
  <c r="O242" i="2"/>
  <c r="N234" i="2"/>
  <c r="O234" i="2" s="1"/>
  <c r="N230" i="2"/>
  <c r="O230" i="2" s="1"/>
  <c r="N204" i="2"/>
  <c r="O204" i="2" s="1"/>
  <c r="N200" i="2"/>
  <c r="O200" i="2" s="1"/>
  <c r="N194" i="2"/>
  <c r="O194" i="2" s="1"/>
  <c r="N171" i="2"/>
  <c r="N167" i="2"/>
  <c r="O167" i="2" s="1"/>
  <c r="O140" i="2"/>
  <c r="O131" i="2"/>
  <c r="N120" i="2"/>
  <c r="O120" i="2"/>
  <c r="N55" i="2"/>
  <c r="O55" i="2" s="1"/>
  <c r="O22" i="2"/>
  <c r="O17" i="2"/>
  <c r="U300" i="1"/>
  <c r="V300" i="1" s="1"/>
  <c r="F336" i="1"/>
  <c r="O368" i="2"/>
  <c r="N364" i="2"/>
  <c r="O364" i="2" s="1"/>
  <c r="O359" i="2"/>
  <c r="N357" i="2"/>
  <c r="O357" i="2" s="1"/>
  <c r="O352" i="2"/>
  <c r="N348" i="2"/>
  <c r="O348" i="2" s="1"/>
  <c r="O343" i="2"/>
  <c r="N341" i="2"/>
  <c r="O341" i="2" s="1"/>
  <c r="O336" i="2"/>
  <c r="N325" i="2"/>
  <c r="O313" i="2"/>
  <c r="N309" i="2"/>
  <c r="O309" i="2" s="1"/>
  <c r="N294" i="2"/>
  <c r="N226" i="2"/>
  <c r="N222" i="2"/>
  <c r="O222" i="2" s="1"/>
  <c r="N190" i="2"/>
  <c r="O190" i="2" s="1"/>
  <c r="N186" i="2"/>
  <c r="O186" i="2" s="1"/>
  <c r="O171" i="2"/>
  <c r="N163" i="2"/>
  <c r="O133" i="2"/>
  <c r="N118" i="2"/>
  <c r="O118" i="2" s="1"/>
  <c r="O97" i="2"/>
  <c r="N50" i="2"/>
  <c r="O50" i="2" s="1"/>
  <c r="N43" i="2"/>
  <c r="O43" i="2" s="1"/>
  <c r="V329" i="1"/>
  <c r="U307" i="1"/>
  <c r="V307" i="1" s="1"/>
  <c r="P144" i="1"/>
  <c r="Q144" i="1"/>
  <c r="R144" i="1"/>
  <c r="O163" i="2"/>
  <c r="H83" i="5"/>
  <c r="K60" i="5"/>
  <c r="M60" i="5" s="1"/>
  <c r="N60" i="5" s="1"/>
  <c r="K38" i="5"/>
  <c r="M38" i="5" s="1"/>
  <c r="K16" i="5"/>
  <c r="M16" i="5" s="1"/>
  <c r="N16" i="5" s="1"/>
  <c r="K13" i="5"/>
  <c r="O332" i="2"/>
  <c r="N330" i="2"/>
  <c r="O330" i="2" s="1"/>
  <c r="O321" i="2"/>
  <c r="O305" i="2"/>
  <c r="N301" i="2"/>
  <c r="O301" i="2" s="1"/>
  <c r="O290" i="2"/>
  <c r="N288" i="2"/>
  <c r="O271" i="2"/>
  <c r="O269" i="2"/>
  <c r="N255" i="2"/>
  <c r="O255" i="2" s="1"/>
  <c r="N248" i="2"/>
  <c r="O218" i="2"/>
  <c r="O207" i="2"/>
  <c r="O182" i="2"/>
  <c r="N174" i="2"/>
  <c r="O121" i="2"/>
  <c r="N109" i="2"/>
  <c r="O109" i="2" s="1"/>
  <c r="O103" i="2"/>
  <c r="N94" i="2"/>
  <c r="N59" i="2"/>
  <c r="O59" i="2" s="1"/>
  <c r="N47" i="2"/>
  <c r="O24" i="2"/>
  <c r="V309" i="1"/>
  <c r="O279" i="2"/>
  <c r="K75" i="5"/>
  <c r="M75" i="5" s="1"/>
  <c r="K69" i="5"/>
  <c r="M69" i="5" s="1"/>
  <c r="N69" i="5" s="1"/>
  <c r="K57" i="5"/>
  <c r="M57" i="5" s="1"/>
  <c r="N57" i="5" s="1"/>
  <c r="K51" i="5"/>
  <c r="M51" i="5" s="1"/>
  <c r="N51" i="5" s="1"/>
  <c r="K48" i="5"/>
  <c r="M48" i="5" s="1"/>
  <c r="O288" i="2"/>
  <c r="N284" i="2"/>
  <c r="O284" i="2" s="1"/>
  <c r="O263" i="2"/>
  <c r="O261" i="2"/>
  <c r="O248" i="2"/>
  <c r="O241" i="2"/>
  <c r="O239" i="2"/>
  <c r="N197" i="2"/>
  <c r="O197" i="2" s="1"/>
  <c r="O174" i="2"/>
  <c r="N145" i="2"/>
  <c r="N136" i="2"/>
  <c r="O136" i="2" s="1"/>
  <c r="N113" i="2"/>
  <c r="O92" i="2"/>
  <c r="O47" i="2"/>
  <c r="P204" i="1"/>
  <c r="Q204" i="1"/>
  <c r="R204" i="1"/>
  <c r="E336" i="1"/>
  <c r="O325" i="2"/>
  <c r="O294" i="2"/>
  <c r="O226" i="2"/>
  <c r="V15" i="1"/>
  <c r="O367" i="2"/>
  <c r="O360" i="2"/>
  <c r="O351" i="2"/>
  <c r="O344" i="2"/>
  <c r="O335" i="2"/>
  <c r="O312" i="2"/>
  <c r="O233" i="2"/>
  <c r="O203" i="2"/>
  <c r="O170" i="2"/>
  <c r="O145" i="2"/>
  <c r="O130" i="2"/>
  <c r="O113" i="2"/>
  <c r="O96" i="2"/>
  <c r="N34" i="2"/>
  <c r="O34" i="2" s="1"/>
  <c r="O161" i="2"/>
  <c r="N157" i="2"/>
  <c r="O157" i="2" s="1"/>
  <c r="O129" i="2"/>
  <c r="O85" i="2"/>
  <c r="O81" i="2"/>
  <c r="O75" i="2"/>
  <c r="O73" i="2"/>
  <c r="O67" i="2"/>
  <c r="O65" i="2"/>
  <c r="O41" i="2"/>
  <c r="I21" i="2"/>
  <c r="I383" i="2" s="1"/>
  <c r="J21" i="2"/>
  <c r="K21" i="2"/>
  <c r="K383" i="2" s="1"/>
  <c r="O19" i="2"/>
  <c r="U326" i="1"/>
  <c r="V324" i="1"/>
  <c r="U318" i="1"/>
  <c r="V318" i="1" s="1"/>
  <c r="R293" i="1"/>
  <c r="U293" i="1" s="1"/>
  <c r="V293" i="1" s="1"/>
  <c r="V283" i="1"/>
  <c r="U280" i="1"/>
  <c r="V280" i="1" s="1"/>
  <c r="U211" i="1"/>
  <c r="V211" i="1" s="1"/>
  <c r="U158" i="1"/>
  <c r="V158" i="1" s="1"/>
  <c r="O148" i="2"/>
  <c r="N144" i="2"/>
  <c r="O144" i="2" s="1"/>
  <c r="O139" i="2"/>
  <c r="N137" i="2"/>
  <c r="O137" i="2" s="1"/>
  <c r="O132" i="2"/>
  <c r="N101" i="2"/>
  <c r="O101" i="2" s="1"/>
  <c r="N90" i="2"/>
  <c r="O90" i="2" s="1"/>
  <c r="N27" i="2"/>
  <c r="N23" i="2"/>
  <c r="O23" i="2" s="1"/>
  <c r="V328" i="1"/>
  <c r="R325" i="1"/>
  <c r="U325" i="1" s="1"/>
  <c r="V295" i="1"/>
  <c r="V291" i="1"/>
  <c r="P279" i="1"/>
  <c r="Q279" i="1"/>
  <c r="R279" i="1"/>
  <c r="V259" i="1"/>
  <c r="U105" i="1"/>
  <c r="O153" i="2"/>
  <c r="O128" i="2"/>
  <c r="O126" i="2"/>
  <c r="N124" i="2"/>
  <c r="O124" i="2" s="1"/>
  <c r="N117" i="2"/>
  <c r="O117" i="2" s="1"/>
  <c r="O112" i="2"/>
  <c r="N110" i="2"/>
  <c r="O110" i="2" s="1"/>
  <c r="O105" i="2"/>
  <c r="O94" i="2"/>
  <c r="N86" i="2"/>
  <c r="O86" i="2" s="1"/>
  <c r="N80" i="2"/>
  <c r="O80" i="2" s="1"/>
  <c r="N76" i="2"/>
  <c r="N72" i="2"/>
  <c r="O72" i="2" s="1"/>
  <c r="N68" i="2"/>
  <c r="N64" i="2"/>
  <c r="O64" i="2" s="1"/>
  <c r="O60" i="2"/>
  <c r="O52" i="2"/>
  <c r="O44" i="2"/>
  <c r="N40" i="2"/>
  <c r="O40" i="2" s="1"/>
  <c r="N36" i="2"/>
  <c r="O27" i="2"/>
  <c r="P325" i="1"/>
  <c r="V304" i="1"/>
  <c r="U119" i="1"/>
  <c r="V119" i="1" s="1"/>
  <c r="U62" i="1"/>
  <c r="V62" i="1" s="1"/>
  <c r="P54" i="1"/>
  <c r="Q54" i="1"/>
  <c r="R54" i="1"/>
  <c r="O160" i="2"/>
  <c r="O76" i="2"/>
  <c r="O68" i="2"/>
  <c r="O36" i="2"/>
  <c r="P288" i="1"/>
  <c r="R288" i="1"/>
  <c r="U288" i="1" s="1"/>
  <c r="Q104" i="1"/>
  <c r="R104" i="1"/>
  <c r="P104" i="1"/>
  <c r="V323" i="1"/>
  <c r="U316" i="1"/>
  <c r="V316" i="1" s="1"/>
  <c r="R310" i="1"/>
  <c r="V261" i="1"/>
  <c r="V238" i="1"/>
  <c r="V213" i="1"/>
  <c r="U208" i="1"/>
  <c r="V197" i="1"/>
  <c r="V174" i="1"/>
  <c r="V130" i="1"/>
  <c r="P126" i="1"/>
  <c r="V107" i="1"/>
  <c r="V105" i="1"/>
  <c r="V89" i="1"/>
  <c r="R78" i="1"/>
  <c r="Q78" i="1"/>
  <c r="U73" i="1"/>
  <c r="V64" i="1"/>
  <c r="U59" i="1"/>
  <c r="P31" i="1"/>
  <c r="Q31" i="1"/>
  <c r="R31" i="1"/>
  <c r="R336" i="1" s="1"/>
  <c r="D336" i="1"/>
  <c r="O18" i="2"/>
  <c r="N16" i="2"/>
  <c r="O11" i="2"/>
  <c r="U308" i="1"/>
  <c r="V308" i="1" s="1"/>
  <c r="V303" i="1"/>
  <c r="U301" i="1"/>
  <c r="R299" i="1"/>
  <c r="V284" i="1"/>
  <c r="V199" i="1"/>
  <c r="R184" i="1"/>
  <c r="P184" i="1"/>
  <c r="Q184" i="1"/>
  <c r="U184" i="1" s="1"/>
  <c r="U178" i="1"/>
  <c r="U175" i="1"/>
  <c r="V175" i="1" s="1"/>
  <c r="P162" i="1"/>
  <c r="Q162" i="1"/>
  <c r="U162" i="1" s="1"/>
  <c r="R162" i="1"/>
  <c r="V148" i="1"/>
  <c r="V136" i="1"/>
  <c r="Q125" i="1"/>
  <c r="R125" i="1"/>
  <c r="P125" i="1"/>
  <c r="V96" i="1"/>
  <c r="U87" i="1"/>
  <c r="V87" i="1" s="1"/>
  <c r="V68" i="1"/>
  <c r="V326" i="1"/>
  <c r="V321" i="1"/>
  <c r="U319" i="1"/>
  <c r="V319" i="1" s="1"/>
  <c r="Q299" i="1"/>
  <c r="U299" i="1" s="1"/>
  <c r="V299" i="1" s="1"/>
  <c r="U297" i="1"/>
  <c r="V297" i="1" s="1"/>
  <c r="V265" i="1"/>
  <c r="V246" i="1"/>
  <c r="V222" i="1"/>
  <c r="V214" i="1"/>
  <c r="V205" i="1"/>
  <c r="V180" i="1"/>
  <c r="V178" i="1"/>
  <c r="V173" i="1"/>
  <c r="U166" i="1"/>
  <c r="V138" i="1"/>
  <c r="V70" i="1"/>
  <c r="Q58" i="1"/>
  <c r="R58" i="1"/>
  <c r="P58" i="1"/>
  <c r="W336" i="1"/>
  <c r="U33" i="1"/>
  <c r="V166" i="1"/>
  <c r="V122" i="1"/>
  <c r="V33" i="1"/>
  <c r="U270" i="1"/>
  <c r="V270" i="1" s="1"/>
  <c r="P258" i="1"/>
  <c r="Q258" i="1"/>
  <c r="R258" i="1"/>
  <c r="V253" i="1"/>
  <c r="V244" i="1"/>
  <c r="V236" i="1"/>
  <c r="V228" i="1"/>
  <c r="V224" i="1"/>
  <c r="V216" i="1"/>
  <c r="V155" i="1"/>
  <c r="V146" i="1"/>
  <c r="V142" i="1"/>
  <c r="U122" i="1"/>
  <c r="V99" i="1"/>
  <c r="V95" i="1"/>
  <c r="V93" i="1"/>
  <c r="V46" i="1"/>
  <c r="V42" i="1"/>
  <c r="R39" i="1"/>
  <c r="U39" i="1" s="1"/>
  <c r="V39" i="1" s="1"/>
  <c r="V21" i="1"/>
  <c r="V13" i="1"/>
  <c r="V276" i="1"/>
  <c r="U241" i="1"/>
  <c r="V241" i="1" s="1"/>
  <c r="U233" i="1"/>
  <c r="V233" i="1" s="1"/>
  <c r="U225" i="1"/>
  <c r="V225" i="1" s="1"/>
  <c r="V210" i="1"/>
  <c r="V202" i="1"/>
  <c r="V196" i="1"/>
  <c r="V181" i="1"/>
  <c r="V177" i="1"/>
  <c r="Q156" i="1"/>
  <c r="U156" i="1" s="1"/>
  <c r="V156" i="1" s="1"/>
  <c r="Q145" i="1"/>
  <c r="R145" i="1"/>
  <c r="Q139" i="1"/>
  <c r="U139" i="1" s="1"/>
  <c r="V139" i="1" s="1"/>
  <c r="U133" i="1"/>
  <c r="R126" i="1"/>
  <c r="U126" i="1" s="1"/>
  <c r="V118" i="1"/>
  <c r="V116" i="1"/>
  <c r="V112" i="1"/>
  <c r="V110" i="1"/>
  <c r="Q90" i="1"/>
  <c r="U90" i="1" s="1"/>
  <c r="V83" i="1"/>
  <c r="V81" i="1"/>
  <c r="V75" i="1"/>
  <c r="V67" i="1"/>
  <c r="V61" i="1"/>
  <c r="V55" i="1"/>
  <c r="U51" i="1"/>
  <c r="Q36" i="1"/>
  <c r="U36" i="1" s="1"/>
  <c r="V36" i="1" s="1"/>
  <c r="P32" i="1"/>
  <c r="Q32" i="1"/>
  <c r="R32" i="1"/>
  <c r="U26" i="1"/>
  <c r="U18" i="1"/>
  <c r="V262" i="1"/>
  <c r="V252" i="1"/>
  <c r="V247" i="1"/>
  <c r="V243" i="1"/>
  <c r="V235" i="1"/>
  <c r="V227" i="1"/>
  <c r="U219" i="1"/>
  <c r="V208" i="1"/>
  <c r="V192" i="1"/>
  <c r="V171" i="1"/>
  <c r="U163" i="1"/>
  <c r="V141" i="1"/>
  <c r="V135" i="1"/>
  <c r="V133" i="1"/>
  <c r="V92" i="1"/>
  <c r="V73" i="1"/>
  <c r="V59" i="1"/>
  <c r="V51" i="1"/>
  <c r="V45" i="1"/>
  <c r="V38" i="1"/>
  <c r="V26" i="1"/>
  <c r="V20" i="1"/>
  <c r="V18" i="1"/>
  <c r="V12" i="1"/>
  <c r="V219" i="1"/>
  <c r="V190" i="1"/>
  <c r="V169" i="1"/>
  <c r="V163" i="1"/>
  <c r="Q152" i="1"/>
  <c r="R152" i="1"/>
  <c r="Q94" i="1"/>
  <c r="U94" i="1" s="1"/>
  <c r="V94" i="1" s="1"/>
  <c r="Q53" i="1"/>
  <c r="U53" i="1" s="1"/>
  <c r="V53" i="1" s="1"/>
  <c r="Q173" i="1"/>
  <c r="U173" i="1" s="1"/>
  <c r="N21" i="2" l="1"/>
  <c r="N383" i="2" s="1"/>
  <c r="J383" i="2"/>
  <c r="U104" i="1"/>
  <c r="V104" i="1" s="1"/>
  <c r="L72" i="5"/>
  <c r="M72" i="5" s="1"/>
  <c r="N72" i="5" s="1"/>
  <c r="M36" i="5"/>
  <c r="N36" i="5" s="1"/>
  <c r="V184" i="1"/>
  <c r="V126" i="1"/>
  <c r="V325" i="1"/>
  <c r="O16" i="2"/>
  <c r="K83" i="5"/>
  <c r="M13" i="5"/>
  <c r="U144" i="1"/>
  <c r="J83" i="5"/>
  <c r="L63" i="5"/>
  <c r="U258" i="1"/>
  <c r="V258" i="1" s="1"/>
  <c r="V125" i="1"/>
  <c r="U145" i="1"/>
  <c r="V145" i="1" s="1"/>
  <c r="U31" i="1"/>
  <c r="Q336" i="1"/>
  <c r="U125" i="1"/>
  <c r="V31" i="1"/>
  <c r="V336" i="1" s="1"/>
  <c r="N44" i="5"/>
  <c r="V288" i="1"/>
  <c r="U54" i="1"/>
  <c r="V54" i="1" s="1"/>
  <c r="U279" i="1"/>
  <c r="V279" i="1" s="1"/>
  <c r="P336" i="1"/>
  <c r="U204" i="1"/>
  <c r="V204" i="1" s="1"/>
  <c r="V144" i="1"/>
  <c r="L54" i="5"/>
  <c r="M54" i="5" s="1"/>
  <c r="N54" i="5" s="1"/>
  <c r="N41" i="5"/>
  <c r="V162" i="1"/>
  <c r="N81" i="5"/>
  <c r="U58" i="1"/>
  <c r="V58" i="1" s="1"/>
  <c r="N34" i="5"/>
  <c r="L21" i="5"/>
  <c r="N25" i="5"/>
  <c r="M63" i="5"/>
  <c r="N63" i="5" s="1"/>
  <c r="U152" i="1"/>
  <c r="V152" i="1" s="1"/>
  <c r="U32" i="1"/>
  <c r="V32" i="1" s="1"/>
  <c r="U78" i="1"/>
  <c r="V78" i="1" s="1"/>
  <c r="L66" i="5"/>
  <c r="M66" i="5" s="1"/>
  <c r="N66" i="5" s="1"/>
  <c r="P11" i="3"/>
  <c r="P14" i="3" s="1"/>
  <c r="O14" i="3"/>
  <c r="L45" i="5"/>
  <c r="M45" i="5" s="1"/>
  <c r="N45" i="5" s="1"/>
  <c r="N78" i="5"/>
  <c r="O383" i="2" l="1"/>
  <c r="M83" i="5"/>
  <c r="N13" i="5"/>
  <c r="L83" i="5"/>
  <c r="U336" i="1"/>
  <c r="O21" i="2"/>
  <c r="M21" i="5"/>
  <c r="N21" i="5" s="1"/>
  <c r="N83" i="5" l="1"/>
</calcChain>
</file>

<file path=xl/comments1.xml><?xml version="1.0" encoding="utf-8"?>
<comments xmlns="http://schemas.openxmlformats.org/spreadsheetml/2006/main">
  <authors>
    <author/>
  </authors>
  <commentList>
    <comment ref="E8" authorId="0" shapeId="0">
      <text>
        <r>
          <rPr>
            <b/>
            <sz val="9"/>
            <color indexed="8"/>
            <rFont val="Tahoma"/>
            <family val="2"/>
          </rPr>
          <t xml:space="preserve">Alejandro: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9" authorId="0" shapeId="0">
      <text>
        <r>
          <rPr>
            <b/>
            <sz val="9"/>
            <color indexed="8"/>
            <rFont val="Tahoma"/>
            <family val="2"/>
          </rPr>
          <t xml:space="preserve">Artes:
</t>
        </r>
      </text>
    </comment>
  </commentList>
</comments>
</file>

<file path=xl/sharedStrings.xml><?xml version="1.0" encoding="utf-8"?>
<sst xmlns="http://schemas.openxmlformats.org/spreadsheetml/2006/main" count="1976" uniqueCount="1133">
  <si>
    <t>MINISTERIO DE CULTURA Y DEPORTES</t>
  </si>
  <si>
    <t>UNIDAD DE INFORMACION PUBLICA</t>
  </si>
  <si>
    <t>DIRECCION GENERAL DE LAS ARTES</t>
  </si>
  <si>
    <t>RENGLON 021</t>
  </si>
  <si>
    <t xml:space="preserve">            </t>
  </si>
  <si>
    <t>NUMERAL 4 ARTICULO 10</t>
  </si>
  <si>
    <t>31 DE MAYO DE 2017</t>
  </si>
  <si>
    <t>No.</t>
  </si>
  <si>
    <t>APELLIDOS Y NOMBRES</t>
  </si>
  <si>
    <t>CARGO</t>
  </si>
  <si>
    <t>SALARIO BASE</t>
  </si>
  <si>
    <t>BONOS Y OTRAS REMUNERACIONES</t>
  </si>
  <si>
    <t>DESCUENTOS</t>
  </si>
  <si>
    <t>LÍQUIDO</t>
  </si>
  <si>
    <t>Monto Viáticos</t>
  </si>
  <si>
    <t>Complemento Salarial</t>
  </si>
  <si>
    <t>Escalafon</t>
  </si>
  <si>
    <t>Bono MCD</t>
  </si>
  <si>
    <t>Bosa</t>
  </si>
  <si>
    <t>Bosin/ Bosia/Bosin 2</t>
  </si>
  <si>
    <t>Bono Profesional</t>
  </si>
  <si>
    <t>Bono de Antigüedad</t>
  </si>
  <si>
    <t>Bono Salario Minimo</t>
  </si>
  <si>
    <t>66-2000</t>
  </si>
  <si>
    <t>Gastos de Representación</t>
  </si>
  <si>
    <t>Dietas</t>
  </si>
  <si>
    <t>TOTAL</t>
  </si>
  <si>
    <t>IGSS</t>
  </si>
  <si>
    <t>Montepío</t>
  </si>
  <si>
    <t>ISR</t>
  </si>
  <si>
    <t>Fianza</t>
  </si>
  <si>
    <t>TOTAL DE DESCUENTOS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</si>
  <si>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</si>
  <si>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</si>
  <si>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</si>
  <si>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</si>
  <si>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</si>
  <si>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</si>
  <si>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</si>
  <si>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</si>
  <si>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ADRIANA BEATRIZ IXCOT REYES</t>
  </si>
  <si>
    <t>ALBERTO CUC SACTIC</t>
  </si>
  <si>
    <t xml:space="preserve">ALCIDES RENE ARGUETA  FERNANDEZ </t>
  </si>
  <si>
    <t>ALEX JOB SIS MORALES</t>
  </si>
  <si>
    <t>TECNICO ARTISTICO III-MUSICA</t>
  </si>
  <si>
    <t>AXEL NOLBERTO DE JESUS SANCHEZ ORANTES</t>
  </si>
  <si>
    <t>TECNICO ARTISTICO II</t>
  </si>
  <si>
    <t>ALEXIS RIGOBERTO MENDEZ HERNANDEZ</t>
  </si>
  <si>
    <t>ALFREDO QUEZADA PEREIRA</t>
  </si>
  <si>
    <t>ALMA ROSA ANA GAITAN DAVILA DE AREVALO</t>
  </si>
  <si>
    <t>ALMA SARA VAZQUEZ GRAMAJO</t>
  </si>
  <si>
    <t xml:space="preserve">ASESOR PROFESIONAL ESPECIALIZADO II </t>
  </si>
  <si>
    <t>ALVARO ALEXANDER REYES SAGASTUME</t>
  </si>
  <si>
    <t>JEFE TECNICO ARTISTICO I-MUSICA</t>
  </si>
  <si>
    <t>ALVARO ANIBAL ORTIZ MARTINEZ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</si>
  <si>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</si>
  <si>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</si>
  <si>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</si>
  <si>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</si>
  <si>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</si>
  <si>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</si>
  <si>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</si>
  <si>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TECNICO ARTISTICO III 4 HRS.</t>
  </si>
  <si>
    <t>ANA KARINA ZEBADUA BLANCO</t>
  </si>
  <si>
    <t>ANA LUCRECIA VELEZ PALACIOS</t>
  </si>
  <si>
    <t>TECNICO ARTISTICO II 5 PERIODOS</t>
  </si>
  <si>
    <t>ANA MARYLENA JEREZ MARROQUIN</t>
  </si>
  <si>
    <t>TECNICO ARTISTICO II 5 PERIODOS-EDUCACION ARTISTICA</t>
  </si>
  <si>
    <t>ANA SOFIA REYES GIL</t>
  </si>
  <si>
    <t>ANA SOFIA VILLAR ALVARADO</t>
  </si>
  <si>
    <t>TECNICO ARTISTICO III</t>
  </si>
  <si>
    <t>ANA VERONICA GIRON MARTINEZ</t>
  </si>
  <si>
    <t>ANDREA ALVAREZ QUIÑONEZ</t>
  </si>
  <si>
    <t>ANDREA MARIA GALDAMEZ CASTILLO</t>
  </si>
  <si>
    <t>ANGEL ROBERTO PEREZ CHAMALE</t>
  </si>
  <si>
    <t>ANGELICA CAROLINA GOMEZ ESTRADA</t>
  </si>
  <si>
    <t>ARMANDO HERNANDEZ GARCIA</t>
  </si>
  <si>
    <t>JEFE TECNICO ARTISTICO II</t>
  </si>
  <si>
    <t>AROLDO RAMON VICENTE PEREZ</t>
  </si>
  <si>
    <t>TRABAJADOR ESPECIALIZADO III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</si>
  <si>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</si>
  <si>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</si>
  <si>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</si>
  <si>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</si>
  <si>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</si>
  <si>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</si>
  <si>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</si>
  <si>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</si>
  <si>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</si>
  <si>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</si>
  <si>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</si>
  <si>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</si>
  <si>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</si>
  <si>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</si>
  <si>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</si>
  <si>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</si>
  <si>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</si>
  <si>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</si>
  <si>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TECNICO ARTISTICO II-MUSICA</t>
  </si>
  <si>
    <t>CAROLA MISHELL MERIDA SAZO DE ARBIZU</t>
  </si>
  <si>
    <t>TECNICO ARTISTICO I, DANZA</t>
  </si>
  <si>
    <t>CARY MARYLIS MELENDEZ GARCIA</t>
  </si>
  <si>
    <t>TECNICO ARTISTICO I-DANZA</t>
  </si>
  <si>
    <t>CESAR ARMANDO ESTRADA DE LEON</t>
  </si>
  <si>
    <t xml:space="preserve">CESAR AUGUSTO AJAU BURRION </t>
  </si>
  <si>
    <t>TRABAJADOR ESPECIALIZADO II</t>
  </si>
  <si>
    <t>CESAR AUGUSTO MORALES PEREZ</t>
  </si>
  <si>
    <t>CESAR HIDARIO CANREY MARROQUIN</t>
  </si>
  <si>
    <t>CHRISTIAN ESCOBAR PALACIOS</t>
  </si>
  <si>
    <t>CINTIA PAOLA FLOR MARIA ALEJANDRA RAMIREZ URIZAR</t>
  </si>
  <si>
    <t>ASISTENTE PROFESIONAL IV</t>
  </si>
  <si>
    <t>CLAUDIA ISABEL LAMADRID AJANEL DE AZURDIA</t>
  </si>
  <si>
    <t>CLAUDIA KARINA SEGURA AFRE</t>
  </si>
  <si>
    <t>CLAUDIA LUCRECIA GARCIA GUTIERREZ</t>
  </si>
  <si>
    <t>CLAUDIA MARIA CHINCHILLA VETTORAZI DE DIAZ</t>
  </si>
  <si>
    <t>TECNICO ARTISTICO II 5 PERIODOS, 4 PLAZAS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</si>
  <si>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</si>
  <si>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</si>
  <si>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</si>
  <si>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</si>
  <si>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</si>
  <si>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</si>
  <si>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</si>
  <si>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DISRAEL DARIN MANFREDY JOM HERNANDEZ</t>
  </si>
  <si>
    <t>TECNICO ARTISTICO II 25 PERIODOS</t>
  </si>
  <si>
    <t>DOMINGO ALEXANDER SOTZ LOPEZ</t>
  </si>
  <si>
    <t>DULCIDA CLARIBEL GARCIA REYES</t>
  </si>
  <si>
    <t>DOCENTE</t>
  </si>
  <si>
    <t>EDY WILFREDO BAL CHIGUIL</t>
  </si>
  <si>
    <t>TECNICO II-COMPRAS Y SUMINISTROS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</si>
  <si>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</si>
  <si>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</si>
  <si>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</si>
  <si>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</si>
  <si>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</si>
  <si>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</si>
  <si>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III-RELACIONES PUBLICAS</t>
  </si>
  <si>
    <t>EDITH ALEIDA ZUCELY LOPEZ VASQUEZ</t>
  </si>
  <si>
    <t>TECNICO PROFESIONAL I-CONTABILIDAD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</si>
  <si>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</si>
  <si>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</si>
  <si>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</si>
  <si>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</si>
  <si>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</si>
  <si>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</si>
  <si>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</si>
  <si>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ELIAS CHICOP YUCUTE</t>
  </si>
  <si>
    <t>ELVIA MARGOTH SANABRIA HERNANDEZ</t>
  </si>
  <si>
    <t xml:space="preserve">EMILIA COSIGUA SICAJAU </t>
  </si>
  <si>
    <t>TECNICO PROFESIONAL I</t>
  </si>
  <si>
    <t>ERICK DOUGLAS CORDOVA ARRIAZA</t>
  </si>
  <si>
    <t>ERICK ORLANDO SALAZAR COYOY</t>
  </si>
  <si>
    <t>ASESOR PROFESIONAL ESPECIALIZADO</t>
  </si>
  <si>
    <t>ERICK ROLANDO PANIAGUA</t>
  </si>
  <si>
    <t>ERVIN MANUEL AJQUILL VELASQUEZ</t>
  </si>
  <si>
    <t>ESTHER OBREGON OLAYA DE FLORES</t>
  </si>
  <si>
    <t>EVELYN LUCIA HERNANDEZ LOPEZ</t>
  </si>
  <si>
    <t>OFICINISTA IV</t>
  </si>
  <si>
    <t>EVELYN SHIVONEE GODINEZ OROZCO</t>
  </si>
  <si>
    <t>EVERILDO VICTOR PEREZ CORONADO</t>
  </si>
  <si>
    <t>FELIPE SAULO RODRIGUEZ JERONIMO</t>
  </si>
  <si>
    <t>TECNICO ARTISTICO II 5 PERIODOS-EDUCACION ARTISTICA-429095</t>
  </si>
  <si>
    <t>FELIX ALBERTO AZURDIA MEJIA</t>
  </si>
  <si>
    <t>FERNANDO ISABEL VASQUEZ HERNANDEZ</t>
  </si>
  <si>
    <t>FIELDIN UDINE ROLDAN LEMUS</t>
  </si>
  <si>
    <t>FRANCISCO ALEJANDRO CASTRO ORDOÑEZ</t>
  </si>
  <si>
    <t>FRANCISCO JAVIER CASADO OCHOA</t>
  </si>
  <si>
    <t>FRANCISCO OTZOY TZAJ</t>
  </si>
  <si>
    <t>FRANQUIL RAUL DE LEON</t>
  </si>
  <si>
    <t>FREDY ORLANDO SAGASTUME VELÁSQUEZ</t>
  </si>
  <si>
    <t xml:space="preserve">ASESOR PROFESIONAL ESPECIALIDADO IV 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</si>
  <si>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</si>
  <si>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</si>
  <si>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</si>
  <si>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</si>
  <si>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</si>
  <si>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</si>
  <si>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</si>
  <si>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</si>
  <si>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</si>
  <si>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GRETCHEN FABIOLA BARNEOND MARTÍNEZ</t>
  </si>
  <si>
    <t>DIRECTOR TECNICO II-ADMINISTRACION</t>
  </si>
  <si>
    <t>GREG JOSE DANIEL CISNEROS ARRIAGA</t>
  </si>
  <si>
    <t>TRABAJADO OPERATIVO  III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</si>
  <si>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</si>
  <si>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</si>
  <si>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</si>
  <si>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</si>
  <si>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</si>
  <si>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</si>
  <si>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</si>
  <si>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AGUILAR OROZCO</t>
  </si>
  <si>
    <t>JEFE TECNICO ARTISTICO I-ADMINISTRACION EDUCATIVA</t>
  </si>
  <si>
    <t>HECTOR ROLANDO PIRIR SEQUEN</t>
  </si>
  <si>
    <t>ECNICO ARTÍSTICO II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</si>
  <si>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</si>
  <si>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</si>
  <si>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</si>
  <si>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</si>
  <si>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</si>
  <si>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GIOVANNI IGNACIO AJUCHAN</t>
  </si>
  <si>
    <t>TRABAJADOR ESPECIALZIADO I</t>
  </si>
  <si>
    <t>HERBERT HERMELINDO BOCHE LOPEZ</t>
  </si>
  <si>
    <t>HILARIO ALEJANDRO HERNANADEZ SANTIZO</t>
  </si>
  <si>
    <t>TECNICO ARTISTICO II, 4 HORAS, EDUCACION ARTISTICA</t>
  </si>
  <si>
    <t>HUGO RENE GUDIEL RAMIREZ</t>
  </si>
  <si>
    <t>ILEANA CRISTHEL YAT OLIVA</t>
  </si>
  <si>
    <t>TECNICO ARTISTICO II 25 PERIOD-EDUCACION ARTISTICA</t>
  </si>
  <si>
    <t>INGRID ELIZABETH MARTINEZ MERIDA</t>
  </si>
  <si>
    <t>INGRID ERNESTINA MORALES PEREZ</t>
  </si>
  <si>
    <t>ISABEL DE LOS ANGELES RUANO FLORES</t>
  </si>
  <si>
    <t>ISRAEL DEL PILAR RAMIREZ VARELA</t>
  </si>
  <si>
    <t>IUNUHE DE GANDARIAS LOPEZ</t>
  </si>
  <si>
    <t>IVAN MARTIN MARTINEZ PALMA</t>
  </si>
  <si>
    <t>JAIME JOSE ANDRES IXCOL VASQUEZ</t>
  </si>
  <si>
    <t>TECNICO ARTISTICO II 4 PERIODOS</t>
  </si>
  <si>
    <t>JOAQUIN OSVALDO MARTINEZ HERNANDEZ</t>
  </si>
  <si>
    <t>JOHN RICHARDS TZUL IGNACIO</t>
  </si>
  <si>
    <t>JORGE ADALBERTO AJAU BURRION</t>
  </si>
  <si>
    <t>JORGE ALFREDO PORRAS SEAGRAVE-SMITH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</si>
  <si>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</si>
  <si>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</si>
  <si>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</si>
  <si>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</si>
  <si>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</si>
  <si>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LUIS MARIN AREVALO</t>
  </si>
  <si>
    <t>JORGE MANUEL OLIVA MORALES</t>
  </si>
  <si>
    <t>JORGE MARIO MARTINEZ CHAY</t>
  </si>
  <si>
    <t>JORGE OVIDIO JOLON ITZOL</t>
  </si>
  <si>
    <t>JORGE VINICIO SANCHEZ AGUILAR</t>
  </si>
  <si>
    <t>JOSE ARMANDO AJUCHAN LAROJ</t>
  </si>
  <si>
    <t>JOSE CRISTOBAL SUCUC BAL</t>
  </si>
  <si>
    <t>JOSE DOMINGO VELASQUEZ MIRANDA</t>
  </si>
  <si>
    <t>TECNICO ARTISTICO II 4 PERIODOS-EDUCACION ARTISTICA</t>
  </si>
  <si>
    <t>JOSE FRANCISCO HERNANDEZ LUNA</t>
  </si>
  <si>
    <t>JOSE LUIS LOPEZ</t>
  </si>
  <si>
    <t>JOSE REANDA MENDOZA</t>
  </si>
  <si>
    <t>JOSE ROBERTO ZUÑIGA RUIZ</t>
  </si>
  <si>
    <t>DIRECTOR TECNICO III</t>
  </si>
  <si>
    <t>JOSEFINA MORALES TAHON</t>
  </si>
  <si>
    <t>TRABAJADOR OPERATIVO II, CONSERJERIA</t>
  </si>
  <si>
    <t>JOSUE DAVID PEREZ VICENTE</t>
  </si>
  <si>
    <t>JOSUE ELI BARRIOS ROMERO</t>
  </si>
  <si>
    <t>JOSUE SAUL VASQUEZ GARCIA</t>
  </si>
  <si>
    <t xml:space="preserve">JOYCE SHARON CRUZ ARGUELLO </t>
  </si>
  <si>
    <t>TECNICO ARTÍSTICO I, ESPECIALIDAD DANZA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</si>
  <si>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</si>
  <si>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</si>
  <si>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</si>
  <si>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</si>
  <si>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DE JESUS DIAZ BAQUE</t>
  </si>
  <si>
    <t>JUAN GABRIEL YELA LOPEZ</t>
  </si>
  <si>
    <t>TECNICO ARTISTICO II 5 PERIODOS Y JEFE TECNICO ARTISTICO I</t>
  </si>
  <si>
    <t>JUAN JOSE CARVAJAL GODINEZ</t>
  </si>
  <si>
    <t>JUAN JOSE GARCIA MORALES</t>
  </si>
  <si>
    <t>JUAN PABLO GUDIEL PEREZ</t>
  </si>
  <si>
    <t>JUAN SELVIN VELASQUEZ ANDRADE</t>
  </si>
  <si>
    <t>JUANA CELIA GUZMAN VIRULA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</si>
  <si>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</si>
  <si>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</si>
  <si>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</si>
  <si>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</si>
  <si>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</si>
  <si>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TECNICO III-CONTABILIDAD</t>
  </si>
  <si>
    <t>JULIO CESAR RAMIREZ GONZALEZ</t>
  </si>
  <si>
    <t>JULIO CESAR SANTOS AZURDIA</t>
  </si>
  <si>
    <t>JULIO CESAR SANTOS CAMPOS</t>
  </si>
  <si>
    <t>JULIO CESAR VILLALOBOS ARROYO</t>
  </si>
  <si>
    <t>JULIO DAVID GALLARDO REYES</t>
  </si>
  <si>
    <t>JULIO RAFAEL OLIVA MORALES</t>
  </si>
  <si>
    <t>JULIO RENE FUENTES LOPEZ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</si>
  <si>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</si>
  <si>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</si>
  <si>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</si>
  <si>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</si>
  <si>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</si>
  <si>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</si>
  <si>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ASISTENTE PROFESIONAL ESPECIALIZADO IV</t>
  </si>
  <si>
    <t>LESLIE CLARISSA QUECHE GUITZOL</t>
  </si>
  <si>
    <t>JEFE TECNICO I-ADMINISTRACION</t>
  </si>
  <si>
    <t>LIGIA CELESTE LOPEZ VELASQUEZ</t>
  </si>
  <si>
    <t>LIGIA IRENE ALVARADO ESTRADA</t>
  </si>
  <si>
    <t>OFICINISTA II</t>
  </si>
  <si>
    <t>LILIANA MARITZA MURGA ARMAS</t>
  </si>
  <si>
    <t>ASESOR PROFESIONAL ESPECIALIZADO IV.</t>
  </si>
  <si>
    <t>LINDA PATRICIA MOLINA VALENZUELA DE ENRIQUEZ</t>
  </si>
  <si>
    <t>LIZY ANNEL ROMAN MORALES</t>
  </si>
  <si>
    <t>LORENZO FROILÁN TISTOJ CHAN</t>
  </si>
  <si>
    <t>LUCIA ESTER QUINTANA DUBON</t>
  </si>
  <si>
    <t>LUCY YESENIA ZUÑIGA REVOLORIO</t>
  </si>
  <si>
    <t>LUDWIN CONSTANTINO VASQUEZ GOMEZ</t>
  </si>
  <si>
    <t>LUIS ADOLFO MIJANGOS RECINOS</t>
  </si>
  <si>
    <t>LUIS ALBERTO DEL AGUILA GONZALEZ</t>
  </si>
  <si>
    <t>LUIS ALBERTO TALA DE LA CRUZ</t>
  </si>
  <si>
    <t>TECNICO II-GRABACION Y SONIDO</t>
  </si>
  <si>
    <t>LUIS FERNANDO JUAREZ</t>
  </si>
  <si>
    <t>LUIS RENE MOSCOSO ORELLANA</t>
  </si>
  <si>
    <t>LUISA BEATRIZ CHALULEU BAEZA</t>
  </si>
  <si>
    <t>MACARIO DANIEL LIMATUJ VALDEZ</t>
  </si>
  <si>
    <t>MAINOR IBAN PINEDA GRANADOS</t>
  </si>
  <si>
    <t>MANFER ENRIQUE GOMEZ CISNEROS</t>
  </si>
  <si>
    <t>TRABAJADOR ESPECIALIZADO JEFE I</t>
  </si>
  <si>
    <t>MANUEL ANGEL CELADA CARTAGENA</t>
  </si>
  <si>
    <t>MANUEL DE JESUS CATU VASQUEZ</t>
  </si>
  <si>
    <t>MANUEL MATEO SUAR</t>
  </si>
  <si>
    <t>MARCO ANTONIO AJAU BURRION</t>
  </si>
  <si>
    <t>CONSERJE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</si>
  <si>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</si>
  <si>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</si>
  <si>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</si>
  <si>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</si>
  <si>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</si>
  <si>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</si>
  <si>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</si>
  <si>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</si>
  <si>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</si>
  <si>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</si>
  <si>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ESTELA COLINDRES CONTRERAS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</si>
  <si>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</si>
  <si>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</si>
  <si>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</si>
  <si>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</si>
  <si>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</si>
  <si>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</si>
  <si>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MARIAJOSE MORAN AVALOS</t>
  </si>
  <si>
    <t>ASISTENTE PROFESIONAL I</t>
  </si>
  <si>
    <t>MARINA YOLANDA LEMUS GARCIA</t>
  </si>
  <si>
    <t>MARIO EDUARDO FAJARDO CONTRERAS</t>
  </si>
  <si>
    <t>MARIO JOSUE CARRILLO CARRILLO</t>
  </si>
  <si>
    <t>TECNICO ARTISTICO II 6 HRS.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</si>
  <si>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</si>
  <si>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</si>
  <si>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</si>
  <si>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</si>
  <si>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</si>
  <si>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</si>
  <si>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</si>
  <si>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</si>
  <si>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</si>
  <si>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MIGUEL ANGEL JUAREZ GONZALEZ</t>
  </si>
  <si>
    <t>MILTON GUSTAVO  SANCHEZ GARCIA</t>
  </si>
  <si>
    <t>TRABAJADOR OPERATIVO II-CONSERJERIA</t>
  </si>
  <si>
    <t>MIRIAM CARLOTA MAZARIEGOS GARCIA</t>
  </si>
  <si>
    <t>TECNICO II-CONTABILIDAD</t>
  </si>
  <si>
    <t>MIRIAM ELIZABETH ALDANA SALGUERO</t>
  </si>
  <si>
    <t>TECNICO PROFESIONAL I-COMPRAS Y SUMINISTROS</t>
  </si>
  <si>
    <t>MIRIAN CATALINA GIRON GONZALEZ</t>
  </si>
  <si>
    <t>MIRNA CONCEPCION GOMEZ CADENAS</t>
  </si>
  <si>
    <t>MIRNA ELIZABETH DE LEON DIAZ</t>
  </si>
  <si>
    <t>MOISES AARON RAMIREZ OLIVA</t>
  </si>
  <si>
    <t>MOISES ABRAHAM LOPEZ JIMENEZ</t>
  </si>
  <si>
    <t>MONICA IVONNE ORTIZ LOPEZ</t>
  </si>
  <si>
    <t>MONICA ROSA VICTORIA LOU GARRIDO</t>
  </si>
  <si>
    <t>MONICA SARMIENTOS ROLDAN</t>
  </si>
  <si>
    <t>NANCY ELIZABETH ACHIBI MARTINEZ</t>
  </si>
  <si>
    <t>SECRETARIO EJECUTIVO III-ACTIVIDADES SECRETARIALES</t>
  </si>
  <si>
    <t>NATANAEL JERONIMO TAQUEZ</t>
  </si>
  <si>
    <t>NERY ADOLFO  PINEDA</t>
  </si>
  <si>
    <t>TRABAJADOR OPERATIVO III-OPERACION EQUIPO PROYECCION</t>
  </si>
  <si>
    <t>NERY ROLANDO AGUILAR SANCHEZ</t>
  </si>
  <si>
    <t>TECNICO ARTISTICO II 5 PERIODOS, 2 PLAZAS</t>
  </si>
  <si>
    <t>NORIA SAMANTHA SANTANA MUÑOZ</t>
  </si>
  <si>
    <t>ODILIA JEREZ SANTIZO  DE GUZMAN</t>
  </si>
  <si>
    <t>OSCAR ANIVAL LEON GONZALEZ</t>
  </si>
  <si>
    <t>OSCAR EUSEBIO RAFAEL PUAC</t>
  </si>
  <si>
    <t>TRABAJADOR ESPECIALIZADO I</t>
  </si>
  <si>
    <t>OSMAR ESTUARDO CORTES BARRIOS</t>
  </si>
  <si>
    <t>OSWALDO ENRIQUE VALLADARES</t>
  </si>
  <si>
    <t>OTTO ARNOLDO LEMUS BENITEZ</t>
  </si>
  <si>
    <t>OTTO DANILO HERNANDEZ XITUMUL</t>
  </si>
  <si>
    <t>OTTO RENATO AROCHE ZAMORA</t>
  </si>
  <si>
    <t>PEDRO ADALBERTO VELASQUEZ MORENO</t>
  </si>
  <si>
    <t>PEDRO ALBERTO JAYES GUEVARA</t>
  </si>
  <si>
    <t>PEDRO JULIO AJIN HERNANDEZ</t>
  </si>
  <si>
    <t>TECNICO ARTISTICO II 1 HRA.</t>
  </si>
  <si>
    <t>RAFAEL ARCANGEL PEREZ MARTINEZ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</si>
  <si>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</si>
  <si>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</si>
  <si>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</si>
  <si>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</si>
  <si>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</si>
  <si>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</si>
  <si>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</si>
  <si>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</si>
  <si>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RICARDO SOLORZANO GOMEZ</t>
  </si>
  <si>
    <t>RITA CLARISSA SANTIZO CASTELLANOS</t>
  </si>
  <si>
    <t>ROBERTA REYNA BARRIOS GOMEZ</t>
  </si>
  <si>
    <t>RODOLFO ARMANDO OLIVA LEON</t>
  </si>
  <si>
    <t>ROGER FEDERICO OVALLE RODAS</t>
  </si>
  <si>
    <t>TECNICO ARTISTICO II 5 PERIODOS Y TECNICO ARTISTICO III-ESCENOGRAFIA</t>
  </si>
  <si>
    <t>ROLAN DAVID CASASOLA MAZARIEGOS</t>
  </si>
  <si>
    <t>ROSALIA MANUELA MENDEZ MACARIO</t>
  </si>
  <si>
    <t>TECNICO PROFESIONAL I-ADMINISTRACION</t>
  </si>
  <si>
    <t>ROSALIO EDUARDO SAC RACANCOJ</t>
  </si>
  <si>
    <t>ROY ALEXANDER GALVEZ MOYA</t>
  </si>
  <si>
    <t>TECNICO PROFESIONAL I, CONTABILIDAD</t>
  </si>
  <si>
    <t>SANDRA PATRICIA CHAVAC MELETZ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</si>
  <si>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</si>
  <si>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</si>
  <si>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</si>
  <si>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</si>
  <si>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</si>
  <si>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</si>
  <si>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</si>
  <si>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TECNICO ARTISTICO II 4 HRS.</t>
  </si>
  <si>
    <t>SERGIO ROLANDO ALVARADO VALENZUELA</t>
  </si>
  <si>
    <t>SILBER ORLANDO GARCIA REYES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</si>
  <si>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</si>
  <si>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</si>
  <si>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</si>
  <si>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</si>
  <si>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</si>
  <si>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</si>
  <si>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TITO ROLANDO SANTOS SACU</t>
  </si>
  <si>
    <t>TULIO RENATO CARRILLO DUARTE</t>
  </si>
  <si>
    <t>VERLY ESTEFANY GARCIA OVALLE</t>
  </si>
  <si>
    <t>VICTOR HUGO RODAS PADILLA</t>
  </si>
  <si>
    <t>VICTORIA MENDOZA DE LEON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</si>
  <si>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</si>
  <si>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</si>
  <si>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</si>
  <si>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</si>
  <si>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</si>
  <si>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</si>
  <si>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</si>
  <si>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</si>
  <si>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WILVER VINICIO VILLACINDA GOLIA</t>
  </si>
  <si>
    <t>WINSTON PAUL MANUEL RUIZ ALVARADO</t>
  </si>
  <si>
    <t>YASMYN  LETICIA GARCIA SAZO DE LIMA</t>
  </si>
  <si>
    <t>DIRECTOR TECNICO I</t>
  </si>
  <si>
    <t>YESENIA MARCELA TELLO JUAREZ DE US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</si>
  <si>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</si>
  <si>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</si>
  <si>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</si>
  <si>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</si>
  <si>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</si>
  <si>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</si>
  <si>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TECNICO PROFESIONAL II</t>
  </si>
  <si>
    <t>TOTALES</t>
  </si>
  <si>
    <t>30 DE ABRIL DE 2017</t>
  </si>
  <si>
    <t>LIQUIDO</t>
  </si>
  <si>
    <t xml:space="preserve">Monto Viáticos </t>
  </si>
  <si>
    <t>Bono MCD Y Bono Administrativo del CCMA</t>
  </si>
  <si>
    <t>DIETAS</t>
  </si>
  <si>
    <t>MONTEPIO</t>
  </si>
  <si>
    <t>FIANZA</t>
  </si>
  <si>
    <t>ABEL ELISEO PEREZ LOPEZ</t>
  </si>
  <si>
    <t>DOCENTE ARTISTICO 25 PERIODOS (0000) SIN ESPECIALIDAD (0000)</t>
  </si>
  <si>
    <t>ABELINO TOT (UNICO APELLIDO)</t>
  </si>
  <si>
    <t>DOCENTE ARTISTICO 20 PERIODOS (0000) SIN ESPECIALIDAD (0000)</t>
  </si>
  <si>
    <t>ADIN GIANCARLO RUBIO TREJO</t>
  </si>
  <si>
    <t>ADRIANA MARIA VALDEZ DARDÓN</t>
  </si>
  <si>
    <t>DIRECTOR ARTÍSTICO</t>
  </si>
  <si>
    <t>ALAN XAVIER GOMEZ ORELLANA</t>
  </si>
  <si>
    <t xml:space="preserve">TECNICO DEL CENTRO (0000) SIN ESPECIALIDAD (0000) </t>
  </si>
  <si>
    <t>ALEJANDRO BARRIENTOS ESTRADA</t>
  </si>
  <si>
    <t xml:space="preserve">ALFREDO DAVID CHOLOTIO VASQUEZ </t>
  </si>
  <si>
    <t>ALIDA MARIBEL BARRIOS MORALES</t>
  </si>
  <si>
    <t>AUXILIAR PROFESIONAL ADMINISTRATIVO I (0000) SIN ESPECIALIDAD (0000)</t>
  </si>
  <si>
    <t>ALMA MANUELA CASTRO GOMEZ</t>
  </si>
  <si>
    <t>ASISTENTE DE RELACIONES PUBLICAS  (0000) SIN ESPECIALIDAD (0000)</t>
  </si>
  <si>
    <t xml:space="preserve">ALOM MARIELA ESTRADA GARCIA </t>
  </si>
  <si>
    <t>ALVARO ENRIQUE VELIZ ROSALES</t>
  </si>
  <si>
    <t>JEFE DE DEPARTAMENTO SUSTANTIVO II (0000), SIN ESPECIALIDAD (0000)</t>
  </si>
  <si>
    <t>ALVA CONSUELO LOPEZ MORENO DE VIDES</t>
  </si>
  <si>
    <t>AUXILIAR I (0000) SIN ESPECIALIDAD (0000)</t>
  </si>
  <si>
    <t xml:space="preserve">AMADEO SALGUERO REYES </t>
  </si>
  <si>
    <t>AMALIA EUGENIA OSORIO LUX</t>
  </si>
  <si>
    <t>AMILCAR ANTONIO ROSALES MIRANDA</t>
  </si>
  <si>
    <t>ANA GALVEZ SUN</t>
  </si>
  <si>
    <t>JEFE DE DEPARTAMENTO TECNICO II (0000) SIN ESPECIALIDAD (0000)</t>
  </si>
  <si>
    <t>ANA KARINA PINZON FUSTER DE CATALAN</t>
  </si>
  <si>
    <t>SUBJEFE DE DEPARTAMENTO TECNICO II (0000) SIN ESPECIALIDAD (0000)</t>
  </si>
  <si>
    <t>ANA LIGIA FELIPE PANIAGUA DE CAZZALY</t>
  </si>
  <si>
    <t>ASISTENTE ADMINISTRATIVO I (0000) SIN ESPECIALIDAD (0000)</t>
  </si>
  <si>
    <t>ANA LUCIA MENDIZABAL RUIZ</t>
  </si>
  <si>
    <t>JEFE DEPARTAMENTO TECNICO II (0000) SIN ESPECIALIDAD (0000)</t>
  </si>
  <si>
    <t>ANA LUCINDA URQUIZU SANCHEZ</t>
  </si>
  <si>
    <t>DOCENTE ARTISTICO 24 PERIODOS (000) SIN ESPECIALIDAD (0000)</t>
  </si>
  <si>
    <t>ANA OLIVIA CASTAÑEDA ARROYO</t>
  </si>
  <si>
    <t>ANA PATRICIA MARROQUIN ACUÑA</t>
  </si>
  <si>
    <t>DOCENTE ARTISTICO 21 PERIODOS (0000) SIN ESPECIALIDAD (0000)</t>
  </si>
  <si>
    <t>ANGEL BAUDILIO CANREY MARROQUIN</t>
  </si>
  <si>
    <t>ANGEL GABRIEL TEPEU TURUY</t>
  </si>
  <si>
    <t>TECNICO DE ALMACEN I (0000) SIN ESPECIALIDAD (0000)</t>
  </si>
  <si>
    <t>ANGEL MANUEL CHAVEZ VASQUEZ</t>
  </si>
  <si>
    <t>JEFE ARTISTICO I (0000) SIN ESPECIALIDAD (0000)</t>
  </si>
  <si>
    <t>ARNOLDO JOSE HERNANDEZ DIAZ</t>
  </si>
  <si>
    <t>ASISTENTE ARTISTICO IV (0000) SIN ESPECIALIDAD (0000)</t>
  </si>
  <si>
    <t>ARNOLDO ROEL CASTILLO CASTILLO</t>
  </si>
  <si>
    <t>CONSERJE (0000) SIN ESPECIALIDAD (0000)</t>
  </si>
  <si>
    <t>ARON EMILIO ARMAS MENDOZA</t>
  </si>
  <si>
    <t>ASTRID FABIOLA MONROY LEIVA</t>
  </si>
  <si>
    <t>TECNICO DE ESCUELA (0000) SIN ESPECIALIDAD (0000)</t>
  </si>
  <si>
    <t>AUGUSTO RENE YOL ORTIZ</t>
  </si>
  <si>
    <t xml:space="preserve">AURA ELIZABETH FERNANDEZ  CASTELLANOS DE RUEDAS </t>
  </si>
  <si>
    <t>ASISTENTE ADMINISTRATIVO III (0000) SIN ESPECIALIDAD (0000)</t>
  </si>
  <si>
    <t>BLANCA ESTELA MORAN MUÑOZ</t>
  </si>
  <si>
    <t>ASISTENTE ADMINISTRATIVO IV (0000) SIN ESPECIALIDAD (0000)</t>
  </si>
  <si>
    <t>BLANDINA LUDIBEL PELAEZ HERRERA</t>
  </si>
  <si>
    <t>BORIS GILLERMO RIZO PANIAGUA</t>
  </si>
  <si>
    <t>BRANDON JAIRR CRUZ VARGAS</t>
  </si>
  <si>
    <t>DIRECTOR ARTISTICO (0000) SIN ESPECIALIDAD (0000)</t>
  </si>
  <si>
    <t>BRAYAN LEONEL SEGURA MAZARIEGOS</t>
  </si>
  <si>
    <t>TRAMOYISTA (0000) SIN ESPECIALIDAD (0000)</t>
  </si>
  <si>
    <t>BRENDA LUCRECIA DE LEON BLANCO</t>
  </si>
  <si>
    <t>CARLOS ALEXIS MALDONADO SAMAYOA</t>
  </si>
  <si>
    <t xml:space="preserve">CARLOS ARMANDO ORTEGA GONZALEZ </t>
  </si>
  <si>
    <t xml:space="preserve">CARLOS BENITO CONCOGUA </t>
  </si>
  <si>
    <t>ASISTENTE ARTISTICO III (0000) SIN ESPECIALIDAD (0000)</t>
  </si>
  <si>
    <t>CARLOS BRYANNT ALEJANDRO LOPEZ RODAS</t>
  </si>
  <si>
    <t>CARLOS DE JESUS SANTOS SACU</t>
  </si>
  <si>
    <t>CARLOS ENRIQUE PÉREZ VELÁSQUEZ</t>
  </si>
  <si>
    <t>ANALISTA DE RECURSOS HUMANOS I (0000) SIN ESPECIALIDAD (0000)</t>
  </si>
  <si>
    <t>CARLOS HUMBERTO MURALLES VASQUEZ</t>
  </si>
  <si>
    <t>VIGILANTE (0000) SIN ESPECIALIDAD (0000)</t>
  </si>
  <si>
    <t xml:space="preserve">CARLOS JAVIER PEREZ CORZANTES </t>
  </si>
  <si>
    <t>CARLOS VINICIO MEJIA GOMEZ</t>
  </si>
  <si>
    <t>DOCENTE ARTISTICO 22 PERIODOS (0000) SIN ESPECIALIDAD (0000)</t>
  </si>
  <si>
    <t>CARMEN PETRONA AJCUC TEPEU DE AJCUC</t>
  </si>
  <si>
    <t>ASISTENTE DE CONTABILIDAD II (0000) SIN ESPECIALIDAD (0000)</t>
  </si>
  <si>
    <t>CHRISTIAN RODOLFO FERRER BERDUO</t>
  </si>
  <si>
    <t>ASISTENTE DE PRESUPUESTO II (0000) SIN ESPECIALIDAD (0000)</t>
  </si>
  <si>
    <t>CLAUDIA VERONICA LOPEZ GUILLEN</t>
  </si>
  <si>
    <t>CLESMY CARMINA LÓPEZ DE LEMUS</t>
  </si>
  <si>
    <t>ASISTENTE ADMINISTRATIVO II (0000) SIN ESPECIALIDAD (0000)</t>
  </si>
  <si>
    <t>CONCEPCION SUQUE CONCOGUA</t>
  </si>
  <si>
    <t>CONRADO ROVELSI AGUSTIN GARCIA</t>
  </si>
  <si>
    <t xml:space="preserve">CRISTIAN ESTUARDO TOLEDO GUZMAN </t>
  </si>
  <si>
    <t>CRISTINA FLORIDALMA RAMIREZ FLORES DE ESPAÑA</t>
  </si>
  <si>
    <t>DANIEL ESTUARDO GONZÁLEZ LÓPEZ</t>
  </si>
  <si>
    <t>DANIEL ROBERTO CUX NOTZ</t>
  </si>
  <si>
    <t>DANIS AMADO MORALES CAMPOSECO</t>
  </si>
  <si>
    <t>DANNERY MARTALILIA PAIZ FLORES</t>
  </si>
  <si>
    <t>DAVID ESTUARDO GONZALEZ TORRES</t>
  </si>
  <si>
    <t>DAVID GERARDO SANTIZO CHAJON</t>
  </si>
  <si>
    <t>DEMECIO DARIO HIDALGO GOMEZ</t>
  </si>
  <si>
    <t>DIAHANN ANDREA COBOS FLORES</t>
  </si>
  <si>
    <t>DIANA JUDITH PINEDA ORTEGA</t>
  </si>
  <si>
    <t>DIEGO ARMANDO SANTOS SALQUIL</t>
  </si>
  <si>
    <t>DIEGO CIPRIANO SOLIZ</t>
  </si>
  <si>
    <t>DIEGO ISRAEL OXCAL MONROY</t>
  </si>
  <si>
    <t>DINA RUBALI OCHOA ESCOBAR</t>
  </si>
  <si>
    <t>DIRLYN SAMARY CANO VILLATORO</t>
  </si>
  <si>
    <t>DOMINGO ANTONIO VASQUEZ GONZALEZ</t>
  </si>
  <si>
    <t>DOMINGO ISAAC CHAVAJAY BIXCUL</t>
  </si>
  <si>
    <t>DORA ABELINA CORZANTES VARGAS</t>
  </si>
  <si>
    <t>DULCE ROSMERY TASUY CAJAS</t>
  </si>
  <si>
    <t>EDDLER ALBERTHO TACÁN FUENTES</t>
  </si>
  <si>
    <t>ASISTENTE DE CONTABILIDAD II</t>
  </si>
  <si>
    <t>EDDY ALEXANDER DIAZ DE LA ROCA</t>
  </si>
  <si>
    <t>EDGAR EDUARDO PIRIR YOC</t>
  </si>
  <si>
    <t>MAESTRO ARTISTICO III (0000) SIN ESPECIALIDAD (0000)</t>
  </si>
  <si>
    <t>EDGAR FRANCISCO PU ROSALES</t>
  </si>
  <si>
    <t>EDGAR LEONEL ARTIGA JUAREZ</t>
  </si>
  <si>
    <t>EDGAR LEONEL CARIAS ALARCON</t>
  </si>
  <si>
    <t>EDGAR LEONEL LOPEZ VICENTE</t>
  </si>
  <si>
    <t xml:space="preserve">EDGAR NOE XALIX ESQUIT </t>
  </si>
  <si>
    <t>EDGAR TOMAS PERUCH HERRERA</t>
  </si>
  <si>
    <t>EDGAR VICTORIANO OSORIO GONZALEZ</t>
  </si>
  <si>
    <t>EDNA YESENIA CAMO ALDANA</t>
  </si>
  <si>
    <t>ASISTENTE DE ADQUISICIONES II (0000), SIN ESPECIALIDAD (0000)</t>
  </si>
  <si>
    <t>EDUARDO PALAX GUARCAX</t>
  </si>
  <si>
    <t>EDWIN JAHZEEL ESTRADA JIMENEZ</t>
  </si>
  <si>
    <t>JEFE DE SECCION DE SERVICIOS GENERALES (0000), SIN ESPECIALIDAD (0000)</t>
  </si>
  <si>
    <t>EDWIN ORLANDO MONTENEGRO MURALLES</t>
  </si>
  <si>
    <t>EDY RIGOBERTO PASCUAL ABELAR</t>
  </si>
  <si>
    <t>ELDER LEONEL MORALES VASQUEZ</t>
  </si>
  <si>
    <t>ELFIDO JOSE AYALA LIMA</t>
  </si>
  <si>
    <t>ELIAS NEHEMIAS JIMENEZ TRACHTENBERG</t>
  </si>
  <si>
    <t>ELIZABETH BELINDA GABRIEL OTZOY</t>
  </si>
  <si>
    <t>ELIZARDO SALVADOR DIEGUEZ CABALLEROS</t>
  </si>
  <si>
    <t xml:space="preserve">ELY NEFTALY DE LEON MEDINA </t>
  </si>
  <si>
    <t>EMILDA MARIA ALEJANDRA FLORES GARCIA</t>
  </si>
  <si>
    <t xml:space="preserve">EMILIANO PEREZ SICA </t>
  </si>
  <si>
    <t>ENMA ANITA ESTRADA LOPEZ DE CALDERON</t>
  </si>
  <si>
    <t>ERICK AMILCAR PEREZ LOPEZ</t>
  </si>
  <si>
    <t>PROFESIONAL FINANCIERO I (0000) SIN ESPECIALIDAD (0000)</t>
  </si>
  <si>
    <t>ERICK MERARDO REYES RAMÍREZ</t>
  </si>
  <si>
    <t>TRAMOYISTA</t>
  </si>
  <si>
    <t xml:space="preserve">ERWIN ANTONIO MARTINEZ SANDOVAL </t>
  </si>
  <si>
    <t>ERWIN DANILO CARCAMO LOPEZ</t>
  </si>
  <si>
    <t>ESPERANZA JUDITH RAMIREZ GALINDO</t>
  </si>
  <si>
    <t xml:space="preserve">ESTUARDO ADOLFO LOPEZ CHIAN </t>
  </si>
  <si>
    <t xml:space="preserve">ESTUARDO ELISEO TOMAS VELASQUEZ </t>
  </si>
  <si>
    <t xml:space="preserve">ESVIN OBDULIO ROSALES QUIXTAN </t>
  </si>
  <si>
    <t xml:space="preserve">EVA MARIA DE LEON BLANCO </t>
  </si>
  <si>
    <t xml:space="preserve">EVELYN ODETH GONZALEZ BOCHE </t>
  </si>
  <si>
    <t>EVER ALFONSO RAMOS HERNANDEZ</t>
  </si>
  <si>
    <t xml:space="preserve">FATIMA YOLISETH GUERRA PEREZ DE REYES </t>
  </si>
  <si>
    <t>FAUSTINO RAMON FUENTES DE LEON</t>
  </si>
  <si>
    <t>FEDERICO RODOLFO MURALLES</t>
  </si>
  <si>
    <t>FELIPE DE JESUS CHOCOYO SIAN</t>
  </si>
  <si>
    <t>FELIX ANTONIO MERIDA LOPEZ</t>
  </si>
  <si>
    <t>TECNICO DE CONTABILIDAD I (0000), SIN ESPECIALIDAD (0000)</t>
  </si>
  <si>
    <t>FERNANDO ROBERTO DIAZ DUARTE</t>
  </si>
  <si>
    <t>INSPECTOR DE ESPECTACULOS (0000) SIN ESPECIALIDAD (0000)</t>
  </si>
  <si>
    <t>FERNANDO VALDIVIEZO QUINTANA</t>
  </si>
  <si>
    <t>FLOR DE MARIA VIELMAN VASQUEZ</t>
  </si>
  <si>
    <t>ASISTENTE FINANCIERO II (0000), SIN ESPECIALIDAD (0000)</t>
  </si>
  <si>
    <t>FRANCISCO EMIGDIO SERECH PAR</t>
  </si>
  <si>
    <t>FRANCISCO JAVIER GAITAN PEREZ</t>
  </si>
  <si>
    <t>FRANCISCO JAVIER VEGA ALVIZURES</t>
  </si>
  <si>
    <t>FRANCISCO MORALES SANTOS</t>
  </si>
  <si>
    <t>FRANCISCO ORLANDO SEQUEN RAC</t>
  </si>
  <si>
    <t>FRED ADONIRAM BOROR EQUITE</t>
  </si>
  <si>
    <t>DOCENTE ARTISTICO 18 PERIODOS -SIN ESPECIALIDAD-</t>
  </si>
  <si>
    <t>FREDY MANUEL BUENAFE TORRES</t>
  </si>
  <si>
    <t xml:space="preserve">FRESCIA ZULEMA ESTRADA LOPEZ </t>
  </si>
  <si>
    <t>FULVIA GREIS SIM CUCA DE PEREZ</t>
  </si>
  <si>
    <t xml:space="preserve">COORDINADOR ADMINISTRATIVO (0000) SIN ESPECIALIDAD (0000) </t>
  </si>
  <si>
    <t>GABRIELA ALEJANDRA MORALES CHAVEZ</t>
  </si>
  <si>
    <t>GABRIELA DEL ROSARIO ZAMORA ARENALES</t>
  </si>
  <si>
    <t>GANDHI EMANUEL PONCE JUAREZ</t>
  </si>
  <si>
    <t xml:space="preserve">GASPAR IGNACIO CHOLOTIO CHOLOTIO </t>
  </si>
  <si>
    <t xml:space="preserve">GEORGINA ESMERALDA ABAJ XILOJ </t>
  </si>
  <si>
    <t>GERMAN FERNANDO RAXON  EQUITE</t>
  </si>
  <si>
    <t>GERSON GEOVANI CAP AC</t>
  </si>
  <si>
    <t xml:space="preserve">GERSON PASCUAL LOPEZ JACINTO </t>
  </si>
  <si>
    <t>GERTRUDIS PUAC MENDEZ</t>
  </si>
  <si>
    <t>GLENDY PAOLA PALACIOS GOMEZ DE CASTILLO</t>
  </si>
  <si>
    <t>GRISELDA LISSETTE GONZALEZ VEGA</t>
  </si>
  <si>
    <t>GUILLERMO ANTONIO GONZALEZ RODRIGUEZ</t>
  </si>
  <si>
    <t>GUSTAVO ADOLFO MARTINEZ ROMERO</t>
  </si>
  <si>
    <t xml:space="preserve">MENSAJERO I (0000) SIN ESPECIALIDAD (0000)  </t>
  </si>
  <si>
    <t>HANIA CORINA CASTAÑEDA RUIZ</t>
  </si>
  <si>
    <t>HÉCTOR ESTUARDO ROCA ANTILLÓN</t>
  </si>
  <si>
    <t>ASISTENTE DE PRESUPUESTO II</t>
  </si>
  <si>
    <t>HECTOR HERMAN ALVAREZ OROZCO</t>
  </si>
  <si>
    <t>HECTOR MACZ TOC</t>
  </si>
  <si>
    <t>HECTOR ROMEO LOPEZ PORON</t>
  </si>
  <si>
    <t>HELEN SUSANA ENRIQUEZ LOPEZ</t>
  </si>
  <si>
    <t>HERIBERTO ADAN SILVESTRE ALVAREZ TOMAS</t>
  </si>
  <si>
    <t xml:space="preserve">HEVER IVAN HERNANDEZ JUAREZ </t>
  </si>
  <si>
    <t>HEYLIM ARLEMY VALENZUELA MORALES DE RAZULEU</t>
  </si>
  <si>
    <t>HILARIA MARÍA GUZMÁN HERNÁNDEZ</t>
  </si>
  <si>
    <t>HUGO LEONEL ARENAS AMEZQUITA</t>
  </si>
  <si>
    <t>JEFE DE CONSERVATORIO NACIONAL (0000) SIN ESPECIALIDAD (0000)</t>
  </si>
  <si>
    <t>IDELFONSO SONTAY IXCOY</t>
  </si>
  <si>
    <t xml:space="preserve">IGNACIO GUZMAN COJ </t>
  </si>
  <si>
    <t xml:space="preserve">IGNACIO VICENTE COJON </t>
  </si>
  <si>
    <t>ILEANA MARIELITA CATUN CHOC</t>
  </si>
  <si>
    <t>INGRID JOHANA CHAJON TOXCON</t>
  </si>
  <si>
    <t xml:space="preserve">IRMA YOLANDA LOPEZ VARGAS </t>
  </si>
  <si>
    <t>ISAIAS IVAN CASTILLO GONZALEZ</t>
  </si>
  <si>
    <t>JEFE DE SECCION DE INVENTARIOS (0000), SIN ESPECIALIDAD (0000)</t>
  </si>
  <si>
    <t>IVAN ESTUARDO RECINOS RODRÌGUEZ</t>
  </si>
  <si>
    <t>IVAN POZO GONZALEZ</t>
  </si>
  <si>
    <t>JACKELLINE SUCELI ESTEBAN MONZON</t>
  </si>
  <si>
    <t>JACQUELINE MILAYDI AGUILAR ZAMORA DE ASENCIO</t>
  </si>
  <si>
    <t xml:space="preserve">JAIME JOSE ANDRES IXCOL VELASQUEZ </t>
  </si>
  <si>
    <t xml:space="preserve">JAIME LEONEL RUCAL SINTO </t>
  </si>
  <si>
    <t>JAVIER ELISEO TENAS GONZALEZ</t>
  </si>
  <si>
    <t xml:space="preserve">JEDLEY ESTIVENS LOPEZ ARDON </t>
  </si>
  <si>
    <t>JENER SEBASTIAN ACEYTUNO GARCIA</t>
  </si>
  <si>
    <t>JENNIFER IVONNE CASTILLO MERIDA</t>
  </si>
  <si>
    <t>JENNIFER LORENA GONZALES SOLARES</t>
  </si>
  <si>
    <t>JEREMIAS MATEO GASPAR</t>
  </si>
  <si>
    <t>JESUS ANTONIO ORTIZ LAPOYEU</t>
  </si>
  <si>
    <t>JOHNATAN EDIBERTO POLANCO ALONZO</t>
  </si>
  <si>
    <t>JORGE ABEL MONTERROSO SANTIZO</t>
  </si>
  <si>
    <t>ASISTENTE DE PLANIFICACION II (000), SIN ESPECIALIDAD (000)</t>
  </si>
  <si>
    <t>JORGE ANIBAL TOT GUERRA</t>
  </si>
  <si>
    <t>JORGE AUGUSTO PEREZ LUNA</t>
  </si>
  <si>
    <t>SUPERVISOR DE TAQUILLA (0000) SIN ESPECIALIDAD (0000)</t>
  </si>
  <si>
    <t>JORGE ERNESTO RODAS LOPEZ</t>
  </si>
  <si>
    <t>PROMOTOR ARTISTICO (0000) SIN ESPECIALIDAD (0000)</t>
  </si>
  <si>
    <t>JORGE LEONIDAS CUC CHIROY</t>
  </si>
  <si>
    <t>JORGE LUIS RODRIGUEZ VELASQUEZ</t>
  </si>
  <si>
    <t>JOSE RICARDO  SANTOS AGUILAR</t>
  </si>
  <si>
    <t>AUXILIAR I   -SIN ESPECIALIDAD</t>
  </si>
  <si>
    <t>JOSE  DAMIAN CUMES TUY</t>
  </si>
  <si>
    <t>JOSE AMILCAR BOCHE  QUIÑONEZ</t>
  </si>
  <si>
    <t>ASISTENTE ARTÍSTICO III (0000) SIN ESPECIALIDAD (0000)</t>
  </si>
  <si>
    <t>JOSE ARMANDO CHACACH CALI</t>
  </si>
  <si>
    <t xml:space="preserve">JOSE ARMANDO MUÑOZ MOLINA </t>
  </si>
  <si>
    <t>JOSE BENITO GARCIA</t>
  </si>
  <si>
    <t>JOSE FERNANDO AGUILAR FERRER</t>
  </si>
  <si>
    <t>JOSE FERNANDO LOPEZ ORTIZ</t>
  </si>
  <si>
    <t>JOSE LUIS VELASQUEZ CIFUENTES</t>
  </si>
  <si>
    <t>JOSE MIGUEL RECINOS BOCHE</t>
  </si>
  <si>
    <t xml:space="preserve">JOSE RAYMUNDO BAMAC </t>
  </si>
  <si>
    <t>JOSE RICARDO SANTOS AGUILAR</t>
  </si>
  <si>
    <t>JOSE ROLANDO CANTEO PIRIR</t>
  </si>
  <si>
    <t>JOSUÉ ABRAHAM CALDERÓN ORANTES</t>
  </si>
  <si>
    <t>TÉCNICO EN ILUMINACIÓN (0000)</t>
  </si>
  <si>
    <t>JOSUE EMERSON CHICOL SIMON</t>
  </si>
  <si>
    <t>DOCENTE ARTISTICO 17 PERIODOS (0000) SIN ESPECIALIDAD (0000)</t>
  </si>
  <si>
    <t>JOSUE MISAEL MATIAS DE LEON</t>
  </si>
  <si>
    <t>JEFE DE CONTABILIDAD</t>
  </si>
  <si>
    <t>JOYCE SHARON CRUZ ARGUELLO</t>
  </si>
  <si>
    <t>JUAN ALEXANDER SALAZAR RAMIREZ</t>
  </si>
  <si>
    <t>JUAN CARLOS ESCOBAR TRUJILLO</t>
  </si>
  <si>
    <t>JUAN FRANCISCO VELASQUEZ CAMAJA</t>
  </si>
  <si>
    <t>JUAN GABRIEL CALEL ROQUEL</t>
  </si>
  <si>
    <t>COORDINADOR DE ACADEMIAS (0000) SIN ESPECIALIDAD (0000)</t>
  </si>
  <si>
    <t>JUAN JOSE CHANCHAVAC POROJ</t>
  </si>
  <si>
    <t>JUAN JOSE ESCOBAR MOX</t>
  </si>
  <si>
    <t>JUAN MANUEL MAGAÑA MEJIA</t>
  </si>
  <si>
    <t>JULIA ADRIANA CHINCHILLA LEMUS</t>
  </si>
  <si>
    <t>JULIAN COCHE MENDOZA</t>
  </si>
  <si>
    <t>JULIANA ROSA ALONZO COCHOJIL</t>
  </si>
  <si>
    <t>JULIO CESAR NAVAS MENDEZ</t>
  </si>
  <si>
    <t>JULIO FERNANDO ARIAS CHACON</t>
  </si>
  <si>
    <t>DOCENTE ARTISTICO 14 PERIODOS (0000) SIN ESPECIALIDAD (0000)</t>
  </si>
  <si>
    <t>JUVENTINO CORONADO LOPEZ</t>
  </si>
  <si>
    <t>KAREN JESSENIA MELGAR MORALES</t>
  </si>
  <si>
    <t>KATHERINE PAMELA CORDOVA</t>
  </si>
  <si>
    <t>KEVIN OSMAN PEREZ QUIÑONEZ</t>
  </si>
  <si>
    <t>KEVIN RONALDO BARILLAS SOTO</t>
  </si>
  <si>
    <t>KIMBERLY AMARILIS FLORES MORALES</t>
  </si>
  <si>
    <t>KIMBERLY MARIBEL CORCUERA VALDEZ</t>
  </si>
  <si>
    <t>AUXILIAR II (0000) SIN ESPECIALIDAD (0000)</t>
  </si>
  <si>
    <t>LAURA ALEJANDRA MORALES SAZO</t>
  </si>
  <si>
    <t>LEDY DINAEL GOMEZ APEN</t>
  </si>
  <si>
    <t>LESLIE ANELISSE ROMERO HERNANDEZ</t>
  </si>
  <si>
    <t>LESLI JASMIN NAJERA BERGANZA</t>
  </si>
  <si>
    <t>LESLIE MATILDE ZAMORA TRINIDAD DE ESTRADA</t>
  </si>
  <si>
    <t xml:space="preserve">ASISTENTE DE RECURSOS HUMANOS II (0000) SIN ESPECIALIDAD (0000)  </t>
  </si>
  <si>
    <t>LESVIA LISETH ALONZO NAVAS DE RODAS</t>
  </si>
  <si>
    <t>JEFE DE SECCION DE TESORERIA (0000) SIN ESPECIALIDA (0000)</t>
  </si>
  <si>
    <t>LIGIA MARIA RENEE SALAZAR FLORES</t>
  </si>
  <si>
    <t>LILY ONELIA MENDEZ SARAT</t>
  </si>
  <si>
    <t>LOIDY ABIGAIL CITALAN PAC</t>
  </si>
  <si>
    <t>LORENZO VELASQUEZ (UNICO APELLIDO)</t>
  </si>
  <si>
    <t>LUCAS ANANIAS XURUC ROSALES</t>
  </si>
  <si>
    <t>LUIS ALBERTO CIFUENTES ORTIZ</t>
  </si>
  <si>
    <t>LUIS ALBERTO TOJINO JULAJU</t>
  </si>
  <si>
    <t>JEFE SECCION DE PRESUPUESTO (0000) SIN ESPECIALIDAD (0000)</t>
  </si>
  <si>
    <t>LUIS ALBERTO VALENZUELA RAMIREZ</t>
  </si>
  <si>
    <t>LUIS ALEJANDRO GONZALEZ HERNANDEZ</t>
  </si>
  <si>
    <t xml:space="preserve">LUIS ALEJANDRO OCAÑA AJCIP </t>
  </si>
  <si>
    <t>LUIS ALFREDO MORALES LEMUS</t>
  </si>
  <si>
    <t xml:space="preserve">LUIS ANGEL TARACENA BETANCOURTH </t>
  </si>
  <si>
    <t>LUIS BENJAMIN MENDEZ JERONIMO</t>
  </si>
  <si>
    <t>LUIS DE JESUS SALUCIO JERONIMO</t>
  </si>
  <si>
    <t>LUIS EDUARDO DIEGUEZ LOPEZ</t>
  </si>
  <si>
    <t>LUIS EDUARDO PINEDA CERMEÑO</t>
  </si>
  <si>
    <t>TECNICO DE SONIDO II (0000) SIN ESPECIALIDAD (0000)</t>
  </si>
  <si>
    <t>LUIS FELIPE GOMEZ CADENAS</t>
  </si>
  <si>
    <t>LUIS FERNANDO PEREZ MOLINA</t>
  </si>
  <si>
    <t>TRABAJADOR ESPECIALIZADO III (0000) SIN ESPECIALIDAD (0000)</t>
  </si>
  <si>
    <t>LUIS FREDERICK VANEGAS ALVARADO</t>
  </si>
  <si>
    <t>LUIS HUMBERTO MARTINEZ VELASQUEZ</t>
  </si>
  <si>
    <t>LUIS ISAIAS ZAPETA SAQUIC</t>
  </si>
  <si>
    <t xml:space="preserve">LUIS ROBERTO AQUINO FIGUEROA </t>
  </si>
  <si>
    <t>MADELEIN ALEJANDRA ESCOBAR ORELLANA</t>
  </si>
  <si>
    <t>MAINOR RAMON CABRERA GOMEZ</t>
  </si>
  <si>
    <t>MANUEL ABELARDO CANIZALES CRUZ</t>
  </si>
  <si>
    <t>MANUEL ANTONIO DE LEON ESTRADA</t>
  </si>
  <si>
    <t>MANUEL EDUARDO TECUM SALVADOR</t>
  </si>
  <si>
    <t>MANUEL GUZMAN COJ</t>
  </si>
  <si>
    <t>MANUELA ANTONIA SARA MENDOZA LOPEZ</t>
  </si>
  <si>
    <t>MANUELA CONCEPCION LOPEZ COLOP</t>
  </si>
  <si>
    <t>MARCO ANTONIO MUZUL MENDEZ</t>
  </si>
  <si>
    <t>MARCO TULIO RAMIREZ HERNANDEZ</t>
  </si>
  <si>
    <t>MARCOS ESTEBAN SAQUICH LOPEZ</t>
  </si>
  <si>
    <t>MARGARITO LOPEZ GARCIA</t>
  </si>
  <si>
    <t>MARÍA BOUGUINSKAYA SALAZAR RUIZ</t>
  </si>
  <si>
    <t>DOCENTE ARTISTICO 23 PERIODOS (0000) sin especialidad (0000)</t>
  </si>
  <si>
    <t xml:space="preserve">MARIA CAROLINA PALOMO CAJAS </t>
  </si>
  <si>
    <t>MARIA DEL CARMEN BOCEL HOM DE BOCEL</t>
  </si>
  <si>
    <t>MARIA FELISSA TURCIOS PARADA</t>
  </si>
  <si>
    <t>MARIA JOSE DIAZ MENDEZ DE TEZEN</t>
  </si>
  <si>
    <t>MARIA GUISELA RODRIGUEZ CHACON</t>
  </si>
  <si>
    <t>ASISTENTE PEDAGOGO</t>
  </si>
  <si>
    <t xml:space="preserve">MARIA JOSE GONZALEZ CASTILLO </t>
  </si>
  <si>
    <t>MARIA MORALES PANJOJ</t>
  </si>
  <si>
    <t>MARIA SANTOS IQUITE SEQUEN</t>
  </si>
  <si>
    <t>MARICRUZ DIAZ ARANA</t>
  </si>
  <si>
    <t>MARIELA DEL ROSARIO CHOJLAN COJULUM DE QUISQUE</t>
  </si>
  <si>
    <t>ASISTENTE ADMINISTRATIVO V (0000) SIN ESPECIALIDAD (0000)</t>
  </si>
  <si>
    <t>MARIELLA ODILIA MARISOL RODRIGUEZ GAMBONI</t>
  </si>
  <si>
    <t>MARIO DAGOBERTO CRISOSTOMO MACARIO</t>
  </si>
  <si>
    <t>MARIO FERNANDO FERNANDEZ RIVAS</t>
  </si>
  <si>
    <t>MARIO FERNANDO LOPEZ CLARA</t>
  </si>
  <si>
    <t>MARIO NOE MENDEZ MORALES</t>
  </si>
  <si>
    <t>MARIO RENE BATZIN SICAJAU</t>
  </si>
  <si>
    <t>VIGILANTE JEFE (0000) SIN ESPECIALIDAD (0000)</t>
  </si>
  <si>
    <t>MARIO ROBERTO AYAPAN JOCOP</t>
  </si>
  <si>
    <t xml:space="preserve">MARIO SANTIAGO LEY BUCH </t>
  </si>
  <si>
    <t>MARLEN CORINA PÉREZ HERNÁNDEZ DE COLINDRES</t>
  </si>
  <si>
    <t>MARLIS YAZMIN ALBUREZ ALECIO</t>
  </si>
  <si>
    <t>MARLON DAVID GUZMAN PEREZ</t>
  </si>
  <si>
    <t>MARLON PAUL DONIS MARTINEZ</t>
  </si>
  <si>
    <t>MARTA YOLANDA MOGOLLON</t>
  </si>
  <si>
    <t>MARTHA JULIA PEREZ POYON DE DE SIMON</t>
  </si>
  <si>
    <t>MARTIN  RANCHO CONCOGUA</t>
  </si>
  <si>
    <t>MARVIN ARTURO ESCOBAR MARROQUIN</t>
  </si>
  <si>
    <t>MARVIN ESTEBAN CORTEZ BAC</t>
  </si>
  <si>
    <t>MARVIN ESTUARDO SEQUEN BOROR</t>
  </si>
  <si>
    <t>MARYLENA CALDERÓN MARTINEZ DE MEDINA</t>
  </si>
  <si>
    <t>PROFESIONAL JURIDICO I (0000) SIN ESPECIALIDAD (0000)</t>
  </si>
  <si>
    <t>MAYNOR MAURICIO PEREZ HERNANDEZ</t>
  </si>
  <si>
    <t>MAYRA LISSETH OLA LUNA DE BARRIENTOS</t>
  </si>
  <si>
    <t>MAYRA MARIBEL MENDOZA VALENZUELA</t>
  </si>
  <si>
    <t>MAYRA PATRICIA MARTINEZ GALEANO</t>
  </si>
  <si>
    <t>MAYTE MANUELA SANDOVAL ECHEVERRIA</t>
  </si>
  <si>
    <t>MELVY ROXANA PEÑATE CHINCHILLA</t>
  </si>
  <si>
    <t>MIGUEL ANGEL GUZMAN ALVARADO</t>
  </si>
  <si>
    <t>ASISTENTE EDITOR DE ARTES GRAFICAS IV (0000), SIN ESPECIALIDAD (0000)</t>
  </si>
  <si>
    <t>MILTON ALFONSO BETETA DIAZ</t>
  </si>
  <si>
    <t>MINOR ENRIQUE HERNANDEZ ROSALES</t>
  </si>
  <si>
    <t>MONICA LISSETH VALLEGOS MUÑOZ</t>
  </si>
  <si>
    <t>ASISTENTE DE RECURSOS HUMANOS I (0000) SIN ESPECIALIDAD (0000)</t>
  </si>
  <si>
    <t>MYNOR  BELICE CRUZ QUEVEDO</t>
  </si>
  <si>
    <t>ESCENOGRAFO (0000) SIN ESPECIALIDAD (0000)</t>
  </si>
  <si>
    <t>MYNOR DAGOBERTO BARILLAS CASTAÑEDA</t>
  </si>
  <si>
    <t>NELSON GEOVANY CETINO CETINO</t>
  </si>
  <si>
    <t xml:space="preserve">NERY ALFREDO MULUL CASTRO </t>
  </si>
  <si>
    <t>NERY ESTUARDO ESCOBAR MARROQUIN</t>
  </si>
  <si>
    <t>NEVALI ISMAEL GONZALEZ GONZALEZ</t>
  </si>
  <si>
    <t>NICOLASA MARIBEL GARCIA LOPEZ</t>
  </si>
  <si>
    <t>NIMEIRY MORALES  GUZMAN</t>
  </si>
  <si>
    <t>NIMROD LIMA OVANDO</t>
  </si>
  <si>
    <t>OLGA LORENA CIFUENTES GARCIA DE CIFUENTES</t>
  </si>
  <si>
    <t>OLGA YESENIA ALVARADO SIS</t>
  </si>
  <si>
    <t>OLIVER JESUS RIVAS VASQUEZ</t>
  </si>
  <si>
    <t>OLIVER MARCELINO SIVESTRE DELGADO</t>
  </si>
  <si>
    <t>OSCAR ANIBAL CONTRERAS ALAY</t>
  </si>
  <si>
    <t>OSCAR LEONEL CULAJAY CHACACH</t>
  </si>
  <si>
    <t>OSMAR ESTUARDO MELIA GRIFFTH</t>
  </si>
  <si>
    <t>OTTO RENE ARANA MELCHOL</t>
  </si>
  <si>
    <t>PABLO CHOC CAAL</t>
  </si>
  <si>
    <t>PABLO JOSE LOPEZ MATEO</t>
  </si>
  <si>
    <t>PABLO NOEL ALVA MERIDA</t>
  </si>
  <si>
    <t xml:space="preserve">PATRICIA EMIGDIA ROBLERO PEREZ </t>
  </si>
  <si>
    <t>PEDRO ALFONSO GOMEZ (UNICO APELLIDO)</t>
  </si>
  <si>
    <t xml:space="preserve">PEDRO LAZARO SUAREZ PEREZ </t>
  </si>
  <si>
    <t xml:space="preserve">RAUL ANTONIO LOARCA CASTILLO </t>
  </si>
  <si>
    <t>RAQUEL YESICA RAFAELA ARGUETA VELÁSQUEZ</t>
  </si>
  <si>
    <t>REBECA MONTEAGUDO RODRIGUEZ</t>
  </si>
  <si>
    <t xml:space="preserve">RIGOBERTO ARMANDO SEB COC </t>
  </si>
  <si>
    <t xml:space="preserve">ROBERTO ANDRE FRANCO </t>
  </si>
  <si>
    <t>ROBERTO CHUB (UNICO APELLIDO)</t>
  </si>
  <si>
    <t>ROBERTO FRANCISCO ACU CASTILLO</t>
  </si>
  <si>
    <t>ROCIO RIVAS TOMAS</t>
  </si>
  <si>
    <t>ROGER DAVID GUZMAN MORALES</t>
  </si>
  <si>
    <t>ROLAND STEPHEN AGUSTIN GARCIA</t>
  </si>
  <si>
    <t>ENCARGADO DE CALIFICAR ESPECTACULOS (0000) SIN ESPECIALIDAD (0000)</t>
  </si>
  <si>
    <t>ROLANDO CALLEJAS OJOT</t>
  </si>
  <si>
    <t>ROMEO ESTUARDO GONZALEZ MEJIA</t>
  </si>
  <si>
    <t>RONNIE EDUARDO GONZALEZ RAMOS</t>
  </si>
  <si>
    <t>ROSA MARGARITA SILVESTRE DIAZ</t>
  </si>
  <si>
    <t>ROSELIA ALVARADO BARRIOS DE MONROY</t>
  </si>
  <si>
    <t>ROXANA MARIBEL VALDEZ BARRIOS</t>
  </si>
  <si>
    <t>RUBEN DARIO RAMIREZ Y RAMIREZ</t>
  </si>
  <si>
    <t>RUTH NOEMI CONDE RUSTRIAN</t>
  </si>
  <si>
    <t>RUTH NOEMI PORRES RUIZ DE CASTAÑEDA</t>
  </si>
  <si>
    <t>SAQUEO DOMINGO PEREZ CHOLOTIO</t>
  </si>
  <si>
    <t>SEBASTIANA MARCELINA IXMUCANE MARTIN VENTURA</t>
  </si>
  <si>
    <t>SERGIO RAFAEL PAZ MALDONADO</t>
  </si>
  <si>
    <t>SEVERIANO YOTZ UJPAN</t>
  </si>
  <si>
    <t>SHARON KATHERINE AVILA CALDERON</t>
  </si>
  <si>
    <t>SHERLIN VIRGINIA JAUCH AGUSTIN</t>
  </si>
  <si>
    <t>SHEILA VERONICA RAMIREZ DE ALONZO</t>
  </si>
  <si>
    <t>SHIRLEY PATRICIA PANTALEON OROZCO</t>
  </si>
  <si>
    <t>SILVIA CAROLINA JEREZ CRUZ</t>
  </si>
  <si>
    <t>SILVIA PAMELA DOMINGUEZ MÉNDEZ DE ESCOBAR</t>
  </si>
  <si>
    <t>SILVIA VICTORIA ALVARADO BARILLAS</t>
  </si>
  <si>
    <t>JEFE SECCION DE ALMACEN (0000) SIN ESPECIALIDAD (0000)</t>
  </si>
  <si>
    <t>SONIA MARITZA AGUILAR DE COLINDRES</t>
  </si>
  <si>
    <t xml:space="preserve">TORIBIO AJ CANIL </t>
  </si>
  <si>
    <t>VANIA ISABEL VARGAS MORALES</t>
  </si>
  <si>
    <t>VERA LUCÍA DÍAZ AGUILAR</t>
  </si>
  <si>
    <t>VICENTE RUFINO GONZALEZ OBANDO</t>
  </si>
  <si>
    <t>VICENTE VENANCIO SANTIZO VELASQUEZ</t>
  </si>
  <si>
    <t>VICTOR ARMANDO RUIZ MINER</t>
  </si>
  <si>
    <t>VICTOR MANUEL SOLIS RAMOS</t>
  </si>
  <si>
    <t xml:space="preserve">VICTOR YOL QUISQUINAY </t>
  </si>
  <si>
    <t>VIDAL ESTUARDO SARAVIA CASTILLO</t>
  </si>
  <si>
    <t>VILMA ARACELY ORELLANA RECINOS DE HERRERA</t>
  </si>
  <si>
    <t>WAINER BRILLANI SAENZ MARTINEZ</t>
  </si>
  <si>
    <t>WALTER ADOLFO ORELLANA SANDOVAL</t>
  </si>
  <si>
    <t>WALTER FERNANDO MAYEN CATALAN</t>
  </si>
  <si>
    <t>WALTER RENE SAUCEDO RODRIGUEZ</t>
  </si>
  <si>
    <t>WILFREDO RODERICO GONZÁLEZ GAITÁN</t>
  </si>
  <si>
    <t>JEFE DEL DEPARTAMENTO SUSTANTIVO II</t>
  </si>
  <si>
    <t>WILFRIDO ORIEL ALVAREZ LOPEZ</t>
  </si>
  <si>
    <t>WILLIAM RICARDO SARMIENTOS CASTILLO</t>
  </si>
  <si>
    <t>WILLIAMS AUGUSTO CORADO MENA</t>
  </si>
  <si>
    <t>ASISTENTE DE ADQUISICIONES II (0000) SIN ESPECIALIDAD (0000)</t>
  </si>
  <si>
    <t>WILSON DANIEL IXCOY MORAN</t>
  </si>
  <si>
    <t>WILSON GUILLERMO AMILCAR ORTIZ ORDOÑEZ</t>
  </si>
  <si>
    <t>YESSICA REBECA MONZON SANCHEZ</t>
  </si>
  <si>
    <t>YOSSEF GABRIEL RIVAS LOARCA</t>
  </si>
  <si>
    <t>ZAIDA ELIZABETH QUIÑONEZ AJVIX DE ALONZO</t>
  </si>
  <si>
    <t>ZOILA MARISOL ZEPEDA QUIÑONEZ</t>
  </si>
  <si>
    <t>PROFESIONAL JURIDICO I(0000) SIN ESPECIALIDAD (0000)</t>
  </si>
  <si>
    <t>ZONIA DALILA ERAZO CRUZ</t>
  </si>
  <si>
    <t xml:space="preserve">ZUSI ESMERALDA DE LEON MERIDA DE ROLDAN </t>
  </si>
  <si>
    <t>DIRECCIÓN GENERAL DE LAS ARTES</t>
  </si>
  <si>
    <t>RENGLON 022</t>
  </si>
  <si>
    <t>Complemento Personal</t>
  </si>
  <si>
    <t>MONTEPÍO</t>
  </si>
  <si>
    <t>LUCIA DOLORES ARMAS GALVEZ</t>
  </si>
  <si>
    <t xml:space="preserve">DIRECTOR TECNICO II </t>
  </si>
  <si>
    <t>CARLOS ALBERTO DONIS GONZALEZ</t>
  </si>
  <si>
    <t>DIRECTOR TECNICO II</t>
  </si>
  <si>
    <t>DIRECTOR DE DIFUSIÓN DE LAS ARTES</t>
  </si>
  <si>
    <t xml:space="preserve">          MINISTERIO DE CULTURA Y DEPORTES</t>
  </si>
  <si>
    <t xml:space="preserve">          UNIDAD DE INFORMACION PUBLICA</t>
  </si>
  <si>
    <t>RENGLON 029</t>
  </si>
  <si>
    <t>TIPO DE SERVICIO</t>
  </si>
  <si>
    <t>MONTO VIATICOS</t>
  </si>
  <si>
    <t>AUGUSTO ENRIQUE NORIEGA MORALES</t>
  </si>
  <si>
    <t>SERVICIOS PROFESIONALES</t>
  </si>
  <si>
    <t>BRENDA YANIRA CHACÓN ARÉVALO</t>
  </si>
  <si>
    <t>CARLOS DOMINGO GALVEZ ORDOÑEZ</t>
  </si>
  <si>
    <t>ELMER FELIPE RODAS</t>
  </si>
  <si>
    <t>GUILLERMO VINICIO QUEZADA MONZÓN</t>
  </si>
  <si>
    <t>HELDER FABIÁN GÓMEZ CÓRDOVA</t>
  </si>
  <si>
    <t>JUAN CARLOS VEGA VILLEDA</t>
  </si>
  <si>
    <t>MARY ALEJANDRA MANCILLA BALCÁRCEL</t>
  </si>
  <si>
    <t>MIRIAM SUSANA ARGÜELLO</t>
  </si>
  <si>
    <t>OLGA LIDIA JUDITH DE LEÓN DE TAHUITE</t>
  </si>
  <si>
    <t>ROSALYNN AMALIA VALIENTE VILLATORO</t>
  </si>
  <si>
    <t>ALEJANDRO MIGUEL REYES MARTÍNEZ</t>
  </si>
  <si>
    <t>SERVICIOS TÉCNICOS</t>
  </si>
  <si>
    <t>ANA MARÍA VITAL PERALTA</t>
  </si>
  <si>
    <t>ASTRID DINORA VICENTE MARROQUIN</t>
  </si>
  <si>
    <t>BENVENUTO CHAVAJAY GONZÁLEZ</t>
  </si>
  <si>
    <t>BERNER JOSUÉ MAZARIEGOS AJIN</t>
  </si>
  <si>
    <t>BLANCA ARACELY MORALES MARTINEZ</t>
  </si>
  <si>
    <t xml:space="preserve">CARLOS ALFONSO QUEJ XUC </t>
  </si>
  <si>
    <t>CLAUDIA MARIA CIUDAD REAL SOLIS</t>
  </si>
  <si>
    <t>DAIRIN GABRIELA GAMBOA GIRÓN</t>
  </si>
  <si>
    <t>EDIN OMAR VÁSQUEZ ECHEVERRÍA</t>
  </si>
  <si>
    <t>EDWIN AARON GUZMAN MONTERROSO</t>
  </si>
  <si>
    <t>ELVIN OMAR GARCÍA ESTRADA</t>
  </si>
  <si>
    <t>FERNANDO JOSÉ PALACIOS SALAZAR</t>
  </si>
  <si>
    <t>IQOQUI JUAN ALEJANDRO CHIRIZ AJÚ</t>
  </si>
  <si>
    <t>JAQUELIN LISBETH MONROY RAMÍREZ DE TOP</t>
  </si>
  <si>
    <t>JOSE GABRIEL OZAETA GARCÍA</t>
  </si>
  <si>
    <t>JOSÉ GUILLERMO ALBIZU VIELMAN</t>
  </si>
  <si>
    <t>JOSUÉ MIGUEL FLETCHER ANDRADE</t>
  </si>
  <si>
    <t>JUAN HELIODORO PICHIYA CULAJAY</t>
  </si>
  <si>
    <t>JUAN SALVADOR SANDOVAL GUZMÁN</t>
  </si>
  <si>
    <t>KEVIN DANILO MORALES MEJÍA</t>
  </si>
  <si>
    <t>LESLIE XIOMARA LÓPEZ CHACÓN</t>
  </si>
  <si>
    <t>LESTON URIEL CULAJAY HERNANDEZ</t>
  </si>
  <si>
    <t>LILIANA ETELVINA CASTILLO DE PEREZ</t>
  </si>
  <si>
    <t>MARÍA ALEJANDRA GUERRA CASTAÑEDA</t>
  </si>
  <si>
    <t>MARÍA ISABEL MESSINA BAEZA</t>
  </si>
  <si>
    <t>MARIO ENRIQUE CAXAJ RODRIGUEZ</t>
  </si>
  <si>
    <t xml:space="preserve">MARTÍN ESTUARDO DE JESÚS DÍAZ VALDÉS </t>
  </si>
  <si>
    <t>MIGUEL ANGEL SANDOVAL VASQUEZ</t>
  </si>
  <si>
    <t>NORMA LUCIA HERNANDEZ CHAY</t>
  </si>
  <si>
    <t>OLGA AMALIA MARGARITA LIGORRÍA DÍAZ</t>
  </si>
  <si>
    <t>OLIVER ALEXANDER MARROQUÍN RIVAS</t>
  </si>
  <si>
    <t>OSCAR REYNALDO ORELLANA RUBIO</t>
  </si>
  <si>
    <t>OTTO AMILCAR AZURDIA LEIVA</t>
  </si>
  <si>
    <t>ROGER UNBERTO CASTRO MARTINES</t>
  </si>
  <si>
    <t>SANDRA VERONICA CORONADO PAREDES</t>
  </si>
  <si>
    <t>SELVYN OMAR GARCÍA ESTRADA</t>
  </si>
  <si>
    <t>SILVIA DE JESÚS HERNÁNDEZ ALVAREZ DE GUARÉ</t>
  </si>
  <si>
    <t>WILLIAM ALBERTO PÉREZ LÓPEZ</t>
  </si>
  <si>
    <t>WILLIAM UBALDO OSORIO SALMERÓN</t>
  </si>
  <si>
    <t>WINGSTON OSWALDO GONZÁLEZ REYES</t>
  </si>
  <si>
    <t>RENGLON 031</t>
  </si>
  <si>
    <t>MAYO 2017</t>
  </si>
  <si>
    <t xml:space="preserve">Bono Ajuste Salario Mínimo        </t>
  </si>
  <si>
    <t>CLASES PASIVAS</t>
  </si>
  <si>
    <t>TOTAL  DESCUENTOS</t>
  </si>
  <si>
    <t>ALBERTO SANDOVAL SANTIAGO</t>
  </si>
  <si>
    <t>PEON VIGILANTE IV</t>
  </si>
  <si>
    <t>ALEJANDRO DIAZ SOCOREC</t>
  </si>
  <si>
    <t>PEON VIGILANTE V</t>
  </si>
  <si>
    <t>ALEJANDRO TELON SIMON</t>
  </si>
  <si>
    <t>JARDINERO II</t>
  </si>
  <si>
    <t>ALFREDO LEMUS VASQUEZ</t>
  </si>
  <si>
    <t>ANA GABRIELA RAMIREZ  GOMEZ</t>
  </si>
  <si>
    <t>ENCARGADA II DE OPERACIONES DE MAQUINARIA Y EQUIPO</t>
  </si>
  <si>
    <t>ANA MARIA PATZAN IQUITE</t>
  </si>
  <si>
    <t>ANTONIO CACERES</t>
  </si>
  <si>
    <t>ANTONIO IXJOTOP QUEL</t>
  </si>
  <si>
    <t>BRAYAM ARIEL LETONA LIMA</t>
  </si>
  <si>
    <t>CESAR AUGUSTO BORRAYO ORDOÑEZ</t>
  </si>
  <si>
    <t>CONCEPCION CUC CHICOP</t>
  </si>
  <si>
    <t>CRISTOBAL ROLANDO VEGA CARRILLO</t>
  </si>
  <si>
    <t>DANIEL CHOXIN BUCU</t>
  </si>
  <si>
    <t>DANIEL ESTUARDO CHINCHILLA PALACIOS</t>
  </si>
  <si>
    <t>ELECTRICISTA II</t>
  </si>
  <si>
    <t>DIANA MARITZA SAMAYOA CASTRO DE LOPEZ</t>
  </si>
  <si>
    <t>BODEGUERO IV</t>
  </si>
  <si>
    <t>EDGAR ROLANDO JOLOM ALTAN</t>
  </si>
  <si>
    <t>HERRERO III</t>
  </si>
  <si>
    <t>EFRAIN CHICOP PEC</t>
  </si>
  <si>
    <t>EFRAIN RODRIGUEZ CANO</t>
  </si>
  <si>
    <t>ELBA LIDIA RAMÍREZ AGUILAR</t>
  </si>
  <si>
    <t>ELISA MARIA ALEJANDRA ESCOBAR CASTAÑEDA</t>
  </si>
  <si>
    <t>ENCARGADO II DE OPERACIONES DE MAQUINARIA Y EQUIPO</t>
  </si>
  <si>
    <t>ELVIS BERTONI FIGUEROA JUAREZ</t>
  </si>
  <si>
    <t>ELVIS ORLANDO SENTE CORDON</t>
  </si>
  <si>
    <t>EMILIO CHAVEZ CHAMALE</t>
  </si>
  <si>
    <t xml:space="preserve">JARDINERO I </t>
  </si>
  <si>
    <t>ESTUARDO AUGUSTO PEÑATE CORDON</t>
  </si>
  <si>
    <t>EUSEBIO POR CULAJAY</t>
  </si>
  <si>
    <t>FABIAN CAPEN REYES</t>
  </si>
  <si>
    <t>FAUSTINO VALENZUELA SOLARES</t>
  </si>
  <si>
    <t>FRANCISCO QUEL CHICOP</t>
  </si>
  <si>
    <t>HEBER DANIEL POGGIO COLINDRES</t>
  </si>
  <si>
    <t>HECTOR ROLANDO ZACARIAS RODRIGUEZ</t>
  </si>
  <si>
    <t>HENRY DAVID LOPEZ REYES</t>
  </si>
  <si>
    <t>HERNAN OMMAR DIAZ MUÑOZ</t>
  </si>
  <si>
    <t>HERRERO II</t>
  </si>
  <si>
    <t>HUGO ARMANDO GUTIERREZ  MORALES</t>
  </si>
  <si>
    <t>IRMA MARIVEL DIAZ RAMIREZ</t>
  </si>
  <si>
    <t>IRMA YOLANDA DE PAZ GONZALEZ</t>
  </si>
  <si>
    <t>TRABAJADORA VIVANDERA</t>
  </si>
  <si>
    <t>ISRAEL SICAJAU JOLON</t>
  </si>
  <si>
    <t>JERONIMO RODRIGUEZ IXPATAJ</t>
  </si>
  <si>
    <t>CARPINTERO IV</t>
  </si>
  <si>
    <t>JORGE ANTONIO CHUB POP</t>
  </si>
  <si>
    <t>JOSE ALBERTO GIRON CANTE</t>
  </si>
  <si>
    <t>JOSE RAMON AGUILAR ARISANDIETA</t>
  </si>
  <si>
    <t>JUVENTINO CHAVAC SET</t>
  </si>
  <si>
    <t>KAREN FAVIOLA AGUILAR CANEL</t>
  </si>
  <si>
    <t>OPERADOR DE EQUIPO</t>
  </si>
  <si>
    <t>LAZARO JAIRO RAMIREZ BALTAZAR</t>
  </si>
  <si>
    <t xml:space="preserve">LEON MUCUR IXJOTOP </t>
  </si>
  <si>
    <t>LEONEL DIAZ OROZCO</t>
  </si>
  <si>
    <t>LORENZO GRANDE AVILA</t>
  </si>
  <si>
    <t>ELECTRICISTA III</t>
  </si>
  <si>
    <t>MARIA DEL CARMEN CAAL POP</t>
  </si>
  <si>
    <t>MARIA FERNANDA GARCIA MIRANDA</t>
  </si>
  <si>
    <t>MARIO FERNANDO CARDONA RIOS</t>
  </si>
  <si>
    <t>PILOTO II</t>
  </si>
  <si>
    <t>MARIO RENE DONIS</t>
  </si>
  <si>
    <t>MARVIN ROLANDO YUCUTE CHICOP</t>
  </si>
  <si>
    <t>MERCEDES IXCACOJ QUEL</t>
  </si>
  <si>
    <t>MIGUEL ANGEL PEREZ OSORIO</t>
  </si>
  <si>
    <t>MIGUEL ANGEL VELASQUEZ</t>
  </si>
  <si>
    <t>MIGUEL ARNULFO LUNA SOTO</t>
  </si>
  <si>
    <t>MENSAJERO II</t>
  </si>
  <si>
    <t>MILAGRO GOMEZ CABRERA</t>
  </si>
  <si>
    <t>NORMA ELIZABETH AREVALO SUTUJ DE MORALES</t>
  </si>
  <si>
    <t>NORMA JAQUELINE ARAGON</t>
  </si>
  <si>
    <t>OSCAR EDUARDO DAVILA GOMEZ</t>
  </si>
  <si>
    <t>OSCAR JUAN PABLO CASTILLO AROCHE</t>
  </si>
  <si>
    <t>OSCAR LEONEL SOCOREC BUCU</t>
  </si>
  <si>
    <t>OSWALDO ANTONIO OLIVAREZ MORENO</t>
  </si>
  <si>
    <t>RICARDO HUMBERTO TAQUEZ YUCUTE</t>
  </si>
  <si>
    <t>SANDRA ELIZABETH ESTRADA SOLIS</t>
  </si>
  <si>
    <t>SANTOS TAQUEZ QUEL</t>
  </si>
  <si>
    <t>SAUL ANTONIO BARRERA</t>
  </si>
  <si>
    <t>SEBASTIANA LASTOR MENDEZ</t>
  </si>
  <si>
    <t>SELVIN OTONIEL LOPEZ MIRANDA</t>
  </si>
  <si>
    <t>SERGIO EMMANUEL ARRIOLA ROMERO</t>
  </si>
  <si>
    <t>VICTOR BATZIN QUEL</t>
  </si>
  <si>
    <t>YANIS AHILIN POL VASQUEZ</t>
  </si>
  <si>
    <t>MARCO AURELIO NOGUERA GALVEZ</t>
  </si>
  <si>
    <t>*</t>
  </si>
  <si>
    <t>A la señora Elba Lidia Ramírez Aguilar mencionada en el numeral 19, no se le esta efectuado pago de aucerdo a lo informado por el Centro Cultural Miguel Ángel Asturias, ya que la señora se encuentra sindicada de la comisión de un delito, y a la señora Elisa María Alejandra Escobar Castañeda mencionada en el numeral 20, se le suspendió el pago de sueldo por suspensción del IGSS, por maternidad del 28-03-2017 al 19-06-2017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</si>
  <si>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</si>
  <si>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</si>
  <si>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</si>
  <si>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</si>
  <si>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</si>
  <si>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 xml:space="preserve">                31 DE MAYO 2017</t>
  </si>
  <si>
    <t>UBICACIÓN FÍSICA</t>
  </si>
  <si>
    <t xml:space="preserve"> TOTAL DE HONORARIO</t>
  </si>
  <si>
    <t>Ricardo Anselmo Godoy Salazar</t>
  </si>
  <si>
    <t>Espectaculos Publicos</t>
  </si>
  <si>
    <t>Servicios Tecnicos</t>
  </si>
  <si>
    <t>Marlon Efrain Revolorio Calderon</t>
  </si>
  <si>
    <t>Formación Artística</t>
  </si>
  <si>
    <t>Gladys Marina Menendez Rios</t>
  </si>
  <si>
    <t>Servicios Profesionales</t>
  </si>
  <si>
    <t>Mario Adelso Ixcotoy Aguilar</t>
  </si>
  <si>
    <t>Maria Teresa Sincal Batzin</t>
  </si>
  <si>
    <t>Amali Selva Carles</t>
  </si>
  <si>
    <t>Esli Diamantina Gomez Reyes</t>
  </si>
  <si>
    <t>Mindi Paola Rios Rustrian</t>
  </si>
  <si>
    <t>Josue David Tocal Chipix</t>
  </si>
  <si>
    <t>Cesar Emanuel Juarez Ramirez</t>
  </si>
  <si>
    <t>Magda Julieta Boj de Leon</t>
  </si>
  <si>
    <t>Manuel de Jesus Toribio Diaz</t>
  </si>
  <si>
    <t>Marco Adolfo Mansilla Garcia</t>
  </si>
  <si>
    <t>Elvis Olinten Perez Hernandez</t>
  </si>
  <si>
    <t>Cecilia Marisol Morales Guevara</t>
  </si>
  <si>
    <t>Martin Manuel Corleto Orantes</t>
  </si>
  <si>
    <t>Oscar David Mendez Camey</t>
  </si>
  <si>
    <t>Derson Johany de la Cruz Escobar</t>
  </si>
  <si>
    <t>Gabriela Michelle Vivas Herrarte</t>
  </si>
  <si>
    <t>Jorge Mario Villatoro Linares</t>
  </si>
  <si>
    <t>Marimba de Concierto de Bellas Artes</t>
  </si>
  <si>
    <t>Maria Isabel Messina Baeza</t>
  </si>
  <si>
    <t>Unidad de Cine, Apoyo a la Creación</t>
  </si>
  <si>
    <t>Manuel Antonio Pichilla Quiacan</t>
  </si>
  <si>
    <t>Jaquelin Lisbeth Monroy Ramirez</t>
  </si>
  <si>
    <t>Apoyo a la Creacion</t>
  </si>
  <si>
    <t>Kevin Danilo Morales Mejía</t>
  </si>
  <si>
    <t>Emilio Gonzalez Morales</t>
  </si>
  <si>
    <t>Gabriela Jomara Gonzalez Lopez</t>
  </si>
  <si>
    <t>Nilda Ileana Quex Mucia</t>
  </si>
  <si>
    <t>Dirección y Coordinación</t>
  </si>
  <si>
    <t>Santos Laroj Tejaxun</t>
  </si>
  <si>
    <t>José Antonio Requena Amezquita</t>
  </si>
  <si>
    <t>Nestor Benedicto Nochez Orellana</t>
  </si>
  <si>
    <t>Dany Gregorio Iquite Chajón</t>
  </si>
  <si>
    <t>Julio Alfonso Solorzano Foppa</t>
  </si>
  <si>
    <t>Josue Hipolito Alvarado Campos</t>
  </si>
  <si>
    <t>Hugo Leonel Quibaja Pac</t>
  </si>
  <si>
    <t>Carmen Priscila Garcia Garcia</t>
  </si>
  <si>
    <t>Selvyn Alcides Santiago Choguix Bal</t>
  </si>
  <si>
    <t>Elder Eliel Soc Rosales</t>
  </si>
  <si>
    <t>Arturo Florentin Xicay Colop</t>
  </si>
  <si>
    <t>Paulina Vidaurre Pinto</t>
  </si>
  <si>
    <t>Jullio Benjamin de Paz Saquic</t>
  </si>
  <si>
    <t>Lourdes Yadira Liseth Coque Santos</t>
  </si>
  <si>
    <t>Maria Bouguiskaya Salazar Ruiz</t>
  </si>
  <si>
    <t>Obdulio Arnoldo Amperez Mendoza</t>
  </si>
  <si>
    <t>Sergio Saul Vega García</t>
  </si>
  <si>
    <t>Gustavo Armando Tecún Pamal</t>
  </si>
  <si>
    <t>Marvin Esteban Reyes Gonzalez</t>
  </si>
  <si>
    <t>Ernesto Eugenio Calderon</t>
  </si>
  <si>
    <t>Jose Luis Lopez Hernandez</t>
  </si>
  <si>
    <t>Carlos Mauricio Poveda Ochoa</t>
  </si>
  <si>
    <t>Pablo Alfredo Galvez Berges</t>
  </si>
  <si>
    <t>karen Yojana Salazar Romero</t>
  </si>
  <si>
    <t>Martin Lopez Garcia</t>
  </si>
  <si>
    <t>Noelia Eunice Figueroa Recen</t>
  </si>
  <si>
    <t>Jennyfer Yulissa Gabriel Alvarez</t>
  </si>
  <si>
    <t>Felix Alfredo Mul Yac</t>
  </si>
  <si>
    <t>Ana Luisa Alvizurez Torres</t>
  </si>
  <si>
    <t>Henry Moises Argueta Velasquez</t>
  </si>
  <si>
    <t>Andres Abraham Saquic Cux</t>
  </si>
  <si>
    <t>Edgar Rolando Avendaño Vasquez</t>
  </si>
  <si>
    <t>Katherine Maritza Ortiz Dias</t>
  </si>
  <si>
    <t>Dolzima Yarlim Barrios Loch</t>
  </si>
  <si>
    <t>Hugo David Zaldaña Chum</t>
  </si>
  <si>
    <t>Edilzar Amaliel Palacios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</si>
</sst>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\-??_);_(@_)"/>
    <numFmt numFmtId="165" formatCode="_-* #,##0.00_-;\-* #,##0.00_-;_-* \-??_-;_-@_-"/>
    <numFmt numFmtId="166" formatCode="_(\Q* #,##0.00_);_(\Q* \(#,##0.00\);_(\Q* \-??_);_(@_)"/>
    <numFmt numFmtId="167" formatCode="#,##0.00&quot; €&quot;;\-#,##0.00&quot; €&quot;"/>
    <numFmt numFmtId="168" formatCode="\Q#,##0.00"/>
    <numFmt numFmtId="169" formatCode="_([$Q-100A]* #,##0.00_);_([$Q-100A]* \(#,##0.00\);_([$Q-100A]* \-??_);_(@_)"/>
    <numFmt numFmtId="170" formatCode="_-\Q* #,##0.00_-;&quot;-Q&quot;* #,##0.00_-;_-\Q* \-??_-;_-@_-"/>
    <numFmt numFmtId="171" formatCode="_-[$Q-100A]* #,##0.00_-;\-[$Q-100A]* #,##0.00_-;_-[$Q-100A]* \-??_-;_-@_-"/>
    <numFmt numFmtId="172" formatCode="&quot;Q&quot;#,##0.00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Tahoma"/>
      <family val="2"/>
    </font>
    <font>
      <sz val="10"/>
      <color indexed="8"/>
      <name val="Arial"/>
      <family val="2"/>
    </font>
    <font>
      <sz val="9"/>
      <name val="Calibri"/>
      <family val="2"/>
    </font>
    <font>
      <b/>
      <sz val="15"/>
      <name val="Arial"/>
      <family val="2"/>
    </font>
    <font>
      <b/>
      <sz val="6"/>
      <name val="Arial"/>
      <family val="2"/>
    </font>
    <font>
      <u/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164" fontId="17" fillId="0" borderId="0" applyFill="0" applyBorder="0" applyAlignment="0" applyProtection="0"/>
    <xf numFmtId="166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5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7" fontId="17" fillId="0" borderId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6" xfId="2" applyNumberFormat="1" applyFont="1" applyFill="1" applyBorder="1" applyAlignment="1" applyProtection="1">
      <alignment horizontal="center" vertical="center" wrapText="1"/>
    </xf>
    <xf numFmtId="166" fontId="9" fillId="0" borderId="6" xfId="10" applyNumberFormat="1" applyFont="1" applyFill="1" applyBorder="1" applyAlignment="1" applyProtection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left" vertical="center"/>
    </xf>
    <xf numFmtId="166" fontId="10" fillId="0" borderId="6" xfId="5" applyNumberFormat="1" applyFont="1" applyFill="1" applyBorder="1" applyAlignment="1" applyProtection="1">
      <alignment horizontal="center" wrapText="1"/>
    </xf>
    <xf numFmtId="166" fontId="9" fillId="0" borderId="6" xfId="14" applyNumberFormat="1" applyFont="1" applyFill="1" applyBorder="1" applyAlignment="1" applyProtection="1"/>
    <xf numFmtId="166" fontId="10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168" fontId="10" fillId="0" borderId="6" xfId="10" applyNumberFormat="1" applyFont="1" applyFill="1" applyBorder="1" applyAlignment="1" applyProtection="1">
      <alignment wrapText="1"/>
    </xf>
    <xf numFmtId="166" fontId="9" fillId="0" borderId="6" xfId="0" applyNumberFormat="1" applyFont="1" applyFill="1" applyBorder="1" applyAlignment="1">
      <alignment horizontal="right" vertical="center"/>
    </xf>
    <xf numFmtId="166" fontId="9" fillId="0" borderId="6" xfId="12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wrapText="1"/>
    </xf>
    <xf numFmtId="166" fontId="9" fillId="0" borderId="6" xfId="16" applyNumberFormat="1" applyFont="1" applyFill="1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center" vertical="center" wrapText="1"/>
    </xf>
    <xf numFmtId="166" fontId="9" fillId="0" borderId="6" xfId="12" applyNumberFormat="1" applyFont="1" applyFill="1" applyBorder="1" applyAlignment="1" applyProtection="1"/>
    <xf numFmtId="0" fontId="10" fillId="0" borderId="6" xfId="23" applyFont="1" applyFill="1" applyBorder="1" applyAlignment="1">
      <alignment horizontal="left" vertical="center" wrapText="1"/>
    </xf>
    <xf numFmtId="166" fontId="9" fillId="0" borderId="6" xfId="7" applyNumberFormat="1" applyFont="1" applyFill="1" applyBorder="1" applyAlignment="1" applyProtection="1">
      <alignment horizontal="right" vertical="center" wrapText="1"/>
    </xf>
    <xf numFmtId="166" fontId="10" fillId="0" borderId="6" xfId="23" applyNumberFormat="1" applyFont="1" applyFill="1" applyBorder="1" applyAlignment="1">
      <alignment horizontal="left" vertical="center" wrapText="1"/>
    </xf>
    <xf numFmtId="166" fontId="10" fillId="0" borderId="6" xfId="12" applyNumberFormat="1" applyFont="1" applyFill="1" applyBorder="1" applyAlignment="1" applyProtection="1">
      <alignment vertical="center" wrapText="1"/>
    </xf>
    <xf numFmtId="0" fontId="0" fillId="3" borderId="0" xfId="0" applyFont="1" applyFill="1" applyBorder="1" applyAlignment="1">
      <alignment horizontal="left"/>
    </xf>
    <xf numFmtId="166" fontId="9" fillId="0" borderId="6" xfId="10" applyNumberFormat="1" applyFont="1" applyFill="1" applyBorder="1" applyAlignment="1" applyProtection="1"/>
    <xf numFmtId="166" fontId="9" fillId="0" borderId="6" xfId="10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left"/>
    </xf>
    <xf numFmtId="166" fontId="10" fillId="0" borderId="6" xfId="10" applyNumberFormat="1" applyFont="1" applyFill="1" applyBorder="1" applyAlignment="1" applyProtection="1">
      <alignment wrapText="1"/>
    </xf>
    <xf numFmtId="166" fontId="10" fillId="0" borderId="6" xfId="10" applyNumberFormat="1" applyFont="1" applyFill="1" applyBorder="1" applyAlignment="1" applyProtection="1"/>
    <xf numFmtId="0" fontId="9" fillId="0" borderId="6" xfId="0" applyFont="1" applyFill="1" applyBorder="1" applyAlignment="1">
      <alignment wrapText="1"/>
    </xf>
    <xf numFmtId="166" fontId="10" fillId="0" borderId="6" xfId="16" applyNumberFormat="1" applyFont="1" applyFill="1" applyBorder="1" applyAlignment="1">
      <alignment horizontal="left" vertical="center" wrapText="1"/>
    </xf>
    <xf numFmtId="166" fontId="10" fillId="0" borderId="6" xfId="12" applyNumberFormat="1" applyFont="1" applyFill="1" applyBorder="1" applyAlignment="1" applyProtection="1">
      <alignment horizontal="center" vertical="center" wrapText="1"/>
    </xf>
    <xf numFmtId="166" fontId="10" fillId="0" borderId="6" xfId="12" applyNumberFormat="1" applyFont="1" applyFill="1" applyBorder="1" applyAlignment="1" applyProtection="1">
      <alignment wrapText="1"/>
    </xf>
    <xf numFmtId="0" fontId="9" fillId="0" borderId="6" xfId="0" applyFont="1" applyFill="1" applyBorder="1" applyAlignment="1">
      <alignment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6" fontId="9" fillId="0" borderId="0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right" vertical="center" wrapText="1"/>
    </xf>
    <xf numFmtId="166" fontId="10" fillId="0" borderId="6" xfId="0" applyNumberFormat="1" applyFont="1" applyFill="1" applyBorder="1" applyAlignment="1">
      <alignment horizontal="right" vertical="center" wrapText="1"/>
    </xf>
    <xf numFmtId="166" fontId="9" fillId="0" borderId="6" xfId="12" applyNumberFormat="1" applyFont="1" applyFill="1" applyBorder="1" applyAlignment="1" applyProtection="1">
      <alignment horizontal="right" vertical="center" wrapText="1"/>
    </xf>
    <xf numFmtId="166" fontId="9" fillId="0" borderId="6" xfId="14" applyNumberFormat="1" applyFont="1" applyFill="1" applyBorder="1" applyAlignment="1" applyProtection="1">
      <alignment horizontal="right" vertical="center"/>
    </xf>
    <xf numFmtId="166" fontId="9" fillId="0" borderId="15" xfId="0" applyNumberFormat="1" applyFont="1" applyFill="1" applyBorder="1" applyAlignment="1">
      <alignment horizontal="right" vertical="center"/>
    </xf>
    <xf numFmtId="168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66" fontId="9" fillId="0" borderId="6" xfId="9" applyNumberFormat="1" applyFont="1" applyFill="1" applyBorder="1" applyAlignment="1" applyProtection="1">
      <alignment horizontal="right" vertical="center" wrapText="1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9" fillId="0" borderId="6" xfId="25" applyFont="1" applyFill="1" applyBorder="1" applyAlignment="1"/>
    <xf numFmtId="0" fontId="9" fillId="0" borderId="6" xfId="29" applyFont="1" applyFill="1" applyBorder="1" applyAlignment="1" applyProtection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6" xfId="34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vertical="center" wrapText="1"/>
    </xf>
    <xf numFmtId="166" fontId="9" fillId="0" borderId="6" xfId="12" applyNumberFormat="1" applyFont="1" applyFill="1" applyBorder="1" applyAlignment="1" applyProtection="1">
      <alignment horizontal="center" vertical="center" wrapText="1"/>
    </xf>
    <xf numFmtId="166" fontId="9" fillId="0" borderId="6" xfId="14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166" fontId="9" fillId="0" borderId="6" xfId="4" applyNumberFormat="1" applyFont="1" applyFill="1" applyBorder="1" applyAlignment="1" applyProtection="1">
      <alignment horizontal="left" vertical="center"/>
    </xf>
    <xf numFmtId="166" fontId="9" fillId="0" borderId="6" xfId="4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>
      <alignment horizontal="left" wrapText="1"/>
    </xf>
    <xf numFmtId="169" fontId="9" fillId="0" borderId="6" xfId="3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166" fontId="9" fillId="0" borderId="6" xfId="1" applyNumberFormat="1" applyFont="1" applyFill="1" applyBorder="1" applyAlignment="1" applyProtection="1">
      <alignment horizontal="right" vertical="center" wrapText="1"/>
    </xf>
    <xf numFmtId="166" fontId="9" fillId="0" borderId="6" xfId="2" applyNumberFormat="1" applyFont="1" applyFill="1" applyBorder="1" applyAlignment="1" applyProtection="1">
      <alignment vertical="center" wrapText="1"/>
    </xf>
    <xf numFmtId="0" fontId="10" fillId="4" borderId="6" xfId="0" applyFont="1" applyFill="1" applyBorder="1" applyAlignment="1">
      <alignment wrapText="1"/>
    </xf>
    <xf numFmtId="169" fontId="10" fillId="0" borderId="6" xfId="3" applyNumberFormat="1" applyFont="1" applyFill="1" applyBorder="1" applyAlignment="1" applyProtection="1">
      <alignment horizontal="right" wrapText="1"/>
    </xf>
    <xf numFmtId="4" fontId="0" fillId="0" borderId="0" xfId="0" applyNumberFormat="1" applyFont="1" applyFill="1" applyBorder="1"/>
    <xf numFmtId="166" fontId="10" fillId="0" borderId="6" xfId="14" applyNumberFormat="1" applyFont="1" applyFill="1" applyBorder="1" applyAlignment="1" applyProtection="1">
      <alignment horizontal="right" vertical="center"/>
    </xf>
    <xf numFmtId="166" fontId="10" fillId="0" borderId="6" xfId="0" applyNumberFormat="1" applyFont="1" applyFill="1" applyBorder="1" applyAlignment="1">
      <alignment horizontal="right" vertical="center"/>
    </xf>
    <xf numFmtId="0" fontId="10" fillId="0" borderId="6" xfId="34" applyNumberFormat="1" applyFont="1" applyFill="1" applyBorder="1" applyAlignment="1" applyProtection="1">
      <alignment vertical="center" wrapText="1"/>
    </xf>
    <xf numFmtId="166" fontId="9" fillId="0" borderId="6" xfId="9" applyNumberFormat="1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9" fillId="0" borderId="6" xfId="0" applyFont="1" applyFill="1" applyBorder="1" applyAlignment="1">
      <alignment vertical="center"/>
    </xf>
    <xf numFmtId="166" fontId="9" fillId="0" borderId="6" xfId="2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>
      <alignment horizontal="left" wrapText="1"/>
    </xf>
    <xf numFmtId="0" fontId="9" fillId="0" borderId="6" xfId="29" applyFont="1" applyFill="1" applyBorder="1" applyAlignment="1" applyProtection="1">
      <alignment horizontal="left" vertical="center" wrapText="1"/>
    </xf>
    <xf numFmtId="0" fontId="9" fillId="0" borderId="6" xfId="20" applyFont="1" applyFill="1" applyBorder="1" applyAlignment="1">
      <alignment horizontal="left" vertical="center" wrapText="1"/>
    </xf>
    <xf numFmtId="166" fontId="10" fillId="0" borderId="6" xfId="4" applyNumberFormat="1" applyFont="1" applyFill="1" applyBorder="1" applyAlignment="1" applyProtection="1">
      <alignment horizontal="right" vertical="center" wrapText="1"/>
    </xf>
    <xf numFmtId="166" fontId="10" fillId="0" borderId="6" xfId="1" applyNumberFormat="1" applyFont="1" applyFill="1" applyBorder="1" applyAlignment="1" applyProtection="1">
      <alignment horizontal="right" vertical="center"/>
    </xf>
    <xf numFmtId="0" fontId="9" fillId="0" borderId="6" xfId="29" applyFont="1" applyFill="1" applyBorder="1" applyAlignment="1">
      <alignment vertical="center" wrapText="1"/>
    </xf>
    <xf numFmtId="0" fontId="9" fillId="0" borderId="6" xfId="35" applyFont="1" applyFill="1" applyBorder="1" applyAlignment="1" applyProtection="1">
      <alignment horizontal="left" vertical="center" wrapText="1"/>
    </xf>
    <xf numFmtId="0" fontId="9" fillId="0" borderId="6" xfId="26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/>
    </xf>
    <xf numFmtId="0" fontId="10" fillId="0" borderId="6" xfId="29" applyFont="1" applyFill="1" applyBorder="1" applyAlignment="1" applyProtection="1">
      <alignment vertical="center" wrapText="1"/>
    </xf>
    <xf numFmtId="166" fontId="9" fillId="0" borderId="6" xfId="4" applyNumberFormat="1" applyFont="1" applyFill="1" applyBorder="1" applyAlignment="1" applyProtection="1">
      <alignment horizontal="left" vertical="center" wrapText="1"/>
    </xf>
    <xf numFmtId="166" fontId="9" fillId="0" borderId="6" xfId="1" applyNumberFormat="1" applyFont="1" applyFill="1" applyBorder="1" applyAlignment="1" applyProtection="1">
      <alignment horizontal="right" vertical="center"/>
    </xf>
    <xf numFmtId="0" fontId="10" fillId="0" borderId="16" xfId="0" applyFont="1" applyBorder="1" applyAlignment="1">
      <alignment wrapText="1"/>
    </xf>
    <xf numFmtId="166" fontId="10" fillId="0" borderId="6" xfId="12" applyNumberFormat="1" applyFont="1" applyFill="1" applyBorder="1" applyAlignment="1" applyProtection="1">
      <alignment horizontal="right" vertical="center" wrapText="1"/>
    </xf>
    <xf numFmtId="170" fontId="10" fillId="0" borderId="6" xfId="6" applyNumberFormat="1" applyFont="1" applyFill="1" applyBorder="1" applyAlignment="1" applyProtection="1">
      <alignment horizontal="center" wrapText="1"/>
    </xf>
    <xf numFmtId="0" fontId="10" fillId="0" borderId="6" xfId="0" applyFont="1" applyFill="1" applyBorder="1" applyAlignment="1">
      <alignment horizontal="justify" vertical="center" wrapText="1"/>
    </xf>
    <xf numFmtId="166" fontId="9" fillId="0" borderId="6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6" xfId="36" applyFont="1" applyFill="1" applyBorder="1" applyAlignment="1" applyProtection="1">
      <alignment vertical="center" wrapText="1"/>
    </xf>
    <xf numFmtId="4" fontId="0" fillId="0" borderId="0" xfId="0" applyNumberFormat="1" applyFont="1" applyBorder="1"/>
    <xf numFmtId="0" fontId="9" fillId="0" borderId="6" xfId="25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 applyFont="1"/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169" fontId="10" fillId="0" borderId="6" xfId="3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/>
    <xf numFmtId="166" fontId="9" fillId="0" borderId="6" xfId="12" applyNumberFormat="1" applyFont="1" applyFill="1" applyBorder="1" applyAlignment="1" applyProtection="1">
      <alignment vertical="center"/>
    </xf>
    <xf numFmtId="166" fontId="10" fillId="0" borderId="6" xfId="0" applyNumberFormat="1" applyFont="1" applyBorder="1" applyAlignment="1"/>
    <xf numFmtId="0" fontId="9" fillId="0" borderId="6" xfId="35" applyFont="1" applyFill="1" applyBorder="1" applyAlignment="1" applyProtection="1">
      <alignment horizontal="left" vertical="top" wrapText="1"/>
    </xf>
    <xf numFmtId="0" fontId="10" fillId="0" borderId="6" xfId="0" applyFont="1" applyBorder="1" applyAlignment="1">
      <alignment wrapText="1"/>
    </xf>
    <xf numFmtId="0" fontId="9" fillId="0" borderId="6" xfId="0" applyFont="1" applyBorder="1"/>
    <xf numFmtId="0" fontId="9" fillId="0" borderId="0" xfId="0" applyFont="1"/>
    <xf numFmtId="166" fontId="10" fillId="0" borderId="6" xfId="5" applyNumberFormat="1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166" fontId="9" fillId="0" borderId="17" xfId="9" applyNumberFormat="1" applyFont="1" applyFill="1" applyBorder="1" applyAlignment="1" applyProtection="1">
      <alignment horizontal="right" vertical="center" wrapText="1"/>
    </xf>
    <xf numFmtId="166" fontId="9" fillId="0" borderId="17" xfId="0" applyNumberFormat="1" applyFont="1" applyFill="1" applyBorder="1" applyAlignment="1">
      <alignment horizontal="right" vertical="center" wrapText="1"/>
    </xf>
    <xf numFmtId="166" fontId="9" fillId="0" borderId="17" xfId="12" applyNumberFormat="1" applyFont="1" applyFill="1" applyBorder="1" applyAlignment="1" applyProtection="1">
      <alignment horizontal="right" vertical="center" wrapText="1"/>
    </xf>
    <xf numFmtId="166" fontId="9" fillId="0" borderId="17" xfId="14" applyNumberFormat="1" applyFont="1" applyFill="1" applyBorder="1" applyAlignment="1" applyProtection="1">
      <alignment horizontal="right" vertical="center"/>
    </xf>
    <xf numFmtId="166" fontId="9" fillId="0" borderId="17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vertical="center"/>
    </xf>
    <xf numFmtId="166" fontId="8" fillId="0" borderId="9" xfId="0" applyNumberFormat="1" applyFont="1" applyFill="1" applyBorder="1" applyAlignment="1">
      <alignment vertical="center"/>
    </xf>
    <xf numFmtId="166" fontId="8" fillId="0" borderId="9" xfId="0" applyNumberFormat="1" applyFont="1" applyFill="1" applyBorder="1" applyAlignment="1">
      <alignment horizontal="right" vertical="center"/>
    </xf>
    <xf numFmtId="166" fontId="8" fillId="0" borderId="1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166" fontId="10" fillId="0" borderId="6" xfId="7" applyNumberFormat="1" applyFont="1" applyFill="1" applyBorder="1" applyAlignment="1" applyProtection="1">
      <alignment horizontal="right" vertical="center" wrapText="1"/>
    </xf>
    <xf numFmtId="0" fontId="9" fillId="0" borderId="6" xfId="0" applyFont="1" applyBorder="1" applyAlignment="1">
      <alignment horizontal="left" vertical="center"/>
    </xf>
    <xf numFmtId="166" fontId="9" fillId="0" borderId="17" xfId="2" applyNumberFormat="1" applyFont="1" applyFill="1" applyBorder="1" applyAlignment="1" applyProtection="1">
      <alignment horizontal="center" vertical="center" wrapText="1"/>
    </xf>
    <xf numFmtId="166" fontId="9" fillId="0" borderId="17" xfId="10" applyNumberFormat="1" applyFont="1" applyFill="1" applyBorder="1" applyAlignment="1" applyProtection="1">
      <alignment horizontal="center" vertical="center" wrapText="1"/>
    </xf>
    <xf numFmtId="166" fontId="9" fillId="0" borderId="19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 vertical="center"/>
    </xf>
    <xf numFmtId="166" fontId="8" fillId="0" borderId="21" xfId="0" applyNumberFormat="1" applyFont="1" applyFill="1" applyBorder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vertical="center" wrapText="1"/>
    </xf>
    <xf numFmtId="169" fontId="10" fillId="0" borderId="6" xfId="10" applyNumberFormat="1" applyFont="1" applyFill="1" applyBorder="1" applyAlignment="1" applyProtection="1">
      <alignment vertical="center" wrapText="1"/>
    </xf>
    <xf numFmtId="169" fontId="9" fillId="0" borderId="6" xfId="0" applyNumberFormat="1" applyFont="1" applyFill="1" applyBorder="1" applyAlignment="1" applyProtection="1">
      <alignment horizontal="right" vertical="center" wrapText="1"/>
    </xf>
    <xf numFmtId="166" fontId="9" fillId="0" borderId="15" xfId="0" applyNumberFormat="1" applyFont="1" applyBorder="1" applyAlignment="1">
      <alignment horizontal="right" vertical="center"/>
    </xf>
    <xf numFmtId="0" fontId="0" fillId="0" borderId="0" xfId="0" applyBorder="1"/>
    <xf numFmtId="0" fontId="10" fillId="0" borderId="6" xfId="0" applyFont="1" applyFill="1" applyBorder="1" applyAlignment="1" applyProtection="1">
      <alignment vertical="center" wrapText="1"/>
    </xf>
    <xf numFmtId="169" fontId="9" fillId="4" borderId="6" xfId="0" applyNumberFormat="1" applyFont="1" applyFill="1" applyBorder="1" applyAlignment="1" applyProtection="1">
      <alignment horizontal="right" vertical="center" wrapText="1"/>
    </xf>
    <xf numFmtId="169" fontId="9" fillId="0" borderId="6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9" fontId="10" fillId="0" borderId="6" xfId="5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171" fontId="10" fillId="0" borderId="6" xfId="5" applyNumberFormat="1" applyFont="1" applyFill="1" applyBorder="1" applyAlignment="1" applyProtection="1">
      <alignment horizontal="right" vertical="center"/>
    </xf>
    <xf numFmtId="169" fontId="9" fillId="0" borderId="6" xfId="5" applyNumberFormat="1" applyFont="1" applyFill="1" applyBorder="1" applyAlignment="1" applyProtection="1">
      <alignment horizontal="right" vertical="center"/>
    </xf>
    <xf numFmtId="169" fontId="9" fillId="0" borderId="6" xfId="0" applyNumberFormat="1" applyFont="1" applyFill="1" applyBorder="1" applyAlignment="1">
      <alignment horizontal="center" vertical="center" wrapText="1"/>
    </xf>
    <xf numFmtId="169" fontId="9" fillId="0" borderId="15" xfId="0" applyNumberFormat="1" applyFont="1" applyFill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/>
    </xf>
    <xf numFmtId="169" fontId="10" fillId="4" borderId="6" xfId="5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166" fontId="10" fillId="0" borderId="6" xfId="10" applyNumberFormat="1" applyFont="1" applyFill="1" applyBorder="1" applyAlignment="1" applyProtection="1">
      <alignment vertical="center" wrapText="1"/>
    </xf>
    <xf numFmtId="166" fontId="9" fillId="0" borderId="6" xfId="0" applyNumberFormat="1" applyFont="1" applyFill="1" applyBorder="1" applyAlignment="1" applyProtection="1">
      <alignment horizontal="right" vertical="center" wrapText="1"/>
    </xf>
    <xf numFmtId="166" fontId="9" fillId="0" borderId="6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10" fillId="0" borderId="24" xfId="0" applyFont="1" applyFill="1" applyBorder="1" applyAlignment="1">
      <alignment vertical="center" wrapText="1"/>
    </xf>
    <xf numFmtId="169" fontId="10" fillId="0" borderId="4" xfId="5" applyNumberFormat="1" applyFont="1" applyFill="1" applyBorder="1" applyAlignment="1" applyProtection="1">
      <alignment horizontal="right" vertical="center"/>
    </xf>
    <xf numFmtId="169" fontId="9" fillId="0" borderId="4" xfId="0" applyNumberFormat="1" applyFont="1" applyFill="1" applyBorder="1" applyAlignment="1" applyProtection="1">
      <alignment horizontal="right" vertical="center" wrapText="1"/>
    </xf>
    <xf numFmtId="169" fontId="9" fillId="0" borderId="4" xfId="0" applyNumberFormat="1" applyFont="1" applyFill="1" applyBorder="1" applyAlignment="1">
      <alignment vertical="center" wrapText="1"/>
    </xf>
    <xf numFmtId="166" fontId="9" fillId="0" borderId="25" xfId="0" applyNumberFormat="1" applyFont="1" applyBorder="1" applyAlignment="1">
      <alignment horizontal="right" vertical="center"/>
    </xf>
    <xf numFmtId="169" fontId="9" fillId="0" borderId="1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 applyBorder="1"/>
    <xf numFmtId="0" fontId="0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/>
    <xf numFmtId="14" fontId="3" fillId="0" borderId="0" xfId="0" applyNumberFormat="1" applyFont="1" applyBorder="1" applyAlignment="1"/>
    <xf numFmtId="0" fontId="15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19" applyFont="1" applyFill="1" applyBorder="1" applyAlignment="1">
      <alignment horizontal="left" vertical="center" wrapText="1"/>
    </xf>
    <xf numFmtId="3" fontId="9" fillId="0" borderId="6" xfId="7" applyNumberFormat="1" applyFont="1" applyFill="1" applyBorder="1" applyAlignment="1" applyProtection="1">
      <alignment horizontal="center" vertical="center" wrapText="1"/>
    </xf>
    <xf numFmtId="166" fontId="8" fillId="0" borderId="6" xfId="0" applyNumberFormat="1" applyFont="1" applyFill="1" applyBorder="1" applyAlignment="1">
      <alignment horizontal="right" vertical="center"/>
    </xf>
    <xf numFmtId="168" fontId="0" fillId="0" borderId="0" xfId="0" applyNumberFormat="1" applyFill="1" applyBorder="1" applyAlignment="1">
      <alignment horizontal="right"/>
    </xf>
    <xf numFmtId="0" fontId="9" fillId="0" borderId="6" xfId="22" applyFont="1" applyFill="1" applyBorder="1" applyAlignment="1" applyProtection="1">
      <alignment horizontal="left" vertical="center" wrapText="1"/>
    </xf>
    <xf numFmtId="166" fontId="9" fillId="0" borderId="6" xfId="7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9" fillId="0" borderId="6" xfId="28" applyFont="1" applyFill="1" applyBorder="1" applyAlignment="1" applyProtection="1">
      <alignment horizontal="left" vertical="center" wrapText="1"/>
    </xf>
    <xf numFmtId="0" fontId="9" fillId="0" borderId="6" xfId="22" applyFont="1" applyFill="1" applyBorder="1" applyAlignment="1">
      <alignment horizontal="left" vertical="center" wrapText="1"/>
    </xf>
    <xf numFmtId="0" fontId="9" fillId="0" borderId="6" xfId="28" applyFont="1" applyFill="1" applyBorder="1" applyAlignment="1">
      <alignment horizontal="left" vertical="center" wrapText="1"/>
    </xf>
    <xf numFmtId="166" fontId="9" fillId="0" borderId="6" xfId="21" applyNumberFormat="1" applyFont="1" applyFill="1" applyBorder="1" applyAlignment="1">
      <alignment horizontal="right" vertical="center" wrapText="1"/>
    </xf>
    <xf numFmtId="0" fontId="9" fillId="0" borderId="6" xfId="19" applyFont="1" applyFill="1" applyBorder="1" applyAlignment="1">
      <alignment horizontal="left" wrapText="1"/>
    </xf>
    <xf numFmtId="166" fontId="8" fillId="0" borderId="9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168" fontId="0" fillId="0" borderId="0" xfId="0" applyNumberFormat="1" applyBorder="1" applyAlignment="1">
      <alignment horizontal="right"/>
    </xf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0" fillId="6" borderId="35" xfId="0" applyFont="1" applyFill="1" applyBorder="1" applyAlignment="1">
      <alignment horizontal="center" wrapText="1"/>
    </xf>
    <xf numFmtId="0" fontId="18" fillId="0" borderId="36" xfId="0" applyFont="1" applyFill="1" applyBorder="1" applyAlignment="1">
      <alignment horizontal="left"/>
    </xf>
    <xf numFmtId="0" fontId="19" fillId="6" borderId="36" xfId="0" applyFont="1" applyFill="1" applyBorder="1" applyAlignment="1"/>
    <xf numFmtId="172" fontId="0" fillId="0" borderId="0" xfId="0" applyNumberFormat="1" applyFont="1" applyFill="1" applyBorder="1"/>
    <xf numFmtId="172" fontId="0" fillId="0" borderId="0" xfId="0" applyNumberFormat="1" applyFont="1" applyBorder="1" applyAlignment="1">
      <alignment horizontal="right"/>
    </xf>
    <xf numFmtId="172" fontId="0" fillId="0" borderId="0" xfId="0" applyNumberFormat="1" applyBorder="1" applyAlignment="1">
      <alignment horizontal="right"/>
    </xf>
    <xf numFmtId="0" fontId="18" fillId="0" borderId="35" xfId="0" applyFont="1" applyBorder="1" applyAlignment="1">
      <alignment horizontal="left"/>
    </xf>
    <xf numFmtId="0" fontId="19" fillId="6" borderId="35" xfId="0" applyFont="1" applyFill="1" applyBorder="1" applyAlignment="1"/>
    <xf numFmtId="0" fontId="19" fillId="6" borderId="35" xfId="0" applyFont="1" applyFill="1" applyBorder="1" applyAlignment="1">
      <alignment wrapText="1"/>
    </xf>
    <xf numFmtId="172" fontId="19" fillId="6" borderId="35" xfId="0" applyNumberFormat="1" applyFont="1" applyFill="1" applyBorder="1" applyAlignment="1"/>
    <xf numFmtId="0" fontId="0" fillId="6" borderId="35" xfId="0" applyFont="1" applyFill="1" applyBorder="1" applyAlignment="1">
      <alignment horizontal="center"/>
    </xf>
    <xf numFmtId="172" fontId="0" fillId="0" borderId="0" xfId="0" applyNumberFormat="1" applyFill="1" applyBorder="1" applyAlignment="1">
      <alignment horizontal="right"/>
    </xf>
    <xf numFmtId="0" fontId="0" fillId="0" borderId="35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left"/>
    </xf>
    <xf numFmtId="172" fontId="0" fillId="0" borderId="35" xfId="0" applyNumberFormat="1" applyFont="1" applyFill="1" applyBorder="1"/>
    <xf numFmtId="0" fontId="0" fillId="0" borderId="35" xfId="0" applyFont="1" applyFill="1" applyBorder="1"/>
    <xf numFmtId="0" fontId="0" fillId="0" borderId="37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36" xfId="0" applyFont="1" applyFill="1" applyBorder="1"/>
    <xf numFmtId="0" fontId="0" fillId="0" borderId="0" xfId="0" applyAlignment="1">
      <alignment wrapText="1"/>
    </xf>
    <xf numFmtId="0" fontId="19" fillId="6" borderId="36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0" fontId="0" fillId="0" borderId="37" xfId="0" applyFont="1" applyFill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</cellXfs>
  <cellStyles count="37">
    <cellStyle name="Excel Built-in Normal 2" xfId="35"/>
    <cellStyle name="Excel Built-in Normal_FORMATO NUMERAL 4 DICIEMBRE 2014 VIATICOS" xfId="36"/>
    <cellStyle name="Millares" xfId="1" builtinId="3"/>
    <cellStyle name="Millares 2" xfId="3"/>
    <cellStyle name="Millares 5" xfId="4"/>
    <cellStyle name="Millares 5 2" xfId="5"/>
    <cellStyle name="Millares 5 2 2" xfId="6"/>
    <cellStyle name="Moneda" xfId="2" builtinId="4"/>
    <cellStyle name="Moneda 2" xfId="7"/>
    <cellStyle name="Moneda 2 2" xfId="8"/>
    <cellStyle name="Moneda 2 2 2" xfId="9"/>
    <cellStyle name="Moneda 2 3" xfId="10"/>
    <cellStyle name="Moneda 2_FORMATO NUMERAL 4 DICIEMBRE 2014 VIATICOS" xfId="12"/>
    <cellStyle name="Moneda 26" xfId="11"/>
    <cellStyle name="Moneda 5" xfId="13"/>
    <cellStyle name="Moneda 5 2" xfId="14"/>
    <cellStyle name="Normal" xfId="0" builtinId="0"/>
    <cellStyle name="Normal 10 3 2" xfId="15"/>
    <cellStyle name="Normal 11" xfId="16"/>
    <cellStyle name="Normal 15 10" xfId="17"/>
    <cellStyle name="Normal 17 2" xfId="18"/>
    <cellStyle name="Normal 2" xfId="19"/>
    <cellStyle name="Normal 2 2" xfId="20"/>
    <cellStyle name="Normal 21" xfId="21"/>
    <cellStyle name="Normal 23" xfId="22"/>
    <cellStyle name="Normal 3_OCUPADAS ARTES 26 AGO" xfId="23"/>
    <cellStyle name="Normal 4 10" xfId="24"/>
    <cellStyle name="Normal 4 10 2" xfId="25"/>
    <cellStyle name="Normal 4 10_FORMATO NUMERAL 4 DICIEMBRE 2014 VIATICOS" xfId="26"/>
    <cellStyle name="Normal 7 10" xfId="27"/>
    <cellStyle name="Normal 7 10 2" xfId="28"/>
    <cellStyle name="Normal 7 10_FORMATO NUMERAL 4 DICIEMBRE 2014 VIATICOS" xfId="29"/>
    <cellStyle name="Normal 8" xfId="30"/>
    <cellStyle name="Normal 8 2" xfId="31"/>
    <cellStyle name="Normal 9 2" xfId="32"/>
    <cellStyle name="Normal 9 2 3" xfId="33"/>
    <cellStyle name="Normal 9 2_FORMATO NUMERAL 4 DICIEMBRE 2014 VIATICOS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457200</xdr:colOff>
      <xdr:row>4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363855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5</xdr:row>
      <xdr:rowOff>28575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1371600</xdr:colOff>
      <xdr:row>2</xdr:row>
      <xdr:rowOff>190500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85737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1</xdr:col>
      <xdr:colOff>1504950</xdr:colOff>
      <xdr:row>4</xdr:row>
      <xdr:rowOff>9525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02882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114300</xdr:rowOff>
    </xdr:from>
    <xdr:to>
      <xdr:col>1</xdr:col>
      <xdr:colOff>1600200</xdr:colOff>
      <xdr:row>6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622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V336"/>
  <sheetViews>
    <sheetView showGridLines="0" tabSelected="1" zoomScale="110" zoomScaleNormal="110" workbookViewId="0"/>
  </sheetViews>
  <sheetFormatPr baseColWidth="10" defaultColWidth="11.5703125" defaultRowHeight="12.75" x14ac:dyDescent="0.2"/>
  <cols>
    <col min="1" max="1" width="6.5703125" style="1" customWidth="1"/>
    <col min="2" max="2" width="26.85546875" style="2" customWidth="1"/>
    <col min="3" max="3" width="23.7109375" style="3" customWidth="1"/>
    <col min="4" max="4" width="11.5703125" style="3"/>
    <col min="5" max="5" width="11.85546875" style="3" customWidth="1"/>
    <col min="6" max="6" width="10.7109375" style="3" customWidth="1"/>
    <col min="7" max="7" width="12.5703125" style="3" customWidth="1"/>
    <col min="8" max="9" width="13" style="3" customWidth="1"/>
    <col min="10" max="12" width="10.85546875" style="3" customWidth="1"/>
    <col min="13" max="13" width="10.7109375" style="3" customWidth="1"/>
    <col min="14" max="15" width="13.140625" style="3" customWidth="1"/>
    <col min="16" max="16" width="13.42578125" style="3" customWidth="1"/>
    <col min="17" max="20" width="0" style="3" hidden="1" customWidth="1"/>
    <col min="21" max="21" width="14.85546875" style="3" customWidth="1"/>
    <col min="22" max="22" width="13" style="3" customWidth="1"/>
    <col min="23" max="23" width="12.140625" style="3" customWidth="1"/>
    <col min="24" max="170" width="11.5703125" style="4"/>
    <col min="171" max="16384" width="11.5703125" style="5"/>
  </cols>
  <sheetData>
    <row r="1" spans="1:256" ht="19.5" customHeight="1" x14ac:dyDescent="0.25">
      <c r="A1" s="6"/>
      <c r="D1" s="7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</row>
    <row r="2" spans="1:256" ht="12.75" customHeight="1" x14ac:dyDescent="0.2">
      <c r="A2" s="9"/>
      <c r="D2" s="10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8"/>
      <c r="R2" s="8"/>
      <c r="S2" s="8"/>
      <c r="T2" s="8"/>
      <c r="U2" s="8"/>
      <c r="V2" s="8"/>
      <c r="W2" s="8"/>
    </row>
    <row r="3" spans="1:256" ht="14.25" customHeight="1" x14ac:dyDescent="0.2">
      <c r="A3" s="9"/>
      <c r="D3" s="7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8"/>
      <c r="W3" s="8"/>
    </row>
    <row r="4" spans="1:256" ht="14.25" customHeight="1" x14ac:dyDescent="0.2">
      <c r="A4" s="12"/>
      <c r="C4" s="13"/>
      <c r="D4" s="10" t="s">
        <v>3</v>
      </c>
      <c r="E4" s="14"/>
      <c r="F4" s="15" t="s">
        <v>4</v>
      </c>
      <c r="G4" s="15"/>
      <c r="H4" s="15"/>
      <c r="I4" s="15"/>
      <c r="J4" s="15"/>
      <c r="K4" s="1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56" ht="14.25" customHeight="1" x14ac:dyDescent="0.2">
      <c r="A5" s="12"/>
      <c r="C5" s="13"/>
      <c r="D5" s="10" t="s">
        <v>5</v>
      </c>
      <c r="E5" s="14"/>
      <c r="F5" s="15"/>
      <c r="G5" s="15"/>
      <c r="H5" s="15"/>
      <c r="I5" s="15"/>
      <c r="J5" s="15"/>
      <c r="K5" s="1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56" ht="14.25" customHeight="1" x14ac:dyDescent="0.2">
      <c r="A6" s="12"/>
      <c r="C6" s="13"/>
      <c r="D6" s="16" t="s">
        <v>6</v>
      </c>
      <c r="E6" s="14"/>
      <c r="F6" s="15"/>
      <c r="G6" s="15"/>
      <c r="H6" s="15"/>
      <c r="I6" s="15"/>
      <c r="J6" s="15"/>
      <c r="K6" s="15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56" x14ac:dyDescent="0.2">
      <c r="A7" s="18"/>
      <c r="I7" s="2"/>
    </row>
    <row r="8" spans="1:256" s="20" customFormat="1" ht="12.95" customHeight="1" x14ac:dyDescent="0.2">
      <c r="A8" s="231" t="s">
        <v>7</v>
      </c>
      <c r="B8" s="232" t="s">
        <v>8</v>
      </c>
      <c r="C8" s="232" t="s">
        <v>9</v>
      </c>
      <c r="D8" s="232" t="s">
        <v>10</v>
      </c>
      <c r="E8" s="232" t="s">
        <v>11</v>
      </c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 t="s">
        <v>12</v>
      </c>
      <c r="R8" s="232"/>
      <c r="S8" s="232"/>
      <c r="T8" s="232"/>
      <c r="U8" s="232"/>
      <c r="V8" s="232" t="s">
        <v>13</v>
      </c>
      <c r="W8" s="233" t="s">
        <v>14</v>
      </c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s="20" customFormat="1" ht="24" x14ac:dyDescent="0.2">
      <c r="A9" s="231"/>
      <c r="B9" s="232"/>
      <c r="C9" s="232"/>
      <c r="D9" s="232"/>
      <c r="E9" s="22" t="s">
        <v>15</v>
      </c>
      <c r="F9" s="22" t="s">
        <v>16</v>
      </c>
      <c r="G9" s="22" t="s">
        <v>17</v>
      </c>
      <c r="H9" s="22" t="s">
        <v>18</v>
      </c>
      <c r="I9" s="22" t="s">
        <v>19</v>
      </c>
      <c r="J9" s="22" t="s">
        <v>20</v>
      </c>
      <c r="K9" s="22" t="s">
        <v>21</v>
      </c>
      <c r="L9" s="22" t="s">
        <v>22</v>
      </c>
      <c r="M9" s="22" t="s">
        <v>23</v>
      </c>
      <c r="N9" s="22" t="s">
        <v>24</v>
      </c>
      <c r="O9" s="22" t="s">
        <v>25</v>
      </c>
      <c r="P9" s="22" t="s">
        <v>26</v>
      </c>
      <c r="Q9" s="22" t="s">
        <v>27</v>
      </c>
      <c r="R9" s="22" t="s">
        <v>28</v>
      </c>
      <c r="S9" s="22" t="s">
        <v>29</v>
      </c>
      <c r="T9" s="22" t="s">
        <v>30</v>
      </c>
      <c r="U9" s="22" t="s">
        <v>31</v>
      </c>
      <c r="V9" s="232"/>
      <c r="W9" s="233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20" customFormat="1" ht="50.25" customHeight="1" x14ac:dyDescent="0.2">
      <c r="A10" s="23">
        <v>1</v>
      </c>
      <c r="B10" s="24" t="s">
        <v>32</v>
      </c>
      <c r="C10" s="24" t="s">
        <v>33</v>
      </c>
      <c r="D10" s="25">
        <v>2885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7">
        <f t="shared" ref="P10:P96" si="0">SUM(D10:N10)</f>
        <v>2885</v>
      </c>
      <c r="Q10" s="27">
        <f t="shared" ref="Q10:Q284" si="1">(D10+E10+F10+G10+H10+I10+J10+K10+N10)*3%</f>
        <v>86.55</v>
      </c>
      <c r="R10" s="27">
        <f t="shared" ref="R10:R17" si="2">(D10+E10+F10+G10+H10+I10+J10+K10+N10)*11%</f>
        <v>317.35000000000002</v>
      </c>
      <c r="S10" s="27" t="s">
        <v>34</v>
      </c>
      <c r="T10" s="27">
        <v>0</v>
      </c>
      <c r="U10" s="27">
        <f t="shared" ref="U10:U241" si="3">SUM(Q10:T10)</f>
        <v>403.9</v>
      </c>
      <c r="V10" s="27">
        <f t="shared" ref="V10:V335" si="4">P10-U10</f>
        <v>2481.1</v>
      </c>
      <c r="W10" s="27">
        <f>370</f>
        <v>370</v>
      </c>
    </row>
    <row r="11" spans="1:256" s="20" customFormat="1" x14ac:dyDescent="0.2">
      <c r="A11" s="23">
        <v>2</v>
      </c>
      <c r="B11" s="28" t="s">
        <v>35</v>
      </c>
      <c r="C11" s="24" t="s">
        <v>36</v>
      </c>
      <c r="D11" s="29">
        <v>1074</v>
      </c>
      <c r="E11" s="30">
        <v>1000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600</v>
      </c>
      <c r="M11" s="26">
        <v>250</v>
      </c>
      <c r="N11" s="26">
        <v>0</v>
      </c>
      <c r="O11" s="26">
        <v>0</v>
      </c>
      <c r="P11" s="27">
        <f t="shared" si="0"/>
        <v>2924</v>
      </c>
      <c r="Q11" s="27">
        <f t="shared" si="1"/>
        <v>62.22</v>
      </c>
      <c r="R11" s="27">
        <f t="shared" si="2"/>
        <v>228.14</v>
      </c>
      <c r="S11" s="27">
        <v>0</v>
      </c>
      <c r="T11" s="27">
        <v>0</v>
      </c>
      <c r="U11" s="27">
        <f t="shared" si="3"/>
        <v>290.36</v>
      </c>
      <c r="V11" s="27">
        <f t="shared" si="4"/>
        <v>2633.64</v>
      </c>
      <c r="W11" s="27">
        <v>0</v>
      </c>
    </row>
    <row r="12" spans="1:256" s="20" customFormat="1" ht="25.5" x14ac:dyDescent="0.2">
      <c r="A12" s="23">
        <v>3</v>
      </c>
      <c r="B12" s="31" t="s">
        <v>37</v>
      </c>
      <c r="C12" s="31" t="s">
        <v>38</v>
      </c>
      <c r="D12" s="26">
        <v>1350</v>
      </c>
      <c r="E12" s="26">
        <v>2000</v>
      </c>
      <c r="F12" s="26">
        <v>0</v>
      </c>
      <c r="G12" s="26">
        <v>0</v>
      </c>
      <c r="H12" s="26">
        <v>1600</v>
      </c>
      <c r="I12" s="26">
        <v>2900</v>
      </c>
      <c r="J12" s="26">
        <v>0</v>
      </c>
      <c r="K12" s="26">
        <v>0</v>
      </c>
      <c r="L12" s="26">
        <v>0</v>
      </c>
      <c r="M12" s="26">
        <v>250</v>
      </c>
      <c r="N12" s="26">
        <v>0</v>
      </c>
      <c r="O12" s="26">
        <v>0</v>
      </c>
      <c r="P12" s="27">
        <f t="shared" si="0"/>
        <v>8100</v>
      </c>
      <c r="Q12" s="27">
        <f t="shared" si="1"/>
        <v>235.5</v>
      </c>
      <c r="R12" s="27">
        <f t="shared" si="2"/>
        <v>863.5</v>
      </c>
      <c r="S12" s="27">
        <v>146.18</v>
      </c>
      <c r="T12" s="27">
        <v>0</v>
      </c>
      <c r="U12" s="27">
        <f t="shared" si="3"/>
        <v>1245.18</v>
      </c>
      <c r="V12" s="27">
        <f t="shared" si="4"/>
        <v>6854.82</v>
      </c>
      <c r="W12" s="27">
        <v>0</v>
      </c>
    </row>
    <row r="13" spans="1:256" s="20" customFormat="1" ht="25.5" x14ac:dyDescent="0.2">
      <c r="A13" s="23">
        <v>4</v>
      </c>
      <c r="B13" s="24" t="s">
        <v>39</v>
      </c>
      <c r="C13" s="31" t="s">
        <v>38</v>
      </c>
      <c r="D13" s="25">
        <v>1350</v>
      </c>
      <c r="E13" s="26">
        <v>1500</v>
      </c>
      <c r="F13" s="26">
        <v>0</v>
      </c>
      <c r="G13" s="26">
        <v>0</v>
      </c>
      <c r="H13" s="26">
        <v>0</v>
      </c>
      <c r="I13" s="26">
        <v>4500</v>
      </c>
      <c r="J13" s="26">
        <v>0</v>
      </c>
      <c r="K13" s="26">
        <v>0</v>
      </c>
      <c r="L13" s="26">
        <v>0</v>
      </c>
      <c r="M13" s="26">
        <v>250</v>
      </c>
      <c r="N13" s="26">
        <v>0</v>
      </c>
      <c r="O13" s="26">
        <v>0</v>
      </c>
      <c r="P13" s="27">
        <f t="shared" si="0"/>
        <v>7600</v>
      </c>
      <c r="Q13" s="27">
        <f t="shared" si="1"/>
        <v>220.5</v>
      </c>
      <c r="R13" s="27">
        <f t="shared" si="2"/>
        <v>808.5</v>
      </c>
      <c r="S13" s="27">
        <v>122.03</v>
      </c>
      <c r="T13" s="27">
        <v>0</v>
      </c>
      <c r="U13" s="27">
        <f t="shared" si="3"/>
        <v>1151.03</v>
      </c>
      <c r="V13" s="27">
        <f t="shared" si="4"/>
        <v>6448.97</v>
      </c>
      <c r="W13" s="27">
        <v>0</v>
      </c>
    </row>
    <row r="14" spans="1:256" s="20" customFormat="1" ht="25.5" x14ac:dyDescent="0.2">
      <c r="A14" s="23">
        <v>5</v>
      </c>
      <c r="B14" s="31" t="s">
        <v>40</v>
      </c>
      <c r="C14" s="31" t="s">
        <v>38</v>
      </c>
      <c r="D14" s="26">
        <v>1350</v>
      </c>
      <c r="E14" s="26">
        <v>2000</v>
      </c>
      <c r="F14" s="26">
        <v>0</v>
      </c>
      <c r="G14" s="26">
        <v>0</v>
      </c>
      <c r="H14" s="26">
        <v>1600</v>
      </c>
      <c r="I14" s="26">
        <v>2900</v>
      </c>
      <c r="J14" s="26">
        <v>0</v>
      </c>
      <c r="K14" s="26">
        <v>75</v>
      </c>
      <c r="L14" s="26">
        <v>0</v>
      </c>
      <c r="M14" s="26">
        <v>250</v>
      </c>
      <c r="N14" s="26">
        <v>0</v>
      </c>
      <c r="O14" s="26">
        <v>0</v>
      </c>
      <c r="P14" s="27">
        <f t="shared" si="0"/>
        <v>8175</v>
      </c>
      <c r="Q14" s="27">
        <f t="shared" si="1"/>
        <v>237.75</v>
      </c>
      <c r="R14" s="27">
        <f t="shared" si="2"/>
        <v>871.75</v>
      </c>
      <c r="S14" s="27">
        <v>145.13</v>
      </c>
      <c r="T14" s="27">
        <v>0</v>
      </c>
      <c r="U14" s="27">
        <f t="shared" si="3"/>
        <v>1254.6300000000001</v>
      </c>
      <c r="V14" s="27">
        <f t="shared" si="4"/>
        <v>6920.37</v>
      </c>
      <c r="W14" s="27">
        <v>0</v>
      </c>
    </row>
    <row r="15" spans="1:256" s="20" customFormat="1" x14ac:dyDescent="0.2">
      <c r="A15" s="23">
        <v>6</v>
      </c>
      <c r="B15" s="24" t="s">
        <v>41</v>
      </c>
      <c r="C15" s="24" t="s">
        <v>36</v>
      </c>
      <c r="D15" s="25">
        <v>1074</v>
      </c>
      <c r="E15" s="26">
        <v>400</v>
      </c>
      <c r="F15" s="26">
        <v>0</v>
      </c>
      <c r="G15" s="26">
        <v>1000</v>
      </c>
      <c r="H15" s="26">
        <v>0</v>
      </c>
      <c r="I15" s="26">
        <v>0</v>
      </c>
      <c r="J15" s="26">
        <v>0</v>
      </c>
      <c r="K15" s="26">
        <v>50</v>
      </c>
      <c r="L15" s="26">
        <v>200</v>
      </c>
      <c r="M15" s="26">
        <v>250</v>
      </c>
      <c r="N15" s="26">
        <v>0</v>
      </c>
      <c r="O15" s="26">
        <v>0</v>
      </c>
      <c r="P15" s="27">
        <f t="shared" si="0"/>
        <v>2974</v>
      </c>
      <c r="Q15" s="27">
        <f t="shared" si="1"/>
        <v>75.72</v>
      </c>
      <c r="R15" s="27">
        <f t="shared" si="2"/>
        <v>277.64</v>
      </c>
      <c r="S15" s="27">
        <v>0</v>
      </c>
      <c r="T15" s="27">
        <v>0</v>
      </c>
      <c r="U15" s="27">
        <f t="shared" si="3"/>
        <v>353.36</v>
      </c>
      <c r="V15" s="27">
        <f t="shared" si="4"/>
        <v>2620.64</v>
      </c>
      <c r="W15" s="27">
        <v>0</v>
      </c>
    </row>
    <row r="16" spans="1:256" s="20" customFormat="1" ht="25.5" x14ac:dyDescent="0.2">
      <c r="A16" s="23">
        <v>7</v>
      </c>
      <c r="B16" s="24" t="s">
        <v>42</v>
      </c>
      <c r="C16" s="24" t="s">
        <v>33</v>
      </c>
      <c r="D16" s="25">
        <v>1634</v>
      </c>
      <c r="E16" s="26">
        <v>2400</v>
      </c>
      <c r="F16" s="26">
        <v>0</v>
      </c>
      <c r="G16" s="26">
        <v>0</v>
      </c>
      <c r="H16" s="26">
        <v>2200</v>
      </c>
      <c r="I16" s="26">
        <v>3200</v>
      </c>
      <c r="J16" s="26">
        <v>0</v>
      </c>
      <c r="K16" s="26">
        <v>75</v>
      </c>
      <c r="L16" s="26">
        <v>0</v>
      </c>
      <c r="M16" s="26">
        <v>250</v>
      </c>
      <c r="N16" s="26">
        <v>0</v>
      </c>
      <c r="O16" s="26">
        <v>0</v>
      </c>
      <c r="P16" s="27">
        <f t="shared" si="0"/>
        <v>9759</v>
      </c>
      <c r="Q16" s="27">
        <f t="shared" si="1"/>
        <v>285.27</v>
      </c>
      <c r="R16" s="27">
        <f t="shared" si="2"/>
        <v>1045.99</v>
      </c>
      <c r="S16" s="27">
        <v>207.96</v>
      </c>
      <c r="T16" s="27">
        <v>0</v>
      </c>
      <c r="U16" s="27">
        <f t="shared" si="3"/>
        <v>1539.22</v>
      </c>
      <c r="V16" s="27">
        <f t="shared" si="4"/>
        <v>8219.7800000000007</v>
      </c>
      <c r="W16" s="27">
        <v>0</v>
      </c>
    </row>
    <row r="17" spans="1:23" s="20" customFormat="1" ht="25.5" x14ac:dyDescent="0.2">
      <c r="A17" s="23">
        <v>8</v>
      </c>
      <c r="B17" s="24" t="s">
        <v>43</v>
      </c>
      <c r="C17" s="24" t="s">
        <v>44</v>
      </c>
      <c r="D17" s="25">
        <v>1476</v>
      </c>
      <c r="E17" s="26">
        <v>2000</v>
      </c>
      <c r="F17" s="26">
        <v>0</v>
      </c>
      <c r="G17" s="26">
        <v>0</v>
      </c>
      <c r="H17" s="26">
        <v>1900</v>
      </c>
      <c r="I17" s="26">
        <v>2600</v>
      </c>
      <c r="J17" s="26">
        <v>0</v>
      </c>
      <c r="K17" s="26">
        <v>50</v>
      </c>
      <c r="L17" s="26">
        <v>0</v>
      </c>
      <c r="M17" s="26">
        <v>250</v>
      </c>
      <c r="N17" s="26">
        <v>0</v>
      </c>
      <c r="O17" s="26">
        <v>0</v>
      </c>
      <c r="P17" s="27">
        <f t="shared" si="0"/>
        <v>8276</v>
      </c>
      <c r="Q17" s="27">
        <f t="shared" si="1"/>
        <v>240.78</v>
      </c>
      <c r="R17" s="27">
        <f t="shared" si="2"/>
        <v>882.86</v>
      </c>
      <c r="S17" s="27">
        <v>146.41</v>
      </c>
      <c r="T17" s="27">
        <v>0</v>
      </c>
      <c r="U17" s="27">
        <f t="shared" si="3"/>
        <v>1270.05</v>
      </c>
      <c r="V17" s="27">
        <f t="shared" si="4"/>
        <v>7005.95</v>
      </c>
      <c r="W17" s="27">
        <v>0</v>
      </c>
    </row>
    <row r="18" spans="1:23" s="20" customFormat="1" ht="25.5" x14ac:dyDescent="0.2">
      <c r="A18" s="23">
        <v>9</v>
      </c>
      <c r="B18" s="32" t="s">
        <v>45</v>
      </c>
      <c r="C18" s="32" t="s">
        <v>46</v>
      </c>
      <c r="D18" s="25">
        <v>1350</v>
      </c>
      <c r="E18" s="26">
        <v>0</v>
      </c>
      <c r="F18" s="26">
        <v>0</v>
      </c>
      <c r="G18" s="26">
        <v>0</v>
      </c>
      <c r="H18" s="26">
        <v>0</v>
      </c>
      <c r="I18" s="26">
        <v>4500</v>
      </c>
      <c r="J18" s="26">
        <v>0</v>
      </c>
      <c r="K18" s="26">
        <v>0</v>
      </c>
      <c r="L18" s="26">
        <v>0</v>
      </c>
      <c r="M18" s="26">
        <v>250</v>
      </c>
      <c r="N18" s="26">
        <v>0</v>
      </c>
      <c r="O18" s="26">
        <v>0</v>
      </c>
      <c r="P18" s="27">
        <f t="shared" si="0"/>
        <v>6100</v>
      </c>
      <c r="Q18" s="27">
        <f t="shared" si="1"/>
        <v>175.5</v>
      </c>
      <c r="R18" s="27">
        <f>(D18+E18+F18+G18+H18+I18+J18+K18+N18)*12%</f>
        <v>702</v>
      </c>
      <c r="S18" s="27">
        <v>48.15</v>
      </c>
      <c r="T18" s="27">
        <v>0</v>
      </c>
      <c r="U18" s="27">
        <f t="shared" si="3"/>
        <v>925.65</v>
      </c>
      <c r="V18" s="27">
        <f t="shared" si="4"/>
        <v>5174.3500000000004</v>
      </c>
      <c r="W18" s="27">
        <v>0</v>
      </c>
    </row>
    <row r="19" spans="1:23" s="20" customFormat="1" ht="51" x14ac:dyDescent="0.2">
      <c r="A19" s="23">
        <v>10</v>
      </c>
      <c r="B19" s="24" t="s">
        <v>47</v>
      </c>
      <c r="C19" s="24" t="s">
        <v>33</v>
      </c>
      <c r="D19" s="25">
        <v>2885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7">
        <f t="shared" si="0"/>
        <v>2885</v>
      </c>
      <c r="Q19" s="27">
        <f t="shared" si="1"/>
        <v>86.55</v>
      </c>
      <c r="R19" s="27">
        <f t="shared" ref="R19:R62" si="5">(D19+E19+F19+G19+H19+I19+J19+K19+N19)*11%</f>
        <v>317.35000000000002</v>
      </c>
      <c r="S19" s="27" t="s">
        <v>34</v>
      </c>
      <c r="T19" s="27">
        <v>0</v>
      </c>
      <c r="U19" s="27">
        <f t="shared" si="3"/>
        <v>403.9</v>
      </c>
      <c r="V19" s="27">
        <f t="shared" si="4"/>
        <v>2481.1</v>
      </c>
      <c r="W19" s="27">
        <v>0</v>
      </c>
    </row>
    <row r="20" spans="1:23" s="20" customFormat="1" x14ac:dyDescent="0.2">
      <c r="A20" s="23">
        <v>11</v>
      </c>
      <c r="B20" s="24" t="s">
        <v>48</v>
      </c>
      <c r="C20" s="24" t="s">
        <v>33</v>
      </c>
      <c r="D20" s="25">
        <v>1634</v>
      </c>
      <c r="E20" s="26">
        <v>2400</v>
      </c>
      <c r="F20" s="26">
        <v>0</v>
      </c>
      <c r="G20" s="26">
        <v>0</v>
      </c>
      <c r="H20" s="26">
        <v>3000</v>
      </c>
      <c r="I20" s="26">
        <v>2400</v>
      </c>
      <c r="J20" s="26">
        <v>0</v>
      </c>
      <c r="K20" s="26">
        <v>75</v>
      </c>
      <c r="L20" s="26">
        <v>0</v>
      </c>
      <c r="M20" s="26">
        <v>250</v>
      </c>
      <c r="N20" s="26">
        <v>0</v>
      </c>
      <c r="O20" s="26">
        <v>0</v>
      </c>
      <c r="P20" s="27">
        <f t="shared" si="0"/>
        <v>9759</v>
      </c>
      <c r="Q20" s="27">
        <f t="shared" si="1"/>
        <v>285.27</v>
      </c>
      <c r="R20" s="27">
        <f t="shared" si="5"/>
        <v>1045.99</v>
      </c>
      <c r="S20" s="27">
        <v>207.96</v>
      </c>
      <c r="T20" s="27">
        <v>0</v>
      </c>
      <c r="U20" s="27">
        <f t="shared" si="3"/>
        <v>1539.22</v>
      </c>
      <c r="V20" s="27">
        <f t="shared" si="4"/>
        <v>8219.7800000000007</v>
      </c>
      <c r="W20" s="27">
        <v>0</v>
      </c>
    </row>
    <row r="21" spans="1:23" s="20" customFormat="1" ht="25.5" x14ac:dyDescent="0.2">
      <c r="A21" s="23">
        <v>12</v>
      </c>
      <c r="B21" s="24" t="s">
        <v>49</v>
      </c>
      <c r="C21" s="24" t="s">
        <v>33</v>
      </c>
      <c r="D21" s="25">
        <v>1634</v>
      </c>
      <c r="E21" s="26">
        <v>2400</v>
      </c>
      <c r="F21" s="26">
        <v>0</v>
      </c>
      <c r="G21" s="26">
        <v>0</v>
      </c>
      <c r="H21" s="26">
        <v>0</v>
      </c>
      <c r="I21" s="26">
        <v>5400</v>
      </c>
      <c r="J21" s="26">
        <v>0</v>
      </c>
      <c r="K21" s="26">
        <v>50</v>
      </c>
      <c r="L21" s="26">
        <v>0</v>
      </c>
      <c r="M21" s="26">
        <v>250</v>
      </c>
      <c r="N21" s="26">
        <v>0</v>
      </c>
      <c r="O21" s="26">
        <v>0</v>
      </c>
      <c r="P21" s="27">
        <f t="shared" si="0"/>
        <v>9734</v>
      </c>
      <c r="Q21" s="27">
        <f t="shared" si="1"/>
        <v>284.52</v>
      </c>
      <c r="R21" s="27">
        <f t="shared" si="5"/>
        <v>1043.24</v>
      </c>
      <c r="S21" s="27">
        <v>206.92</v>
      </c>
      <c r="T21" s="27">
        <v>0</v>
      </c>
      <c r="U21" s="27">
        <f t="shared" si="3"/>
        <v>1534.68</v>
      </c>
      <c r="V21" s="27">
        <f t="shared" si="4"/>
        <v>8199.32</v>
      </c>
      <c r="W21" s="27">
        <v>0</v>
      </c>
    </row>
    <row r="22" spans="1:23" s="20" customFormat="1" ht="25.5" x14ac:dyDescent="0.2">
      <c r="A22" s="23">
        <v>13</v>
      </c>
      <c r="B22" s="33" t="s">
        <v>50</v>
      </c>
      <c r="C22" s="34" t="s">
        <v>51</v>
      </c>
      <c r="D22" s="35">
        <v>5835</v>
      </c>
      <c r="E22" s="26">
        <v>3000</v>
      </c>
      <c r="F22" s="26">
        <v>0</v>
      </c>
      <c r="G22" s="26">
        <v>3000</v>
      </c>
      <c r="H22" s="26">
        <v>0</v>
      </c>
      <c r="I22" s="26">
        <v>0</v>
      </c>
      <c r="J22" s="26">
        <v>375</v>
      </c>
      <c r="K22" s="26">
        <v>0</v>
      </c>
      <c r="L22" s="26">
        <v>0</v>
      </c>
      <c r="M22" s="26">
        <v>250</v>
      </c>
      <c r="N22" s="26">
        <v>0</v>
      </c>
      <c r="O22" s="26">
        <v>0</v>
      </c>
      <c r="P22" s="27">
        <f t="shared" si="0"/>
        <v>12460</v>
      </c>
      <c r="Q22" s="27">
        <f t="shared" si="1"/>
        <v>366.3</v>
      </c>
      <c r="R22" s="27">
        <f t="shared" si="5"/>
        <v>1343.1</v>
      </c>
      <c r="S22" s="36">
        <v>313.94</v>
      </c>
      <c r="T22" s="36">
        <v>164.1</v>
      </c>
      <c r="U22" s="27">
        <f t="shared" si="3"/>
        <v>2187.44</v>
      </c>
      <c r="V22" s="27">
        <f t="shared" si="4"/>
        <v>10272.56</v>
      </c>
      <c r="W22" s="27">
        <v>0</v>
      </c>
    </row>
    <row r="23" spans="1:23" s="20" customFormat="1" ht="25.5" x14ac:dyDescent="0.2">
      <c r="A23" s="23">
        <v>14</v>
      </c>
      <c r="B23" s="24" t="s">
        <v>52</v>
      </c>
      <c r="C23" s="24" t="s">
        <v>53</v>
      </c>
      <c r="D23" s="25">
        <v>1634</v>
      </c>
      <c r="E23" s="26">
        <v>2000</v>
      </c>
      <c r="F23" s="26">
        <v>0</v>
      </c>
      <c r="G23" s="26">
        <v>0</v>
      </c>
      <c r="H23" s="26">
        <v>0</v>
      </c>
      <c r="I23" s="26">
        <v>5400</v>
      </c>
      <c r="J23" s="26">
        <v>0</v>
      </c>
      <c r="K23" s="26">
        <v>0</v>
      </c>
      <c r="L23" s="26">
        <v>0</v>
      </c>
      <c r="M23" s="26">
        <v>250</v>
      </c>
      <c r="N23" s="26">
        <v>0</v>
      </c>
      <c r="O23" s="26">
        <v>0</v>
      </c>
      <c r="P23" s="27">
        <f t="shared" si="0"/>
        <v>9284</v>
      </c>
      <c r="Q23" s="27">
        <f t="shared" si="1"/>
        <v>271.02</v>
      </c>
      <c r="R23" s="27">
        <f t="shared" si="5"/>
        <v>993.74</v>
      </c>
      <c r="S23" s="27">
        <v>188.24</v>
      </c>
      <c r="T23" s="27">
        <v>121.42</v>
      </c>
      <c r="U23" s="27">
        <f t="shared" si="3"/>
        <v>1574.42</v>
      </c>
      <c r="V23" s="27">
        <f t="shared" si="4"/>
        <v>7709.58</v>
      </c>
      <c r="W23" s="27">
        <v>0</v>
      </c>
    </row>
    <row r="24" spans="1:23" s="20" customFormat="1" ht="31.5" customHeight="1" x14ac:dyDescent="0.2">
      <c r="A24" s="23">
        <v>15</v>
      </c>
      <c r="B24" s="24" t="s">
        <v>54</v>
      </c>
      <c r="C24" s="24" t="s">
        <v>55</v>
      </c>
      <c r="D24" s="25">
        <v>1223</v>
      </c>
      <c r="E24" s="27">
        <v>2000</v>
      </c>
      <c r="F24" s="26">
        <v>0</v>
      </c>
      <c r="G24" s="26">
        <v>0</v>
      </c>
      <c r="H24" s="26">
        <v>1300</v>
      </c>
      <c r="I24" s="26">
        <v>3200</v>
      </c>
      <c r="J24" s="26">
        <v>0</v>
      </c>
      <c r="K24" s="26">
        <v>0</v>
      </c>
      <c r="L24" s="26">
        <v>0</v>
      </c>
      <c r="M24" s="26">
        <v>250</v>
      </c>
      <c r="N24" s="26">
        <v>0</v>
      </c>
      <c r="O24" s="26">
        <v>0</v>
      </c>
      <c r="P24" s="27">
        <f t="shared" si="0"/>
        <v>7973</v>
      </c>
      <c r="Q24" s="27">
        <f t="shared" si="1"/>
        <v>231.69</v>
      </c>
      <c r="R24" s="27">
        <f t="shared" si="5"/>
        <v>849.53</v>
      </c>
      <c r="S24" s="27">
        <v>140.85</v>
      </c>
      <c r="T24" s="27">
        <v>0</v>
      </c>
      <c r="U24" s="27">
        <f t="shared" si="3"/>
        <v>1222.07</v>
      </c>
      <c r="V24" s="27">
        <f t="shared" si="4"/>
        <v>6750.93</v>
      </c>
      <c r="W24" s="27">
        <v>0</v>
      </c>
    </row>
    <row r="25" spans="1:23" s="20" customFormat="1" ht="25.5" x14ac:dyDescent="0.2">
      <c r="A25" s="23">
        <v>16</v>
      </c>
      <c r="B25" s="31" t="s">
        <v>56</v>
      </c>
      <c r="C25" s="24" t="s">
        <v>44</v>
      </c>
      <c r="D25" s="26">
        <v>1476</v>
      </c>
      <c r="E25" s="26">
        <v>2000</v>
      </c>
      <c r="F25" s="26">
        <v>0</v>
      </c>
      <c r="G25" s="26">
        <v>0</v>
      </c>
      <c r="H25" s="26">
        <v>1900</v>
      </c>
      <c r="I25" s="26">
        <v>2600</v>
      </c>
      <c r="J25" s="26">
        <v>0</v>
      </c>
      <c r="K25" s="26">
        <v>0</v>
      </c>
      <c r="L25" s="26">
        <v>0</v>
      </c>
      <c r="M25" s="26">
        <v>250</v>
      </c>
      <c r="N25" s="26">
        <v>0</v>
      </c>
      <c r="O25" s="26">
        <v>0</v>
      </c>
      <c r="P25" s="27">
        <f t="shared" si="0"/>
        <v>8226</v>
      </c>
      <c r="Q25" s="27">
        <f t="shared" si="1"/>
        <v>239.28</v>
      </c>
      <c r="R25" s="27">
        <f t="shared" si="5"/>
        <v>877.36</v>
      </c>
      <c r="S25" s="27">
        <v>148.33000000000001</v>
      </c>
      <c r="T25" s="27">
        <v>0</v>
      </c>
      <c r="U25" s="27">
        <f t="shared" si="3"/>
        <v>1264.97</v>
      </c>
      <c r="V25" s="27">
        <f t="shared" si="4"/>
        <v>6961.03</v>
      </c>
      <c r="W25" s="27">
        <v>0</v>
      </c>
    </row>
    <row r="26" spans="1:23" s="20" customFormat="1" ht="25.5" x14ac:dyDescent="0.2">
      <c r="A26" s="23">
        <v>17</v>
      </c>
      <c r="B26" s="31" t="s">
        <v>57</v>
      </c>
      <c r="C26" s="31" t="s">
        <v>44</v>
      </c>
      <c r="D26" s="26">
        <v>1476</v>
      </c>
      <c r="E26" s="26">
        <v>2000</v>
      </c>
      <c r="F26" s="26">
        <v>0</v>
      </c>
      <c r="G26" s="26">
        <v>0</v>
      </c>
      <c r="H26" s="26">
        <v>1900</v>
      </c>
      <c r="I26" s="26">
        <v>2600</v>
      </c>
      <c r="J26" s="26">
        <v>0</v>
      </c>
      <c r="K26" s="26">
        <v>0</v>
      </c>
      <c r="L26" s="26">
        <v>0</v>
      </c>
      <c r="M26" s="26">
        <v>250</v>
      </c>
      <c r="N26" s="26">
        <v>0</v>
      </c>
      <c r="O26" s="26">
        <v>0</v>
      </c>
      <c r="P26" s="27">
        <f t="shared" si="0"/>
        <v>8226</v>
      </c>
      <c r="Q26" s="27">
        <f t="shared" si="1"/>
        <v>239.28</v>
      </c>
      <c r="R26" s="27">
        <f t="shared" si="5"/>
        <v>877.36</v>
      </c>
      <c r="S26" s="27">
        <v>148.33000000000001</v>
      </c>
      <c r="T26" s="27">
        <v>0</v>
      </c>
      <c r="U26" s="27">
        <f t="shared" si="3"/>
        <v>1264.97</v>
      </c>
      <c r="V26" s="27">
        <f t="shared" si="4"/>
        <v>6961.03</v>
      </c>
      <c r="W26" s="27">
        <v>0</v>
      </c>
    </row>
    <row r="27" spans="1:23" s="20" customFormat="1" x14ac:dyDescent="0.2">
      <c r="A27" s="23">
        <v>18</v>
      </c>
      <c r="B27" s="24" t="s">
        <v>58</v>
      </c>
      <c r="C27" s="24" t="s">
        <v>33</v>
      </c>
      <c r="D27" s="25">
        <v>1634</v>
      </c>
      <c r="E27" s="26">
        <v>2400</v>
      </c>
      <c r="F27" s="26">
        <v>0</v>
      </c>
      <c r="G27" s="26">
        <v>0</v>
      </c>
      <c r="H27" s="26">
        <v>2200</v>
      </c>
      <c r="I27" s="26">
        <v>3200</v>
      </c>
      <c r="J27" s="26">
        <v>0</v>
      </c>
      <c r="K27" s="26">
        <v>50</v>
      </c>
      <c r="L27" s="26">
        <v>0</v>
      </c>
      <c r="M27" s="26">
        <v>250</v>
      </c>
      <c r="N27" s="26">
        <v>0</v>
      </c>
      <c r="O27" s="26">
        <v>0</v>
      </c>
      <c r="P27" s="27">
        <f t="shared" si="0"/>
        <v>9734</v>
      </c>
      <c r="Q27" s="27">
        <f t="shared" si="1"/>
        <v>284.52</v>
      </c>
      <c r="R27" s="27">
        <f t="shared" si="5"/>
        <v>1043.24</v>
      </c>
      <c r="S27" s="27">
        <v>206.92</v>
      </c>
      <c r="T27" s="27">
        <v>0</v>
      </c>
      <c r="U27" s="27">
        <f t="shared" si="3"/>
        <v>1534.68</v>
      </c>
      <c r="V27" s="27">
        <f t="shared" si="4"/>
        <v>8199.32</v>
      </c>
      <c r="W27" s="27">
        <f>352</f>
        <v>352</v>
      </c>
    </row>
    <row r="28" spans="1:23" s="20" customFormat="1" x14ac:dyDescent="0.2">
      <c r="A28" s="23">
        <v>19</v>
      </c>
      <c r="B28" s="24" t="s">
        <v>59</v>
      </c>
      <c r="C28" s="24" t="s">
        <v>60</v>
      </c>
      <c r="D28" s="25">
        <v>1105</v>
      </c>
      <c r="E28" s="26">
        <v>671</v>
      </c>
      <c r="F28" s="26">
        <v>0</v>
      </c>
      <c r="G28" s="26">
        <v>1000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250</v>
      </c>
      <c r="N28" s="26">
        <v>0</v>
      </c>
      <c r="O28" s="26">
        <v>0</v>
      </c>
      <c r="P28" s="27">
        <f t="shared" si="0"/>
        <v>3026</v>
      </c>
      <c r="Q28" s="27">
        <f t="shared" si="1"/>
        <v>83.28</v>
      </c>
      <c r="R28" s="27">
        <f t="shared" si="5"/>
        <v>305.36</v>
      </c>
      <c r="S28" s="27">
        <v>590.99</v>
      </c>
      <c r="T28" s="27">
        <v>0</v>
      </c>
      <c r="U28" s="27">
        <f t="shared" si="3"/>
        <v>979.63</v>
      </c>
      <c r="V28" s="27">
        <f t="shared" si="4"/>
        <v>2046.37</v>
      </c>
      <c r="W28" s="27">
        <v>0</v>
      </c>
    </row>
    <row r="29" spans="1:23" s="20" customFormat="1" ht="25.5" x14ac:dyDescent="0.2">
      <c r="A29" s="23">
        <v>20</v>
      </c>
      <c r="B29" s="24" t="s">
        <v>61</v>
      </c>
      <c r="C29" s="24" t="s">
        <v>62</v>
      </c>
      <c r="D29" s="25">
        <v>1476</v>
      </c>
      <c r="E29" s="26">
        <v>2000</v>
      </c>
      <c r="F29" s="26">
        <v>0</v>
      </c>
      <c r="G29" s="26">
        <v>1900</v>
      </c>
      <c r="H29" s="26">
        <v>0</v>
      </c>
      <c r="I29" s="26">
        <v>2600</v>
      </c>
      <c r="J29" s="26">
        <v>0</v>
      </c>
      <c r="K29" s="26">
        <v>50</v>
      </c>
      <c r="L29" s="26">
        <v>0</v>
      </c>
      <c r="M29" s="26">
        <v>250</v>
      </c>
      <c r="N29" s="26">
        <v>0</v>
      </c>
      <c r="O29" s="26">
        <v>0</v>
      </c>
      <c r="P29" s="27">
        <f t="shared" si="0"/>
        <v>8276</v>
      </c>
      <c r="Q29" s="27">
        <f t="shared" si="1"/>
        <v>240.78</v>
      </c>
      <c r="R29" s="27">
        <f t="shared" si="5"/>
        <v>882.86</v>
      </c>
      <c r="S29" s="27">
        <v>145.13</v>
      </c>
      <c r="T29" s="27">
        <v>0</v>
      </c>
      <c r="U29" s="27">
        <f t="shared" si="3"/>
        <v>1268.77</v>
      </c>
      <c r="V29" s="27">
        <f t="shared" si="4"/>
        <v>7007.23</v>
      </c>
      <c r="W29" s="27">
        <v>0</v>
      </c>
    </row>
    <row r="30" spans="1:23" s="20" customFormat="1" ht="25.5" x14ac:dyDescent="0.2">
      <c r="A30" s="23">
        <v>21</v>
      </c>
      <c r="B30" s="33" t="s">
        <v>63</v>
      </c>
      <c r="C30" s="34" t="s">
        <v>51</v>
      </c>
      <c r="D30" s="37">
        <v>5835</v>
      </c>
      <c r="E30" s="26">
        <v>3000</v>
      </c>
      <c r="F30" s="26">
        <v>0</v>
      </c>
      <c r="G30" s="26">
        <v>3000</v>
      </c>
      <c r="H30" s="26">
        <v>0</v>
      </c>
      <c r="I30" s="26">
        <v>0</v>
      </c>
      <c r="J30" s="26">
        <v>375</v>
      </c>
      <c r="K30" s="26">
        <v>0</v>
      </c>
      <c r="L30" s="26">
        <v>0</v>
      </c>
      <c r="M30" s="26">
        <v>250</v>
      </c>
      <c r="N30" s="26">
        <v>0</v>
      </c>
      <c r="O30" s="26">
        <v>0</v>
      </c>
      <c r="P30" s="27">
        <f t="shared" si="0"/>
        <v>12460</v>
      </c>
      <c r="Q30" s="27">
        <f t="shared" si="1"/>
        <v>366.3</v>
      </c>
      <c r="R30" s="27">
        <f t="shared" si="5"/>
        <v>1343.1</v>
      </c>
      <c r="S30" s="36">
        <v>195.56</v>
      </c>
      <c r="T30" s="36">
        <v>164.1</v>
      </c>
      <c r="U30" s="27">
        <f t="shared" si="3"/>
        <v>2069.06</v>
      </c>
      <c r="V30" s="27">
        <f t="shared" si="4"/>
        <v>10390.94</v>
      </c>
      <c r="W30" s="27">
        <v>0</v>
      </c>
    </row>
    <row r="31" spans="1:23" s="20" customFormat="1" ht="25.5" x14ac:dyDescent="0.2">
      <c r="A31" s="23">
        <v>22</v>
      </c>
      <c r="B31" s="24" t="s">
        <v>64</v>
      </c>
      <c r="C31" s="24" t="s">
        <v>65</v>
      </c>
      <c r="D31" s="25">
        <f>485*6</f>
        <v>2910</v>
      </c>
      <c r="E31" s="26">
        <v>0</v>
      </c>
      <c r="F31" s="26">
        <f>485*6</f>
        <v>2910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>
        <f t="shared" si="0"/>
        <v>5820</v>
      </c>
      <c r="Q31" s="27">
        <f t="shared" si="1"/>
        <v>174.6</v>
      </c>
      <c r="R31" s="27">
        <f t="shared" si="5"/>
        <v>640.20000000000005</v>
      </c>
      <c r="S31" s="27">
        <v>48.18</v>
      </c>
      <c r="T31" s="27">
        <v>0</v>
      </c>
      <c r="U31" s="27">
        <f t="shared" si="3"/>
        <v>862.98</v>
      </c>
      <c r="V31" s="27">
        <f t="shared" si="4"/>
        <v>4957.0200000000004</v>
      </c>
      <c r="W31" s="27">
        <v>0</v>
      </c>
    </row>
    <row r="32" spans="1:23" s="20" customFormat="1" ht="38.25" x14ac:dyDescent="0.2">
      <c r="A32" s="23">
        <v>23</v>
      </c>
      <c r="B32" s="24" t="s">
        <v>66</v>
      </c>
      <c r="C32" s="24" t="s">
        <v>67</v>
      </c>
      <c r="D32" s="25">
        <f>485*3</f>
        <v>1455</v>
      </c>
      <c r="E32" s="26">
        <v>0</v>
      </c>
      <c r="F32" s="26">
        <f>242.5*3</f>
        <v>727.5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7">
        <f t="shared" si="0"/>
        <v>2182.5</v>
      </c>
      <c r="Q32" s="27">
        <f t="shared" si="1"/>
        <v>65.48</v>
      </c>
      <c r="R32" s="27">
        <f t="shared" si="5"/>
        <v>240.08</v>
      </c>
      <c r="S32" s="27">
        <v>0</v>
      </c>
      <c r="T32" s="27">
        <v>0</v>
      </c>
      <c r="U32" s="27">
        <f t="shared" si="3"/>
        <v>305.56</v>
      </c>
      <c r="V32" s="27">
        <f t="shared" si="4"/>
        <v>1876.94</v>
      </c>
      <c r="W32" s="27">
        <v>0</v>
      </c>
    </row>
    <row r="33" spans="1:23" s="20" customFormat="1" ht="25.5" x14ac:dyDescent="0.2">
      <c r="A33" s="23">
        <v>24</v>
      </c>
      <c r="B33" s="24" t="s">
        <v>68</v>
      </c>
      <c r="C33" s="24" t="s">
        <v>44</v>
      </c>
      <c r="D33" s="25">
        <v>1476</v>
      </c>
      <c r="E33" s="26">
        <v>2000</v>
      </c>
      <c r="F33" s="26">
        <v>0</v>
      </c>
      <c r="G33" s="26">
        <v>0</v>
      </c>
      <c r="H33" s="26">
        <v>1900</v>
      </c>
      <c r="I33" s="26">
        <v>2600</v>
      </c>
      <c r="J33" s="26">
        <v>0</v>
      </c>
      <c r="K33" s="26">
        <v>0</v>
      </c>
      <c r="L33" s="26">
        <v>0</v>
      </c>
      <c r="M33" s="26">
        <v>250</v>
      </c>
      <c r="N33" s="26">
        <v>0</v>
      </c>
      <c r="O33" s="26">
        <v>0</v>
      </c>
      <c r="P33" s="27">
        <f t="shared" si="0"/>
        <v>8226</v>
      </c>
      <c r="Q33" s="27">
        <f t="shared" si="1"/>
        <v>239.28</v>
      </c>
      <c r="R33" s="27">
        <f t="shared" si="5"/>
        <v>877.36</v>
      </c>
      <c r="S33" s="27">
        <v>148.33000000000001</v>
      </c>
      <c r="T33" s="27">
        <v>0</v>
      </c>
      <c r="U33" s="27">
        <f t="shared" si="3"/>
        <v>1264.97</v>
      </c>
      <c r="V33" s="27">
        <f t="shared" si="4"/>
        <v>6961.03</v>
      </c>
      <c r="W33" s="27">
        <v>0</v>
      </c>
    </row>
    <row r="34" spans="1:23" s="20" customFormat="1" x14ac:dyDescent="0.2">
      <c r="A34" s="23">
        <v>25</v>
      </c>
      <c r="B34" s="24" t="s">
        <v>69</v>
      </c>
      <c r="C34" s="24" t="s">
        <v>70</v>
      </c>
      <c r="D34" s="25">
        <v>1476</v>
      </c>
      <c r="E34" s="26">
        <v>2000</v>
      </c>
      <c r="F34" s="26">
        <v>0</v>
      </c>
      <c r="G34" s="26">
        <v>1900</v>
      </c>
      <c r="H34" s="26">
        <v>0</v>
      </c>
      <c r="I34" s="26">
        <v>2600</v>
      </c>
      <c r="J34" s="26">
        <v>0</v>
      </c>
      <c r="K34" s="26">
        <v>50</v>
      </c>
      <c r="L34" s="26">
        <v>0</v>
      </c>
      <c r="M34" s="26">
        <v>250</v>
      </c>
      <c r="N34" s="26">
        <v>0</v>
      </c>
      <c r="O34" s="26">
        <v>0</v>
      </c>
      <c r="P34" s="27">
        <f t="shared" si="0"/>
        <v>8276</v>
      </c>
      <c r="Q34" s="27">
        <f t="shared" si="1"/>
        <v>240.78</v>
      </c>
      <c r="R34" s="27">
        <f t="shared" si="5"/>
        <v>882.86</v>
      </c>
      <c r="S34" s="27">
        <v>145.79</v>
      </c>
      <c r="T34" s="27">
        <v>0</v>
      </c>
      <c r="U34" s="27">
        <f t="shared" si="3"/>
        <v>1269.43</v>
      </c>
      <c r="V34" s="27">
        <f t="shared" si="4"/>
        <v>7006.57</v>
      </c>
      <c r="W34" s="27">
        <v>0</v>
      </c>
    </row>
    <row r="35" spans="1:23" s="20" customFormat="1" ht="36" customHeight="1" x14ac:dyDescent="0.2">
      <c r="A35" s="23">
        <v>26</v>
      </c>
      <c r="B35" s="38" t="s">
        <v>71</v>
      </c>
      <c r="C35" s="32" t="s">
        <v>36</v>
      </c>
      <c r="D35" s="25">
        <v>1074</v>
      </c>
      <c r="E35" s="26">
        <v>0</v>
      </c>
      <c r="F35" s="26">
        <v>0</v>
      </c>
      <c r="G35" s="26">
        <v>1000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250</v>
      </c>
      <c r="N35" s="26">
        <v>0</v>
      </c>
      <c r="O35" s="26">
        <v>0</v>
      </c>
      <c r="P35" s="27">
        <f t="shared" si="0"/>
        <v>2324</v>
      </c>
      <c r="Q35" s="27">
        <f t="shared" si="1"/>
        <v>62.22</v>
      </c>
      <c r="R35" s="27">
        <f t="shared" si="5"/>
        <v>228.14</v>
      </c>
      <c r="S35" s="27">
        <v>0</v>
      </c>
      <c r="T35" s="27">
        <v>0</v>
      </c>
      <c r="U35" s="27">
        <f t="shared" si="3"/>
        <v>290.36</v>
      </c>
      <c r="V35" s="27">
        <f t="shared" si="4"/>
        <v>2033.64</v>
      </c>
      <c r="W35" s="27">
        <v>0</v>
      </c>
    </row>
    <row r="36" spans="1:23" s="20" customFormat="1" x14ac:dyDescent="0.2">
      <c r="A36" s="23">
        <v>27</v>
      </c>
      <c r="B36" s="24" t="s">
        <v>72</v>
      </c>
      <c r="C36" s="31" t="s">
        <v>33</v>
      </c>
      <c r="D36" s="25">
        <v>1634</v>
      </c>
      <c r="E36" s="26">
        <f>2000</f>
        <v>2000</v>
      </c>
      <c r="F36" s="26">
        <v>0</v>
      </c>
      <c r="G36" s="26">
        <v>0</v>
      </c>
      <c r="H36" s="26">
        <v>2200</v>
      </c>
      <c r="I36" s="26">
        <v>3200</v>
      </c>
      <c r="J36" s="26">
        <v>0</v>
      </c>
      <c r="K36" s="26">
        <v>50</v>
      </c>
      <c r="L36" s="26">
        <v>0</v>
      </c>
      <c r="M36" s="26">
        <v>250</v>
      </c>
      <c r="N36" s="26">
        <v>0</v>
      </c>
      <c r="O36" s="26">
        <v>0</v>
      </c>
      <c r="P36" s="27">
        <f t="shared" si="0"/>
        <v>9334</v>
      </c>
      <c r="Q36" s="27">
        <f t="shared" si="1"/>
        <v>272.52</v>
      </c>
      <c r="R36" s="27">
        <f t="shared" si="5"/>
        <v>999.24</v>
      </c>
      <c r="S36" s="27"/>
      <c r="T36" s="27">
        <v>0</v>
      </c>
      <c r="U36" s="27">
        <f t="shared" si="3"/>
        <v>1271.76</v>
      </c>
      <c r="V36" s="27">
        <f t="shared" si="4"/>
        <v>8062.24</v>
      </c>
      <c r="W36" s="27">
        <v>0</v>
      </c>
    </row>
    <row r="37" spans="1:23" s="20" customFormat="1" ht="25.5" x14ac:dyDescent="0.2">
      <c r="A37" s="23">
        <v>28</v>
      </c>
      <c r="B37" s="24" t="s">
        <v>73</v>
      </c>
      <c r="C37" s="24" t="s">
        <v>33</v>
      </c>
      <c r="D37" s="25">
        <v>1634</v>
      </c>
      <c r="E37" s="26">
        <v>2400</v>
      </c>
      <c r="F37" s="26">
        <v>0</v>
      </c>
      <c r="G37" s="26">
        <v>0</v>
      </c>
      <c r="H37" s="26">
        <v>3000</v>
      </c>
      <c r="I37" s="26">
        <v>2400</v>
      </c>
      <c r="J37" s="26">
        <v>0</v>
      </c>
      <c r="K37" s="26">
        <v>0</v>
      </c>
      <c r="L37" s="26">
        <v>0</v>
      </c>
      <c r="M37" s="26">
        <v>250</v>
      </c>
      <c r="N37" s="26">
        <v>0</v>
      </c>
      <c r="O37" s="26">
        <v>0</v>
      </c>
      <c r="P37" s="27">
        <f t="shared" si="0"/>
        <v>9684</v>
      </c>
      <c r="Q37" s="27">
        <f t="shared" si="1"/>
        <v>283.02</v>
      </c>
      <c r="R37" s="27">
        <f t="shared" si="5"/>
        <v>1037.74</v>
      </c>
      <c r="S37" s="27">
        <v>204.84</v>
      </c>
      <c r="T37" s="27">
        <v>0</v>
      </c>
      <c r="U37" s="27">
        <f t="shared" si="3"/>
        <v>1525.6</v>
      </c>
      <c r="V37" s="27">
        <f t="shared" si="4"/>
        <v>8158.4</v>
      </c>
      <c r="W37" s="27">
        <v>0</v>
      </c>
    </row>
    <row r="38" spans="1:23" s="20" customFormat="1" ht="25.5" x14ac:dyDescent="0.2">
      <c r="A38" s="23">
        <v>29</v>
      </c>
      <c r="B38" s="24" t="s">
        <v>74</v>
      </c>
      <c r="C38" s="24" t="s">
        <v>44</v>
      </c>
      <c r="D38" s="25">
        <v>1476</v>
      </c>
      <c r="E38" s="26">
        <v>2000</v>
      </c>
      <c r="F38" s="26">
        <v>0</v>
      </c>
      <c r="G38" s="26">
        <v>0</v>
      </c>
      <c r="H38" s="26">
        <v>1900</v>
      </c>
      <c r="I38" s="26">
        <v>2600</v>
      </c>
      <c r="J38" s="26">
        <v>0</v>
      </c>
      <c r="K38" s="26">
        <v>50</v>
      </c>
      <c r="L38" s="26">
        <v>0</v>
      </c>
      <c r="M38" s="26">
        <v>250</v>
      </c>
      <c r="N38" s="26">
        <v>0</v>
      </c>
      <c r="O38" s="26">
        <v>0</v>
      </c>
      <c r="P38" s="27">
        <f t="shared" si="0"/>
        <v>8276</v>
      </c>
      <c r="Q38" s="27">
        <f t="shared" si="1"/>
        <v>240.78</v>
      </c>
      <c r="R38" s="27">
        <f t="shared" si="5"/>
        <v>882.86</v>
      </c>
      <c r="S38" s="27">
        <v>145.79</v>
      </c>
      <c r="T38" s="27">
        <v>0</v>
      </c>
      <c r="U38" s="27">
        <f t="shared" si="3"/>
        <v>1269.43</v>
      </c>
      <c r="V38" s="27">
        <f t="shared" si="4"/>
        <v>7006.57</v>
      </c>
      <c r="W38" s="27">
        <v>0</v>
      </c>
    </row>
    <row r="39" spans="1:23" s="20" customFormat="1" ht="25.5" x14ac:dyDescent="0.2">
      <c r="A39" s="23">
        <v>30</v>
      </c>
      <c r="B39" s="24" t="s">
        <v>75</v>
      </c>
      <c r="C39" s="31" t="s">
        <v>38</v>
      </c>
      <c r="D39" s="25">
        <v>1350</v>
      </c>
      <c r="E39" s="26">
        <f>2000</f>
        <v>2000</v>
      </c>
      <c r="F39" s="26">
        <v>0</v>
      </c>
      <c r="G39" s="26">
        <v>0</v>
      </c>
      <c r="H39" s="26">
        <v>1600</v>
      </c>
      <c r="I39" s="26">
        <f>2900</f>
        <v>2900</v>
      </c>
      <c r="J39" s="26">
        <v>0</v>
      </c>
      <c r="K39" s="26">
        <v>50</v>
      </c>
      <c r="L39" s="26">
        <v>0</v>
      </c>
      <c r="M39" s="26">
        <v>250</v>
      </c>
      <c r="N39" s="26">
        <v>0</v>
      </c>
      <c r="O39" s="26">
        <v>0</v>
      </c>
      <c r="P39" s="27">
        <f t="shared" si="0"/>
        <v>8150</v>
      </c>
      <c r="Q39" s="27">
        <f t="shared" si="1"/>
        <v>237</v>
      </c>
      <c r="R39" s="27">
        <f t="shared" si="5"/>
        <v>869</v>
      </c>
      <c r="S39" s="27">
        <v>145.13</v>
      </c>
      <c r="T39" s="27">
        <v>0</v>
      </c>
      <c r="U39" s="27">
        <f t="shared" si="3"/>
        <v>1251.1300000000001</v>
      </c>
      <c r="V39" s="27">
        <f t="shared" si="4"/>
        <v>6898.87</v>
      </c>
      <c r="W39" s="27">
        <v>0</v>
      </c>
    </row>
    <row r="40" spans="1:23" s="20" customFormat="1" ht="32.25" customHeight="1" x14ac:dyDescent="0.2">
      <c r="A40" s="23">
        <v>31</v>
      </c>
      <c r="B40" s="24" t="s">
        <v>76</v>
      </c>
      <c r="C40" s="24" t="s">
        <v>77</v>
      </c>
      <c r="D40" s="25">
        <v>1792</v>
      </c>
      <c r="E40" s="26">
        <v>2500</v>
      </c>
      <c r="F40" s="26">
        <v>0</v>
      </c>
      <c r="G40" s="26">
        <v>2500</v>
      </c>
      <c r="H40" s="26">
        <v>0</v>
      </c>
      <c r="I40" s="26">
        <v>3000</v>
      </c>
      <c r="J40" s="26">
        <v>0</v>
      </c>
      <c r="K40" s="26">
        <v>50</v>
      </c>
      <c r="L40" s="26">
        <v>0</v>
      </c>
      <c r="M40" s="26">
        <v>250</v>
      </c>
      <c r="N40" s="26">
        <v>0</v>
      </c>
      <c r="O40" s="26">
        <v>0</v>
      </c>
      <c r="P40" s="27">
        <f t="shared" si="0"/>
        <v>10092</v>
      </c>
      <c r="Q40" s="27">
        <f t="shared" si="1"/>
        <v>295.26</v>
      </c>
      <c r="R40" s="27">
        <f t="shared" si="5"/>
        <v>1082.6199999999999</v>
      </c>
      <c r="S40" s="27">
        <v>221.78</v>
      </c>
      <c r="T40" s="27">
        <v>0</v>
      </c>
      <c r="U40" s="27">
        <f t="shared" si="3"/>
        <v>1599.66</v>
      </c>
      <c r="V40" s="27">
        <f t="shared" si="4"/>
        <v>8492.34</v>
      </c>
      <c r="W40" s="27">
        <f>338</f>
        <v>338</v>
      </c>
    </row>
    <row r="41" spans="1:23" s="20" customFormat="1" ht="25.5" x14ac:dyDescent="0.2">
      <c r="A41" s="23">
        <v>32</v>
      </c>
      <c r="B41" s="24" t="s">
        <v>78</v>
      </c>
      <c r="C41" s="24" t="s">
        <v>79</v>
      </c>
      <c r="D41" s="25">
        <v>1168</v>
      </c>
      <c r="E41" s="26">
        <v>500</v>
      </c>
      <c r="F41" s="26">
        <v>0</v>
      </c>
      <c r="G41" s="26">
        <v>1000</v>
      </c>
      <c r="H41" s="26">
        <v>0</v>
      </c>
      <c r="I41" s="26">
        <v>0</v>
      </c>
      <c r="J41" s="26">
        <v>0</v>
      </c>
      <c r="K41" s="26">
        <v>50</v>
      </c>
      <c r="L41" s="26">
        <v>0</v>
      </c>
      <c r="M41" s="26">
        <v>250</v>
      </c>
      <c r="N41" s="26">
        <v>0</v>
      </c>
      <c r="O41" s="26">
        <v>0</v>
      </c>
      <c r="P41" s="27">
        <f t="shared" si="0"/>
        <v>2968</v>
      </c>
      <c r="Q41" s="27">
        <f t="shared" si="1"/>
        <v>81.540000000000006</v>
      </c>
      <c r="R41" s="27">
        <f t="shared" si="5"/>
        <v>298.98</v>
      </c>
      <c r="S41" s="27">
        <v>0</v>
      </c>
      <c r="T41" s="27">
        <v>0</v>
      </c>
      <c r="U41" s="27">
        <f t="shared" si="3"/>
        <v>380.52</v>
      </c>
      <c r="V41" s="27">
        <f t="shared" si="4"/>
        <v>2587.48</v>
      </c>
      <c r="W41" s="27">
        <f>1075+1050+1050+1085</f>
        <v>4260</v>
      </c>
    </row>
    <row r="42" spans="1:23" s="20" customFormat="1" ht="25.5" x14ac:dyDescent="0.2">
      <c r="A42" s="23">
        <v>33</v>
      </c>
      <c r="B42" s="24" t="s">
        <v>80</v>
      </c>
      <c r="C42" s="31" t="s">
        <v>38</v>
      </c>
      <c r="D42" s="25">
        <v>1350</v>
      </c>
      <c r="E42" s="26">
        <v>1500</v>
      </c>
      <c r="F42" s="26">
        <v>0</v>
      </c>
      <c r="G42" s="26">
        <v>0</v>
      </c>
      <c r="H42" s="26">
        <v>0</v>
      </c>
      <c r="I42" s="26">
        <v>4500</v>
      </c>
      <c r="J42" s="26">
        <v>0</v>
      </c>
      <c r="K42" s="26">
        <v>0</v>
      </c>
      <c r="L42" s="26">
        <v>0</v>
      </c>
      <c r="M42" s="26">
        <v>250</v>
      </c>
      <c r="N42" s="26">
        <v>0</v>
      </c>
      <c r="O42" s="26">
        <v>0</v>
      </c>
      <c r="P42" s="27">
        <f t="shared" si="0"/>
        <v>7600</v>
      </c>
      <c r="Q42" s="27">
        <f t="shared" si="1"/>
        <v>220.5</v>
      </c>
      <c r="R42" s="27">
        <f t="shared" si="5"/>
        <v>808.5</v>
      </c>
      <c r="S42" s="27">
        <v>122.03</v>
      </c>
      <c r="T42" s="27">
        <v>0</v>
      </c>
      <c r="U42" s="27">
        <f t="shared" si="3"/>
        <v>1151.03</v>
      </c>
      <c r="V42" s="27">
        <f t="shared" si="4"/>
        <v>6448.97</v>
      </c>
      <c r="W42" s="27">
        <v>0</v>
      </c>
    </row>
    <row r="43" spans="1:23" s="20" customFormat="1" ht="25.5" x14ac:dyDescent="0.2">
      <c r="A43" s="23">
        <v>34</v>
      </c>
      <c r="B43" s="24" t="s">
        <v>81</v>
      </c>
      <c r="C43" s="39" t="s">
        <v>82</v>
      </c>
      <c r="D43" s="25">
        <v>3525</v>
      </c>
      <c r="E43" s="26">
        <v>1800</v>
      </c>
      <c r="F43" s="26">
        <v>0</v>
      </c>
      <c r="G43" s="26">
        <v>1800</v>
      </c>
      <c r="H43" s="26">
        <v>0</v>
      </c>
      <c r="I43" s="26">
        <v>0</v>
      </c>
      <c r="J43" s="26">
        <v>375</v>
      </c>
      <c r="K43" s="26">
        <v>0</v>
      </c>
      <c r="L43" s="26">
        <v>0</v>
      </c>
      <c r="M43" s="26">
        <v>250</v>
      </c>
      <c r="N43" s="26">
        <v>0</v>
      </c>
      <c r="O43" s="26">
        <v>0</v>
      </c>
      <c r="P43" s="27">
        <f t="shared" si="0"/>
        <v>7750</v>
      </c>
      <c r="Q43" s="27">
        <f t="shared" si="1"/>
        <v>225</v>
      </c>
      <c r="R43" s="27">
        <f t="shared" si="5"/>
        <v>825</v>
      </c>
      <c r="S43" s="27">
        <v>128.33000000000001</v>
      </c>
      <c r="T43" s="27">
        <v>100.8</v>
      </c>
      <c r="U43" s="27">
        <f t="shared" si="3"/>
        <v>1279.1300000000001</v>
      </c>
      <c r="V43" s="27">
        <f t="shared" si="4"/>
        <v>6470.87</v>
      </c>
      <c r="W43" s="27">
        <f>1003+584</f>
        <v>1587</v>
      </c>
    </row>
    <row r="44" spans="1:23" s="20" customFormat="1" ht="25.5" x14ac:dyDescent="0.2">
      <c r="A44" s="23">
        <v>35</v>
      </c>
      <c r="B44" s="24" t="s">
        <v>83</v>
      </c>
      <c r="C44" s="24" t="s">
        <v>44</v>
      </c>
      <c r="D44" s="25">
        <v>1476</v>
      </c>
      <c r="E44" s="26">
        <v>1600</v>
      </c>
      <c r="F44" s="26">
        <v>0</v>
      </c>
      <c r="G44" s="26">
        <v>0</v>
      </c>
      <c r="H44" s="26">
        <v>1900</v>
      </c>
      <c r="I44" s="26">
        <v>0</v>
      </c>
      <c r="J44" s="26">
        <v>0</v>
      </c>
      <c r="K44" s="26">
        <v>50</v>
      </c>
      <c r="L44" s="26">
        <v>0</v>
      </c>
      <c r="M44" s="26">
        <v>250</v>
      </c>
      <c r="N44" s="26">
        <v>0</v>
      </c>
      <c r="O44" s="26">
        <v>0</v>
      </c>
      <c r="P44" s="27">
        <f t="shared" si="0"/>
        <v>5276</v>
      </c>
      <c r="Q44" s="27">
        <f t="shared" si="1"/>
        <v>150.78</v>
      </c>
      <c r="R44" s="27">
        <f t="shared" si="5"/>
        <v>552.86</v>
      </c>
      <c r="S44" s="27">
        <v>288.89</v>
      </c>
      <c r="T44" s="27">
        <v>0</v>
      </c>
      <c r="U44" s="27">
        <f t="shared" si="3"/>
        <v>992.53</v>
      </c>
      <c r="V44" s="27">
        <f t="shared" si="4"/>
        <v>4283.47</v>
      </c>
      <c r="W44" s="27">
        <v>0</v>
      </c>
    </row>
    <row r="45" spans="1:23" s="20" customFormat="1" ht="25.5" x14ac:dyDescent="0.2">
      <c r="A45" s="23">
        <v>36</v>
      </c>
      <c r="B45" s="24" t="s">
        <v>84</v>
      </c>
      <c r="C45" s="24" t="s">
        <v>33</v>
      </c>
      <c r="D45" s="25">
        <v>1634</v>
      </c>
      <c r="E45" s="26">
        <v>2400</v>
      </c>
      <c r="F45" s="26">
        <v>0</v>
      </c>
      <c r="G45" s="26">
        <v>0</v>
      </c>
      <c r="H45" s="26">
        <v>2200</v>
      </c>
      <c r="I45" s="26">
        <v>3200</v>
      </c>
      <c r="J45" s="26">
        <v>0</v>
      </c>
      <c r="K45" s="26">
        <v>75</v>
      </c>
      <c r="L45" s="26">
        <v>0</v>
      </c>
      <c r="M45" s="26">
        <v>250</v>
      </c>
      <c r="N45" s="26">
        <v>0</v>
      </c>
      <c r="O45" s="26">
        <v>0</v>
      </c>
      <c r="P45" s="27">
        <f t="shared" si="0"/>
        <v>9759</v>
      </c>
      <c r="Q45" s="27">
        <f t="shared" si="1"/>
        <v>285.27</v>
      </c>
      <c r="R45" s="27">
        <f t="shared" si="5"/>
        <v>1045.99</v>
      </c>
      <c r="S45" s="27">
        <v>207.96</v>
      </c>
      <c r="T45" s="27">
        <v>0</v>
      </c>
      <c r="U45" s="27">
        <f t="shared" si="3"/>
        <v>1539.22</v>
      </c>
      <c r="V45" s="27">
        <f t="shared" si="4"/>
        <v>8219.7800000000007</v>
      </c>
      <c r="W45" s="27">
        <v>0</v>
      </c>
    </row>
    <row r="46" spans="1:23" s="20" customFormat="1" ht="25.5" x14ac:dyDescent="0.2">
      <c r="A46" s="23">
        <v>37</v>
      </c>
      <c r="B46" s="24" t="s">
        <v>85</v>
      </c>
      <c r="C46" s="24" t="s">
        <v>44</v>
      </c>
      <c r="D46" s="25">
        <v>1476</v>
      </c>
      <c r="E46" s="26">
        <v>2000</v>
      </c>
      <c r="F46" s="26">
        <v>0</v>
      </c>
      <c r="G46" s="26">
        <v>0</v>
      </c>
      <c r="H46" s="26">
        <v>1900</v>
      </c>
      <c r="I46" s="26">
        <v>2600</v>
      </c>
      <c r="J46" s="26">
        <v>0</v>
      </c>
      <c r="K46" s="26">
        <v>50</v>
      </c>
      <c r="L46" s="26">
        <v>0</v>
      </c>
      <c r="M46" s="26">
        <v>250</v>
      </c>
      <c r="N46" s="26">
        <v>0</v>
      </c>
      <c r="O46" s="26">
        <v>0</v>
      </c>
      <c r="P46" s="27">
        <f t="shared" si="0"/>
        <v>8276</v>
      </c>
      <c r="Q46" s="27">
        <f t="shared" si="1"/>
        <v>240.78</v>
      </c>
      <c r="R46" s="27">
        <f t="shared" si="5"/>
        <v>882.86</v>
      </c>
      <c r="S46" s="27">
        <v>146.41</v>
      </c>
      <c r="T46" s="27">
        <v>0</v>
      </c>
      <c r="U46" s="27">
        <f t="shared" si="3"/>
        <v>1270.05</v>
      </c>
      <c r="V46" s="27">
        <f t="shared" si="4"/>
        <v>7005.95</v>
      </c>
      <c r="W46" s="27">
        <v>0</v>
      </c>
    </row>
    <row r="47" spans="1:23" s="20" customFormat="1" ht="25.5" x14ac:dyDescent="0.2">
      <c r="A47" s="23">
        <v>38</v>
      </c>
      <c r="B47" s="24" t="s">
        <v>86</v>
      </c>
      <c r="C47" s="24" t="s">
        <v>87</v>
      </c>
      <c r="D47" s="26">
        <v>2885</v>
      </c>
      <c r="E47" s="26">
        <v>0</v>
      </c>
      <c r="F47" s="26">
        <v>2885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7">
        <f t="shared" si="0"/>
        <v>5770</v>
      </c>
      <c r="Q47" s="27">
        <f t="shared" si="1"/>
        <v>173.1</v>
      </c>
      <c r="R47" s="27">
        <f t="shared" si="5"/>
        <v>634.70000000000005</v>
      </c>
      <c r="S47" s="27">
        <v>46.06</v>
      </c>
      <c r="T47" s="27">
        <v>0</v>
      </c>
      <c r="U47" s="27">
        <f t="shared" si="3"/>
        <v>853.86</v>
      </c>
      <c r="V47" s="27">
        <f t="shared" si="4"/>
        <v>4916.1400000000003</v>
      </c>
      <c r="W47" s="27">
        <v>0</v>
      </c>
    </row>
    <row r="48" spans="1:23" s="20" customFormat="1" ht="25.5" x14ac:dyDescent="0.2">
      <c r="A48" s="23">
        <v>39</v>
      </c>
      <c r="B48" s="24" t="s">
        <v>88</v>
      </c>
      <c r="C48" s="31" t="s">
        <v>38</v>
      </c>
      <c r="D48" s="25">
        <v>1350</v>
      </c>
      <c r="E48" s="26">
        <v>2000</v>
      </c>
      <c r="F48" s="26">
        <v>0</v>
      </c>
      <c r="G48" s="26">
        <v>0</v>
      </c>
      <c r="H48" s="26">
        <v>1600</v>
      </c>
      <c r="I48" s="26">
        <v>2900</v>
      </c>
      <c r="J48" s="26">
        <v>0</v>
      </c>
      <c r="K48" s="26">
        <v>50</v>
      </c>
      <c r="L48" s="26">
        <v>0</v>
      </c>
      <c r="M48" s="26">
        <v>250</v>
      </c>
      <c r="N48" s="26">
        <v>0</v>
      </c>
      <c r="O48" s="26">
        <v>0</v>
      </c>
      <c r="P48" s="27">
        <f t="shared" si="0"/>
        <v>8150</v>
      </c>
      <c r="Q48" s="27">
        <f t="shared" si="1"/>
        <v>237</v>
      </c>
      <c r="R48" s="27">
        <f t="shared" si="5"/>
        <v>869</v>
      </c>
      <c r="S48" s="27">
        <v>145.13</v>
      </c>
      <c r="T48" s="27">
        <v>0</v>
      </c>
      <c r="U48" s="27">
        <f t="shared" si="3"/>
        <v>1251.1300000000001</v>
      </c>
      <c r="V48" s="27">
        <f t="shared" si="4"/>
        <v>6898.87</v>
      </c>
      <c r="W48" s="27">
        <v>0</v>
      </c>
    </row>
    <row r="49" spans="1:23" s="20" customFormat="1" ht="25.5" x14ac:dyDescent="0.2">
      <c r="A49" s="23">
        <v>40</v>
      </c>
      <c r="B49" s="24" t="s">
        <v>89</v>
      </c>
      <c r="C49" s="24" t="s">
        <v>65</v>
      </c>
      <c r="D49" s="25">
        <v>485</v>
      </c>
      <c r="E49" s="26">
        <v>0</v>
      </c>
      <c r="F49" s="26">
        <v>606.25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7">
        <f t="shared" si="0"/>
        <v>1091.25</v>
      </c>
      <c r="Q49" s="27">
        <f t="shared" si="1"/>
        <v>32.74</v>
      </c>
      <c r="R49" s="27">
        <f t="shared" si="5"/>
        <v>120.04</v>
      </c>
      <c r="S49" s="27">
        <v>0</v>
      </c>
      <c r="T49" s="27">
        <v>0</v>
      </c>
      <c r="U49" s="27">
        <f t="shared" si="3"/>
        <v>152.78</v>
      </c>
      <c r="V49" s="27">
        <f t="shared" si="4"/>
        <v>938.47</v>
      </c>
      <c r="W49" s="27">
        <v>0</v>
      </c>
    </row>
    <row r="50" spans="1:23" s="20" customFormat="1" ht="25.5" x14ac:dyDescent="0.2">
      <c r="A50" s="23">
        <v>41</v>
      </c>
      <c r="B50" s="24" t="s">
        <v>90</v>
      </c>
      <c r="C50" s="24" t="s">
        <v>44</v>
      </c>
      <c r="D50" s="25">
        <v>1476</v>
      </c>
      <c r="E50" s="26">
        <v>2000</v>
      </c>
      <c r="F50" s="26">
        <v>0</v>
      </c>
      <c r="G50" s="26">
        <v>0</v>
      </c>
      <c r="H50" s="26">
        <v>1900</v>
      </c>
      <c r="I50" s="26">
        <v>2600</v>
      </c>
      <c r="J50" s="26">
        <v>0</v>
      </c>
      <c r="K50" s="26">
        <v>50</v>
      </c>
      <c r="L50" s="26">
        <v>0</v>
      </c>
      <c r="M50" s="26">
        <v>250</v>
      </c>
      <c r="N50" s="26">
        <v>0</v>
      </c>
      <c r="O50" s="26">
        <v>0</v>
      </c>
      <c r="P50" s="27">
        <f t="shared" si="0"/>
        <v>8276</v>
      </c>
      <c r="Q50" s="27">
        <f t="shared" si="1"/>
        <v>240.78</v>
      </c>
      <c r="R50" s="27">
        <f t="shared" si="5"/>
        <v>882.86</v>
      </c>
      <c r="S50" s="27">
        <v>146.41</v>
      </c>
      <c r="T50" s="27">
        <v>0</v>
      </c>
      <c r="U50" s="27">
        <f t="shared" si="3"/>
        <v>1270.05</v>
      </c>
      <c r="V50" s="27">
        <f t="shared" si="4"/>
        <v>7005.95</v>
      </c>
      <c r="W50" s="27">
        <v>0</v>
      </c>
    </row>
    <row r="51" spans="1:23" s="20" customFormat="1" ht="25.5" x14ac:dyDescent="0.2">
      <c r="A51" s="23">
        <v>42</v>
      </c>
      <c r="B51" s="24" t="s">
        <v>91</v>
      </c>
      <c r="C51" s="24" t="s">
        <v>33</v>
      </c>
      <c r="D51" s="25">
        <v>1634</v>
      </c>
      <c r="E51" s="26">
        <v>2400</v>
      </c>
      <c r="F51" s="26">
        <v>0</v>
      </c>
      <c r="G51" s="26">
        <v>0</v>
      </c>
      <c r="H51" s="26">
        <v>0</v>
      </c>
      <c r="I51" s="26">
        <v>5400</v>
      </c>
      <c r="J51" s="26">
        <v>0</v>
      </c>
      <c r="K51" s="26">
        <v>0</v>
      </c>
      <c r="L51" s="26">
        <v>0</v>
      </c>
      <c r="M51" s="26">
        <v>250</v>
      </c>
      <c r="N51" s="26">
        <v>0</v>
      </c>
      <c r="O51" s="26">
        <v>0</v>
      </c>
      <c r="P51" s="27">
        <f t="shared" si="0"/>
        <v>9684</v>
      </c>
      <c r="Q51" s="27">
        <f t="shared" si="1"/>
        <v>283.02</v>
      </c>
      <c r="R51" s="27">
        <f t="shared" si="5"/>
        <v>1037.74</v>
      </c>
      <c r="S51" s="27">
        <v>204.84</v>
      </c>
      <c r="T51" s="27">
        <v>126.79</v>
      </c>
      <c r="U51" s="27">
        <f t="shared" si="3"/>
        <v>1652.39</v>
      </c>
      <c r="V51" s="27">
        <f t="shared" si="4"/>
        <v>8031.61</v>
      </c>
      <c r="W51" s="27">
        <v>0</v>
      </c>
    </row>
    <row r="52" spans="1:23" s="20" customFormat="1" ht="25.5" x14ac:dyDescent="0.2">
      <c r="A52" s="23">
        <v>43</v>
      </c>
      <c r="B52" s="24" t="s">
        <v>92</v>
      </c>
      <c r="C52" s="24" t="s">
        <v>65</v>
      </c>
      <c r="D52" s="25">
        <f>(485*4)+1350</f>
        <v>3290</v>
      </c>
      <c r="E52" s="26">
        <v>2000</v>
      </c>
      <c r="F52" s="26">
        <f>485*4</f>
        <v>1940</v>
      </c>
      <c r="G52" s="26">
        <v>0</v>
      </c>
      <c r="H52" s="26">
        <v>0</v>
      </c>
      <c r="I52" s="26">
        <v>4500</v>
      </c>
      <c r="J52" s="26">
        <v>0</v>
      </c>
      <c r="K52" s="26">
        <v>0</v>
      </c>
      <c r="L52" s="26">
        <v>0</v>
      </c>
      <c r="M52" s="26">
        <v>250</v>
      </c>
      <c r="N52" s="26">
        <v>0</v>
      </c>
      <c r="O52" s="26">
        <v>0</v>
      </c>
      <c r="P52" s="27">
        <f t="shared" si="0"/>
        <v>11980</v>
      </c>
      <c r="Q52" s="27">
        <f t="shared" si="1"/>
        <v>351.9</v>
      </c>
      <c r="R52" s="27">
        <f t="shared" si="5"/>
        <v>1290.3</v>
      </c>
      <c r="S52" s="40">
        <v>143.03</v>
      </c>
      <c r="T52" s="27">
        <v>0</v>
      </c>
      <c r="U52" s="27">
        <f t="shared" si="3"/>
        <v>1785.23</v>
      </c>
      <c r="V52" s="27">
        <f t="shared" si="4"/>
        <v>10194.77</v>
      </c>
      <c r="W52" s="27">
        <v>0</v>
      </c>
    </row>
    <row r="53" spans="1:23" s="20" customFormat="1" ht="38.25" x14ac:dyDescent="0.2">
      <c r="A53" s="23">
        <v>44</v>
      </c>
      <c r="B53" s="24" t="s">
        <v>93</v>
      </c>
      <c r="C53" s="24" t="s">
        <v>67</v>
      </c>
      <c r="D53" s="25">
        <f>485*3</f>
        <v>1455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7">
        <f t="shared" si="0"/>
        <v>1455</v>
      </c>
      <c r="Q53" s="27">
        <f t="shared" si="1"/>
        <v>43.65</v>
      </c>
      <c r="R53" s="27">
        <f t="shared" si="5"/>
        <v>160.05000000000001</v>
      </c>
      <c r="S53" s="27">
        <v>0</v>
      </c>
      <c r="T53" s="27">
        <v>0</v>
      </c>
      <c r="U53" s="27">
        <f t="shared" si="3"/>
        <v>203.7</v>
      </c>
      <c r="V53" s="27">
        <f t="shared" si="4"/>
        <v>1251.3</v>
      </c>
      <c r="W53" s="27">
        <v>0</v>
      </c>
    </row>
    <row r="54" spans="1:23" s="20" customFormat="1" ht="38.25" x14ac:dyDescent="0.2">
      <c r="A54" s="23">
        <v>45</v>
      </c>
      <c r="B54" s="24" t="s">
        <v>94</v>
      </c>
      <c r="C54" s="24" t="s">
        <v>95</v>
      </c>
      <c r="D54" s="25">
        <f>(485*4)+1634</f>
        <v>3574</v>
      </c>
      <c r="E54" s="26">
        <v>2400</v>
      </c>
      <c r="F54" s="26">
        <f>606.25*4</f>
        <v>2425</v>
      </c>
      <c r="G54" s="26">
        <v>0</v>
      </c>
      <c r="H54" s="26">
        <v>0</v>
      </c>
      <c r="I54" s="26">
        <v>5400</v>
      </c>
      <c r="J54" s="26">
        <v>0</v>
      </c>
      <c r="K54" s="26">
        <v>0</v>
      </c>
      <c r="L54" s="26">
        <v>0</v>
      </c>
      <c r="M54" s="26">
        <v>250</v>
      </c>
      <c r="N54" s="26">
        <v>0</v>
      </c>
      <c r="O54" s="26">
        <v>0</v>
      </c>
      <c r="P54" s="27">
        <f t="shared" si="0"/>
        <v>14049</v>
      </c>
      <c r="Q54" s="27">
        <f t="shared" si="1"/>
        <v>413.97</v>
      </c>
      <c r="R54" s="27">
        <f t="shared" si="5"/>
        <v>1517.89</v>
      </c>
      <c r="S54" s="27">
        <v>379.09</v>
      </c>
      <c r="T54" s="27">
        <v>0</v>
      </c>
      <c r="U54" s="27">
        <f t="shared" si="3"/>
        <v>2310.9499999999998</v>
      </c>
      <c r="V54" s="27">
        <f t="shared" si="4"/>
        <v>11738.05</v>
      </c>
      <c r="W54" s="27">
        <v>0</v>
      </c>
    </row>
    <row r="55" spans="1:23" s="20" customFormat="1" x14ac:dyDescent="0.2">
      <c r="A55" s="23">
        <v>46</v>
      </c>
      <c r="B55" s="24" t="s">
        <v>96</v>
      </c>
      <c r="C55" s="24" t="s">
        <v>36</v>
      </c>
      <c r="D55" s="25">
        <v>1074</v>
      </c>
      <c r="E55" s="26">
        <v>400</v>
      </c>
      <c r="F55" s="26">
        <v>0</v>
      </c>
      <c r="G55" s="26">
        <v>1000</v>
      </c>
      <c r="H55" s="26">
        <v>0</v>
      </c>
      <c r="I55" s="26">
        <v>0</v>
      </c>
      <c r="J55" s="26">
        <v>0</v>
      </c>
      <c r="K55" s="26">
        <v>0</v>
      </c>
      <c r="L55" s="26">
        <v>200</v>
      </c>
      <c r="M55" s="26">
        <v>250</v>
      </c>
      <c r="N55" s="26">
        <v>0</v>
      </c>
      <c r="O55" s="26">
        <v>0</v>
      </c>
      <c r="P55" s="27">
        <f t="shared" si="0"/>
        <v>2924</v>
      </c>
      <c r="Q55" s="27">
        <f t="shared" si="1"/>
        <v>74.22</v>
      </c>
      <c r="R55" s="27">
        <f t="shared" si="5"/>
        <v>272.14</v>
      </c>
      <c r="S55" s="27">
        <v>0</v>
      </c>
      <c r="T55" s="27">
        <v>0</v>
      </c>
      <c r="U55" s="27">
        <f t="shared" si="3"/>
        <v>346.36</v>
      </c>
      <c r="V55" s="27">
        <f t="shared" si="4"/>
        <v>2577.64</v>
      </c>
      <c r="W55" s="27">
        <v>0</v>
      </c>
    </row>
    <row r="56" spans="1:23" s="20" customFormat="1" ht="25.5" x14ac:dyDescent="0.2">
      <c r="A56" s="23">
        <v>47</v>
      </c>
      <c r="B56" s="24" t="s">
        <v>97</v>
      </c>
      <c r="C56" s="24" t="s">
        <v>98</v>
      </c>
      <c r="D56" s="25">
        <v>1350</v>
      </c>
      <c r="E56" s="26">
        <v>2000</v>
      </c>
      <c r="F56" s="26">
        <v>0</v>
      </c>
      <c r="G56" s="26">
        <v>0</v>
      </c>
      <c r="H56" s="26">
        <v>0</v>
      </c>
      <c r="I56" s="26">
        <v>4500</v>
      </c>
      <c r="J56" s="26">
        <v>0</v>
      </c>
      <c r="K56" s="26">
        <v>75</v>
      </c>
      <c r="L56" s="26">
        <v>0</v>
      </c>
      <c r="M56" s="26">
        <v>250</v>
      </c>
      <c r="N56" s="26">
        <v>0</v>
      </c>
      <c r="O56" s="26">
        <v>0</v>
      </c>
      <c r="P56" s="27">
        <f t="shared" si="0"/>
        <v>8175</v>
      </c>
      <c r="Q56" s="27">
        <f t="shared" si="1"/>
        <v>237.75</v>
      </c>
      <c r="R56" s="27">
        <f t="shared" si="5"/>
        <v>871.75</v>
      </c>
      <c r="S56" s="27">
        <v>150.15</v>
      </c>
      <c r="T56" s="27">
        <v>0</v>
      </c>
      <c r="U56" s="27">
        <f t="shared" si="3"/>
        <v>1259.6500000000001</v>
      </c>
      <c r="V56" s="27">
        <f t="shared" si="4"/>
        <v>6915.35</v>
      </c>
      <c r="W56" s="27">
        <v>0</v>
      </c>
    </row>
    <row r="57" spans="1:23" s="20" customFormat="1" ht="25.5" x14ac:dyDescent="0.2">
      <c r="A57" s="23">
        <v>48</v>
      </c>
      <c r="B57" s="31" t="s">
        <v>99</v>
      </c>
      <c r="C57" s="24" t="s">
        <v>100</v>
      </c>
      <c r="D57" s="26">
        <v>1223</v>
      </c>
      <c r="E57" s="27">
        <v>2000</v>
      </c>
      <c r="F57" s="26">
        <v>0</v>
      </c>
      <c r="G57" s="26">
        <v>0</v>
      </c>
      <c r="H57" s="26">
        <v>1300</v>
      </c>
      <c r="I57" s="26">
        <v>3200</v>
      </c>
      <c r="J57" s="26">
        <v>0</v>
      </c>
      <c r="K57" s="26">
        <v>0</v>
      </c>
      <c r="L57" s="26">
        <v>0</v>
      </c>
      <c r="M57" s="26">
        <v>250</v>
      </c>
      <c r="N57" s="26">
        <v>0</v>
      </c>
      <c r="O57" s="26">
        <v>0</v>
      </c>
      <c r="P57" s="27">
        <f t="shared" si="0"/>
        <v>7973</v>
      </c>
      <c r="Q57" s="27">
        <f t="shared" si="1"/>
        <v>231.69</v>
      </c>
      <c r="R57" s="27">
        <f t="shared" si="5"/>
        <v>849.53</v>
      </c>
      <c r="S57" s="27">
        <v>137.69</v>
      </c>
      <c r="T57" s="27">
        <v>0</v>
      </c>
      <c r="U57" s="27">
        <f t="shared" si="3"/>
        <v>1218.9100000000001</v>
      </c>
      <c r="V57" s="27">
        <f t="shared" si="4"/>
        <v>6754.09</v>
      </c>
      <c r="W57" s="27">
        <v>0</v>
      </c>
    </row>
    <row r="58" spans="1:23" s="20" customFormat="1" ht="25.5" x14ac:dyDescent="0.2">
      <c r="A58" s="23">
        <v>49</v>
      </c>
      <c r="B58" s="24" t="s">
        <v>101</v>
      </c>
      <c r="C58" s="24" t="s">
        <v>102</v>
      </c>
      <c r="D58" s="25">
        <v>1223</v>
      </c>
      <c r="E58" s="26">
        <f>2000</f>
        <v>2000</v>
      </c>
      <c r="F58" s="26">
        <v>0</v>
      </c>
      <c r="G58" s="26">
        <v>0</v>
      </c>
      <c r="H58" s="26">
        <v>1300</v>
      </c>
      <c r="I58" s="26">
        <f>3200</f>
        <v>3200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7">
        <f t="shared" si="0"/>
        <v>7723</v>
      </c>
      <c r="Q58" s="27">
        <f t="shared" si="1"/>
        <v>231.69</v>
      </c>
      <c r="R58" s="27">
        <f t="shared" si="5"/>
        <v>849.53</v>
      </c>
      <c r="S58" s="27">
        <v>137.69</v>
      </c>
      <c r="T58" s="27">
        <v>0</v>
      </c>
      <c r="U58" s="27">
        <f t="shared" si="3"/>
        <v>1218.9100000000001</v>
      </c>
      <c r="V58" s="27">
        <f t="shared" si="4"/>
        <v>6504.09</v>
      </c>
      <c r="W58" s="27">
        <v>0</v>
      </c>
    </row>
    <row r="59" spans="1:23" s="20" customFormat="1" ht="25.5" x14ac:dyDescent="0.2">
      <c r="A59" s="23">
        <v>50</v>
      </c>
      <c r="B59" s="24" t="s">
        <v>103</v>
      </c>
      <c r="C59" s="31" t="s">
        <v>38</v>
      </c>
      <c r="D59" s="25">
        <v>1350</v>
      </c>
      <c r="E59" s="26">
        <v>2000</v>
      </c>
      <c r="F59" s="26">
        <v>0</v>
      </c>
      <c r="G59" s="26">
        <v>0</v>
      </c>
      <c r="H59" s="26">
        <v>1600</v>
      </c>
      <c r="I59" s="26">
        <v>2900</v>
      </c>
      <c r="J59" s="26">
        <v>0</v>
      </c>
      <c r="K59" s="26">
        <v>0</v>
      </c>
      <c r="L59" s="26">
        <v>0</v>
      </c>
      <c r="M59" s="26">
        <v>250</v>
      </c>
      <c r="N59" s="26">
        <v>0</v>
      </c>
      <c r="O59" s="26">
        <v>0</v>
      </c>
      <c r="P59" s="27">
        <f t="shared" si="0"/>
        <v>8100</v>
      </c>
      <c r="Q59" s="27">
        <f t="shared" si="1"/>
        <v>235.5</v>
      </c>
      <c r="R59" s="27">
        <f t="shared" si="5"/>
        <v>863.5</v>
      </c>
      <c r="S59" s="27">
        <v>143.03</v>
      </c>
      <c r="T59" s="27">
        <v>0</v>
      </c>
      <c r="U59" s="27">
        <f t="shared" si="3"/>
        <v>1242.03</v>
      </c>
      <c r="V59" s="27">
        <f t="shared" si="4"/>
        <v>6857.97</v>
      </c>
      <c r="W59" s="27">
        <v>0</v>
      </c>
    </row>
    <row r="60" spans="1:23" s="20" customFormat="1" ht="25.5" x14ac:dyDescent="0.2">
      <c r="A60" s="23">
        <v>51</v>
      </c>
      <c r="B60" s="24" t="s">
        <v>104</v>
      </c>
      <c r="C60" s="24" t="s">
        <v>105</v>
      </c>
      <c r="D60" s="25">
        <v>1135</v>
      </c>
      <c r="E60" s="26">
        <v>500</v>
      </c>
      <c r="F60" s="26">
        <v>0</v>
      </c>
      <c r="G60" s="26">
        <v>1000</v>
      </c>
      <c r="H60" s="26">
        <v>0</v>
      </c>
      <c r="I60" s="26">
        <v>0</v>
      </c>
      <c r="J60" s="26">
        <v>0</v>
      </c>
      <c r="K60" s="26">
        <v>0</v>
      </c>
      <c r="L60" s="26">
        <v>200</v>
      </c>
      <c r="M60" s="26">
        <v>250</v>
      </c>
      <c r="N60" s="26">
        <v>0</v>
      </c>
      <c r="O60" s="26">
        <v>0</v>
      </c>
      <c r="P60" s="27">
        <f t="shared" si="0"/>
        <v>3085</v>
      </c>
      <c r="Q60" s="27">
        <f t="shared" si="1"/>
        <v>79.05</v>
      </c>
      <c r="R60" s="27">
        <f t="shared" si="5"/>
        <v>289.85000000000002</v>
      </c>
      <c r="S60" s="27">
        <v>0</v>
      </c>
      <c r="T60" s="27">
        <v>0</v>
      </c>
      <c r="U60" s="27">
        <f t="shared" si="3"/>
        <v>368.9</v>
      </c>
      <c r="V60" s="27">
        <f t="shared" si="4"/>
        <v>2716.1</v>
      </c>
      <c r="W60" s="27">
        <v>0</v>
      </c>
    </row>
    <row r="61" spans="1:23" s="20" customFormat="1" ht="25.5" x14ac:dyDescent="0.2">
      <c r="A61" s="23">
        <v>52</v>
      </c>
      <c r="B61" s="24" t="s">
        <v>106</v>
      </c>
      <c r="C61" s="24" t="s">
        <v>105</v>
      </c>
      <c r="D61" s="25">
        <v>1135</v>
      </c>
      <c r="E61" s="26">
        <v>400</v>
      </c>
      <c r="F61" s="26">
        <v>0</v>
      </c>
      <c r="G61" s="26">
        <v>1000</v>
      </c>
      <c r="H61" s="26">
        <v>0</v>
      </c>
      <c r="I61" s="26">
        <v>0</v>
      </c>
      <c r="J61" s="26">
        <v>0</v>
      </c>
      <c r="K61" s="26">
        <v>50</v>
      </c>
      <c r="L61" s="26">
        <v>0</v>
      </c>
      <c r="M61" s="26">
        <v>250</v>
      </c>
      <c r="N61" s="26">
        <v>0</v>
      </c>
      <c r="O61" s="26">
        <v>0</v>
      </c>
      <c r="P61" s="27">
        <f t="shared" si="0"/>
        <v>2835</v>
      </c>
      <c r="Q61" s="27">
        <f t="shared" si="1"/>
        <v>77.55</v>
      </c>
      <c r="R61" s="27">
        <f t="shared" si="5"/>
        <v>284.35000000000002</v>
      </c>
      <c r="S61" s="27">
        <v>0</v>
      </c>
      <c r="T61" s="27">
        <v>0</v>
      </c>
      <c r="U61" s="27">
        <f t="shared" si="3"/>
        <v>361.9</v>
      </c>
      <c r="V61" s="27">
        <f t="shared" si="4"/>
        <v>2473.1</v>
      </c>
      <c r="W61" s="27">
        <v>0</v>
      </c>
    </row>
    <row r="62" spans="1:23" s="20" customFormat="1" ht="25.5" x14ac:dyDescent="0.2">
      <c r="A62" s="23">
        <v>53</v>
      </c>
      <c r="B62" s="24" t="s">
        <v>107</v>
      </c>
      <c r="C62" s="24" t="s">
        <v>44</v>
      </c>
      <c r="D62" s="25">
        <v>1476</v>
      </c>
      <c r="E62" s="26">
        <v>2000</v>
      </c>
      <c r="F62" s="26">
        <v>0</v>
      </c>
      <c r="G62" s="26">
        <v>0</v>
      </c>
      <c r="H62" s="26">
        <v>1900</v>
      </c>
      <c r="I62" s="26">
        <v>2600</v>
      </c>
      <c r="J62" s="26">
        <v>0</v>
      </c>
      <c r="K62" s="26">
        <v>50</v>
      </c>
      <c r="L62" s="26">
        <v>0</v>
      </c>
      <c r="M62" s="26">
        <v>250</v>
      </c>
      <c r="N62" s="26">
        <v>0</v>
      </c>
      <c r="O62" s="26">
        <v>0</v>
      </c>
      <c r="P62" s="27">
        <f t="shared" si="0"/>
        <v>8276</v>
      </c>
      <c r="Q62" s="27">
        <f t="shared" si="1"/>
        <v>240.78</v>
      </c>
      <c r="R62" s="27">
        <f t="shared" si="5"/>
        <v>882.86</v>
      </c>
      <c r="S62" s="27">
        <v>146.41</v>
      </c>
      <c r="T62" s="27">
        <v>0</v>
      </c>
      <c r="U62" s="27">
        <f t="shared" si="3"/>
        <v>1270.05</v>
      </c>
      <c r="V62" s="27">
        <f t="shared" si="4"/>
        <v>7005.95</v>
      </c>
      <c r="W62" s="27">
        <v>0</v>
      </c>
    </row>
    <row r="63" spans="1:23" s="20" customFormat="1" ht="25.5" x14ac:dyDescent="0.2">
      <c r="A63" s="23">
        <v>54</v>
      </c>
      <c r="B63" s="24" t="s">
        <v>108</v>
      </c>
      <c r="C63" s="24" t="s">
        <v>98</v>
      </c>
      <c r="D63" s="25">
        <v>1350</v>
      </c>
      <c r="E63" s="26">
        <v>2000</v>
      </c>
      <c r="F63" s="26">
        <v>0</v>
      </c>
      <c r="G63" s="26">
        <v>0</v>
      </c>
      <c r="H63" s="26">
        <v>0</v>
      </c>
      <c r="I63" s="26">
        <v>4500</v>
      </c>
      <c r="J63" s="26">
        <v>0</v>
      </c>
      <c r="K63" s="26">
        <v>75</v>
      </c>
      <c r="L63" s="26">
        <v>0</v>
      </c>
      <c r="M63" s="26">
        <v>250</v>
      </c>
      <c r="N63" s="26">
        <v>0</v>
      </c>
      <c r="O63" s="26">
        <v>0</v>
      </c>
      <c r="P63" s="27">
        <f t="shared" si="0"/>
        <v>8175</v>
      </c>
      <c r="Q63" s="27">
        <f t="shared" si="1"/>
        <v>237.75</v>
      </c>
      <c r="R63" s="27">
        <f>(D63+E63+F63+G63+H63+I63+J63+K63+N63)*15%</f>
        <v>1188.75</v>
      </c>
      <c r="S63" s="27">
        <v>280.98</v>
      </c>
      <c r="T63" s="27">
        <v>0</v>
      </c>
      <c r="U63" s="27">
        <f t="shared" si="3"/>
        <v>1707.48</v>
      </c>
      <c r="V63" s="27">
        <f t="shared" si="4"/>
        <v>6467.52</v>
      </c>
      <c r="W63" s="27">
        <v>0</v>
      </c>
    </row>
    <row r="64" spans="1:23" s="20" customFormat="1" ht="25.5" x14ac:dyDescent="0.2">
      <c r="A64" s="23">
        <v>55</v>
      </c>
      <c r="B64" s="31" t="s">
        <v>109</v>
      </c>
      <c r="C64" s="31" t="s">
        <v>110</v>
      </c>
      <c r="D64" s="26">
        <v>2441</v>
      </c>
      <c r="E64" s="26">
        <v>1000</v>
      </c>
      <c r="F64" s="26">
        <v>0</v>
      </c>
      <c r="G64" s="26">
        <v>1000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250</v>
      </c>
      <c r="N64" s="26">
        <v>0</v>
      </c>
      <c r="O64" s="26">
        <v>0</v>
      </c>
      <c r="P64" s="27">
        <f t="shared" si="0"/>
        <v>4691</v>
      </c>
      <c r="Q64" s="27">
        <f t="shared" si="1"/>
        <v>133.22999999999999</v>
      </c>
      <c r="R64" s="27">
        <f t="shared" ref="R64:R66" si="6">(D64+E64+F64+G64+H64+I64+J64+K64+N64)*11%</f>
        <v>488.51</v>
      </c>
      <c r="S64" s="27">
        <v>0</v>
      </c>
      <c r="T64" s="27">
        <v>0</v>
      </c>
      <c r="U64" s="27">
        <f t="shared" si="3"/>
        <v>621.74</v>
      </c>
      <c r="V64" s="27">
        <f t="shared" si="4"/>
        <v>4069.26</v>
      </c>
      <c r="W64" s="27">
        <v>0</v>
      </c>
    </row>
    <row r="65" spans="1:23" s="20" customFormat="1" ht="25.5" x14ac:dyDescent="0.2">
      <c r="A65" s="23">
        <v>56</v>
      </c>
      <c r="B65" s="24" t="s">
        <v>111</v>
      </c>
      <c r="C65" s="31" t="s">
        <v>38</v>
      </c>
      <c r="D65" s="25">
        <v>1350</v>
      </c>
      <c r="E65" s="26">
        <v>2000</v>
      </c>
      <c r="F65" s="26">
        <v>0</v>
      </c>
      <c r="G65" s="26">
        <v>0</v>
      </c>
      <c r="H65" s="26">
        <v>1600</v>
      </c>
      <c r="I65" s="26">
        <v>2900</v>
      </c>
      <c r="J65" s="26">
        <v>0</v>
      </c>
      <c r="K65" s="26">
        <v>75</v>
      </c>
      <c r="L65" s="26">
        <v>0</v>
      </c>
      <c r="M65" s="26">
        <v>250</v>
      </c>
      <c r="N65" s="26">
        <v>0</v>
      </c>
      <c r="O65" s="26">
        <v>0</v>
      </c>
      <c r="P65" s="27">
        <f t="shared" si="0"/>
        <v>8175</v>
      </c>
      <c r="Q65" s="27">
        <f t="shared" si="1"/>
        <v>237.75</v>
      </c>
      <c r="R65" s="27">
        <f t="shared" si="6"/>
        <v>871.75</v>
      </c>
      <c r="S65" s="27">
        <v>143.03</v>
      </c>
      <c r="T65" s="27">
        <v>0</v>
      </c>
      <c r="U65" s="27">
        <f t="shared" si="3"/>
        <v>1252.53</v>
      </c>
      <c r="V65" s="27">
        <f t="shared" si="4"/>
        <v>6922.47</v>
      </c>
      <c r="W65" s="27">
        <v>0</v>
      </c>
    </row>
    <row r="66" spans="1:23" s="20" customFormat="1" x14ac:dyDescent="0.2">
      <c r="A66" s="23">
        <v>57</v>
      </c>
      <c r="B66" s="24" t="s">
        <v>112</v>
      </c>
      <c r="C66" s="24" t="s">
        <v>70</v>
      </c>
      <c r="D66" s="25">
        <v>1476</v>
      </c>
      <c r="E66" s="26">
        <v>2000</v>
      </c>
      <c r="F66" s="26">
        <v>0</v>
      </c>
      <c r="G66" s="26">
        <v>1900</v>
      </c>
      <c r="H66" s="26">
        <v>0</v>
      </c>
      <c r="I66" s="26">
        <v>2600</v>
      </c>
      <c r="J66" s="26">
        <v>0</v>
      </c>
      <c r="K66" s="26">
        <v>50</v>
      </c>
      <c r="L66" s="26">
        <v>0</v>
      </c>
      <c r="M66" s="26">
        <v>250</v>
      </c>
      <c r="N66" s="26">
        <v>0</v>
      </c>
      <c r="O66" s="26">
        <v>0</v>
      </c>
      <c r="P66" s="27">
        <f t="shared" si="0"/>
        <v>8276</v>
      </c>
      <c r="Q66" s="27">
        <f t="shared" si="1"/>
        <v>240.78</v>
      </c>
      <c r="R66" s="27">
        <f t="shared" si="6"/>
        <v>882.86</v>
      </c>
      <c r="S66" s="27">
        <v>146.41</v>
      </c>
      <c r="T66" s="27">
        <v>0</v>
      </c>
      <c r="U66" s="27">
        <f t="shared" si="3"/>
        <v>1270.05</v>
      </c>
      <c r="V66" s="27">
        <f t="shared" si="4"/>
        <v>7005.95</v>
      </c>
      <c r="W66" s="27">
        <f>2295.814</f>
        <v>2295.81</v>
      </c>
    </row>
    <row r="67" spans="1:23" s="20" customFormat="1" ht="25.5" x14ac:dyDescent="0.2">
      <c r="A67" s="23">
        <v>58</v>
      </c>
      <c r="B67" s="24" t="s">
        <v>113</v>
      </c>
      <c r="C67" s="24" t="s">
        <v>44</v>
      </c>
      <c r="D67" s="25">
        <v>1476</v>
      </c>
      <c r="E67" s="26">
        <v>2000</v>
      </c>
      <c r="F67" s="26">
        <v>0</v>
      </c>
      <c r="G67" s="26">
        <v>0</v>
      </c>
      <c r="H67" s="26">
        <v>1900</v>
      </c>
      <c r="I67" s="26">
        <v>2600</v>
      </c>
      <c r="J67" s="26">
        <v>0</v>
      </c>
      <c r="K67" s="26">
        <v>75</v>
      </c>
      <c r="L67" s="26">
        <v>0</v>
      </c>
      <c r="M67" s="26">
        <v>250</v>
      </c>
      <c r="N67" s="26">
        <v>0</v>
      </c>
      <c r="O67" s="26">
        <v>0</v>
      </c>
      <c r="P67" s="27">
        <f t="shared" si="0"/>
        <v>8301</v>
      </c>
      <c r="Q67" s="27">
        <f t="shared" si="1"/>
        <v>241.53</v>
      </c>
      <c r="R67" s="27">
        <f>(D67+E67+F67+G67+H67+I67+J67+K67+N67)*14%</f>
        <v>1127.1400000000001</v>
      </c>
      <c r="S67" s="27">
        <v>160.85</v>
      </c>
      <c r="T67" s="27">
        <v>0</v>
      </c>
      <c r="U67" s="27">
        <f t="shared" si="3"/>
        <v>1529.52</v>
      </c>
      <c r="V67" s="27">
        <f t="shared" si="4"/>
        <v>6771.48</v>
      </c>
      <c r="W67" s="27">
        <v>0</v>
      </c>
    </row>
    <row r="68" spans="1:23" s="20" customFormat="1" ht="25.5" x14ac:dyDescent="0.2">
      <c r="A68" s="23">
        <v>59</v>
      </c>
      <c r="B68" s="31" t="s">
        <v>114</v>
      </c>
      <c r="C68" s="31" t="s">
        <v>115</v>
      </c>
      <c r="D68" s="26">
        <f>485*4</f>
        <v>1940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7">
        <f t="shared" si="0"/>
        <v>1940</v>
      </c>
      <c r="Q68" s="27">
        <f t="shared" si="1"/>
        <v>58.2</v>
      </c>
      <c r="R68" s="27">
        <f t="shared" ref="R68:R77" si="7">(D68+E68+F68+G68+H68+I68+J68+K68+N68)*11%</f>
        <v>213.4</v>
      </c>
      <c r="S68" s="27">
        <v>0</v>
      </c>
      <c r="T68" s="27">
        <v>0</v>
      </c>
      <c r="U68" s="27">
        <f t="shared" si="3"/>
        <v>271.60000000000002</v>
      </c>
      <c r="V68" s="27">
        <f t="shared" si="4"/>
        <v>1668.4</v>
      </c>
      <c r="W68" s="27">
        <v>0</v>
      </c>
    </row>
    <row r="69" spans="1:23" s="20" customFormat="1" ht="25.5" x14ac:dyDescent="0.2">
      <c r="A69" s="23">
        <v>60</v>
      </c>
      <c r="B69" s="24" t="s">
        <v>116</v>
      </c>
      <c r="C69" s="31" t="s">
        <v>33</v>
      </c>
      <c r="D69" s="25">
        <v>1634</v>
      </c>
      <c r="E69" s="26">
        <v>2000</v>
      </c>
      <c r="F69" s="26">
        <v>0</v>
      </c>
      <c r="G69" s="26">
        <v>0</v>
      </c>
      <c r="H69" s="26">
        <v>2200</v>
      </c>
      <c r="I69" s="26">
        <v>3200</v>
      </c>
      <c r="J69" s="26">
        <v>0</v>
      </c>
      <c r="K69" s="26">
        <v>75</v>
      </c>
      <c r="L69" s="26">
        <v>0</v>
      </c>
      <c r="M69" s="26">
        <v>250</v>
      </c>
      <c r="N69" s="26">
        <v>0</v>
      </c>
      <c r="O69" s="26">
        <v>0</v>
      </c>
      <c r="P69" s="27">
        <f t="shared" si="0"/>
        <v>9359</v>
      </c>
      <c r="Q69" s="27">
        <f t="shared" si="1"/>
        <v>273.27</v>
      </c>
      <c r="R69" s="27">
        <f t="shared" si="7"/>
        <v>1001.99</v>
      </c>
      <c r="S69" s="27">
        <v>0</v>
      </c>
      <c r="T69" s="27">
        <v>0</v>
      </c>
      <c r="U69" s="27">
        <f t="shared" si="3"/>
        <v>1275.26</v>
      </c>
      <c r="V69" s="27">
        <f t="shared" si="4"/>
        <v>8083.74</v>
      </c>
      <c r="W69" s="27">
        <v>0</v>
      </c>
    </row>
    <row r="70" spans="1:23" s="20" customFormat="1" x14ac:dyDescent="0.2">
      <c r="A70" s="23">
        <v>61</v>
      </c>
      <c r="B70" s="24" t="s">
        <v>117</v>
      </c>
      <c r="C70" s="24" t="s">
        <v>36</v>
      </c>
      <c r="D70" s="25">
        <v>1074</v>
      </c>
      <c r="E70" s="26">
        <v>400</v>
      </c>
      <c r="F70" s="26">
        <v>0</v>
      </c>
      <c r="G70" s="26">
        <v>1000</v>
      </c>
      <c r="H70" s="26">
        <v>0</v>
      </c>
      <c r="I70" s="26">
        <v>0</v>
      </c>
      <c r="J70" s="26">
        <v>0</v>
      </c>
      <c r="K70" s="26">
        <v>0</v>
      </c>
      <c r="L70" s="26">
        <v>200</v>
      </c>
      <c r="M70" s="26">
        <v>250</v>
      </c>
      <c r="N70" s="26">
        <v>0</v>
      </c>
      <c r="O70" s="26">
        <v>0</v>
      </c>
      <c r="P70" s="27">
        <f t="shared" si="0"/>
        <v>2924</v>
      </c>
      <c r="Q70" s="27">
        <f t="shared" si="1"/>
        <v>74.22</v>
      </c>
      <c r="R70" s="27">
        <f t="shared" si="7"/>
        <v>272.14</v>
      </c>
      <c r="S70" s="27">
        <v>0</v>
      </c>
      <c r="T70" s="27">
        <v>0</v>
      </c>
      <c r="U70" s="27">
        <f t="shared" si="3"/>
        <v>346.36</v>
      </c>
      <c r="V70" s="27">
        <f t="shared" si="4"/>
        <v>2577.64</v>
      </c>
      <c r="W70" s="27">
        <v>0</v>
      </c>
    </row>
    <row r="71" spans="1:23" s="20" customFormat="1" x14ac:dyDescent="0.2">
      <c r="A71" s="23">
        <v>62</v>
      </c>
      <c r="B71" s="24" t="s">
        <v>118</v>
      </c>
      <c r="C71" s="24" t="s">
        <v>46</v>
      </c>
      <c r="D71" s="25">
        <v>1350</v>
      </c>
      <c r="E71" s="26">
        <v>2000</v>
      </c>
      <c r="F71" s="26">
        <v>0</v>
      </c>
      <c r="G71" s="26">
        <v>0</v>
      </c>
      <c r="H71" s="26">
        <v>0</v>
      </c>
      <c r="I71" s="26">
        <v>4500</v>
      </c>
      <c r="J71" s="26">
        <v>0</v>
      </c>
      <c r="K71" s="26">
        <v>0</v>
      </c>
      <c r="L71" s="26">
        <v>0</v>
      </c>
      <c r="M71" s="26">
        <v>250</v>
      </c>
      <c r="N71" s="26">
        <v>0</v>
      </c>
      <c r="O71" s="26">
        <v>0</v>
      </c>
      <c r="P71" s="27">
        <f t="shared" si="0"/>
        <v>8100</v>
      </c>
      <c r="Q71" s="27">
        <f t="shared" si="1"/>
        <v>235.5</v>
      </c>
      <c r="R71" s="27">
        <f t="shared" si="7"/>
        <v>863.5</v>
      </c>
      <c r="S71" s="27">
        <v>143.03</v>
      </c>
      <c r="T71" s="27">
        <v>0</v>
      </c>
      <c r="U71" s="27">
        <f t="shared" si="3"/>
        <v>1242.03</v>
      </c>
      <c r="V71" s="27">
        <f t="shared" si="4"/>
        <v>6857.97</v>
      </c>
      <c r="W71" s="27">
        <v>0</v>
      </c>
    </row>
    <row r="72" spans="1:23" s="20" customFormat="1" ht="25.5" x14ac:dyDescent="0.2">
      <c r="A72" s="23">
        <v>63</v>
      </c>
      <c r="B72" s="24" t="s">
        <v>119</v>
      </c>
      <c r="C72" s="31" t="s">
        <v>38</v>
      </c>
      <c r="D72" s="25">
        <v>1350</v>
      </c>
      <c r="E72" s="26">
        <v>2000</v>
      </c>
      <c r="F72" s="26">
        <v>0</v>
      </c>
      <c r="G72" s="26">
        <v>0</v>
      </c>
      <c r="H72" s="26">
        <v>1600</v>
      </c>
      <c r="I72" s="26">
        <v>2900</v>
      </c>
      <c r="J72" s="26">
        <v>0</v>
      </c>
      <c r="K72" s="26">
        <v>0</v>
      </c>
      <c r="L72" s="26">
        <v>0</v>
      </c>
      <c r="M72" s="26">
        <v>250</v>
      </c>
      <c r="N72" s="26">
        <v>0</v>
      </c>
      <c r="O72" s="26">
        <v>0</v>
      </c>
      <c r="P72" s="27">
        <f t="shared" si="0"/>
        <v>8100</v>
      </c>
      <c r="Q72" s="27">
        <f t="shared" si="1"/>
        <v>235.5</v>
      </c>
      <c r="R72" s="27">
        <f t="shared" si="7"/>
        <v>863.5</v>
      </c>
      <c r="S72" s="27">
        <v>143.03</v>
      </c>
      <c r="T72" s="27">
        <v>0</v>
      </c>
      <c r="U72" s="27">
        <f t="shared" si="3"/>
        <v>1242.03</v>
      </c>
      <c r="V72" s="27">
        <f t="shared" si="4"/>
        <v>6857.97</v>
      </c>
      <c r="W72" s="27">
        <v>0</v>
      </c>
    </row>
    <row r="73" spans="1:23" s="20" customFormat="1" ht="25.5" x14ac:dyDescent="0.2">
      <c r="A73" s="23">
        <v>64</v>
      </c>
      <c r="B73" s="24" t="s">
        <v>120</v>
      </c>
      <c r="C73" s="24" t="s">
        <v>46</v>
      </c>
      <c r="D73" s="25">
        <v>1350</v>
      </c>
      <c r="E73" s="26">
        <v>2000</v>
      </c>
      <c r="F73" s="26">
        <v>0</v>
      </c>
      <c r="G73" s="26">
        <v>0</v>
      </c>
      <c r="H73" s="26">
        <v>0</v>
      </c>
      <c r="I73" s="26">
        <v>4500</v>
      </c>
      <c r="J73" s="26">
        <v>0</v>
      </c>
      <c r="K73" s="26">
        <v>0</v>
      </c>
      <c r="L73" s="26">
        <v>0</v>
      </c>
      <c r="M73" s="26">
        <v>250</v>
      </c>
      <c r="N73" s="26">
        <v>0</v>
      </c>
      <c r="O73" s="26">
        <v>0</v>
      </c>
      <c r="P73" s="27">
        <f t="shared" si="0"/>
        <v>8100</v>
      </c>
      <c r="Q73" s="27">
        <f t="shared" si="1"/>
        <v>235.5</v>
      </c>
      <c r="R73" s="27">
        <f t="shared" si="7"/>
        <v>863.5</v>
      </c>
      <c r="S73" s="27">
        <v>143.03</v>
      </c>
      <c r="T73" s="27">
        <v>0</v>
      </c>
      <c r="U73" s="27">
        <f t="shared" si="3"/>
        <v>1242.03</v>
      </c>
      <c r="V73" s="27">
        <f t="shared" si="4"/>
        <v>6857.97</v>
      </c>
      <c r="W73" s="27">
        <v>0</v>
      </c>
    </row>
    <row r="74" spans="1:23" s="20" customFormat="1" x14ac:dyDescent="0.2">
      <c r="A74" s="23">
        <v>65</v>
      </c>
      <c r="B74" s="24" t="s">
        <v>121</v>
      </c>
      <c r="C74" s="24" t="s">
        <v>36</v>
      </c>
      <c r="D74" s="25">
        <v>1074</v>
      </c>
      <c r="E74" s="26">
        <v>0</v>
      </c>
      <c r="F74" s="26">
        <v>0</v>
      </c>
      <c r="G74" s="26">
        <v>1000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250</v>
      </c>
      <c r="N74" s="26">
        <v>0</v>
      </c>
      <c r="O74" s="26">
        <v>0</v>
      </c>
      <c r="P74" s="27">
        <f t="shared" si="0"/>
        <v>2324</v>
      </c>
      <c r="Q74" s="27">
        <f t="shared" si="1"/>
        <v>62.22</v>
      </c>
      <c r="R74" s="27">
        <f t="shared" si="7"/>
        <v>228.14</v>
      </c>
      <c r="S74" s="27">
        <v>0</v>
      </c>
      <c r="T74" s="27">
        <v>0</v>
      </c>
      <c r="U74" s="27">
        <f t="shared" si="3"/>
        <v>290.36</v>
      </c>
      <c r="V74" s="27">
        <f t="shared" si="4"/>
        <v>2033.64</v>
      </c>
      <c r="W74" s="27">
        <v>0</v>
      </c>
    </row>
    <row r="75" spans="1:23" s="20" customFormat="1" ht="25.5" x14ac:dyDescent="0.2">
      <c r="A75" s="23">
        <v>66</v>
      </c>
      <c r="B75" s="24" t="s">
        <v>122</v>
      </c>
      <c r="C75" s="31" t="s">
        <v>38</v>
      </c>
      <c r="D75" s="25">
        <v>1350</v>
      </c>
      <c r="E75" s="26">
        <v>2000</v>
      </c>
      <c r="F75" s="26">
        <v>0</v>
      </c>
      <c r="G75" s="26">
        <v>0</v>
      </c>
      <c r="H75" s="26">
        <v>1600</v>
      </c>
      <c r="I75" s="26">
        <v>2900</v>
      </c>
      <c r="J75" s="26">
        <v>0</v>
      </c>
      <c r="K75" s="26">
        <v>75</v>
      </c>
      <c r="L75" s="26">
        <v>0</v>
      </c>
      <c r="M75" s="26">
        <v>250</v>
      </c>
      <c r="N75" s="26">
        <v>0</v>
      </c>
      <c r="O75" s="26">
        <v>0</v>
      </c>
      <c r="P75" s="27">
        <f t="shared" si="0"/>
        <v>8175</v>
      </c>
      <c r="Q75" s="27">
        <f t="shared" si="1"/>
        <v>237.75</v>
      </c>
      <c r="R75" s="27">
        <f t="shared" si="7"/>
        <v>871.75</v>
      </c>
      <c r="S75" s="27">
        <v>146.18</v>
      </c>
      <c r="T75" s="27">
        <v>0</v>
      </c>
      <c r="U75" s="27">
        <f t="shared" si="3"/>
        <v>1255.68</v>
      </c>
      <c r="V75" s="27">
        <f t="shared" si="4"/>
        <v>6919.32</v>
      </c>
      <c r="W75" s="27">
        <v>0</v>
      </c>
    </row>
    <row r="76" spans="1:23" s="20" customFormat="1" ht="25.5" x14ac:dyDescent="0.2">
      <c r="A76" s="23">
        <v>67</v>
      </c>
      <c r="B76" s="31" t="s">
        <v>123</v>
      </c>
      <c r="C76" s="31" t="s">
        <v>124</v>
      </c>
      <c r="D76" s="41">
        <v>2425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7">
        <f t="shared" si="0"/>
        <v>2425</v>
      </c>
      <c r="Q76" s="27">
        <f t="shared" si="1"/>
        <v>72.75</v>
      </c>
      <c r="R76" s="27">
        <f t="shared" si="7"/>
        <v>266.75</v>
      </c>
      <c r="S76" s="27">
        <v>0</v>
      </c>
      <c r="T76" s="27">
        <v>0</v>
      </c>
      <c r="U76" s="27">
        <f t="shared" si="3"/>
        <v>339.5</v>
      </c>
      <c r="V76" s="27">
        <f t="shared" si="4"/>
        <v>2085.5</v>
      </c>
      <c r="W76" s="27">
        <v>0</v>
      </c>
    </row>
    <row r="77" spans="1:23" s="20" customFormat="1" ht="25.5" x14ac:dyDescent="0.2">
      <c r="A77" s="23">
        <v>68</v>
      </c>
      <c r="B77" s="24" t="s">
        <v>125</v>
      </c>
      <c r="C77" s="24" t="s">
        <v>55</v>
      </c>
      <c r="D77" s="25">
        <v>2885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7">
        <f t="shared" si="0"/>
        <v>2885</v>
      </c>
      <c r="Q77" s="27">
        <f t="shared" si="1"/>
        <v>86.55</v>
      </c>
      <c r="R77" s="27">
        <f t="shared" si="7"/>
        <v>317.35000000000002</v>
      </c>
      <c r="S77" s="27">
        <v>0</v>
      </c>
      <c r="T77" s="27">
        <v>0</v>
      </c>
      <c r="U77" s="27">
        <f t="shared" si="3"/>
        <v>403.9</v>
      </c>
      <c r="V77" s="27">
        <f t="shared" si="4"/>
        <v>2481.1</v>
      </c>
      <c r="W77" s="27">
        <v>0</v>
      </c>
    </row>
    <row r="78" spans="1:23" s="20" customFormat="1" x14ac:dyDescent="0.2">
      <c r="A78" s="23">
        <v>69</v>
      </c>
      <c r="B78" s="24" t="s">
        <v>126</v>
      </c>
      <c r="C78" s="24" t="s">
        <v>127</v>
      </c>
      <c r="D78" s="25">
        <f>285*2</f>
        <v>570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7">
        <f t="shared" si="0"/>
        <v>570</v>
      </c>
      <c r="Q78" s="27">
        <f t="shared" si="1"/>
        <v>17.100000000000001</v>
      </c>
      <c r="R78" s="27">
        <f>(D78+E78+F78+G78+H78+I78+J78+K78+N78)*10%</f>
        <v>57</v>
      </c>
      <c r="S78" s="27">
        <v>0</v>
      </c>
      <c r="T78" s="27">
        <v>0</v>
      </c>
      <c r="U78" s="27">
        <f t="shared" si="3"/>
        <v>74.099999999999994</v>
      </c>
      <c r="V78" s="27">
        <f t="shared" si="4"/>
        <v>495.9</v>
      </c>
      <c r="W78" s="27">
        <v>0</v>
      </c>
    </row>
    <row r="79" spans="1:23" s="20" customFormat="1" ht="25.5" x14ac:dyDescent="0.2">
      <c r="A79" s="23">
        <v>70</v>
      </c>
      <c r="B79" s="31" t="s">
        <v>128</v>
      </c>
      <c r="C79" s="31" t="s">
        <v>129</v>
      </c>
      <c r="D79" s="25">
        <v>1381</v>
      </c>
      <c r="E79" s="26">
        <v>0</v>
      </c>
      <c r="F79" s="26">
        <v>0</v>
      </c>
      <c r="G79" s="26">
        <v>1000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250</v>
      </c>
      <c r="N79" s="26">
        <v>0</v>
      </c>
      <c r="O79" s="26">
        <v>0</v>
      </c>
      <c r="P79" s="27">
        <f t="shared" si="0"/>
        <v>2631</v>
      </c>
      <c r="Q79" s="27">
        <f t="shared" si="1"/>
        <v>71.430000000000007</v>
      </c>
      <c r="R79" s="27">
        <f t="shared" ref="R79:R96" si="8">(D79+E79+F79+G79+H79+I79+J79+K79+N79)*11%</f>
        <v>261.91000000000003</v>
      </c>
      <c r="S79" s="27">
        <v>0</v>
      </c>
      <c r="T79" s="27">
        <v>0</v>
      </c>
      <c r="U79" s="27">
        <f t="shared" si="3"/>
        <v>333.34</v>
      </c>
      <c r="V79" s="27">
        <f t="shared" si="4"/>
        <v>2297.66</v>
      </c>
      <c r="W79" s="27">
        <v>0</v>
      </c>
    </row>
    <row r="80" spans="1:23" s="20" customFormat="1" ht="25.5" x14ac:dyDescent="0.2">
      <c r="A80" s="23">
        <v>71</v>
      </c>
      <c r="B80" s="24" t="s">
        <v>130</v>
      </c>
      <c r="C80" s="24" t="s">
        <v>105</v>
      </c>
      <c r="D80" s="25">
        <v>1135</v>
      </c>
      <c r="E80" s="26">
        <v>500</v>
      </c>
      <c r="F80" s="26">
        <v>0</v>
      </c>
      <c r="G80" s="26">
        <v>1000</v>
      </c>
      <c r="H80" s="26">
        <v>0</v>
      </c>
      <c r="I80" s="26">
        <v>0</v>
      </c>
      <c r="J80" s="26">
        <v>0</v>
      </c>
      <c r="K80" s="26">
        <v>50</v>
      </c>
      <c r="L80" s="26">
        <v>200</v>
      </c>
      <c r="M80" s="26">
        <v>250</v>
      </c>
      <c r="N80" s="26">
        <v>0</v>
      </c>
      <c r="O80" s="26">
        <v>0</v>
      </c>
      <c r="P80" s="27">
        <f t="shared" si="0"/>
        <v>3135</v>
      </c>
      <c r="Q80" s="27">
        <f t="shared" si="1"/>
        <v>80.55</v>
      </c>
      <c r="R80" s="27">
        <f t="shared" si="8"/>
        <v>295.35000000000002</v>
      </c>
      <c r="S80" s="27">
        <v>0</v>
      </c>
      <c r="T80" s="27">
        <v>0</v>
      </c>
      <c r="U80" s="27">
        <f t="shared" si="3"/>
        <v>375.9</v>
      </c>
      <c r="V80" s="27">
        <f t="shared" si="4"/>
        <v>2759.1</v>
      </c>
      <c r="W80" s="27">
        <v>0</v>
      </c>
    </row>
    <row r="81" spans="1:23" s="20" customFormat="1" ht="25.5" x14ac:dyDescent="0.2">
      <c r="A81" s="23">
        <v>72</v>
      </c>
      <c r="B81" s="24" t="s">
        <v>131</v>
      </c>
      <c r="C81" s="24" t="s">
        <v>44</v>
      </c>
      <c r="D81" s="25">
        <v>1476</v>
      </c>
      <c r="E81" s="26">
        <v>2000</v>
      </c>
      <c r="F81" s="26">
        <v>0</v>
      </c>
      <c r="G81" s="26">
        <v>0</v>
      </c>
      <c r="H81" s="26">
        <v>1900</v>
      </c>
      <c r="I81" s="26">
        <v>2600</v>
      </c>
      <c r="J81" s="26">
        <v>0</v>
      </c>
      <c r="K81" s="26">
        <v>0</v>
      </c>
      <c r="L81" s="26">
        <v>0</v>
      </c>
      <c r="M81" s="26">
        <v>250</v>
      </c>
      <c r="N81" s="26">
        <v>0</v>
      </c>
      <c r="O81" s="26">
        <v>0</v>
      </c>
      <c r="P81" s="27">
        <f t="shared" si="0"/>
        <v>8226</v>
      </c>
      <c r="Q81" s="27">
        <f t="shared" si="1"/>
        <v>239.28</v>
      </c>
      <c r="R81" s="27">
        <f t="shared" si="8"/>
        <v>877.36</v>
      </c>
      <c r="S81" s="27">
        <v>148.33000000000001</v>
      </c>
      <c r="T81" s="27">
        <v>0</v>
      </c>
      <c r="U81" s="27">
        <f t="shared" si="3"/>
        <v>1264.97</v>
      </c>
      <c r="V81" s="27">
        <f t="shared" si="4"/>
        <v>6961.03</v>
      </c>
      <c r="W81" s="27">
        <v>0</v>
      </c>
    </row>
    <row r="82" spans="1:23" s="20" customFormat="1" ht="25.5" x14ac:dyDescent="0.2">
      <c r="A82" s="23">
        <v>73</v>
      </c>
      <c r="B82" s="24" t="s">
        <v>132</v>
      </c>
      <c r="C82" s="31" t="s">
        <v>38</v>
      </c>
      <c r="D82" s="25">
        <v>1350</v>
      </c>
      <c r="E82" s="26">
        <v>2000</v>
      </c>
      <c r="F82" s="26">
        <v>0</v>
      </c>
      <c r="G82" s="26">
        <v>0</v>
      </c>
      <c r="H82" s="26">
        <v>1600</v>
      </c>
      <c r="I82" s="26">
        <v>2900</v>
      </c>
      <c r="J82" s="26">
        <v>0</v>
      </c>
      <c r="K82" s="26">
        <v>0</v>
      </c>
      <c r="L82" s="26">
        <v>0</v>
      </c>
      <c r="M82" s="26">
        <v>250</v>
      </c>
      <c r="N82" s="26">
        <v>0</v>
      </c>
      <c r="O82" s="26">
        <v>0</v>
      </c>
      <c r="P82" s="27">
        <f t="shared" si="0"/>
        <v>8100</v>
      </c>
      <c r="Q82" s="27">
        <f t="shared" si="1"/>
        <v>235.5</v>
      </c>
      <c r="R82" s="27">
        <f t="shared" si="8"/>
        <v>863.5</v>
      </c>
      <c r="S82" s="27">
        <v>143.03</v>
      </c>
      <c r="T82" s="27">
        <v>0</v>
      </c>
      <c r="U82" s="27">
        <f t="shared" si="3"/>
        <v>1242.03</v>
      </c>
      <c r="V82" s="27">
        <f t="shared" si="4"/>
        <v>6857.97</v>
      </c>
      <c r="W82" s="27">
        <v>0</v>
      </c>
    </row>
    <row r="83" spans="1:23" s="20" customFormat="1" x14ac:dyDescent="0.2">
      <c r="A83" s="23">
        <v>74</v>
      </c>
      <c r="B83" s="24" t="s">
        <v>133</v>
      </c>
      <c r="C83" s="24" t="s">
        <v>60</v>
      </c>
      <c r="D83" s="25">
        <v>1105</v>
      </c>
      <c r="E83" s="26">
        <v>400</v>
      </c>
      <c r="F83" s="26">
        <v>0</v>
      </c>
      <c r="G83" s="26">
        <v>1000</v>
      </c>
      <c r="H83" s="26">
        <v>0</v>
      </c>
      <c r="I83" s="26">
        <v>0</v>
      </c>
      <c r="J83" s="26">
        <v>0</v>
      </c>
      <c r="K83" s="26">
        <v>50</v>
      </c>
      <c r="L83" s="26">
        <v>0</v>
      </c>
      <c r="M83" s="26">
        <v>250</v>
      </c>
      <c r="N83" s="26">
        <v>0</v>
      </c>
      <c r="O83" s="26">
        <v>0</v>
      </c>
      <c r="P83" s="27">
        <f t="shared" si="0"/>
        <v>2805</v>
      </c>
      <c r="Q83" s="27">
        <f t="shared" si="1"/>
        <v>76.650000000000006</v>
      </c>
      <c r="R83" s="27">
        <f t="shared" si="8"/>
        <v>281.05</v>
      </c>
      <c r="S83" s="27">
        <v>0</v>
      </c>
      <c r="T83" s="27">
        <v>0</v>
      </c>
      <c r="U83" s="27">
        <f t="shared" si="3"/>
        <v>357.7</v>
      </c>
      <c r="V83" s="27">
        <f t="shared" si="4"/>
        <v>2447.3000000000002</v>
      </c>
      <c r="W83" s="27">
        <v>0</v>
      </c>
    </row>
    <row r="84" spans="1:23" s="20" customFormat="1" x14ac:dyDescent="0.2">
      <c r="A84" s="23">
        <v>75</v>
      </c>
      <c r="B84" s="24" t="s">
        <v>134</v>
      </c>
      <c r="C84" s="24" t="s">
        <v>33</v>
      </c>
      <c r="D84" s="25">
        <v>1634</v>
      </c>
      <c r="E84" s="26">
        <v>1800</v>
      </c>
      <c r="F84" s="26">
        <v>0</v>
      </c>
      <c r="G84" s="26">
        <v>1000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250</v>
      </c>
      <c r="N84" s="26">
        <v>0</v>
      </c>
      <c r="O84" s="26">
        <v>0</v>
      </c>
      <c r="P84" s="27">
        <f t="shared" si="0"/>
        <v>4684</v>
      </c>
      <c r="Q84" s="27">
        <f t="shared" si="1"/>
        <v>133.02000000000001</v>
      </c>
      <c r="R84" s="27">
        <f t="shared" si="8"/>
        <v>487.74</v>
      </c>
      <c r="S84" s="27">
        <v>0</v>
      </c>
      <c r="T84" s="27">
        <v>0</v>
      </c>
      <c r="U84" s="27">
        <f t="shared" si="3"/>
        <v>620.76</v>
      </c>
      <c r="V84" s="27">
        <f t="shared" si="4"/>
        <v>4063.24</v>
      </c>
      <c r="W84" s="27">
        <v>0</v>
      </c>
    </row>
    <row r="85" spans="1:23" s="20" customFormat="1" ht="25.5" x14ac:dyDescent="0.2">
      <c r="A85" s="23">
        <v>76</v>
      </c>
      <c r="B85" s="24" t="s">
        <v>135</v>
      </c>
      <c r="C85" s="24" t="s">
        <v>136</v>
      </c>
      <c r="D85" s="25">
        <v>1460</v>
      </c>
      <c r="E85" s="26">
        <v>600</v>
      </c>
      <c r="F85" s="26">
        <v>0</v>
      </c>
      <c r="G85" s="26">
        <v>1000</v>
      </c>
      <c r="H85" s="26">
        <v>0</v>
      </c>
      <c r="I85" s="26">
        <v>0</v>
      </c>
      <c r="J85" s="26">
        <v>0</v>
      </c>
      <c r="K85" s="26">
        <v>75</v>
      </c>
      <c r="L85" s="26">
        <v>0</v>
      </c>
      <c r="M85" s="26">
        <v>250</v>
      </c>
      <c r="N85" s="26">
        <v>0</v>
      </c>
      <c r="O85" s="26">
        <v>0</v>
      </c>
      <c r="P85" s="27">
        <f t="shared" si="0"/>
        <v>3385</v>
      </c>
      <c r="Q85" s="27">
        <f t="shared" si="1"/>
        <v>94.05</v>
      </c>
      <c r="R85" s="27">
        <f t="shared" si="8"/>
        <v>344.85</v>
      </c>
      <c r="S85" s="27">
        <v>0</v>
      </c>
      <c r="T85" s="27">
        <v>0</v>
      </c>
      <c r="U85" s="27">
        <f t="shared" si="3"/>
        <v>438.9</v>
      </c>
      <c r="V85" s="27">
        <f t="shared" si="4"/>
        <v>2946.1</v>
      </c>
      <c r="W85" s="27">
        <v>0</v>
      </c>
    </row>
    <row r="86" spans="1:23" s="20" customFormat="1" ht="25.5" x14ac:dyDescent="0.2">
      <c r="A86" s="23">
        <v>77</v>
      </c>
      <c r="B86" s="39" t="s">
        <v>137</v>
      </c>
      <c r="C86" s="24" t="s">
        <v>138</v>
      </c>
      <c r="D86" s="25">
        <v>1575</v>
      </c>
      <c r="E86" s="26">
        <v>550</v>
      </c>
      <c r="F86" s="26">
        <v>0</v>
      </c>
      <c r="G86" s="26">
        <v>1000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250</v>
      </c>
      <c r="N86" s="26">
        <v>0</v>
      </c>
      <c r="O86" s="26">
        <v>0</v>
      </c>
      <c r="P86" s="27">
        <f t="shared" si="0"/>
        <v>3375</v>
      </c>
      <c r="Q86" s="27">
        <f t="shared" si="1"/>
        <v>93.75</v>
      </c>
      <c r="R86" s="27">
        <f t="shared" si="8"/>
        <v>343.75</v>
      </c>
      <c r="S86" s="27">
        <v>0</v>
      </c>
      <c r="T86" s="27">
        <v>42</v>
      </c>
      <c r="U86" s="27">
        <f t="shared" si="3"/>
        <v>479.5</v>
      </c>
      <c r="V86" s="27">
        <f t="shared" si="4"/>
        <v>2895.5</v>
      </c>
      <c r="W86" s="27">
        <v>0</v>
      </c>
    </row>
    <row r="87" spans="1:23" s="20" customFormat="1" ht="25.5" x14ac:dyDescent="0.2">
      <c r="A87" s="23">
        <v>78</v>
      </c>
      <c r="B87" s="39" t="s">
        <v>139</v>
      </c>
      <c r="C87" s="24" t="s">
        <v>44</v>
      </c>
      <c r="D87" s="26">
        <v>1476</v>
      </c>
      <c r="E87" s="26">
        <v>2000</v>
      </c>
      <c r="F87" s="26">
        <v>0</v>
      </c>
      <c r="G87" s="26">
        <v>0</v>
      </c>
      <c r="H87" s="26">
        <v>1900</v>
      </c>
      <c r="I87" s="26">
        <v>2600</v>
      </c>
      <c r="J87" s="26">
        <v>0</v>
      </c>
      <c r="K87" s="26">
        <v>75</v>
      </c>
      <c r="L87" s="26">
        <v>0</v>
      </c>
      <c r="M87" s="26">
        <v>250</v>
      </c>
      <c r="N87" s="26">
        <v>0</v>
      </c>
      <c r="O87" s="26">
        <v>0</v>
      </c>
      <c r="P87" s="27">
        <f t="shared" si="0"/>
        <v>8301</v>
      </c>
      <c r="Q87" s="27">
        <f t="shared" si="1"/>
        <v>241.53</v>
      </c>
      <c r="R87" s="27">
        <f t="shared" si="8"/>
        <v>885.61</v>
      </c>
      <c r="S87" s="27">
        <v>146.41</v>
      </c>
      <c r="T87" s="27">
        <v>0</v>
      </c>
      <c r="U87" s="27">
        <f t="shared" si="3"/>
        <v>1273.55</v>
      </c>
      <c r="V87" s="27">
        <f t="shared" si="4"/>
        <v>7027.45</v>
      </c>
      <c r="W87" s="27">
        <f>602</f>
        <v>602</v>
      </c>
    </row>
    <row r="88" spans="1:23" s="20" customFormat="1" ht="25.5" x14ac:dyDescent="0.2">
      <c r="A88" s="23">
        <v>79</v>
      </c>
      <c r="B88" s="24" t="s">
        <v>140</v>
      </c>
      <c r="C88" s="24" t="s">
        <v>44</v>
      </c>
      <c r="D88" s="25">
        <v>1476</v>
      </c>
      <c r="E88" s="26">
        <v>2000</v>
      </c>
      <c r="F88" s="26">
        <v>0</v>
      </c>
      <c r="G88" s="26">
        <v>0</v>
      </c>
      <c r="H88" s="26">
        <v>1900</v>
      </c>
      <c r="I88" s="26">
        <v>2600</v>
      </c>
      <c r="J88" s="26">
        <v>0</v>
      </c>
      <c r="K88" s="26">
        <v>75</v>
      </c>
      <c r="L88" s="26">
        <v>0</v>
      </c>
      <c r="M88" s="26">
        <v>250</v>
      </c>
      <c r="N88" s="26">
        <v>0</v>
      </c>
      <c r="O88" s="26">
        <v>0</v>
      </c>
      <c r="P88" s="27">
        <f t="shared" si="0"/>
        <v>8301</v>
      </c>
      <c r="Q88" s="27">
        <f t="shared" si="1"/>
        <v>241.53</v>
      </c>
      <c r="R88" s="27">
        <f t="shared" si="8"/>
        <v>885.61</v>
      </c>
      <c r="S88" s="27">
        <v>146.41</v>
      </c>
      <c r="T88" s="27">
        <v>0</v>
      </c>
      <c r="U88" s="27">
        <f t="shared" si="3"/>
        <v>1273.55</v>
      </c>
      <c r="V88" s="27">
        <f t="shared" si="4"/>
        <v>7027.45</v>
      </c>
      <c r="W88" s="27">
        <f>610</f>
        <v>610</v>
      </c>
    </row>
    <row r="89" spans="1:23" s="20" customFormat="1" ht="25.5" x14ac:dyDescent="0.2">
      <c r="A89" s="23">
        <v>80</v>
      </c>
      <c r="B89" s="24" t="s">
        <v>141</v>
      </c>
      <c r="C89" s="31" t="s">
        <v>38</v>
      </c>
      <c r="D89" s="25">
        <v>1350</v>
      </c>
      <c r="E89" s="26">
        <v>2000</v>
      </c>
      <c r="F89" s="26">
        <v>0</v>
      </c>
      <c r="G89" s="26">
        <v>0</v>
      </c>
      <c r="H89" s="26">
        <v>1600</v>
      </c>
      <c r="I89" s="26">
        <v>2900</v>
      </c>
      <c r="J89" s="26">
        <v>0</v>
      </c>
      <c r="K89" s="26">
        <v>75</v>
      </c>
      <c r="L89" s="26">
        <v>0</v>
      </c>
      <c r="M89" s="26">
        <v>250</v>
      </c>
      <c r="N89" s="26">
        <v>0</v>
      </c>
      <c r="O89" s="26">
        <v>0</v>
      </c>
      <c r="P89" s="27">
        <f t="shared" si="0"/>
        <v>8175</v>
      </c>
      <c r="Q89" s="27">
        <f t="shared" si="1"/>
        <v>237.75</v>
      </c>
      <c r="R89" s="27">
        <f t="shared" si="8"/>
        <v>871.75</v>
      </c>
      <c r="S89" s="27">
        <v>5.65</v>
      </c>
      <c r="T89" s="27">
        <v>0</v>
      </c>
      <c r="U89" s="27">
        <f t="shared" si="3"/>
        <v>1115.1500000000001</v>
      </c>
      <c r="V89" s="27">
        <f t="shared" si="4"/>
        <v>7059.85</v>
      </c>
      <c r="W89" s="27">
        <v>0</v>
      </c>
    </row>
    <row r="90" spans="1:23" s="20" customFormat="1" ht="25.5" x14ac:dyDescent="0.2">
      <c r="A90" s="23">
        <v>81</v>
      </c>
      <c r="B90" s="24" t="s">
        <v>142</v>
      </c>
      <c r="C90" s="31" t="s">
        <v>38</v>
      </c>
      <c r="D90" s="25">
        <v>1350</v>
      </c>
      <c r="E90" s="26">
        <v>2000</v>
      </c>
      <c r="F90" s="26">
        <v>0</v>
      </c>
      <c r="G90" s="26">
        <v>0</v>
      </c>
      <c r="H90" s="26">
        <v>1600</v>
      </c>
      <c r="I90" s="26">
        <f>2900</f>
        <v>2900</v>
      </c>
      <c r="J90" s="26">
        <v>0</v>
      </c>
      <c r="K90" s="26">
        <v>0</v>
      </c>
      <c r="L90" s="26">
        <v>0</v>
      </c>
      <c r="M90" s="26">
        <v>250</v>
      </c>
      <c r="N90" s="26">
        <v>0</v>
      </c>
      <c r="O90" s="26">
        <v>0</v>
      </c>
      <c r="P90" s="27">
        <f t="shared" si="0"/>
        <v>8100</v>
      </c>
      <c r="Q90" s="27">
        <f t="shared" si="1"/>
        <v>235.5</v>
      </c>
      <c r="R90" s="27">
        <f t="shared" si="8"/>
        <v>863.5</v>
      </c>
      <c r="S90" s="27">
        <v>145.13</v>
      </c>
      <c r="T90" s="27">
        <v>0</v>
      </c>
      <c r="U90" s="27">
        <f t="shared" si="3"/>
        <v>1244.1300000000001</v>
      </c>
      <c r="V90" s="27">
        <f t="shared" si="4"/>
        <v>6855.87</v>
      </c>
      <c r="W90" s="27">
        <v>0</v>
      </c>
    </row>
    <row r="91" spans="1:23" s="20" customFormat="1" ht="25.5" x14ac:dyDescent="0.2">
      <c r="A91" s="23">
        <v>82</v>
      </c>
      <c r="B91" s="24" t="s">
        <v>143</v>
      </c>
      <c r="C91" s="24" t="s">
        <v>144</v>
      </c>
      <c r="D91" s="25">
        <v>1039</v>
      </c>
      <c r="E91" s="26">
        <v>400</v>
      </c>
      <c r="F91" s="26">
        <v>0</v>
      </c>
      <c r="G91" s="26">
        <v>1000</v>
      </c>
      <c r="H91" s="26">
        <v>0</v>
      </c>
      <c r="I91" s="26">
        <v>0</v>
      </c>
      <c r="J91" s="26">
        <v>0</v>
      </c>
      <c r="K91" s="26">
        <v>0</v>
      </c>
      <c r="L91" s="26">
        <v>200</v>
      </c>
      <c r="M91" s="26">
        <v>250</v>
      </c>
      <c r="N91" s="26">
        <v>0</v>
      </c>
      <c r="O91" s="26">
        <v>0</v>
      </c>
      <c r="P91" s="27">
        <f t="shared" si="0"/>
        <v>2889</v>
      </c>
      <c r="Q91" s="27">
        <f t="shared" si="1"/>
        <v>73.17</v>
      </c>
      <c r="R91" s="27">
        <f t="shared" si="8"/>
        <v>268.29000000000002</v>
      </c>
      <c r="S91" s="27">
        <v>0</v>
      </c>
      <c r="T91" s="27">
        <v>0</v>
      </c>
      <c r="U91" s="27">
        <f t="shared" si="3"/>
        <v>341.46</v>
      </c>
      <c r="V91" s="27">
        <f t="shared" si="4"/>
        <v>2547.54</v>
      </c>
      <c r="W91" s="27">
        <v>0</v>
      </c>
    </row>
    <row r="92" spans="1:23" s="20" customFormat="1" x14ac:dyDescent="0.2">
      <c r="A92" s="23">
        <v>83</v>
      </c>
      <c r="B92" s="24" t="s">
        <v>145</v>
      </c>
      <c r="C92" s="24" t="s">
        <v>46</v>
      </c>
      <c r="D92" s="25">
        <v>1350</v>
      </c>
      <c r="E92" s="26">
        <v>2000</v>
      </c>
      <c r="F92" s="26">
        <v>0</v>
      </c>
      <c r="G92" s="26">
        <v>0</v>
      </c>
      <c r="H92" s="26">
        <v>2500</v>
      </c>
      <c r="I92" s="26">
        <v>2000</v>
      </c>
      <c r="J92" s="26">
        <v>0</v>
      </c>
      <c r="K92" s="26">
        <v>75</v>
      </c>
      <c r="L92" s="26">
        <v>0</v>
      </c>
      <c r="M92" s="26">
        <v>250</v>
      </c>
      <c r="N92" s="26">
        <v>0</v>
      </c>
      <c r="O92" s="26">
        <v>0</v>
      </c>
      <c r="P92" s="27">
        <f t="shared" si="0"/>
        <v>8175</v>
      </c>
      <c r="Q92" s="27">
        <f t="shared" si="1"/>
        <v>237.75</v>
      </c>
      <c r="R92" s="27">
        <f t="shared" si="8"/>
        <v>871.75</v>
      </c>
      <c r="S92" s="27">
        <v>146.18</v>
      </c>
      <c r="T92" s="27">
        <v>0</v>
      </c>
      <c r="U92" s="27">
        <f t="shared" si="3"/>
        <v>1255.68</v>
      </c>
      <c r="V92" s="27">
        <f t="shared" si="4"/>
        <v>6919.32</v>
      </c>
      <c r="W92" s="27">
        <v>0</v>
      </c>
    </row>
    <row r="93" spans="1:23" s="20" customFormat="1" x14ac:dyDescent="0.2">
      <c r="A93" s="23">
        <v>84</v>
      </c>
      <c r="B93" s="28" t="s">
        <v>146</v>
      </c>
      <c r="C93" s="31" t="s">
        <v>36</v>
      </c>
      <c r="D93" s="25">
        <v>1074</v>
      </c>
      <c r="E93" s="26">
        <v>0</v>
      </c>
      <c r="F93" s="26">
        <v>0</v>
      </c>
      <c r="G93" s="26">
        <v>1000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250</v>
      </c>
      <c r="N93" s="26">
        <v>0</v>
      </c>
      <c r="O93" s="26">
        <v>0</v>
      </c>
      <c r="P93" s="27">
        <f t="shared" si="0"/>
        <v>2324</v>
      </c>
      <c r="Q93" s="27">
        <f t="shared" si="1"/>
        <v>62.22</v>
      </c>
      <c r="R93" s="27">
        <f t="shared" si="8"/>
        <v>228.14</v>
      </c>
      <c r="S93" s="27">
        <v>0</v>
      </c>
      <c r="T93" s="27">
        <v>0</v>
      </c>
      <c r="U93" s="27">
        <f t="shared" si="3"/>
        <v>290.36</v>
      </c>
      <c r="V93" s="27">
        <f t="shared" si="4"/>
        <v>2033.64</v>
      </c>
      <c r="W93" s="27">
        <v>0</v>
      </c>
    </row>
    <row r="94" spans="1:23" s="20" customFormat="1" ht="25.5" x14ac:dyDescent="0.2">
      <c r="A94" s="23">
        <v>85</v>
      </c>
      <c r="B94" s="24" t="s">
        <v>147</v>
      </c>
      <c r="C94" s="24" t="s">
        <v>65</v>
      </c>
      <c r="D94" s="25">
        <f>485*2</f>
        <v>970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7">
        <f t="shared" si="0"/>
        <v>970</v>
      </c>
      <c r="Q94" s="27">
        <f t="shared" si="1"/>
        <v>29.1</v>
      </c>
      <c r="R94" s="27">
        <f t="shared" si="8"/>
        <v>106.7</v>
      </c>
      <c r="S94" s="27">
        <v>0</v>
      </c>
      <c r="T94" s="27">
        <v>0</v>
      </c>
      <c r="U94" s="27">
        <f t="shared" si="3"/>
        <v>135.80000000000001</v>
      </c>
      <c r="V94" s="27">
        <f t="shared" si="4"/>
        <v>834.2</v>
      </c>
      <c r="W94" s="27">
        <v>0</v>
      </c>
    </row>
    <row r="95" spans="1:23" s="20" customFormat="1" x14ac:dyDescent="0.2">
      <c r="A95" s="23">
        <v>86</v>
      </c>
      <c r="B95" s="24" t="s">
        <v>148</v>
      </c>
      <c r="C95" s="24" t="s">
        <v>149</v>
      </c>
      <c r="D95" s="25">
        <v>1575</v>
      </c>
      <c r="E95" s="26">
        <v>816</v>
      </c>
      <c r="F95" s="26">
        <v>0</v>
      </c>
      <c r="G95" s="26">
        <v>1000</v>
      </c>
      <c r="H95" s="26">
        <v>0</v>
      </c>
      <c r="I95" s="26">
        <v>0</v>
      </c>
      <c r="J95" s="26">
        <v>0</v>
      </c>
      <c r="K95" s="26">
        <v>50</v>
      </c>
      <c r="L95" s="26">
        <v>0</v>
      </c>
      <c r="M95" s="26">
        <v>250</v>
      </c>
      <c r="N95" s="26">
        <v>0</v>
      </c>
      <c r="O95" s="26">
        <v>0</v>
      </c>
      <c r="P95" s="27">
        <f t="shared" si="0"/>
        <v>3691</v>
      </c>
      <c r="Q95" s="27">
        <f t="shared" si="1"/>
        <v>103.23</v>
      </c>
      <c r="R95" s="27">
        <f t="shared" si="8"/>
        <v>378.51</v>
      </c>
      <c r="S95" s="27">
        <v>0</v>
      </c>
      <c r="T95" s="27">
        <v>0</v>
      </c>
      <c r="U95" s="27">
        <f t="shared" si="3"/>
        <v>481.74</v>
      </c>
      <c r="V95" s="27">
        <f t="shared" si="4"/>
        <v>3209.26</v>
      </c>
      <c r="W95" s="27">
        <v>0</v>
      </c>
    </row>
    <row r="96" spans="1:23" s="20" customFormat="1" ht="25.5" x14ac:dyDescent="0.2">
      <c r="A96" s="23">
        <v>87</v>
      </c>
      <c r="B96" s="24" t="s">
        <v>150</v>
      </c>
      <c r="C96" s="24" t="s">
        <v>55</v>
      </c>
      <c r="D96" s="25">
        <v>1223</v>
      </c>
      <c r="E96" s="26">
        <v>650</v>
      </c>
      <c r="F96" s="26">
        <v>0</v>
      </c>
      <c r="G96" s="26">
        <v>1000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250</v>
      </c>
      <c r="N96" s="26">
        <v>0</v>
      </c>
      <c r="O96" s="26">
        <v>0</v>
      </c>
      <c r="P96" s="27">
        <f t="shared" si="0"/>
        <v>3123</v>
      </c>
      <c r="Q96" s="27">
        <f t="shared" si="1"/>
        <v>86.19</v>
      </c>
      <c r="R96" s="27">
        <f t="shared" si="8"/>
        <v>316.02999999999997</v>
      </c>
      <c r="S96" s="27">
        <v>0</v>
      </c>
      <c r="T96" s="27">
        <v>0</v>
      </c>
      <c r="U96" s="27">
        <f t="shared" si="3"/>
        <v>402.22</v>
      </c>
      <c r="V96" s="27">
        <f t="shared" si="4"/>
        <v>2720.78</v>
      </c>
      <c r="W96" s="27">
        <v>0</v>
      </c>
    </row>
    <row r="97" spans="1:23" s="20" customFormat="1" ht="25.5" x14ac:dyDescent="0.2">
      <c r="A97" s="23">
        <v>88</v>
      </c>
      <c r="B97" s="24" t="s">
        <v>151</v>
      </c>
      <c r="C97" s="24" t="s">
        <v>152</v>
      </c>
      <c r="D97" s="25">
        <v>5835</v>
      </c>
      <c r="E97" s="26">
        <v>0</v>
      </c>
      <c r="F97" s="26">
        <v>0</v>
      </c>
      <c r="G97" s="26">
        <v>3000</v>
      </c>
      <c r="H97" s="26">
        <v>0</v>
      </c>
      <c r="I97" s="26">
        <v>0</v>
      </c>
      <c r="J97" s="26">
        <v>375</v>
      </c>
      <c r="K97" s="26">
        <v>0</v>
      </c>
      <c r="L97" s="26">
        <v>0</v>
      </c>
      <c r="M97" s="26">
        <v>250</v>
      </c>
      <c r="N97" s="26">
        <v>0</v>
      </c>
      <c r="O97" s="26">
        <v>0</v>
      </c>
      <c r="P97" s="27">
        <f>SUM(D97:O97)</f>
        <v>9460</v>
      </c>
      <c r="Q97" s="27">
        <f t="shared" si="1"/>
        <v>276.3</v>
      </c>
      <c r="R97" s="27">
        <f>(D97+E97+F97+G97+H97+I97+J97+K97+N97)*14%</f>
        <v>1289.4000000000001</v>
      </c>
      <c r="S97" s="27">
        <v>0</v>
      </c>
      <c r="T97" s="27">
        <v>0</v>
      </c>
      <c r="U97" s="27">
        <f t="shared" si="3"/>
        <v>1565.7</v>
      </c>
      <c r="V97" s="27">
        <f t="shared" si="4"/>
        <v>7894.3</v>
      </c>
      <c r="W97" s="27">
        <v>0</v>
      </c>
    </row>
    <row r="98" spans="1:23" s="20" customFormat="1" ht="25.5" x14ac:dyDescent="0.2">
      <c r="A98" s="23">
        <v>89</v>
      </c>
      <c r="B98" s="24" t="s">
        <v>153</v>
      </c>
      <c r="C98" s="31" t="s">
        <v>38</v>
      </c>
      <c r="D98" s="25">
        <v>1350</v>
      </c>
      <c r="E98" s="26">
        <v>2000</v>
      </c>
      <c r="F98" s="26">
        <v>0</v>
      </c>
      <c r="G98" s="26">
        <v>0</v>
      </c>
      <c r="H98" s="26">
        <v>1600</v>
      </c>
      <c r="I98" s="26">
        <v>2900</v>
      </c>
      <c r="J98" s="26">
        <v>0</v>
      </c>
      <c r="K98" s="26">
        <v>75</v>
      </c>
      <c r="L98" s="26">
        <v>0</v>
      </c>
      <c r="M98" s="26">
        <v>250</v>
      </c>
      <c r="N98" s="26">
        <v>0</v>
      </c>
      <c r="O98" s="26">
        <v>0</v>
      </c>
      <c r="P98" s="27">
        <f t="shared" ref="P98:P220" si="9">SUM(D98:N98)</f>
        <v>8175</v>
      </c>
      <c r="Q98" s="27">
        <f t="shared" si="1"/>
        <v>237.75</v>
      </c>
      <c r="R98" s="27">
        <f t="shared" ref="R98:R164" si="10">(D98+E98+F98+G98+H98+I98+J98+K98+N98)*11%</f>
        <v>871.75</v>
      </c>
      <c r="S98" s="27">
        <v>145.13</v>
      </c>
      <c r="T98" s="27">
        <v>0</v>
      </c>
      <c r="U98" s="27">
        <f t="shared" si="3"/>
        <v>1254.6300000000001</v>
      </c>
      <c r="V98" s="27">
        <f t="shared" si="4"/>
        <v>6920.37</v>
      </c>
      <c r="W98" s="27">
        <f>8864.16</f>
        <v>8864.16</v>
      </c>
    </row>
    <row r="99" spans="1:23" s="20" customFormat="1" ht="25.5" x14ac:dyDescent="0.2">
      <c r="A99" s="23">
        <v>90</v>
      </c>
      <c r="B99" s="24" t="s">
        <v>154</v>
      </c>
      <c r="C99" s="24" t="s">
        <v>65</v>
      </c>
      <c r="D99" s="25">
        <v>485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7">
        <f t="shared" si="9"/>
        <v>485</v>
      </c>
      <c r="Q99" s="27">
        <f t="shared" si="1"/>
        <v>14.55</v>
      </c>
      <c r="R99" s="27">
        <f t="shared" si="10"/>
        <v>53.35</v>
      </c>
      <c r="S99" s="27">
        <v>0</v>
      </c>
      <c r="T99" s="27">
        <v>0</v>
      </c>
      <c r="U99" s="27">
        <f t="shared" si="3"/>
        <v>67.900000000000006</v>
      </c>
      <c r="V99" s="27">
        <f t="shared" si="4"/>
        <v>417.1</v>
      </c>
      <c r="W99" s="27">
        <v>0</v>
      </c>
    </row>
    <row r="100" spans="1:23" s="20" customFormat="1" ht="25.5" x14ac:dyDescent="0.2">
      <c r="A100" s="23">
        <v>91</v>
      </c>
      <c r="B100" s="24" t="s">
        <v>155</v>
      </c>
      <c r="C100" s="24" t="s">
        <v>44</v>
      </c>
      <c r="D100" s="25">
        <v>1476</v>
      </c>
      <c r="E100" s="26">
        <v>1600</v>
      </c>
      <c r="F100" s="26">
        <v>0</v>
      </c>
      <c r="G100" s="26">
        <v>0</v>
      </c>
      <c r="H100" s="26">
        <v>1900</v>
      </c>
      <c r="I100" s="26">
        <v>0</v>
      </c>
      <c r="J100" s="26">
        <v>0</v>
      </c>
      <c r="K100" s="26">
        <v>75</v>
      </c>
      <c r="L100" s="26">
        <v>0</v>
      </c>
      <c r="M100" s="26">
        <v>250</v>
      </c>
      <c r="N100" s="26">
        <v>0</v>
      </c>
      <c r="O100" s="26">
        <v>0</v>
      </c>
      <c r="P100" s="27">
        <f t="shared" si="9"/>
        <v>5301</v>
      </c>
      <c r="Q100" s="27">
        <f t="shared" si="1"/>
        <v>151.53</v>
      </c>
      <c r="R100" s="27">
        <f t="shared" si="10"/>
        <v>555.61</v>
      </c>
      <c r="S100" s="27">
        <v>20.420000000000002</v>
      </c>
      <c r="T100" s="27">
        <v>0</v>
      </c>
      <c r="U100" s="27">
        <f t="shared" si="3"/>
        <v>727.56</v>
      </c>
      <c r="V100" s="27">
        <f t="shared" si="4"/>
        <v>4573.4399999999996</v>
      </c>
      <c r="W100" s="27">
        <v>0</v>
      </c>
    </row>
    <row r="101" spans="1:23" s="20" customFormat="1" ht="30" customHeight="1" x14ac:dyDescent="0.2">
      <c r="A101" s="23">
        <v>92</v>
      </c>
      <c r="B101" s="24" t="s">
        <v>156</v>
      </c>
      <c r="C101" s="24" t="s">
        <v>157</v>
      </c>
      <c r="D101" s="25">
        <v>1253</v>
      </c>
      <c r="E101" s="26">
        <v>550</v>
      </c>
      <c r="F101" s="26">
        <v>0</v>
      </c>
      <c r="G101" s="26">
        <v>1000</v>
      </c>
      <c r="H101" s="26">
        <v>0</v>
      </c>
      <c r="I101" s="26">
        <v>0</v>
      </c>
      <c r="J101" s="26">
        <v>0</v>
      </c>
      <c r="K101" s="26">
        <v>50</v>
      </c>
      <c r="L101" s="26">
        <v>0</v>
      </c>
      <c r="M101" s="26">
        <v>250</v>
      </c>
      <c r="N101" s="26">
        <v>0</v>
      </c>
      <c r="O101" s="26">
        <v>0</v>
      </c>
      <c r="P101" s="27">
        <f t="shared" si="9"/>
        <v>3103</v>
      </c>
      <c r="Q101" s="27">
        <f t="shared" si="1"/>
        <v>85.59</v>
      </c>
      <c r="R101" s="27">
        <f t="shared" si="10"/>
        <v>313.83</v>
      </c>
      <c r="S101" s="27">
        <v>0</v>
      </c>
      <c r="T101" s="27">
        <v>38.340000000000003</v>
      </c>
      <c r="U101" s="27">
        <f t="shared" si="3"/>
        <v>437.76</v>
      </c>
      <c r="V101" s="27">
        <f t="shared" si="4"/>
        <v>2665.24</v>
      </c>
      <c r="W101" s="27">
        <v>0</v>
      </c>
    </row>
    <row r="102" spans="1:23" s="20" customFormat="1" ht="25.5" x14ac:dyDescent="0.2">
      <c r="A102" s="23">
        <v>93</v>
      </c>
      <c r="B102" s="24" t="s">
        <v>158</v>
      </c>
      <c r="C102" s="24" t="s">
        <v>70</v>
      </c>
      <c r="D102" s="25">
        <v>1476</v>
      </c>
      <c r="E102" s="26">
        <v>2000</v>
      </c>
      <c r="F102" s="26">
        <v>0</v>
      </c>
      <c r="G102" s="26">
        <v>1900</v>
      </c>
      <c r="H102" s="26">
        <v>0</v>
      </c>
      <c r="I102" s="26">
        <v>2600</v>
      </c>
      <c r="J102" s="26">
        <v>0</v>
      </c>
      <c r="K102" s="26">
        <v>50</v>
      </c>
      <c r="L102" s="26">
        <v>0</v>
      </c>
      <c r="M102" s="26">
        <v>250</v>
      </c>
      <c r="N102" s="26">
        <v>0</v>
      </c>
      <c r="O102" s="26">
        <v>0</v>
      </c>
      <c r="P102" s="27">
        <f t="shared" si="9"/>
        <v>8276</v>
      </c>
      <c r="Q102" s="27">
        <f t="shared" si="1"/>
        <v>240.78</v>
      </c>
      <c r="R102" s="27">
        <f t="shared" si="10"/>
        <v>882.86</v>
      </c>
      <c r="S102" s="27">
        <v>146.41</v>
      </c>
      <c r="T102" s="27">
        <v>0</v>
      </c>
      <c r="U102" s="27">
        <f t="shared" si="3"/>
        <v>1270.05</v>
      </c>
      <c r="V102" s="27">
        <f t="shared" si="4"/>
        <v>7005.95</v>
      </c>
      <c r="W102" s="27">
        <f>2196.31</f>
        <v>2196.31</v>
      </c>
    </row>
    <row r="103" spans="1:23" s="20" customFormat="1" ht="25.5" x14ac:dyDescent="0.2">
      <c r="A103" s="23">
        <v>94</v>
      </c>
      <c r="B103" s="24" t="s">
        <v>159</v>
      </c>
      <c r="C103" s="24" t="s">
        <v>144</v>
      </c>
      <c r="D103" s="25">
        <v>1039</v>
      </c>
      <c r="E103" s="26">
        <v>400</v>
      </c>
      <c r="F103" s="26">
        <v>0</v>
      </c>
      <c r="G103" s="26">
        <v>1000</v>
      </c>
      <c r="H103" s="26">
        <v>0</v>
      </c>
      <c r="I103" s="26">
        <v>0</v>
      </c>
      <c r="J103" s="26">
        <v>0</v>
      </c>
      <c r="K103" s="26">
        <v>50</v>
      </c>
      <c r="L103" s="26">
        <v>200</v>
      </c>
      <c r="M103" s="26">
        <v>250</v>
      </c>
      <c r="N103" s="26">
        <v>0</v>
      </c>
      <c r="O103" s="26">
        <v>0</v>
      </c>
      <c r="P103" s="27">
        <f t="shared" si="9"/>
        <v>2939</v>
      </c>
      <c r="Q103" s="27">
        <f t="shared" si="1"/>
        <v>74.67</v>
      </c>
      <c r="R103" s="27">
        <f t="shared" si="10"/>
        <v>273.79000000000002</v>
      </c>
      <c r="S103" s="27">
        <v>0</v>
      </c>
      <c r="T103" s="27">
        <v>0</v>
      </c>
      <c r="U103" s="27">
        <f t="shared" si="3"/>
        <v>348.46</v>
      </c>
      <c r="V103" s="27">
        <f t="shared" si="4"/>
        <v>2590.54</v>
      </c>
      <c r="W103" s="27">
        <v>0</v>
      </c>
    </row>
    <row r="104" spans="1:23" s="20" customFormat="1" ht="38.25" x14ac:dyDescent="0.2">
      <c r="A104" s="23">
        <v>95</v>
      </c>
      <c r="B104" s="24" t="s">
        <v>160</v>
      </c>
      <c r="C104" s="24" t="s">
        <v>161</v>
      </c>
      <c r="D104" s="25">
        <f>485*5</f>
        <v>2425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7">
        <f t="shared" si="9"/>
        <v>2425</v>
      </c>
      <c r="Q104" s="27">
        <f t="shared" si="1"/>
        <v>72.75</v>
      </c>
      <c r="R104" s="27">
        <f t="shared" si="10"/>
        <v>266.75</v>
      </c>
      <c r="S104" s="27">
        <v>0</v>
      </c>
      <c r="T104" s="27">
        <v>0</v>
      </c>
      <c r="U104" s="27">
        <f t="shared" si="3"/>
        <v>339.5</v>
      </c>
      <c r="V104" s="27">
        <f t="shared" si="4"/>
        <v>2085.5</v>
      </c>
      <c r="W104" s="27">
        <v>0</v>
      </c>
    </row>
    <row r="105" spans="1:23" s="20" customFormat="1" ht="25.5" x14ac:dyDescent="0.2">
      <c r="A105" s="23">
        <v>96</v>
      </c>
      <c r="B105" s="24" t="s">
        <v>162</v>
      </c>
      <c r="C105" s="31" t="s">
        <v>38</v>
      </c>
      <c r="D105" s="25">
        <v>1350</v>
      </c>
      <c r="E105" s="26">
        <v>2000</v>
      </c>
      <c r="F105" s="26">
        <v>0</v>
      </c>
      <c r="G105" s="26">
        <v>0</v>
      </c>
      <c r="H105" s="26">
        <v>1600</v>
      </c>
      <c r="I105" s="26">
        <v>2900</v>
      </c>
      <c r="J105" s="26">
        <v>0</v>
      </c>
      <c r="K105" s="26">
        <v>75</v>
      </c>
      <c r="L105" s="26">
        <v>0</v>
      </c>
      <c r="M105" s="26">
        <v>250</v>
      </c>
      <c r="N105" s="26">
        <v>0</v>
      </c>
      <c r="O105" s="26">
        <v>0</v>
      </c>
      <c r="P105" s="27">
        <f t="shared" si="9"/>
        <v>8175</v>
      </c>
      <c r="Q105" s="27">
        <f t="shared" si="1"/>
        <v>237.75</v>
      </c>
      <c r="R105" s="27">
        <f t="shared" si="10"/>
        <v>871.75</v>
      </c>
      <c r="S105" s="27">
        <v>146.18</v>
      </c>
      <c r="T105" s="27">
        <v>0</v>
      </c>
      <c r="U105" s="27">
        <f t="shared" si="3"/>
        <v>1255.68</v>
      </c>
      <c r="V105" s="27">
        <f t="shared" si="4"/>
        <v>6919.32</v>
      </c>
      <c r="W105" s="27">
        <v>0</v>
      </c>
    </row>
    <row r="106" spans="1:23" s="20" customFormat="1" ht="25.5" x14ac:dyDescent="0.2">
      <c r="A106" s="23">
        <v>97</v>
      </c>
      <c r="B106" s="24" t="s">
        <v>163</v>
      </c>
      <c r="C106" s="31" t="s">
        <v>77</v>
      </c>
      <c r="D106" s="25">
        <v>1792</v>
      </c>
      <c r="E106" s="26">
        <v>2500</v>
      </c>
      <c r="F106" s="26">
        <v>0</v>
      </c>
      <c r="G106" s="26">
        <v>0</v>
      </c>
      <c r="H106" s="26">
        <v>2500</v>
      </c>
      <c r="I106" s="26">
        <v>3000</v>
      </c>
      <c r="J106" s="26">
        <v>0</v>
      </c>
      <c r="K106" s="26">
        <v>50</v>
      </c>
      <c r="L106" s="26">
        <v>0</v>
      </c>
      <c r="M106" s="26">
        <v>250</v>
      </c>
      <c r="N106" s="26">
        <v>0</v>
      </c>
      <c r="O106" s="26">
        <v>0</v>
      </c>
      <c r="P106" s="27">
        <f t="shared" si="9"/>
        <v>10092</v>
      </c>
      <c r="Q106" s="27">
        <f t="shared" si="1"/>
        <v>295.26</v>
      </c>
      <c r="R106" s="27">
        <f t="shared" si="10"/>
        <v>1082.6199999999999</v>
      </c>
      <c r="S106" s="27">
        <v>221.78</v>
      </c>
      <c r="T106" s="27">
        <v>0</v>
      </c>
      <c r="U106" s="27">
        <f t="shared" si="3"/>
        <v>1599.66</v>
      </c>
      <c r="V106" s="27">
        <f t="shared" si="4"/>
        <v>8492.34</v>
      </c>
      <c r="W106" s="27">
        <v>0</v>
      </c>
    </row>
    <row r="107" spans="1:23" s="20" customFormat="1" x14ac:dyDescent="0.2">
      <c r="A107" s="23">
        <v>98</v>
      </c>
      <c r="B107" s="24" t="s">
        <v>164</v>
      </c>
      <c r="C107" s="24" t="s">
        <v>33</v>
      </c>
      <c r="D107" s="25">
        <v>1634</v>
      </c>
      <c r="E107" s="26">
        <v>2400</v>
      </c>
      <c r="F107" s="26">
        <v>0</v>
      </c>
      <c r="G107" s="26">
        <v>0</v>
      </c>
      <c r="H107" s="26">
        <v>3000</v>
      </c>
      <c r="I107" s="26">
        <v>2400</v>
      </c>
      <c r="J107" s="26">
        <v>0</v>
      </c>
      <c r="K107" s="26">
        <v>75</v>
      </c>
      <c r="L107" s="26">
        <v>0</v>
      </c>
      <c r="M107" s="26">
        <v>250</v>
      </c>
      <c r="N107" s="26">
        <v>0</v>
      </c>
      <c r="O107" s="26">
        <v>0</v>
      </c>
      <c r="P107" s="27">
        <f t="shared" si="9"/>
        <v>9759</v>
      </c>
      <c r="Q107" s="27">
        <f t="shared" si="1"/>
        <v>285.27</v>
      </c>
      <c r="R107" s="27">
        <f t="shared" si="10"/>
        <v>1045.99</v>
      </c>
      <c r="S107" s="27">
        <v>207.96</v>
      </c>
      <c r="T107" s="27">
        <v>0</v>
      </c>
      <c r="U107" s="27">
        <f t="shared" si="3"/>
        <v>1539.22</v>
      </c>
      <c r="V107" s="27">
        <f t="shared" si="4"/>
        <v>8219.7800000000007</v>
      </c>
      <c r="W107" s="27">
        <v>0</v>
      </c>
    </row>
    <row r="108" spans="1:23" s="20" customFormat="1" ht="25.5" x14ac:dyDescent="0.2">
      <c r="A108" s="23">
        <v>99</v>
      </c>
      <c r="B108" s="24" t="s">
        <v>165</v>
      </c>
      <c r="C108" s="24" t="s">
        <v>70</v>
      </c>
      <c r="D108" s="25">
        <v>1476</v>
      </c>
      <c r="E108" s="26">
        <v>2000</v>
      </c>
      <c r="F108" s="26">
        <v>0</v>
      </c>
      <c r="G108" s="26">
        <v>1900</v>
      </c>
      <c r="H108" s="26">
        <v>0</v>
      </c>
      <c r="I108" s="26">
        <v>2600</v>
      </c>
      <c r="J108" s="26">
        <v>0</v>
      </c>
      <c r="K108" s="26">
        <v>50</v>
      </c>
      <c r="L108" s="26">
        <v>0</v>
      </c>
      <c r="M108" s="26">
        <v>250</v>
      </c>
      <c r="N108" s="26">
        <v>0</v>
      </c>
      <c r="O108" s="26">
        <v>0</v>
      </c>
      <c r="P108" s="27">
        <f t="shared" si="9"/>
        <v>8276</v>
      </c>
      <c r="Q108" s="27">
        <f t="shared" si="1"/>
        <v>240.78</v>
      </c>
      <c r="R108" s="27">
        <f t="shared" si="10"/>
        <v>882.86</v>
      </c>
      <c r="S108" s="27">
        <v>146.41</v>
      </c>
      <c r="T108" s="27">
        <v>0</v>
      </c>
      <c r="U108" s="27">
        <f t="shared" si="3"/>
        <v>1270.05</v>
      </c>
      <c r="V108" s="27">
        <f t="shared" si="4"/>
        <v>7005.95</v>
      </c>
      <c r="W108" s="27">
        <v>0</v>
      </c>
    </row>
    <row r="109" spans="1:23" s="20" customFormat="1" ht="25.5" x14ac:dyDescent="0.2">
      <c r="A109" s="23">
        <v>100</v>
      </c>
      <c r="B109" s="24" t="s">
        <v>166</v>
      </c>
      <c r="C109" s="24" t="s">
        <v>46</v>
      </c>
      <c r="D109" s="25">
        <v>1350</v>
      </c>
      <c r="E109" s="26">
        <v>2000</v>
      </c>
      <c r="F109" s="26">
        <v>0</v>
      </c>
      <c r="G109" s="26">
        <v>0</v>
      </c>
      <c r="H109" s="26">
        <v>0</v>
      </c>
      <c r="I109" s="26">
        <v>4500</v>
      </c>
      <c r="J109" s="26">
        <v>0</v>
      </c>
      <c r="K109" s="26">
        <v>75</v>
      </c>
      <c r="L109" s="26">
        <v>0</v>
      </c>
      <c r="M109" s="26">
        <v>250</v>
      </c>
      <c r="N109" s="26">
        <v>0</v>
      </c>
      <c r="O109" s="26">
        <v>0</v>
      </c>
      <c r="P109" s="27">
        <f t="shared" si="9"/>
        <v>8175</v>
      </c>
      <c r="Q109" s="27">
        <f t="shared" si="1"/>
        <v>237.75</v>
      </c>
      <c r="R109" s="27">
        <f t="shared" si="10"/>
        <v>871.75</v>
      </c>
      <c r="S109" s="27">
        <v>145.13</v>
      </c>
      <c r="T109" s="27">
        <v>0</v>
      </c>
      <c r="U109" s="27">
        <f t="shared" si="3"/>
        <v>1254.6300000000001</v>
      </c>
      <c r="V109" s="27">
        <f t="shared" si="4"/>
        <v>6920.37</v>
      </c>
      <c r="W109" s="27">
        <v>0</v>
      </c>
    </row>
    <row r="110" spans="1:23" s="20" customFormat="1" x14ac:dyDescent="0.2">
      <c r="A110" s="23">
        <v>101</v>
      </c>
      <c r="B110" s="24" t="s">
        <v>167</v>
      </c>
      <c r="C110" s="24" t="s">
        <v>36</v>
      </c>
      <c r="D110" s="25">
        <v>1074</v>
      </c>
      <c r="E110" s="26">
        <v>400</v>
      </c>
      <c r="F110" s="26">
        <v>0</v>
      </c>
      <c r="G110" s="26">
        <v>1000</v>
      </c>
      <c r="H110" s="26">
        <v>0</v>
      </c>
      <c r="I110" s="26">
        <v>0</v>
      </c>
      <c r="J110" s="26">
        <v>0</v>
      </c>
      <c r="K110" s="26">
        <v>50</v>
      </c>
      <c r="L110" s="26">
        <v>200</v>
      </c>
      <c r="M110" s="26">
        <v>250</v>
      </c>
      <c r="N110" s="26">
        <v>0</v>
      </c>
      <c r="O110" s="26">
        <v>0</v>
      </c>
      <c r="P110" s="27">
        <f t="shared" si="9"/>
        <v>2974</v>
      </c>
      <c r="Q110" s="27">
        <f t="shared" si="1"/>
        <v>75.72</v>
      </c>
      <c r="R110" s="27">
        <f t="shared" si="10"/>
        <v>277.64</v>
      </c>
      <c r="S110" s="27">
        <v>0</v>
      </c>
      <c r="T110" s="27">
        <v>0</v>
      </c>
      <c r="U110" s="27">
        <f t="shared" si="3"/>
        <v>353.36</v>
      </c>
      <c r="V110" s="27">
        <f t="shared" si="4"/>
        <v>2620.64</v>
      </c>
      <c r="W110" s="27">
        <v>0</v>
      </c>
    </row>
    <row r="111" spans="1:23" s="20" customFormat="1" x14ac:dyDescent="0.2">
      <c r="A111" s="23">
        <v>102</v>
      </c>
      <c r="B111" s="24" t="s">
        <v>168</v>
      </c>
      <c r="C111" s="24" t="s">
        <v>46</v>
      </c>
      <c r="D111" s="25">
        <v>1350</v>
      </c>
      <c r="E111" s="26">
        <v>2000</v>
      </c>
      <c r="F111" s="26">
        <v>0</v>
      </c>
      <c r="G111" s="26">
        <v>0</v>
      </c>
      <c r="H111" s="26">
        <v>0</v>
      </c>
      <c r="I111" s="26">
        <v>4500</v>
      </c>
      <c r="J111" s="26">
        <v>0</v>
      </c>
      <c r="K111" s="26">
        <v>50</v>
      </c>
      <c r="L111" s="26">
        <v>0</v>
      </c>
      <c r="M111" s="26">
        <v>250</v>
      </c>
      <c r="N111" s="26">
        <v>0</v>
      </c>
      <c r="O111" s="26">
        <v>0</v>
      </c>
      <c r="P111" s="27">
        <f t="shared" si="9"/>
        <v>8150</v>
      </c>
      <c r="Q111" s="27">
        <f t="shared" si="1"/>
        <v>237</v>
      </c>
      <c r="R111" s="27">
        <f t="shared" si="10"/>
        <v>869</v>
      </c>
      <c r="S111" s="27">
        <v>145.53</v>
      </c>
      <c r="T111" s="27">
        <v>0</v>
      </c>
      <c r="U111" s="27">
        <f t="shared" si="3"/>
        <v>1251.53</v>
      </c>
      <c r="V111" s="27">
        <f t="shared" si="4"/>
        <v>6898.47</v>
      </c>
      <c r="W111" s="27">
        <v>0</v>
      </c>
    </row>
    <row r="112" spans="1:23" s="20" customFormat="1" ht="25.5" x14ac:dyDescent="0.2">
      <c r="A112" s="23">
        <v>103</v>
      </c>
      <c r="B112" s="42" t="s">
        <v>169</v>
      </c>
      <c r="C112" s="34" t="s">
        <v>170</v>
      </c>
      <c r="D112" s="37">
        <v>6759</v>
      </c>
      <c r="E112" s="43">
        <v>2000</v>
      </c>
      <c r="F112" s="26">
        <v>0</v>
      </c>
      <c r="G112" s="37">
        <v>4000</v>
      </c>
      <c r="H112" s="26">
        <v>0</v>
      </c>
      <c r="I112" s="26">
        <v>0</v>
      </c>
      <c r="J112" s="26">
        <v>375</v>
      </c>
      <c r="K112" s="26">
        <v>0</v>
      </c>
      <c r="L112" s="26">
        <v>0</v>
      </c>
      <c r="M112" s="26">
        <v>250</v>
      </c>
      <c r="N112" s="26">
        <v>0</v>
      </c>
      <c r="O112" s="26">
        <v>0</v>
      </c>
      <c r="P112" s="27">
        <f t="shared" si="9"/>
        <v>13384</v>
      </c>
      <c r="Q112" s="27">
        <f t="shared" si="1"/>
        <v>394.02</v>
      </c>
      <c r="R112" s="27">
        <f t="shared" si="10"/>
        <v>1444.74</v>
      </c>
      <c r="S112" s="36">
        <v>354.95</v>
      </c>
      <c r="T112" s="36">
        <v>176.52</v>
      </c>
      <c r="U112" s="27">
        <f t="shared" si="3"/>
        <v>2370.23</v>
      </c>
      <c r="V112" s="27">
        <f t="shared" si="4"/>
        <v>11013.77</v>
      </c>
      <c r="W112" s="27">
        <f>1055</f>
        <v>1055</v>
      </c>
    </row>
    <row r="113" spans="1:23" s="20" customFormat="1" x14ac:dyDescent="0.2">
      <c r="A113" s="23">
        <v>104</v>
      </c>
      <c r="B113" s="24" t="s">
        <v>171</v>
      </c>
      <c r="C113" s="24" t="s">
        <v>36</v>
      </c>
      <c r="D113" s="25">
        <v>1074</v>
      </c>
      <c r="E113" s="26">
        <v>400</v>
      </c>
      <c r="F113" s="26">
        <v>0</v>
      </c>
      <c r="G113" s="26">
        <v>1000</v>
      </c>
      <c r="H113" s="26">
        <v>0</v>
      </c>
      <c r="I113" s="26">
        <v>0</v>
      </c>
      <c r="J113" s="26">
        <v>0</v>
      </c>
      <c r="K113" s="26">
        <v>0</v>
      </c>
      <c r="L113" s="26">
        <v>200</v>
      </c>
      <c r="M113" s="26">
        <v>250</v>
      </c>
      <c r="N113" s="26">
        <v>0</v>
      </c>
      <c r="O113" s="26">
        <v>0</v>
      </c>
      <c r="P113" s="27">
        <f t="shared" si="9"/>
        <v>2924</v>
      </c>
      <c r="Q113" s="27">
        <f t="shared" si="1"/>
        <v>74.22</v>
      </c>
      <c r="R113" s="27">
        <f t="shared" si="10"/>
        <v>272.14</v>
      </c>
      <c r="S113" s="27">
        <v>0</v>
      </c>
      <c r="T113" s="27">
        <v>0</v>
      </c>
      <c r="U113" s="27">
        <f t="shared" si="3"/>
        <v>346.36</v>
      </c>
      <c r="V113" s="27">
        <f t="shared" si="4"/>
        <v>2577.64</v>
      </c>
      <c r="W113" s="27">
        <v>0</v>
      </c>
    </row>
    <row r="114" spans="1:23" s="20" customFormat="1" ht="25.5" x14ac:dyDescent="0.2">
      <c r="A114" s="23">
        <v>105</v>
      </c>
      <c r="B114" s="24" t="s">
        <v>172</v>
      </c>
      <c r="C114" s="24" t="s">
        <v>55</v>
      </c>
      <c r="D114" s="25">
        <v>1223</v>
      </c>
      <c r="E114" s="26">
        <v>2000</v>
      </c>
      <c r="F114" s="26">
        <v>0</v>
      </c>
      <c r="G114" s="26">
        <v>0</v>
      </c>
      <c r="H114" s="26">
        <v>0</v>
      </c>
      <c r="I114" s="26">
        <v>4500</v>
      </c>
      <c r="J114" s="26">
        <v>0</v>
      </c>
      <c r="K114" s="26">
        <v>0</v>
      </c>
      <c r="L114" s="26">
        <v>0</v>
      </c>
      <c r="M114" s="26">
        <v>250</v>
      </c>
      <c r="N114" s="26">
        <v>0</v>
      </c>
      <c r="O114" s="26">
        <v>0</v>
      </c>
      <c r="P114" s="27">
        <f t="shared" si="9"/>
        <v>7973</v>
      </c>
      <c r="Q114" s="27">
        <f t="shared" si="1"/>
        <v>231.69</v>
      </c>
      <c r="R114" s="27">
        <f t="shared" si="10"/>
        <v>849.53</v>
      </c>
      <c r="S114" s="27">
        <v>137.69999999999999</v>
      </c>
      <c r="T114" s="27">
        <v>0</v>
      </c>
      <c r="U114" s="27">
        <f t="shared" si="3"/>
        <v>1218.92</v>
      </c>
      <c r="V114" s="27">
        <f t="shared" si="4"/>
        <v>6754.08</v>
      </c>
      <c r="W114" s="27">
        <v>0</v>
      </c>
    </row>
    <row r="115" spans="1:23" s="20" customFormat="1" ht="25.5" x14ac:dyDescent="0.2">
      <c r="A115" s="23">
        <v>106</v>
      </c>
      <c r="B115" s="24" t="s">
        <v>173</v>
      </c>
      <c r="C115" s="31" t="s">
        <v>38</v>
      </c>
      <c r="D115" s="25">
        <v>1350</v>
      </c>
      <c r="E115" s="26">
        <v>2000</v>
      </c>
      <c r="F115" s="26">
        <v>0</v>
      </c>
      <c r="G115" s="26">
        <v>0</v>
      </c>
      <c r="H115" s="26">
        <v>1600</v>
      </c>
      <c r="I115" s="26">
        <v>2900</v>
      </c>
      <c r="J115" s="26">
        <v>0</v>
      </c>
      <c r="K115" s="26">
        <v>35</v>
      </c>
      <c r="L115" s="26">
        <v>0</v>
      </c>
      <c r="M115" s="26">
        <v>250</v>
      </c>
      <c r="N115" s="26">
        <v>0</v>
      </c>
      <c r="O115" s="26">
        <v>0</v>
      </c>
      <c r="P115" s="27">
        <f t="shared" si="9"/>
        <v>8135</v>
      </c>
      <c r="Q115" s="27">
        <f t="shared" si="1"/>
        <v>236.55</v>
      </c>
      <c r="R115" s="27">
        <f t="shared" si="10"/>
        <v>867.35</v>
      </c>
      <c r="S115" s="27">
        <v>144.5</v>
      </c>
      <c r="T115" s="27">
        <v>105.97</v>
      </c>
      <c r="U115" s="27">
        <f t="shared" si="3"/>
        <v>1354.37</v>
      </c>
      <c r="V115" s="27">
        <f t="shared" si="4"/>
        <v>6780.63</v>
      </c>
      <c r="W115" s="27">
        <f>8525.82</f>
        <v>8525.82</v>
      </c>
    </row>
    <row r="116" spans="1:23" s="20" customFormat="1" x14ac:dyDescent="0.2">
      <c r="A116" s="23">
        <v>107</v>
      </c>
      <c r="B116" s="24" t="s">
        <v>174</v>
      </c>
      <c r="C116" s="24" t="s">
        <v>36</v>
      </c>
      <c r="D116" s="25">
        <v>1074</v>
      </c>
      <c r="E116" s="26">
        <v>400</v>
      </c>
      <c r="F116" s="26">
        <v>0</v>
      </c>
      <c r="G116" s="26">
        <v>1000</v>
      </c>
      <c r="H116" s="26">
        <v>0</v>
      </c>
      <c r="I116" s="26">
        <v>0</v>
      </c>
      <c r="J116" s="26">
        <v>0</v>
      </c>
      <c r="K116" s="26">
        <v>0</v>
      </c>
      <c r="L116" s="26">
        <v>200</v>
      </c>
      <c r="M116" s="26">
        <v>250</v>
      </c>
      <c r="N116" s="26">
        <v>0</v>
      </c>
      <c r="O116" s="26">
        <v>0</v>
      </c>
      <c r="P116" s="27">
        <f t="shared" si="9"/>
        <v>2924</v>
      </c>
      <c r="Q116" s="27">
        <f t="shared" si="1"/>
        <v>74.22</v>
      </c>
      <c r="R116" s="27">
        <f t="shared" si="10"/>
        <v>272.14</v>
      </c>
      <c r="S116" s="27">
        <v>0</v>
      </c>
      <c r="T116" s="27">
        <v>0</v>
      </c>
      <c r="U116" s="27">
        <f t="shared" si="3"/>
        <v>346.36</v>
      </c>
      <c r="V116" s="27">
        <f t="shared" si="4"/>
        <v>2577.64</v>
      </c>
      <c r="W116" s="27">
        <v>0</v>
      </c>
    </row>
    <row r="117" spans="1:23" s="20" customFormat="1" ht="25.5" x14ac:dyDescent="0.2">
      <c r="A117" s="23">
        <v>108</v>
      </c>
      <c r="B117" s="24" t="s">
        <v>175</v>
      </c>
      <c r="C117" s="31" t="s">
        <v>38</v>
      </c>
      <c r="D117" s="26">
        <v>1350</v>
      </c>
      <c r="E117" s="27">
        <v>2000</v>
      </c>
      <c r="F117" s="26">
        <v>0</v>
      </c>
      <c r="G117" s="26">
        <v>0</v>
      </c>
      <c r="H117" s="26">
        <v>1600</v>
      </c>
      <c r="I117" s="26">
        <v>2900</v>
      </c>
      <c r="J117" s="26">
        <v>0</v>
      </c>
      <c r="K117" s="26">
        <v>0</v>
      </c>
      <c r="L117" s="26">
        <v>0</v>
      </c>
      <c r="M117" s="26">
        <v>250</v>
      </c>
      <c r="N117" s="26">
        <v>0</v>
      </c>
      <c r="O117" s="26">
        <v>0</v>
      </c>
      <c r="P117" s="27">
        <f t="shared" si="9"/>
        <v>8100</v>
      </c>
      <c r="Q117" s="27">
        <f t="shared" si="1"/>
        <v>235.5</v>
      </c>
      <c r="R117" s="27">
        <f t="shared" si="10"/>
        <v>863.5</v>
      </c>
      <c r="S117" s="27">
        <v>137.69</v>
      </c>
      <c r="T117" s="27">
        <v>0</v>
      </c>
      <c r="U117" s="27">
        <f t="shared" si="3"/>
        <v>1236.69</v>
      </c>
      <c r="V117" s="27">
        <f t="shared" si="4"/>
        <v>6863.31</v>
      </c>
      <c r="W117" s="27">
        <v>0</v>
      </c>
    </row>
    <row r="118" spans="1:23" s="20" customFormat="1" x14ac:dyDescent="0.2">
      <c r="A118" s="23">
        <v>109</v>
      </c>
      <c r="B118" s="24" t="s">
        <v>176</v>
      </c>
      <c r="C118" s="24" t="s">
        <v>177</v>
      </c>
      <c r="D118" s="26">
        <v>1128</v>
      </c>
      <c r="E118" s="26">
        <v>0</v>
      </c>
      <c r="F118" s="26">
        <v>0</v>
      </c>
      <c r="G118" s="26">
        <v>1000</v>
      </c>
      <c r="H118" s="26">
        <v>0</v>
      </c>
      <c r="I118" s="26">
        <v>0</v>
      </c>
      <c r="J118" s="26">
        <v>0</v>
      </c>
      <c r="K118" s="26">
        <v>0</v>
      </c>
      <c r="L118" s="26">
        <v>600</v>
      </c>
      <c r="M118" s="26">
        <v>250</v>
      </c>
      <c r="N118" s="26">
        <v>0</v>
      </c>
      <c r="O118" s="26">
        <v>0</v>
      </c>
      <c r="P118" s="27">
        <f t="shared" si="9"/>
        <v>2978</v>
      </c>
      <c r="Q118" s="27">
        <f t="shared" si="1"/>
        <v>63.84</v>
      </c>
      <c r="R118" s="27">
        <f t="shared" si="10"/>
        <v>234.08</v>
      </c>
      <c r="S118" s="27">
        <v>0</v>
      </c>
      <c r="T118" s="27">
        <v>0</v>
      </c>
      <c r="U118" s="27">
        <f t="shared" si="3"/>
        <v>297.92</v>
      </c>
      <c r="V118" s="27">
        <f t="shared" si="4"/>
        <v>2680.08</v>
      </c>
      <c r="W118" s="27">
        <v>0</v>
      </c>
    </row>
    <row r="119" spans="1:23" s="20" customFormat="1" ht="25.5" x14ac:dyDescent="0.2">
      <c r="A119" s="23">
        <v>110</v>
      </c>
      <c r="B119" s="24" t="s">
        <v>178</v>
      </c>
      <c r="C119" s="31" t="s">
        <v>38</v>
      </c>
      <c r="D119" s="25">
        <v>1350</v>
      </c>
      <c r="E119" s="26">
        <v>2000</v>
      </c>
      <c r="F119" s="26">
        <v>0</v>
      </c>
      <c r="G119" s="26">
        <v>0</v>
      </c>
      <c r="H119" s="26">
        <v>1600</v>
      </c>
      <c r="I119" s="26">
        <v>2900</v>
      </c>
      <c r="J119" s="26">
        <v>0</v>
      </c>
      <c r="K119" s="26">
        <v>75</v>
      </c>
      <c r="L119" s="26">
        <v>0</v>
      </c>
      <c r="M119" s="26">
        <v>250</v>
      </c>
      <c r="N119" s="26">
        <v>0</v>
      </c>
      <c r="O119" s="26">
        <v>0</v>
      </c>
      <c r="P119" s="27">
        <f t="shared" si="9"/>
        <v>8175</v>
      </c>
      <c r="Q119" s="27">
        <f t="shared" si="1"/>
        <v>237.75</v>
      </c>
      <c r="R119" s="27">
        <f t="shared" si="10"/>
        <v>871.75</v>
      </c>
      <c r="S119" s="27">
        <v>145.13</v>
      </c>
      <c r="T119" s="27">
        <v>106.18</v>
      </c>
      <c r="U119" s="27">
        <f t="shared" si="3"/>
        <v>1360.81</v>
      </c>
      <c r="V119" s="27">
        <f t="shared" si="4"/>
        <v>6814.19</v>
      </c>
      <c r="W119" s="27">
        <v>0</v>
      </c>
    </row>
    <row r="120" spans="1:23" s="20" customFormat="1" ht="25.5" x14ac:dyDescent="0.2">
      <c r="A120" s="23">
        <v>111</v>
      </c>
      <c r="B120" s="24" t="s">
        <v>179</v>
      </c>
      <c r="C120" s="24" t="s">
        <v>55</v>
      </c>
      <c r="D120" s="25">
        <v>1223</v>
      </c>
      <c r="E120" s="27">
        <f>2000</f>
        <v>2000</v>
      </c>
      <c r="F120" s="26">
        <v>0</v>
      </c>
      <c r="G120" s="26">
        <v>0</v>
      </c>
      <c r="H120" s="26">
        <v>1300</v>
      </c>
      <c r="I120" s="26">
        <f>3200</f>
        <v>3200</v>
      </c>
      <c r="J120" s="26">
        <v>0</v>
      </c>
      <c r="K120" s="26">
        <v>0</v>
      </c>
      <c r="L120" s="26">
        <v>0</v>
      </c>
      <c r="M120" s="26">
        <v>250</v>
      </c>
      <c r="N120" s="26">
        <v>0</v>
      </c>
      <c r="O120" s="26">
        <v>0</v>
      </c>
      <c r="P120" s="27">
        <f t="shared" si="9"/>
        <v>7973</v>
      </c>
      <c r="Q120" s="27">
        <f t="shared" si="1"/>
        <v>231.69</v>
      </c>
      <c r="R120" s="27">
        <f t="shared" si="10"/>
        <v>849.53</v>
      </c>
      <c r="S120" s="27">
        <v>139.80000000000001</v>
      </c>
      <c r="T120" s="27">
        <v>0</v>
      </c>
      <c r="U120" s="27">
        <f t="shared" si="3"/>
        <v>1221.02</v>
      </c>
      <c r="V120" s="27">
        <f t="shared" si="4"/>
        <v>6751.98</v>
      </c>
      <c r="W120" s="27">
        <v>0</v>
      </c>
    </row>
    <row r="121" spans="1:23" s="20" customFormat="1" ht="25.5" x14ac:dyDescent="0.2">
      <c r="A121" s="23">
        <v>112</v>
      </c>
      <c r="B121" s="31" t="s">
        <v>180</v>
      </c>
      <c r="C121" s="44" t="s">
        <v>181</v>
      </c>
      <c r="D121" s="45">
        <v>10261</v>
      </c>
      <c r="E121" s="27">
        <v>4000</v>
      </c>
      <c r="F121" s="26">
        <v>0</v>
      </c>
      <c r="G121" s="26">
        <v>5000</v>
      </c>
      <c r="H121" s="26">
        <v>0</v>
      </c>
      <c r="I121" s="26">
        <v>0</v>
      </c>
      <c r="J121" s="26">
        <v>375</v>
      </c>
      <c r="K121" s="26">
        <v>0</v>
      </c>
      <c r="L121" s="26">
        <v>0</v>
      </c>
      <c r="M121" s="26">
        <v>250</v>
      </c>
      <c r="N121" s="26">
        <v>0</v>
      </c>
      <c r="O121" s="26">
        <v>0</v>
      </c>
      <c r="P121" s="27">
        <f t="shared" si="9"/>
        <v>19886</v>
      </c>
      <c r="Q121" s="27">
        <f t="shared" si="1"/>
        <v>589.08000000000004</v>
      </c>
      <c r="R121" s="27">
        <f t="shared" si="10"/>
        <v>2159.96</v>
      </c>
      <c r="S121" s="27">
        <v>618.41</v>
      </c>
      <c r="T121" s="27">
        <v>263.91000000000003</v>
      </c>
      <c r="U121" s="27">
        <f t="shared" si="3"/>
        <v>3631.36</v>
      </c>
      <c r="V121" s="27">
        <f t="shared" si="4"/>
        <v>16254.64</v>
      </c>
      <c r="W121" s="27">
        <v>0</v>
      </c>
    </row>
    <row r="122" spans="1:23" s="20" customFormat="1" ht="25.5" x14ac:dyDescent="0.2">
      <c r="A122" s="23">
        <v>113</v>
      </c>
      <c r="B122" s="31" t="s">
        <v>182</v>
      </c>
      <c r="C122" s="24" t="s">
        <v>183</v>
      </c>
      <c r="D122" s="26">
        <v>1074</v>
      </c>
      <c r="E122" s="26">
        <v>0</v>
      </c>
      <c r="F122" s="26">
        <v>0</v>
      </c>
      <c r="G122" s="26">
        <v>1000</v>
      </c>
      <c r="H122" s="26">
        <v>0</v>
      </c>
      <c r="I122" s="26">
        <v>0</v>
      </c>
      <c r="J122" s="26">
        <v>0</v>
      </c>
      <c r="K122" s="26">
        <v>0</v>
      </c>
      <c r="L122" s="26">
        <v>600</v>
      </c>
      <c r="M122" s="26">
        <v>250</v>
      </c>
      <c r="N122" s="26">
        <v>0</v>
      </c>
      <c r="O122" s="26">
        <v>0</v>
      </c>
      <c r="P122" s="27">
        <f t="shared" si="9"/>
        <v>2924</v>
      </c>
      <c r="Q122" s="27">
        <f t="shared" si="1"/>
        <v>62.22</v>
      </c>
      <c r="R122" s="27">
        <f t="shared" si="10"/>
        <v>228.14</v>
      </c>
      <c r="S122" s="27">
        <v>0</v>
      </c>
      <c r="T122" s="27">
        <v>0</v>
      </c>
      <c r="U122" s="27">
        <f t="shared" si="3"/>
        <v>290.36</v>
      </c>
      <c r="V122" s="27">
        <f t="shared" si="4"/>
        <v>2633.64</v>
      </c>
      <c r="W122" s="27">
        <v>0</v>
      </c>
    </row>
    <row r="123" spans="1:23" s="20" customFormat="1" ht="25.5" x14ac:dyDescent="0.2">
      <c r="A123" s="23">
        <v>114</v>
      </c>
      <c r="B123" s="24" t="s">
        <v>184</v>
      </c>
      <c r="C123" s="31" t="s">
        <v>38</v>
      </c>
      <c r="D123" s="25">
        <v>1350</v>
      </c>
      <c r="E123" s="26">
        <v>2000</v>
      </c>
      <c r="F123" s="26">
        <v>0</v>
      </c>
      <c r="G123" s="26">
        <v>0</v>
      </c>
      <c r="H123" s="26">
        <v>1600</v>
      </c>
      <c r="I123" s="26">
        <f>2900</f>
        <v>2900</v>
      </c>
      <c r="J123" s="26">
        <v>0</v>
      </c>
      <c r="K123" s="26">
        <v>0</v>
      </c>
      <c r="L123" s="26">
        <v>0</v>
      </c>
      <c r="M123" s="26">
        <v>250</v>
      </c>
      <c r="N123" s="26">
        <v>0</v>
      </c>
      <c r="O123" s="26">
        <v>0</v>
      </c>
      <c r="P123" s="27">
        <f t="shared" si="9"/>
        <v>8100</v>
      </c>
      <c r="Q123" s="27">
        <f t="shared" si="1"/>
        <v>235.5</v>
      </c>
      <c r="R123" s="27">
        <f t="shared" si="10"/>
        <v>863.5</v>
      </c>
      <c r="S123" s="27">
        <v>145.13</v>
      </c>
      <c r="T123" s="27">
        <v>0</v>
      </c>
      <c r="U123" s="27">
        <f t="shared" si="3"/>
        <v>1244.1300000000001</v>
      </c>
      <c r="V123" s="27">
        <f t="shared" si="4"/>
        <v>6855.87</v>
      </c>
      <c r="W123" s="27">
        <v>0</v>
      </c>
    </row>
    <row r="124" spans="1:23" s="20" customFormat="1" ht="25.5" x14ac:dyDescent="0.2">
      <c r="A124" s="23">
        <v>115</v>
      </c>
      <c r="B124" s="24" t="s">
        <v>185</v>
      </c>
      <c r="C124" s="24" t="s">
        <v>46</v>
      </c>
      <c r="D124" s="25">
        <v>1350</v>
      </c>
      <c r="E124" s="26">
        <v>2000</v>
      </c>
      <c r="F124" s="26">
        <v>0</v>
      </c>
      <c r="G124" s="26">
        <v>0</v>
      </c>
      <c r="H124" s="26">
        <v>0</v>
      </c>
      <c r="I124" s="26">
        <v>4500</v>
      </c>
      <c r="J124" s="26">
        <v>0</v>
      </c>
      <c r="K124" s="26">
        <v>75</v>
      </c>
      <c r="L124" s="26">
        <v>0</v>
      </c>
      <c r="M124" s="26">
        <v>250</v>
      </c>
      <c r="N124" s="26">
        <v>0</v>
      </c>
      <c r="O124" s="26">
        <v>0</v>
      </c>
      <c r="P124" s="27">
        <f t="shared" si="9"/>
        <v>8175</v>
      </c>
      <c r="Q124" s="27">
        <f t="shared" si="1"/>
        <v>237.75</v>
      </c>
      <c r="R124" s="27">
        <f t="shared" si="10"/>
        <v>871.75</v>
      </c>
      <c r="S124" s="27">
        <v>146.18</v>
      </c>
      <c r="T124" s="27">
        <v>0</v>
      </c>
      <c r="U124" s="27">
        <f t="shared" si="3"/>
        <v>1255.68</v>
      </c>
      <c r="V124" s="27">
        <f t="shared" si="4"/>
        <v>6919.32</v>
      </c>
      <c r="W124" s="27">
        <v>0</v>
      </c>
    </row>
    <row r="125" spans="1:23" s="20" customFormat="1" ht="38.25" x14ac:dyDescent="0.2">
      <c r="A125" s="23">
        <v>116</v>
      </c>
      <c r="B125" s="24" t="s">
        <v>186</v>
      </c>
      <c r="C125" s="24" t="s">
        <v>187</v>
      </c>
      <c r="D125" s="25">
        <f>(485*6)+1350</f>
        <v>4260</v>
      </c>
      <c r="E125" s="26">
        <v>2000</v>
      </c>
      <c r="F125" s="26">
        <f>606.25*6</f>
        <v>3637.5</v>
      </c>
      <c r="G125" s="26">
        <v>0</v>
      </c>
      <c r="H125" s="26">
        <v>0</v>
      </c>
      <c r="I125" s="26">
        <v>4500</v>
      </c>
      <c r="J125" s="26">
        <v>0</v>
      </c>
      <c r="K125" s="26">
        <v>0</v>
      </c>
      <c r="L125" s="26">
        <v>0</v>
      </c>
      <c r="M125" s="26">
        <v>250</v>
      </c>
      <c r="N125" s="26">
        <v>0</v>
      </c>
      <c r="O125" s="26">
        <v>0</v>
      </c>
      <c r="P125" s="27">
        <f t="shared" si="9"/>
        <v>14647.5</v>
      </c>
      <c r="Q125" s="27">
        <f t="shared" si="1"/>
        <v>431.93</v>
      </c>
      <c r="R125" s="27">
        <f t="shared" si="10"/>
        <v>1583.73</v>
      </c>
      <c r="S125" s="27">
        <v>403.63</v>
      </c>
      <c r="T125" s="27">
        <v>0</v>
      </c>
      <c r="U125" s="27">
        <f t="shared" si="3"/>
        <v>2419.29</v>
      </c>
      <c r="V125" s="27">
        <f t="shared" si="4"/>
        <v>12228.21</v>
      </c>
      <c r="W125" s="27">
        <v>0</v>
      </c>
    </row>
    <row r="126" spans="1:23" s="20" customFormat="1" ht="38.25" x14ac:dyDescent="0.2">
      <c r="A126" s="23">
        <v>117</v>
      </c>
      <c r="B126" s="24" t="s">
        <v>188</v>
      </c>
      <c r="C126" s="24" t="s">
        <v>189</v>
      </c>
      <c r="D126" s="25">
        <f>(485*6)+2848</f>
        <v>5758</v>
      </c>
      <c r="E126" s="26">
        <v>2500</v>
      </c>
      <c r="F126" s="26">
        <f>485*6</f>
        <v>2910</v>
      </c>
      <c r="G126" s="26">
        <v>0</v>
      </c>
      <c r="H126" s="26">
        <v>0</v>
      </c>
      <c r="I126" s="26">
        <v>5500</v>
      </c>
      <c r="J126" s="26">
        <v>0</v>
      </c>
      <c r="K126" s="26">
        <v>0</v>
      </c>
      <c r="L126" s="26">
        <v>0</v>
      </c>
      <c r="M126" s="26">
        <v>250</v>
      </c>
      <c r="N126" s="26">
        <v>0</v>
      </c>
      <c r="O126" s="26">
        <v>0</v>
      </c>
      <c r="P126" s="27">
        <f t="shared" si="9"/>
        <v>16918</v>
      </c>
      <c r="Q126" s="27">
        <f t="shared" si="1"/>
        <v>500.04</v>
      </c>
      <c r="R126" s="27">
        <f t="shared" si="10"/>
        <v>1833.48</v>
      </c>
      <c r="S126" s="27">
        <v>541.87</v>
      </c>
      <c r="T126" s="27">
        <v>145.80000000000001</v>
      </c>
      <c r="U126" s="27">
        <f t="shared" si="3"/>
        <v>3021.19</v>
      </c>
      <c r="V126" s="27">
        <f t="shared" si="4"/>
        <v>13896.81</v>
      </c>
      <c r="W126" s="27">
        <v>0</v>
      </c>
    </row>
    <row r="127" spans="1:23" s="20" customFormat="1" ht="25.5" x14ac:dyDescent="0.2">
      <c r="A127" s="23">
        <v>118</v>
      </c>
      <c r="B127" s="24" t="s">
        <v>190</v>
      </c>
      <c r="C127" s="31" t="s">
        <v>38</v>
      </c>
      <c r="D127" s="25">
        <v>1350</v>
      </c>
      <c r="E127" s="26">
        <v>2000</v>
      </c>
      <c r="F127" s="26">
        <v>0</v>
      </c>
      <c r="G127" s="26">
        <v>0</v>
      </c>
      <c r="H127" s="26">
        <v>1600</v>
      </c>
      <c r="I127" s="26">
        <v>2900</v>
      </c>
      <c r="J127" s="26">
        <v>0</v>
      </c>
      <c r="K127" s="26">
        <v>50</v>
      </c>
      <c r="L127" s="26">
        <v>0</v>
      </c>
      <c r="M127" s="26">
        <v>250</v>
      </c>
      <c r="N127" s="26">
        <v>0</v>
      </c>
      <c r="O127" s="26">
        <v>0</v>
      </c>
      <c r="P127" s="27">
        <f t="shared" si="9"/>
        <v>8150</v>
      </c>
      <c r="Q127" s="27">
        <f t="shared" si="1"/>
        <v>237</v>
      </c>
      <c r="R127" s="27">
        <f t="shared" si="10"/>
        <v>869</v>
      </c>
      <c r="S127" s="27">
        <v>0</v>
      </c>
      <c r="T127" s="27">
        <v>0</v>
      </c>
      <c r="U127" s="27">
        <f t="shared" si="3"/>
        <v>1106</v>
      </c>
      <c r="V127" s="27">
        <f t="shared" si="4"/>
        <v>7044</v>
      </c>
      <c r="W127" s="27">
        <v>0</v>
      </c>
    </row>
    <row r="128" spans="1:23" s="20" customFormat="1" ht="38.25" x14ac:dyDescent="0.2">
      <c r="A128" s="23">
        <v>119</v>
      </c>
      <c r="B128" s="24" t="s">
        <v>191</v>
      </c>
      <c r="C128" s="24" t="s">
        <v>192</v>
      </c>
      <c r="D128" s="25">
        <v>2885</v>
      </c>
      <c r="E128" s="26">
        <v>0</v>
      </c>
      <c r="F128" s="26">
        <v>3606.25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7">
        <f t="shared" si="9"/>
        <v>6491.25</v>
      </c>
      <c r="Q128" s="27">
        <f t="shared" si="1"/>
        <v>194.74</v>
      </c>
      <c r="R128" s="27">
        <f t="shared" si="10"/>
        <v>714.04</v>
      </c>
      <c r="S128" s="27">
        <v>72.63</v>
      </c>
      <c r="T128" s="27">
        <v>0</v>
      </c>
      <c r="U128" s="27">
        <f t="shared" si="3"/>
        <v>981.41</v>
      </c>
      <c r="V128" s="27">
        <f t="shared" si="4"/>
        <v>5509.84</v>
      </c>
      <c r="W128" s="27">
        <f>630</f>
        <v>630</v>
      </c>
    </row>
    <row r="129" spans="1:23" s="20" customFormat="1" x14ac:dyDescent="0.2">
      <c r="A129" s="23">
        <v>120</v>
      </c>
      <c r="B129" s="28" t="s">
        <v>193</v>
      </c>
      <c r="C129" s="24" t="s">
        <v>194</v>
      </c>
      <c r="D129" s="25">
        <v>1350</v>
      </c>
      <c r="E129" s="26">
        <v>0</v>
      </c>
      <c r="F129" s="26">
        <v>0</v>
      </c>
      <c r="G129" s="26">
        <v>0</v>
      </c>
      <c r="H129" s="26">
        <v>0</v>
      </c>
      <c r="I129" s="26">
        <v>4500</v>
      </c>
      <c r="J129" s="26">
        <v>0</v>
      </c>
      <c r="K129" s="26">
        <v>0</v>
      </c>
      <c r="L129" s="26">
        <v>0</v>
      </c>
      <c r="M129" s="26">
        <v>250</v>
      </c>
      <c r="N129" s="26">
        <v>0</v>
      </c>
      <c r="O129" s="26">
        <v>0</v>
      </c>
      <c r="P129" s="27">
        <f t="shared" si="9"/>
        <v>6100</v>
      </c>
      <c r="Q129" s="27">
        <f t="shared" si="1"/>
        <v>175.5</v>
      </c>
      <c r="R129" s="27">
        <f t="shared" si="10"/>
        <v>643.5</v>
      </c>
      <c r="S129" s="27">
        <v>0</v>
      </c>
      <c r="T129" s="27">
        <v>0</v>
      </c>
      <c r="U129" s="27">
        <f t="shared" si="3"/>
        <v>819</v>
      </c>
      <c r="V129" s="27">
        <f t="shared" si="4"/>
        <v>5281</v>
      </c>
      <c r="W129" s="27">
        <v>0</v>
      </c>
    </row>
    <row r="130" spans="1:23" s="20" customFormat="1" ht="25.5" x14ac:dyDescent="0.2">
      <c r="A130" s="23">
        <v>121</v>
      </c>
      <c r="B130" s="24" t="s">
        <v>195</v>
      </c>
      <c r="C130" s="24" t="s">
        <v>196</v>
      </c>
      <c r="D130" s="25">
        <f>(362*5)</f>
        <v>1810</v>
      </c>
      <c r="E130" s="26">
        <v>0</v>
      </c>
      <c r="F130" s="26">
        <f>271.5*5</f>
        <v>1357.5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7">
        <f t="shared" si="9"/>
        <v>3167.5</v>
      </c>
      <c r="Q130" s="27">
        <f t="shared" si="1"/>
        <v>95.03</v>
      </c>
      <c r="R130" s="27">
        <f t="shared" si="10"/>
        <v>348.43</v>
      </c>
      <c r="S130" s="27">
        <v>0</v>
      </c>
      <c r="T130" s="27">
        <v>0</v>
      </c>
      <c r="U130" s="27">
        <f t="shared" si="3"/>
        <v>443.46</v>
      </c>
      <c r="V130" s="27">
        <f t="shared" si="4"/>
        <v>2724.04</v>
      </c>
      <c r="W130" s="27">
        <v>0</v>
      </c>
    </row>
    <row r="131" spans="1:23" s="20" customFormat="1" ht="25.5" x14ac:dyDescent="0.2">
      <c r="A131" s="23">
        <v>122</v>
      </c>
      <c r="B131" s="24" t="s">
        <v>197</v>
      </c>
      <c r="C131" s="31" t="s">
        <v>38</v>
      </c>
      <c r="D131" s="25">
        <v>1350</v>
      </c>
      <c r="E131" s="26">
        <v>2000</v>
      </c>
      <c r="F131" s="26">
        <v>0</v>
      </c>
      <c r="G131" s="26">
        <v>0</v>
      </c>
      <c r="H131" s="26">
        <v>1600</v>
      </c>
      <c r="I131" s="26">
        <v>2900</v>
      </c>
      <c r="J131" s="26">
        <v>0</v>
      </c>
      <c r="K131" s="26">
        <v>75</v>
      </c>
      <c r="L131" s="26">
        <v>0</v>
      </c>
      <c r="M131" s="26">
        <v>250</v>
      </c>
      <c r="N131" s="26">
        <v>0</v>
      </c>
      <c r="O131" s="26">
        <v>0</v>
      </c>
      <c r="P131" s="27">
        <f t="shared" si="9"/>
        <v>8175</v>
      </c>
      <c r="Q131" s="27">
        <f t="shared" si="1"/>
        <v>237.75</v>
      </c>
      <c r="R131" s="27">
        <f t="shared" si="10"/>
        <v>871.75</v>
      </c>
      <c r="S131" s="27">
        <v>145.13</v>
      </c>
      <c r="T131" s="27">
        <v>0</v>
      </c>
      <c r="U131" s="27">
        <f t="shared" si="3"/>
        <v>1254.6300000000001</v>
      </c>
      <c r="V131" s="27">
        <f t="shared" si="4"/>
        <v>6920.37</v>
      </c>
      <c r="W131" s="27">
        <v>0</v>
      </c>
    </row>
    <row r="132" spans="1:23" s="20" customFormat="1" x14ac:dyDescent="0.2">
      <c r="A132" s="23">
        <v>123</v>
      </c>
      <c r="B132" s="24" t="s">
        <v>198</v>
      </c>
      <c r="C132" s="24" t="s">
        <v>70</v>
      </c>
      <c r="D132" s="25">
        <v>1476</v>
      </c>
      <c r="E132" s="26">
        <v>2000</v>
      </c>
      <c r="F132" s="26">
        <v>0</v>
      </c>
      <c r="G132" s="26">
        <v>1900</v>
      </c>
      <c r="H132" s="26">
        <v>0</v>
      </c>
      <c r="I132" s="26">
        <v>2600</v>
      </c>
      <c r="J132" s="26">
        <v>0</v>
      </c>
      <c r="K132" s="26">
        <v>50</v>
      </c>
      <c r="L132" s="26">
        <v>0</v>
      </c>
      <c r="M132" s="26">
        <v>250</v>
      </c>
      <c r="N132" s="26">
        <v>0</v>
      </c>
      <c r="O132" s="26">
        <v>0</v>
      </c>
      <c r="P132" s="27">
        <f t="shared" si="9"/>
        <v>8276</v>
      </c>
      <c r="Q132" s="27">
        <f t="shared" si="1"/>
        <v>240.78</v>
      </c>
      <c r="R132" s="27">
        <f t="shared" si="10"/>
        <v>882.86</v>
      </c>
      <c r="S132" s="27">
        <v>146.41</v>
      </c>
      <c r="T132" s="27">
        <v>0</v>
      </c>
      <c r="U132" s="27">
        <f t="shared" si="3"/>
        <v>1270.05</v>
      </c>
      <c r="V132" s="27">
        <f t="shared" si="4"/>
        <v>7005.95</v>
      </c>
      <c r="W132" s="27">
        <f>2256.23+601.1</f>
        <v>2857.33</v>
      </c>
    </row>
    <row r="133" spans="1:23" s="20" customFormat="1" ht="25.5" x14ac:dyDescent="0.2">
      <c r="A133" s="23">
        <v>124</v>
      </c>
      <c r="B133" s="24" t="s">
        <v>199</v>
      </c>
      <c r="C133" s="24" t="s">
        <v>33</v>
      </c>
      <c r="D133" s="25">
        <v>1634</v>
      </c>
      <c r="E133" s="26">
        <v>1800</v>
      </c>
      <c r="F133" s="26">
        <v>0</v>
      </c>
      <c r="G133" s="26">
        <v>0</v>
      </c>
      <c r="H133" s="26">
        <v>2200</v>
      </c>
      <c r="I133" s="26">
        <v>0</v>
      </c>
      <c r="J133" s="26">
        <v>0</v>
      </c>
      <c r="K133" s="26">
        <v>75</v>
      </c>
      <c r="L133" s="26">
        <v>0</v>
      </c>
      <c r="M133" s="26">
        <v>250</v>
      </c>
      <c r="N133" s="26">
        <v>0</v>
      </c>
      <c r="O133" s="26">
        <v>0</v>
      </c>
      <c r="P133" s="27">
        <f t="shared" si="9"/>
        <v>5959</v>
      </c>
      <c r="Q133" s="27">
        <f t="shared" si="1"/>
        <v>171.27</v>
      </c>
      <c r="R133" s="27">
        <f t="shared" si="10"/>
        <v>627.99</v>
      </c>
      <c r="S133" s="27">
        <v>55.97</v>
      </c>
      <c r="T133" s="27">
        <v>0</v>
      </c>
      <c r="U133" s="27">
        <f t="shared" si="3"/>
        <v>855.23</v>
      </c>
      <c r="V133" s="27">
        <f t="shared" si="4"/>
        <v>5103.7700000000004</v>
      </c>
      <c r="W133" s="27">
        <v>0</v>
      </c>
    </row>
    <row r="134" spans="1:23" s="20" customFormat="1" ht="25.5" x14ac:dyDescent="0.2">
      <c r="A134" s="23">
        <v>125</v>
      </c>
      <c r="B134" s="31" t="s">
        <v>200</v>
      </c>
      <c r="C134" s="31" t="s">
        <v>201</v>
      </c>
      <c r="D134" s="25">
        <v>1105</v>
      </c>
      <c r="E134" s="26">
        <v>0</v>
      </c>
      <c r="F134" s="26">
        <v>0</v>
      </c>
      <c r="G134" s="26">
        <v>1000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250</v>
      </c>
      <c r="N134" s="26">
        <v>0</v>
      </c>
      <c r="O134" s="26">
        <v>0</v>
      </c>
      <c r="P134" s="27">
        <f t="shared" si="9"/>
        <v>2355</v>
      </c>
      <c r="Q134" s="27">
        <f t="shared" si="1"/>
        <v>63.15</v>
      </c>
      <c r="R134" s="27">
        <f t="shared" si="10"/>
        <v>231.55</v>
      </c>
      <c r="S134" s="27">
        <v>0</v>
      </c>
      <c r="T134" s="27">
        <v>0</v>
      </c>
      <c r="U134" s="27">
        <f t="shared" si="3"/>
        <v>294.7</v>
      </c>
      <c r="V134" s="27">
        <f t="shared" si="4"/>
        <v>2060.3000000000002</v>
      </c>
      <c r="W134" s="27">
        <v>0</v>
      </c>
    </row>
    <row r="135" spans="1:23" s="20" customFormat="1" ht="25.5" x14ac:dyDescent="0.2">
      <c r="A135" s="23">
        <v>126</v>
      </c>
      <c r="B135" s="31" t="s">
        <v>202</v>
      </c>
      <c r="C135" s="31" t="s">
        <v>44</v>
      </c>
      <c r="D135" s="26">
        <v>1476</v>
      </c>
      <c r="E135" s="26">
        <v>2000</v>
      </c>
      <c r="F135" s="26">
        <v>0</v>
      </c>
      <c r="G135" s="26">
        <v>0</v>
      </c>
      <c r="H135" s="26">
        <v>1900</v>
      </c>
      <c r="I135" s="26">
        <v>2600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7">
        <f t="shared" si="9"/>
        <v>7976</v>
      </c>
      <c r="Q135" s="27">
        <f t="shared" si="1"/>
        <v>239.28</v>
      </c>
      <c r="R135" s="27">
        <f t="shared" si="10"/>
        <v>877.36</v>
      </c>
      <c r="S135" s="27">
        <v>148.33000000000001</v>
      </c>
      <c r="T135" s="27">
        <v>0</v>
      </c>
      <c r="U135" s="27">
        <f t="shared" si="3"/>
        <v>1264.97</v>
      </c>
      <c r="V135" s="27">
        <f t="shared" si="4"/>
        <v>6711.03</v>
      </c>
      <c r="W135" s="27">
        <v>0</v>
      </c>
    </row>
    <row r="136" spans="1:23" s="20" customFormat="1" ht="38.25" x14ac:dyDescent="0.2">
      <c r="A136" s="23">
        <v>127</v>
      </c>
      <c r="B136" s="39" t="s">
        <v>203</v>
      </c>
      <c r="C136" s="39" t="s">
        <v>204</v>
      </c>
      <c r="D136" s="25">
        <f>388*4</f>
        <v>1552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7">
        <f t="shared" si="9"/>
        <v>1552</v>
      </c>
      <c r="Q136" s="27">
        <f t="shared" si="1"/>
        <v>46.56</v>
      </c>
      <c r="R136" s="27">
        <f t="shared" si="10"/>
        <v>170.72</v>
      </c>
      <c r="S136" s="27">
        <v>0</v>
      </c>
      <c r="T136" s="27">
        <v>0</v>
      </c>
      <c r="U136" s="27">
        <f t="shared" si="3"/>
        <v>217.28</v>
      </c>
      <c r="V136" s="27">
        <f t="shared" si="4"/>
        <v>1334.72</v>
      </c>
      <c r="W136" s="27">
        <v>0</v>
      </c>
    </row>
    <row r="137" spans="1:23" s="20" customFormat="1" x14ac:dyDescent="0.2">
      <c r="A137" s="23">
        <v>128</v>
      </c>
      <c r="B137" s="24" t="s">
        <v>205</v>
      </c>
      <c r="C137" s="24" t="s">
        <v>55</v>
      </c>
      <c r="D137" s="25">
        <v>1223</v>
      </c>
      <c r="E137" s="27">
        <v>2000</v>
      </c>
      <c r="F137" s="26">
        <v>0</v>
      </c>
      <c r="G137" s="26">
        <v>0</v>
      </c>
      <c r="H137" s="26">
        <v>1300</v>
      </c>
      <c r="I137" s="26">
        <v>3200</v>
      </c>
      <c r="J137" s="26">
        <v>0</v>
      </c>
      <c r="K137" s="26">
        <v>0</v>
      </c>
      <c r="L137" s="26">
        <v>0</v>
      </c>
      <c r="M137" s="26">
        <v>250</v>
      </c>
      <c r="N137" s="26">
        <v>0</v>
      </c>
      <c r="O137" s="26">
        <v>0</v>
      </c>
      <c r="P137" s="27">
        <f t="shared" si="9"/>
        <v>7973</v>
      </c>
      <c r="Q137" s="27">
        <f t="shared" si="1"/>
        <v>231.69</v>
      </c>
      <c r="R137" s="27">
        <f t="shared" si="10"/>
        <v>849.53</v>
      </c>
      <c r="S137" s="27">
        <v>140.85</v>
      </c>
      <c r="T137" s="27">
        <v>0</v>
      </c>
      <c r="U137" s="27">
        <f t="shared" si="3"/>
        <v>1222.07</v>
      </c>
      <c r="V137" s="27">
        <f t="shared" si="4"/>
        <v>6750.93</v>
      </c>
      <c r="W137" s="27">
        <v>0</v>
      </c>
    </row>
    <row r="138" spans="1:23" s="20" customFormat="1" ht="38.25" x14ac:dyDescent="0.2">
      <c r="A138" s="23">
        <v>129</v>
      </c>
      <c r="B138" s="24" t="s">
        <v>206</v>
      </c>
      <c r="C138" s="24" t="s">
        <v>207</v>
      </c>
      <c r="D138" s="25">
        <v>2425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7">
        <f t="shared" si="9"/>
        <v>2425</v>
      </c>
      <c r="Q138" s="27">
        <f t="shared" si="1"/>
        <v>72.75</v>
      </c>
      <c r="R138" s="27">
        <f t="shared" si="10"/>
        <v>266.75</v>
      </c>
      <c r="S138" s="27">
        <v>0</v>
      </c>
      <c r="T138" s="27">
        <v>0</v>
      </c>
      <c r="U138" s="27">
        <f t="shared" si="3"/>
        <v>339.5</v>
      </c>
      <c r="V138" s="27">
        <f t="shared" si="4"/>
        <v>2085.5</v>
      </c>
      <c r="W138" s="27">
        <v>0</v>
      </c>
    </row>
    <row r="139" spans="1:23" s="20" customFormat="1" ht="38.25" x14ac:dyDescent="0.2">
      <c r="A139" s="23">
        <v>130</v>
      </c>
      <c r="B139" s="24" t="s">
        <v>208</v>
      </c>
      <c r="C139" s="24" t="s">
        <v>67</v>
      </c>
      <c r="D139" s="25">
        <f>485*2</f>
        <v>970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7">
        <f t="shared" si="9"/>
        <v>970</v>
      </c>
      <c r="Q139" s="27">
        <f t="shared" si="1"/>
        <v>29.1</v>
      </c>
      <c r="R139" s="27">
        <f t="shared" si="10"/>
        <v>106.7</v>
      </c>
      <c r="S139" s="27">
        <v>0</v>
      </c>
      <c r="T139" s="27">
        <v>0</v>
      </c>
      <c r="U139" s="27">
        <f t="shared" si="3"/>
        <v>135.80000000000001</v>
      </c>
      <c r="V139" s="27">
        <f t="shared" si="4"/>
        <v>834.2</v>
      </c>
      <c r="W139" s="27">
        <v>0</v>
      </c>
    </row>
    <row r="140" spans="1:23" s="20" customFormat="1" ht="25.5" x14ac:dyDescent="0.2">
      <c r="A140" s="23">
        <v>131</v>
      </c>
      <c r="B140" s="24" t="s">
        <v>209</v>
      </c>
      <c r="C140" s="24" t="s">
        <v>36</v>
      </c>
      <c r="D140" s="25">
        <v>1074</v>
      </c>
      <c r="E140" s="26">
        <v>400</v>
      </c>
      <c r="F140" s="26">
        <v>0</v>
      </c>
      <c r="G140" s="26">
        <v>1000</v>
      </c>
      <c r="H140" s="26">
        <v>0</v>
      </c>
      <c r="I140" s="26">
        <v>0</v>
      </c>
      <c r="J140" s="26">
        <v>0</v>
      </c>
      <c r="K140" s="26">
        <v>50</v>
      </c>
      <c r="L140" s="26">
        <v>200</v>
      </c>
      <c r="M140" s="26">
        <v>250</v>
      </c>
      <c r="N140" s="26">
        <v>0</v>
      </c>
      <c r="O140" s="26">
        <v>0</v>
      </c>
      <c r="P140" s="27">
        <f t="shared" si="9"/>
        <v>2974</v>
      </c>
      <c r="Q140" s="27">
        <f t="shared" si="1"/>
        <v>75.72</v>
      </c>
      <c r="R140" s="27">
        <f t="shared" si="10"/>
        <v>277.64</v>
      </c>
      <c r="S140" s="27">
        <v>0</v>
      </c>
      <c r="T140" s="27">
        <v>0</v>
      </c>
      <c r="U140" s="27">
        <f t="shared" si="3"/>
        <v>353.36</v>
      </c>
      <c r="V140" s="27">
        <f t="shared" si="4"/>
        <v>2620.64</v>
      </c>
      <c r="W140" s="27">
        <v>0</v>
      </c>
    </row>
    <row r="141" spans="1:23" s="20" customFormat="1" ht="25.5" x14ac:dyDescent="0.2">
      <c r="A141" s="23">
        <v>132</v>
      </c>
      <c r="B141" s="24" t="s">
        <v>210</v>
      </c>
      <c r="C141" s="24" t="s">
        <v>79</v>
      </c>
      <c r="D141" s="25">
        <v>1168</v>
      </c>
      <c r="E141" s="26">
        <v>0</v>
      </c>
      <c r="F141" s="26">
        <v>0</v>
      </c>
      <c r="G141" s="26">
        <v>1000</v>
      </c>
      <c r="H141" s="26">
        <v>0</v>
      </c>
      <c r="I141" s="26">
        <v>0</v>
      </c>
      <c r="J141" s="26">
        <v>0</v>
      </c>
      <c r="K141" s="26">
        <v>75</v>
      </c>
      <c r="L141" s="26">
        <v>0</v>
      </c>
      <c r="M141" s="26">
        <v>250</v>
      </c>
      <c r="N141" s="26">
        <v>0</v>
      </c>
      <c r="O141" s="26">
        <v>0</v>
      </c>
      <c r="P141" s="27">
        <f t="shared" si="9"/>
        <v>2493</v>
      </c>
      <c r="Q141" s="27">
        <f t="shared" si="1"/>
        <v>67.290000000000006</v>
      </c>
      <c r="R141" s="27">
        <f t="shared" si="10"/>
        <v>246.73</v>
      </c>
      <c r="S141" s="27">
        <v>0</v>
      </c>
      <c r="T141" s="27">
        <v>0</v>
      </c>
      <c r="U141" s="27">
        <f t="shared" si="3"/>
        <v>314.02</v>
      </c>
      <c r="V141" s="27">
        <f t="shared" si="4"/>
        <v>2178.98</v>
      </c>
      <c r="W141" s="27">
        <v>0</v>
      </c>
    </row>
    <row r="142" spans="1:23" s="20" customFormat="1" ht="25.5" x14ac:dyDescent="0.2">
      <c r="A142" s="23">
        <v>133</v>
      </c>
      <c r="B142" s="24" t="s">
        <v>211</v>
      </c>
      <c r="C142" s="24" t="s">
        <v>36</v>
      </c>
      <c r="D142" s="25">
        <v>1074</v>
      </c>
      <c r="E142" s="26">
        <v>400</v>
      </c>
      <c r="F142" s="26">
        <v>0</v>
      </c>
      <c r="G142" s="26">
        <v>1000</v>
      </c>
      <c r="H142" s="26">
        <v>0</v>
      </c>
      <c r="I142" s="26">
        <v>0</v>
      </c>
      <c r="J142" s="26">
        <v>0</v>
      </c>
      <c r="K142" s="26">
        <v>75</v>
      </c>
      <c r="L142" s="26">
        <v>200</v>
      </c>
      <c r="M142" s="26">
        <v>250</v>
      </c>
      <c r="N142" s="26">
        <v>0</v>
      </c>
      <c r="O142" s="26">
        <v>0</v>
      </c>
      <c r="P142" s="27">
        <f t="shared" si="9"/>
        <v>2999</v>
      </c>
      <c r="Q142" s="27">
        <f t="shared" si="1"/>
        <v>76.47</v>
      </c>
      <c r="R142" s="27">
        <f t="shared" si="10"/>
        <v>280.39</v>
      </c>
      <c r="S142" s="27">
        <v>0</v>
      </c>
      <c r="T142" s="27">
        <v>0</v>
      </c>
      <c r="U142" s="27">
        <f t="shared" si="3"/>
        <v>356.86</v>
      </c>
      <c r="V142" s="27">
        <f t="shared" si="4"/>
        <v>2642.14</v>
      </c>
      <c r="W142" s="27">
        <v>0</v>
      </c>
    </row>
    <row r="143" spans="1:23" s="20" customFormat="1" x14ac:dyDescent="0.2">
      <c r="A143" s="23">
        <v>134</v>
      </c>
      <c r="B143" s="24" t="s">
        <v>212</v>
      </c>
      <c r="C143" s="24" t="s">
        <v>46</v>
      </c>
      <c r="D143" s="25">
        <v>1350</v>
      </c>
      <c r="E143" s="26">
        <v>2000</v>
      </c>
      <c r="F143" s="26">
        <v>0</v>
      </c>
      <c r="G143" s="26">
        <v>0</v>
      </c>
      <c r="H143" s="26">
        <v>0</v>
      </c>
      <c r="I143" s="26">
        <v>4500</v>
      </c>
      <c r="J143" s="26">
        <v>0</v>
      </c>
      <c r="K143" s="26">
        <v>0</v>
      </c>
      <c r="L143" s="26">
        <v>0</v>
      </c>
      <c r="M143" s="26">
        <v>250</v>
      </c>
      <c r="N143" s="26">
        <v>0</v>
      </c>
      <c r="O143" s="26">
        <v>0</v>
      </c>
      <c r="P143" s="27">
        <f t="shared" si="9"/>
        <v>8100</v>
      </c>
      <c r="Q143" s="27">
        <f t="shared" si="1"/>
        <v>235.5</v>
      </c>
      <c r="R143" s="27">
        <f t="shared" si="10"/>
        <v>863.5</v>
      </c>
      <c r="S143" s="27">
        <v>143.03</v>
      </c>
      <c r="T143" s="27">
        <v>0</v>
      </c>
      <c r="U143" s="27">
        <f t="shared" si="3"/>
        <v>1242.03</v>
      </c>
      <c r="V143" s="27">
        <f t="shared" si="4"/>
        <v>6857.97</v>
      </c>
      <c r="W143" s="27">
        <v>0</v>
      </c>
    </row>
    <row r="144" spans="1:23" s="20" customFormat="1" ht="25.5" x14ac:dyDescent="0.2">
      <c r="A144" s="23">
        <v>135</v>
      </c>
      <c r="B144" s="24" t="s">
        <v>213</v>
      </c>
      <c r="C144" s="24" t="s">
        <v>65</v>
      </c>
      <c r="D144" s="25">
        <f>485*2</f>
        <v>970</v>
      </c>
      <c r="E144" s="26">
        <v>0</v>
      </c>
      <c r="F144" s="26">
        <f>363.75*2</f>
        <v>727.5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7">
        <f t="shared" si="9"/>
        <v>1697.5</v>
      </c>
      <c r="Q144" s="27">
        <f t="shared" si="1"/>
        <v>50.93</v>
      </c>
      <c r="R144" s="27">
        <f t="shared" si="10"/>
        <v>186.73</v>
      </c>
      <c r="S144" s="27">
        <v>0</v>
      </c>
      <c r="T144" s="27">
        <f>11.41*2</f>
        <v>22.82</v>
      </c>
      <c r="U144" s="27">
        <f t="shared" si="3"/>
        <v>260.48</v>
      </c>
      <c r="V144" s="27">
        <f t="shared" si="4"/>
        <v>1437.02</v>
      </c>
      <c r="W144" s="27">
        <v>0</v>
      </c>
    </row>
    <row r="145" spans="1:256" s="20" customFormat="1" ht="25.5" x14ac:dyDescent="0.2">
      <c r="A145" s="23">
        <v>136</v>
      </c>
      <c r="B145" s="31" t="s">
        <v>214</v>
      </c>
      <c r="C145" s="31" t="s">
        <v>215</v>
      </c>
      <c r="D145" s="25">
        <f>388*7</f>
        <v>2716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7">
        <f t="shared" si="9"/>
        <v>2716</v>
      </c>
      <c r="Q145" s="27">
        <f t="shared" si="1"/>
        <v>81.48</v>
      </c>
      <c r="R145" s="27">
        <f t="shared" si="10"/>
        <v>298.76</v>
      </c>
      <c r="S145" s="27">
        <v>0</v>
      </c>
      <c r="T145" s="27">
        <v>0</v>
      </c>
      <c r="U145" s="27">
        <f t="shared" si="3"/>
        <v>380.24</v>
      </c>
      <c r="V145" s="27">
        <f t="shared" si="4"/>
        <v>2335.7600000000002</v>
      </c>
      <c r="W145" s="27">
        <v>0</v>
      </c>
    </row>
    <row r="146" spans="1:256" s="20" customFormat="1" ht="25.5" x14ac:dyDescent="0.2">
      <c r="A146" s="23">
        <v>137</v>
      </c>
      <c r="B146" s="24" t="s">
        <v>216</v>
      </c>
      <c r="C146" s="24" t="s">
        <v>44</v>
      </c>
      <c r="D146" s="25">
        <v>1476</v>
      </c>
      <c r="E146" s="26">
        <v>2000</v>
      </c>
      <c r="F146" s="26">
        <v>0</v>
      </c>
      <c r="G146" s="26">
        <v>0</v>
      </c>
      <c r="H146" s="26">
        <v>1900</v>
      </c>
      <c r="I146" s="26">
        <v>2600</v>
      </c>
      <c r="J146" s="26">
        <v>0</v>
      </c>
      <c r="K146" s="26">
        <v>50</v>
      </c>
      <c r="L146" s="26">
        <v>0</v>
      </c>
      <c r="M146" s="26">
        <v>250</v>
      </c>
      <c r="N146" s="26">
        <v>0</v>
      </c>
      <c r="O146" s="26">
        <v>0</v>
      </c>
      <c r="P146" s="27">
        <f t="shared" si="9"/>
        <v>8276</v>
      </c>
      <c r="Q146" s="27">
        <f t="shared" si="1"/>
        <v>240.78</v>
      </c>
      <c r="R146" s="27">
        <f t="shared" si="10"/>
        <v>882.86</v>
      </c>
      <c r="S146" s="27">
        <v>146.41</v>
      </c>
      <c r="T146" s="27">
        <v>0</v>
      </c>
      <c r="U146" s="27">
        <f t="shared" si="3"/>
        <v>1270.05</v>
      </c>
      <c r="V146" s="27">
        <f t="shared" si="4"/>
        <v>7005.95</v>
      </c>
      <c r="W146" s="27">
        <v>0</v>
      </c>
    </row>
    <row r="147" spans="1:256" s="20" customFormat="1" ht="25.5" x14ac:dyDescent="0.2">
      <c r="A147" s="23">
        <v>138</v>
      </c>
      <c r="B147" s="31" t="s">
        <v>217</v>
      </c>
      <c r="C147" s="31" t="s">
        <v>124</v>
      </c>
      <c r="D147" s="41">
        <v>2425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7">
        <f t="shared" si="9"/>
        <v>2425</v>
      </c>
      <c r="Q147" s="27">
        <f t="shared" si="1"/>
        <v>72.75</v>
      </c>
      <c r="R147" s="27">
        <f t="shared" si="10"/>
        <v>266.75</v>
      </c>
      <c r="S147" s="27">
        <v>0</v>
      </c>
      <c r="T147" s="27">
        <v>0</v>
      </c>
      <c r="U147" s="27">
        <f t="shared" si="3"/>
        <v>339.5</v>
      </c>
      <c r="V147" s="27">
        <f t="shared" si="4"/>
        <v>2085.5</v>
      </c>
      <c r="W147" s="27">
        <v>0</v>
      </c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</row>
    <row r="148" spans="1:256" s="20" customFormat="1" ht="25.5" x14ac:dyDescent="0.2">
      <c r="A148" s="23">
        <v>139</v>
      </c>
      <c r="B148" s="24" t="s">
        <v>218</v>
      </c>
      <c r="C148" s="24" t="s">
        <v>87</v>
      </c>
      <c r="D148" s="25">
        <v>1302</v>
      </c>
      <c r="E148" s="26">
        <v>600</v>
      </c>
      <c r="F148" s="26">
        <v>0</v>
      </c>
      <c r="G148" s="26">
        <v>1000</v>
      </c>
      <c r="H148" s="26">
        <v>0</v>
      </c>
      <c r="I148" s="26">
        <v>0</v>
      </c>
      <c r="J148" s="26">
        <v>0</v>
      </c>
      <c r="K148" s="26">
        <v>50</v>
      </c>
      <c r="L148" s="26">
        <v>0</v>
      </c>
      <c r="M148" s="26">
        <v>250</v>
      </c>
      <c r="N148" s="26">
        <v>0</v>
      </c>
      <c r="O148" s="26">
        <v>0</v>
      </c>
      <c r="P148" s="27">
        <f t="shared" si="9"/>
        <v>3202</v>
      </c>
      <c r="Q148" s="27">
        <f t="shared" si="1"/>
        <v>88.56</v>
      </c>
      <c r="R148" s="27">
        <f t="shared" si="10"/>
        <v>324.72000000000003</v>
      </c>
      <c r="S148" s="27">
        <v>0</v>
      </c>
      <c r="T148" s="27">
        <v>0</v>
      </c>
      <c r="U148" s="27">
        <f t="shared" si="3"/>
        <v>413.28</v>
      </c>
      <c r="V148" s="27">
        <f t="shared" si="4"/>
        <v>2788.72</v>
      </c>
      <c r="W148" s="27">
        <v>0</v>
      </c>
    </row>
    <row r="149" spans="1:256" s="20" customFormat="1" ht="25.5" x14ac:dyDescent="0.2">
      <c r="A149" s="23">
        <v>140</v>
      </c>
      <c r="B149" s="24" t="s">
        <v>219</v>
      </c>
      <c r="C149" s="24" t="s">
        <v>33</v>
      </c>
      <c r="D149" s="25">
        <v>2885</v>
      </c>
      <c r="E149" s="26">
        <v>0</v>
      </c>
      <c r="F149" s="26">
        <v>3606.25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250</v>
      </c>
      <c r="N149" s="26">
        <v>0</v>
      </c>
      <c r="O149" s="26">
        <v>0</v>
      </c>
      <c r="P149" s="27">
        <f t="shared" si="9"/>
        <v>6741.25</v>
      </c>
      <c r="Q149" s="27">
        <f t="shared" si="1"/>
        <v>194.74</v>
      </c>
      <c r="R149" s="27">
        <f t="shared" si="10"/>
        <v>714.04</v>
      </c>
      <c r="S149" s="27">
        <v>73.47</v>
      </c>
      <c r="T149" s="27">
        <v>0</v>
      </c>
      <c r="U149" s="27">
        <f t="shared" si="3"/>
        <v>982.25</v>
      </c>
      <c r="V149" s="27">
        <f t="shared" si="4"/>
        <v>5759</v>
      </c>
      <c r="W149" s="27">
        <v>0</v>
      </c>
    </row>
    <row r="150" spans="1:256" s="20" customFormat="1" ht="25.5" x14ac:dyDescent="0.2">
      <c r="A150" s="23">
        <v>141</v>
      </c>
      <c r="B150" s="24" t="s">
        <v>220</v>
      </c>
      <c r="C150" s="24" t="s">
        <v>65</v>
      </c>
      <c r="D150" s="25">
        <f>485*5</f>
        <v>2425</v>
      </c>
      <c r="E150" s="26">
        <v>0</v>
      </c>
      <c r="F150" s="26">
        <f>363.75*5</f>
        <v>1818.75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7">
        <f t="shared" si="9"/>
        <v>4243.75</v>
      </c>
      <c r="Q150" s="27">
        <f t="shared" si="1"/>
        <v>127.31</v>
      </c>
      <c r="R150" s="27">
        <f t="shared" si="10"/>
        <v>466.81</v>
      </c>
      <c r="S150" s="27">
        <v>0</v>
      </c>
      <c r="T150" s="27">
        <f>11.41*5</f>
        <v>57.05</v>
      </c>
      <c r="U150" s="27">
        <f t="shared" si="3"/>
        <v>651.16999999999996</v>
      </c>
      <c r="V150" s="27">
        <f t="shared" si="4"/>
        <v>3592.58</v>
      </c>
      <c r="W150" s="27">
        <v>0</v>
      </c>
    </row>
    <row r="151" spans="1:256" s="4" customFormat="1" ht="25.5" x14ac:dyDescent="0.2">
      <c r="A151" s="23">
        <v>142</v>
      </c>
      <c r="B151" s="39" t="s">
        <v>221</v>
      </c>
      <c r="C151" s="31" t="s">
        <v>38</v>
      </c>
      <c r="D151" s="25">
        <v>1350</v>
      </c>
      <c r="E151" s="26">
        <v>1500</v>
      </c>
      <c r="F151" s="26">
        <v>0</v>
      </c>
      <c r="G151" s="26">
        <v>0</v>
      </c>
      <c r="H151" s="26">
        <v>0</v>
      </c>
      <c r="I151" s="26">
        <v>4500</v>
      </c>
      <c r="J151" s="26">
        <v>0</v>
      </c>
      <c r="K151" s="26">
        <v>0</v>
      </c>
      <c r="L151" s="26">
        <v>0</v>
      </c>
      <c r="M151" s="26">
        <v>250</v>
      </c>
      <c r="N151" s="26">
        <v>0</v>
      </c>
      <c r="O151" s="26">
        <v>0</v>
      </c>
      <c r="P151" s="27">
        <f t="shared" si="9"/>
        <v>7600</v>
      </c>
      <c r="Q151" s="27">
        <f t="shared" si="1"/>
        <v>220.5</v>
      </c>
      <c r="R151" s="27">
        <f t="shared" si="10"/>
        <v>808.5</v>
      </c>
      <c r="S151" s="27">
        <v>0</v>
      </c>
      <c r="T151" s="27">
        <v>0</v>
      </c>
      <c r="U151" s="27">
        <f t="shared" si="3"/>
        <v>1029</v>
      </c>
      <c r="V151" s="27">
        <f t="shared" si="4"/>
        <v>6571</v>
      </c>
      <c r="W151" s="27">
        <v>0</v>
      </c>
    </row>
    <row r="152" spans="1:256" s="4" customFormat="1" ht="38.25" x14ac:dyDescent="0.2">
      <c r="A152" s="23">
        <v>143</v>
      </c>
      <c r="B152" s="24" t="s">
        <v>222</v>
      </c>
      <c r="C152" s="24" t="s">
        <v>187</v>
      </c>
      <c r="D152" s="25">
        <f>(485*3)+1350</f>
        <v>2805</v>
      </c>
      <c r="E152" s="26">
        <v>2000</v>
      </c>
      <c r="F152" s="26">
        <f>363.75*3</f>
        <v>1091.25</v>
      </c>
      <c r="G152" s="26">
        <v>0</v>
      </c>
      <c r="H152" s="26">
        <v>0</v>
      </c>
      <c r="I152" s="26">
        <v>4500</v>
      </c>
      <c r="J152" s="26">
        <v>0</v>
      </c>
      <c r="K152" s="26">
        <v>75</v>
      </c>
      <c r="L152" s="26">
        <v>0</v>
      </c>
      <c r="M152" s="26">
        <v>250</v>
      </c>
      <c r="N152" s="26">
        <v>0</v>
      </c>
      <c r="O152" s="26">
        <v>0</v>
      </c>
      <c r="P152" s="27">
        <f t="shared" si="9"/>
        <v>10721.25</v>
      </c>
      <c r="Q152" s="27">
        <f t="shared" si="1"/>
        <v>314.14</v>
      </c>
      <c r="R152" s="27">
        <f t="shared" si="10"/>
        <v>1151.8399999999999</v>
      </c>
      <c r="S152" s="27">
        <v>242.66</v>
      </c>
      <c r="T152" s="27">
        <v>0</v>
      </c>
      <c r="U152" s="27">
        <f t="shared" si="3"/>
        <v>1708.64</v>
      </c>
      <c r="V152" s="27">
        <f t="shared" si="4"/>
        <v>9012.61</v>
      </c>
      <c r="W152" s="27">
        <v>0</v>
      </c>
    </row>
    <row r="153" spans="1:256" s="4" customFormat="1" ht="51" x14ac:dyDescent="0.2">
      <c r="A153" s="23">
        <v>144</v>
      </c>
      <c r="B153" s="24" t="s">
        <v>223</v>
      </c>
      <c r="C153" s="24" t="s">
        <v>224</v>
      </c>
      <c r="D153" s="25">
        <v>2425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7">
        <f t="shared" si="9"/>
        <v>2425</v>
      </c>
      <c r="Q153" s="27">
        <f t="shared" si="1"/>
        <v>72.75</v>
      </c>
      <c r="R153" s="27">
        <f t="shared" si="10"/>
        <v>266.75</v>
      </c>
      <c r="S153" s="27" t="s">
        <v>34</v>
      </c>
      <c r="T153" s="27">
        <v>0</v>
      </c>
      <c r="U153" s="27">
        <f t="shared" si="3"/>
        <v>339.5</v>
      </c>
      <c r="V153" s="27">
        <f t="shared" si="4"/>
        <v>2085.5</v>
      </c>
      <c r="W153" s="27">
        <v>0</v>
      </c>
    </row>
    <row r="154" spans="1:256" s="4" customFormat="1" x14ac:dyDescent="0.2">
      <c r="A154" s="23">
        <v>145</v>
      </c>
      <c r="B154" s="31" t="s">
        <v>225</v>
      </c>
      <c r="C154" s="24" t="s">
        <v>36</v>
      </c>
      <c r="D154" s="47">
        <v>1074</v>
      </c>
      <c r="E154" s="26">
        <v>1000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250</v>
      </c>
      <c r="N154" s="26">
        <v>0</v>
      </c>
      <c r="O154" s="26">
        <v>0</v>
      </c>
      <c r="P154" s="27">
        <f t="shared" si="9"/>
        <v>2324</v>
      </c>
      <c r="Q154" s="27">
        <f t="shared" si="1"/>
        <v>62.22</v>
      </c>
      <c r="R154" s="27">
        <f t="shared" si="10"/>
        <v>228.14</v>
      </c>
      <c r="S154" s="27">
        <v>0</v>
      </c>
      <c r="T154" s="27">
        <v>0</v>
      </c>
      <c r="U154" s="27">
        <f t="shared" si="3"/>
        <v>290.36</v>
      </c>
      <c r="V154" s="27">
        <f t="shared" si="4"/>
        <v>2033.64</v>
      </c>
      <c r="W154" s="27">
        <v>0</v>
      </c>
    </row>
    <row r="155" spans="1:256" s="4" customFormat="1" x14ac:dyDescent="0.2">
      <c r="A155" s="23">
        <v>146</v>
      </c>
      <c r="B155" s="31" t="s">
        <v>226</v>
      </c>
      <c r="C155" s="31" t="s">
        <v>70</v>
      </c>
      <c r="D155" s="48">
        <v>1476</v>
      </c>
      <c r="E155" s="26">
        <v>0</v>
      </c>
      <c r="F155" s="26">
        <v>0</v>
      </c>
      <c r="G155" s="26">
        <v>0</v>
      </c>
      <c r="H155" s="26">
        <v>1900</v>
      </c>
      <c r="I155" s="48">
        <v>2600</v>
      </c>
      <c r="J155" s="26">
        <v>0</v>
      </c>
      <c r="K155" s="26">
        <v>0</v>
      </c>
      <c r="L155" s="26">
        <v>0</v>
      </c>
      <c r="M155" s="26">
        <v>250</v>
      </c>
      <c r="N155" s="26">
        <v>0</v>
      </c>
      <c r="O155" s="26">
        <v>0</v>
      </c>
      <c r="P155" s="27">
        <f t="shared" si="9"/>
        <v>6226</v>
      </c>
      <c r="Q155" s="27">
        <f t="shared" si="1"/>
        <v>179.28</v>
      </c>
      <c r="R155" s="27">
        <f t="shared" si="10"/>
        <v>657.36</v>
      </c>
      <c r="S155" s="27">
        <v>67.31</v>
      </c>
      <c r="T155" s="27">
        <v>0</v>
      </c>
      <c r="U155" s="27">
        <f t="shared" si="3"/>
        <v>903.95</v>
      </c>
      <c r="V155" s="27">
        <f t="shared" si="4"/>
        <v>5322.05</v>
      </c>
      <c r="W155" s="27">
        <v>0</v>
      </c>
    </row>
    <row r="156" spans="1:256" s="4" customFormat="1" ht="25.5" x14ac:dyDescent="0.2">
      <c r="A156" s="23">
        <v>147</v>
      </c>
      <c r="B156" s="24" t="s">
        <v>227</v>
      </c>
      <c r="C156" s="24" t="s">
        <v>65</v>
      </c>
      <c r="D156" s="25">
        <f>485*4</f>
        <v>1940</v>
      </c>
      <c r="E156" s="26">
        <v>0</v>
      </c>
      <c r="F156" s="26">
        <f>606.25*4</f>
        <v>2425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7">
        <f t="shared" si="9"/>
        <v>4365</v>
      </c>
      <c r="Q156" s="27">
        <f t="shared" si="1"/>
        <v>130.94999999999999</v>
      </c>
      <c r="R156" s="27">
        <f t="shared" si="10"/>
        <v>480.15</v>
      </c>
      <c r="S156" s="27">
        <v>0</v>
      </c>
      <c r="T156" s="27">
        <v>0</v>
      </c>
      <c r="U156" s="27">
        <f t="shared" si="3"/>
        <v>611.1</v>
      </c>
      <c r="V156" s="27">
        <f t="shared" si="4"/>
        <v>3753.9</v>
      </c>
      <c r="W156" s="27">
        <v>0</v>
      </c>
    </row>
    <row r="157" spans="1:256" s="4" customFormat="1" x14ac:dyDescent="0.2">
      <c r="A157" s="23">
        <v>148</v>
      </c>
      <c r="B157" s="24" t="s">
        <v>228</v>
      </c>
      <c r="C157" s="24" t="s">
        <v>70</v>
      </c>
      <c r="D157" s="25">
        <v>1476</v>
      </c>
      <c r="E157" s="26">
        <v>2000</v>
      </c>
      <c r="F157" s="26">
        <v>0</v>
      </c>
      <c r="G157" s="26">
        <v>1900</v>
      </c>
      <c r="H157" s="26">
        <v>0</v>
      </c>
      <c r="I157" s="26">
        <v>2600</v>
      </c>
      <c r="J157" s="26">
        <v>0</v>
      </c>
      <c r="K157" s="26">
        <v>50</v>
      </c>
      <c r="L157" s="26">
        <v>0</v>
      </c>
      <c r="M157" s="26">
        <v>250</v>
      </c>
      <c r="N157" s="26">
        <v>0</v>
      </c>
      <c r="O157" s="26">
        <v>0</v>
      </c>
      <c r="P157" s="27">
        <f t="shared" si="9"/>
        <v>8276</v>
      </c>
      <c r="Q157" s="27">
        <f t="shared" si="1"/>
        <v>240.78</v>
      </c>
      <c r="R157" s="27">
        <f t="shared" si="10"/>
        <v>882.86</v>
      </c>
      <c r="S157" s="27">
        <v>148.33000000000001</v>
      </c>
      <c r="T157" s="27">
        <v>0</v>
      </c>
      <c r="U157" s="27">
        <f t="shared" si="3"/>
        <v>1271.97</v>
      </c>
      <c r="V157" s="27">
        <f t="shared" si="4"/>
        <v>7004.03</v>
      </c>
      <c r="W157" s="27">
        <f>572</f>
        <v>572</v>
      </c>
    </row>
    <row r="158" spans="1:256" s="4" customFormat="1" ht="38.25" x14ac:dyDescent="0.2">
      <c r="A158" s="23">
        <v>149</v>
      </c>
      <c r="B158" s="24" t="s">
        <v>229</v>
      </c>
      <c r="C158" s="24" t="s">
        <v>67</v>
      </c>
      <c r="D158" s="25">
        <f>485*3</f>
        <v>1455</v>
      </c>
      <c r="E158" s="26">
        <v>0</v>
      </c>
      <c r="F158" s="26">
        <f>242.5*3</f>
        <v>727.5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7">
        <f t="shared" si="9"/>
        <v>2182.5</v>
      </c>
      <c r="Q158" s="27">
        <f t="shared" si="1"/>
        <v>65.48</v>
      </c>
      <c r="R158" s="27">
        <f t="shared" si="10"/>
        <v>240.08</v>
      </c>
      <c r="S158" s="27">
        <v>0</v>
      </c>
      <c r="T158" s="27">
        <f>9.78*3</f>
        <v>29.34</v>
      </c>
      <c r="U158" s="27">
        <f t="shared" si="3"/>
        <v>334.9</v>
      </c>
      <c r="V158" s="27">
        <f t="shared" si="4"/>
        <v>1847.6</v>
      </c>
      <c r="W158" s="27">
        <v>0</v>
      </c>
    </row>
    <row r="159" spans="1:256" ht="25.5" x14ac:dyDescent="0.2">
      <c r="A159" s="23">
        <v>150</v>
      </c>
      <c r="B159" s="24" t="s">
        <v>230</v>
      </c>
      <c r="C159" s="24" t="s">
        <v>44</v>
      </c>
      <c r="D159" s="25">
        <v>1476</v>
      </c>
      <c r="E159" s="26">
        <v>2000</v>
      </c>
      <c r="F159" s="26">
        <v>0</v>
      </c>
      <c r="G159" s="26">
        <v>0</v>
      </c>
      <c r="H159" s="26">
        <v>1900</v>
      </c>
      <c r="I159" s="26">
        <v>2600</v>
      </c>
      <c r="J159" s="26">
        <v>0</v>
      </c>
      <c r="K159" s="26">
        <v>75</v>
      </c>
      <c r="L159" s="26">
        <v>0</v>
      </c>
      <c r="M159" s="26">
        <v>250</v>
      </c>
      <c r="N159" s="26">
        <v>0</v>
      </c>
      <c r="O159" s="26">
        <v>0</v>
      </c>
      <c r="P159" s="27">
        <f t="shared" si="9"/>
        <v>8301</v>
      </c>
      <c r="Q159" s="27">
        <f t="shared" si="1"/>
        <v>241.53</v>
      </c>
      <c r="R159" s="27">
        <f t="shared" si="10"/>
        <v>885.61</v>
      </c>
      <c r="S159" s="27">
        <v>147.44999999999999</v>
      </c>
      <c r="T159" s="27">
        <v>0</v>
      </c>
      <c r="U159" s="27">
        <f t="shared" si="3"/>
        <v>1274.5899999999999</v>
      </c>
      <c r="V159" s="27">
        <f t="shared" si="4"/>
        <v>7026.41</v>
      </c>
      <c r="W159" s="27">
        <v>0</v>
      </c>
    </row>
    <row r="160" spans="1:256" x14ac:dyDescent="0.2">
      <c r="A160" s="23">
        <v>151</v>
      </c>
      <c r="B160" s="24" t="s">
        <v>231</v>
      </c>
      <c r="C160" s="24" t="s">
        <v>55</v>
      </c>
      <c r="D160" s="25">
        <v>2885</v>
      </c>
      <c r="E160" s="26">
        <v>0</v>
      </c>
      <c r="F160" s="26">
        <v>2885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7">
        <f t="shared" si="9"/>
        <v>5770</v>
      </c>
      <c r="Q160" s="27">
        <f t="shared" si="1"/>
        <v>173.1</v>
      </c>
      <c r="R160" s="27">
        <f t="shared" si="10"/>
        <v>634.70000000000005</v>
      </c>
      <c r="S160" s="27">
        <v>46.06</v>
      </c>
      <c r="T160" s="27">
        <v>0</v>
      </c>
      <c r="U160" s="27">
        <f t="shared" si="3"/>
        <v>853.86</v>
      </c>
      <c r="V160" s="27">
        <f t="shared" si="4"/>
        <v>4916.1400000000003</v>
      </c>
      <c r="W160" s="27">
        <v>0</v>
      </c>
    </row>
    <row r="161" spans="1:256" ht="38.25" x14ac:dyDescent="0.2">
      <c r="A161" s="23">
        <v>152</v>
      </c>
      <c r="B161" s="24" t="s">
        <v>232</v>
      </c>
      <c r="C161" s="24" t="s">
        <v>233</v>
      </c>
      <c r="D161" s="25">
        <v>1476</v>
      </c>
      <c r="E161" s="26">
        <v>1600</v>
      </c>
      <c r="F161" s="26">
        <v>0</v>
      </c>
      <c r="G161" s="26">
        <v>0</v>
      </c>
      <c r="H161" s="26">
        <v>1900</v>
      </c>
      <c r="I161" s="26">
        <v>0</v>
      </c>
      <c r="J161" s="26">
        <v>0</v>
      </c>
      <c r="K161" s="26">
        <v>50</v>
      </c>
      <c r="L161" s="26">
        <v>0</v>
      </c>
      <c r="M161" s="26">
        <v>250</v>
      </c>
      <c r="N161" s="26">
        <v>0</v>
      </c>
      <c r="O161" s="26">
        <v>0</v>
      </c>
      <c r="P161" s="27">
        <f t="shared" si="9"/>
        <v>5276</v>
      </c>
      <c r="Q161" s="27">
        <f t="shared" si="1"/>
        <v>150.78</v>
      </c>
      <c r="R161" s="27">
        <f t="shared" si="10"/>
        <v>552.86</v>
      </c>
      <c r="S161" s="27">
        <v>21.91</v>
      </c>
      <c r="T161" s="27">
        <v>0</v>
      </c>
      <c r="U161" s="27">
        <f t="shared" si="3"/>
        <v>725.55</v>
      </c>
      <c r="V161" s="27">
        <f t="shared" si="4"/>
        <v>4550.45</v>
      </c>
      <c r="W161" s="27">
        <v>0</v>
      </c>
    </row>
    <row r="162" spans="1:256" ht="25.5" x14ac:dyDescent="0.2">
      <c r="A162" s="23">
        <v>153</v>
      </c>
      <c r="B162" s="24" t="s">
        <v>234</v>
      </c>
      <c r="C162" s="31" t="s">
        <v>38</v>
      </c>
      <c r="D162" s="25">
        <v>1350</v>
      </c>
      <c r="E162" s="26">
        <v>2000</v>
      </c>
      <c r="F162" s="26">
        <v>0</v>
      </c>
      <c r="G162" s="26">
        <v>0</v>
      </c>
      <c r="H162" s="26">
        <v>1600</v>
      </c>
      <c r="I162" s="26">
        <f>2900</f>
        <v>2900</v>
      </c>
      <c r="J162" s="26">
        <v>0</v>
      </c>
      <c r="K162" s="26">
        <v>0</v>
      </c>
      <c r="L162" s="26">
        <v>0</v>
      </c>
      <c r="M162" s="26">
        <v>250</v>
      </c>
      <c r="N162" s="26">
        <v>0</v>
      </c>
      <c r="O162" s="26">
        <v>0</v>
      </c>
      <c r="P162" s="27">
        <f t="shared" si="9"/>
        <v>8100</v>
      </c>
      <c r="Q162" s="27">
        <f t="shared" si="1"/>
        <v>235.5</v>
      </c>
      <c r="R162" s="27">
        <f t="shared" si="10"/>
        <v>863.5</v>
      </c>
      <c r="S162" s="27">
        <v>146.18</v>
      </c>
      <c r="T162" s="27">
        <v>0</v>
      </c>
      <c r="U162" s="27">
        <f t="shared" si="3"/>
        <v>1245.18</v>
      </c>
      <c r="V162" s="27">
        <f t="shared" si="4"/>
        <v>6854.82</v>
      </c>
      <c r="W162" s="27">
        <v>0</v>
      </c>
    </row>
    <row r="163" spans="1:256" x14ac:dyDescent="0.2">
      <c r="A163" s="23">
        <v>154</v>
      </c>
      <c r="B163" s="24" t="s">
        <v>235</v>
      </c>
      <c r="C163" s="24" t="s">
        <v>46</v>
      </c>
      <c r="D163" s="25">
        <v>1350</v>
      </c>
      <c r="E163" s="26">
        <v>2000</v>
      </c>
      <c r="F163" s="26">
        <v>0</v>
      </c>
      <c r="G163" s="26">
        <v>0</v>
      </c>
      <c r="H163" s="26">
        <v>0</v>
      </c>
      <c r="I163" s="26">
        <v>4500</v>
      </c>
      <c r="J163" s="26">
        <v>0</v>
      </c>
      <c r="K163" s="26">
        <v>0</v>
      </c>
      <c r="L163" s="26">
        <v>0</v>
      </c>
      <c r="M163" s="26">
        <v>250</v>
      </c>
      <c r="N163" s="26">
        <v>0</v>
      </c>
      <c r="O163" s="26">
        <v>0</v>
      </c>
      <c r="P163" s="27">
        <f t="shared" si="9"/>
        <v>8100</v>
      </c>
      <c r="Q163" s="27">
        <f t="shared" si="1"/>
        <v>235.5</v>
      </c>
      <c r="R163" s="27">
        <f t="shared" si="10"/>
        <v>863.5</v>
      </c>
      <c r="S163" s="27">
        <v>143.03</v>
      </c>
      <c r="T163" s="27">
        <v>0</v>
      </c>
      <c r="U163" s="27">
        <f t="shared" si="3"/>
        <v>1242.03</v>
      </c>
      <c r="V163" s="27">
        <f t="shared" si="4"/>
        <v>6857.97</v>
      </c>
      <c r="W163" s="27">
        <v>0</v>
      </c>
    </row>
    <row r="164" spans="1:256" ht="25.5" x14ac:dyDescent="0.2">
      <c r="A164" s="23">
        <v>155</v>
      </c>
      <c r="B164" s="24" t="s">
        <v>236</v>
      </c>
      <c r="C164" s="24" t="s">
        <v>44</v>
      </c>
      <c r="D164" s="25">
        <v>1476</v>
      </c>
      <c r="E164" s="26">
        <v>2000</v>
      </c>
      <c r="F164" s="26">
        <v>0</v>
      </c>
      <c r="G164" s="26">
        <v>0</v>
      </c>
      <c r="H164" s="26">
        <v>1900</v>
      </c>
      <c r="I164" s="26">
        <v>2600</v>
      </c>
      <c r="J164" s="26">
        <v>0</v>
      </c>
      <c r="K164" s="26">
        <v>50</v>
      </c>
      <c r="L164" s="26">
        <v>0</v>
      </c>
      <c r="M164" s="26">
        <v>250</v>
      </c>
      <c r="N164" s="26">
        <v>0</v>
      </c>
      <c r="O164" s="26">
        <v>0</v>
      </c>
      <c r="P164" s="27">
        <f t="shared" si="9"/>
        <v>8276</v>
      </c>
      <c r="Q164" s="27">
        <f t="shared" si="1"/>
        <v>240.78</v>
      </c>
      <c r="R164" s="27">
        <f t="shared" si="10"/>
        <v>882.86</v>
      </c>
      <c r="S164" s="27">
        <v>20.420000000000002</v>
      </c>
      <c r="T164" s="27">
        <v>0</v>
      </c>
      <c r="U164" s="27">
        <f t="shared" si="3"/>
        <v>1144.06</v>
      </c>
      <c r="V164" s="27">
        <f t="shared" si="4"/>
        <v>7131.94</v>
      </c>
      <c r="W164" s="27">
        <f>9075.77</f>
        <v>9075.77</v>
      </c>
    </row>
    <row r="165" spans="1:256" x14ac:dyDescent="0.2">
      <c r="A165" s="23">
        <v>156</v>
      </c>
      <c r="B165" s="49" t="s">
        <v>237</v>
      </c>
      <c r="C165" s="49" t="s">
        <v>238</v>
      </c>
      <c r="D165" s="25">
        <v>10949</v>
      </c>
      <c r="E165" s="26">
        <v>0</v>
      </c>
      <c r="F165" s="26">
        <v>0</v>
      </c>
      <c r="G165" s="26">
        <v>5000</v>
      </c>
      <c r="H165" s="26">
        <v>0</v>
      </c>
      <c r="I165" s="26">
        <v>0</v>
      </c>
      <c r="J165" s="26">
        <v>375</v>
      </c>
      <c r="K165" s="26">
        <v>0</v>
      </c>
      <c r="L165" s="26">
        <v>0</v>
      </c>
      <c r="M165" s="26">
        <v>250</v>
      </c>
      <c r="N165" s="26">
        <v>6000</v>
      </c>
      <c r="O165" s="26">
        <v>0</v>
      </c>
      <c r="P165" s="27">
        <f t="shared" si="9"/>
        <v>22574</v>
      </c>
      <c r="Q165" s="27">
        <f t="shared" si="1"/>
        <v>669.72</v>
      </c>
      <c r="R165" s="27">
        <f>(D165+E165+F165+G165+H165+I165+J165+K165+N165)*15%</f>
        <v>3348.6</v>
      </c>
      <c r="S165" s="27">
        <v>508.94</v>
      </c>
      <c r="T165" s="27">
        <v>214.35</v>
      </c>
      <c r="U165" s="27">
        <f t="shared" si="3"/>
        <v>4741.6099999999997</v>
      </c>
      <c r="V165" s="27">
        <f t="shared" si="4"/>
        <v>17832.39</v>
      </c>
      <c r="W165" s="27">
        <v>0</v>
      </c>
    </row>
    <row r="166" spans="1:256" ht="25.5" x14ac:dyDescent="0.2">
      <c r="A166" s="23">
        <v>157</v>
      </c>
      <c r="B166" s="39" t="s">
        <v>239</v>
      </c>
      <c r="C166" s="24" t="s">
        <v>240</v>
      </c>
      <c r="D166" s="26">
        <v>1039</v>
      </c>
      <c r="E166" s="26">
        <v>400</v>
      </c>
      <c r="F166" s="26">
        <v>0</v>
      </c>
      <c r="G166" s="26">
        <v>1000</v>
      </c>
      <c r="H166" s="26">
        <v>0</v>
      </c>
      <c r="I166" s="26">
        <v>0</v>
      </c>
      <c r="J166" s="26">
        <v>0</v>
      </c>
      <c r="K166" s="26">
        <v>0</v>
      </c>
      <c r="L166" s="26">
        <v>200</v>
      </c>
      <c r="M166" s="26">
        <v>250</v>
      </c>
      <c r="N166" s="26">
        <v>0</v>
      </c>
      <c r="O166" s="26">
        <v>0</v>
      </c>
      <c r="P166" s="27">
        <f t="shared" si="9"/>
        <v>2889</v>
      </c>
      <c r="Q166" s="27">
        <f t="shared" si="1"/>
        <v>73.17</v>
      </c>
      <c r="R166" s="27">
        <f t="shared" ref="R166:R201" si="11">(D166+E166+F166+G166+H166+I166+J166+K166+N166)*11%</f>
        <v>268.29000000000002</v>
      </c>
      <c r="S166" s="27">
        <v>0</v>
      </c>
      <c r="T166" s="27">
        <v>0</v>
      </c>
      <c r="U166" s="27">
        <f t="shared" si="3"/>
        <v>341.46</v>
      </c>
      <c r="V166" s="27">
        <f t="shared" si="4"/>
        <v>2547.54</v>
      </c>
      <c r="W166" s="27">
        <v>0</v>
      </c>
    </row>
    <row r="167" spans="1:256" x14ac:dyDescent="0.2">
      <c r="A167" s="23">
        <v>158</v>
      </c>
      <c r="B167" s="28" t="s">
        <v>241</v>
      </c>
      <c r="C167" s="24" t="s">
        <v>149</v>
      </c>
      <c r="D167" s="26">
        <v>1575</v>
      </c>
      <c r="E167" s="26">
        <v>0</v>
      </c>
      <c r="F167" s="26">
        <v>0</v>
      </c>
      <c r="G167" s="26">
        <v>1000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250</v>
      </c>
      <c r="N167" s="26">
        <v>0</v>
      </c>
      <c r="O167" s="26">
        <v>0</v>
      </c>
      <c r="P167" s="27">
        <f t="shared" si="9"/>
        <v>2825</v>
      </c>
      <c r="Q167" s="27">
        <f t="shared" si="1"/>
        <v>77.25</v>
      </c>
      <c r="R167" s="27">
        <f t="shared" si="11"/>
        <v>283.25</v>
      </c>
      <c r="S167" s="27">
        <v>0</v>
      </c>
      <c r="T167" s="27">
        <v>34.61</v>
      </c>
      <c r="U167" s="27">
        <f t="shared" si="3"/>
        <v>395.11</v>
      </c>
      <c r="V167" s="27">
        <f t="shared" si="4"/>
        <v>2429.89</v>
      </c>
      <c r="W167" s="27">
        <v>0</v>
      </c>
    </row>
    <row r="168" spans="1:256" ht="25.5" x14ac:dyDescent="0.2">
      <c r="A168" s="23">
        <v>159</v>
      </c>
      <c r="B168" s="24" t="s">
        <v>242</v>
      </c>
      <c r="C168" s="24" t="s">
        <v>44</v>
      </c>
      <c r="D168" s="25">
        <v>1476</v>
      </c>
      <c r="E168" s="26">
        <v>2000</v>
      </c>
      <c r="F168" s="26">
        <v>0</v>
      </c>
      <c r="G168" s="26">
        <v>0</v>
      </c>
      <c r="H168" s="26">
        <v>1900</v>
      </c>
      <c r="I168" s="26">
        <v>2600</v>
      </c>
      <c r="J168" s="26">
        <v>0</v>
      </c>
      <c r="K168" s="26">
        <v>0</v>
      </c>
      <c r="L168" s="26">
        <v>0</v>
      </c>
      <c r="M168" s="26">
        <v>250</v>
      </c>
      <c r="N168" s="26">
        <v>0</v>
      </c>
      <c r="O168" s="26">
        <v>0</v>
      </c>
      <c r="P168" s="27">
        <f t="shared" si="9"/>
        <v>8226</v>
      </c>
      <c r="Q168" s="27">
        <f t="shared" si="1"/>
        <v>239.28</v>
      </c>
      <c r="R168" s="27">
        <f t="shared" si="11"/>
        <v>877.36</v>
      </c>
      <c r="S168" s="27">
        <v>148.33000000000001</v>
      </c>
      <c r="T168" s="27">
        <v>0</v>
      </c>
      <c r="U168" s="27">
        <f t="shared" si="3"/>
        <v>1264.97</v>
      </c>
      <c r="V168" s="27">
        <f t="shared" si="4"/>
        <v>6961.03</v>
      </c>
      <c r="W168" s="27">
        <v>0</v>
      </c>
    </row>
    <row r="169" spans="1:256" x14ac:dyDescent="0.2">
      <c r="A169" s="23">
        <v>160</v>
      </c>
      <c r="B169" s="24" t="s">
        <v>243</v>
      </c>
      <c r="C169" s="24" t="s">
        <v>70</v>
      </c>
      <c r="D169" s="25">
        <v>1476</v>
      </c>
      <c r="E169" s="26">
        <v>2000</v>
      </c>
      <c r="F169" s="26">
        <v>0</v>
      </c>
      <c r="G169" s="26">
        <v>0</v>
      </c>
      <c r="H169" s="26">
        <v>0</v>
      </c>
      <c r="I169" s="26">
        <v>4500</v>
      </c>
      <c r="J169" s="26">
        <v>0</v>
      </c>
      <c r="K169" s="26">
        <v>0</v>
      </c>
      <c r="L169" s="26">
        <v>0</v>
      </c>
      <c r="M169" s="26">
        <v>250</v>
      </c>
      <c r="N169" s="26">
        <v>0</v>
      </c>
      <c r="O169" s="26">
        <v>0</v>
      </c>
      <c r="P169" s="27">
        <f t="shared" si="9"/>
        <v>8226</v>
      </c>
      <c r="Q169" s="27">
        <f t="shared" si="1"/>
        <v>239.28</v>
      </c>
      <c r="R169" s="27">
        <f t="shared" si="11"/>
        <v>877.36</v>
      </c>
      <c r="S169" s="27">
        <v>148.33000000000001</v>
      </c>
      <c r="T169" s="27">
        <v>0</v>
      </c>
      <c r="U169" s="27">
        <f t="shared" si="3"/>
        <v>1264.97</v>
      </c>
      <c r="V169" s="27">
        <f t="shared" si="4"/>
        <v>6961.03</v>
      </c>
      <c r="W169" s="27">
        <v>0</v>
      </c>
    </row>
    <row r="170" spans="1:256" ht="25.5" x14ac:dyDescent="0.2">
      <c r="A170" s="23">
        <v>161</v>
      </c>
      <c r="B170" s="28" t="s">
        <v>244</v>
      </c>
      <c r="C170" s="24" t="s">
        <v>245</v>
      </c>
      <c r="D170" s="25">
        <v>3081</v>
      </c>
      <c r="E170" s="26">
        <v>1000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250</v>
      </c>
      <c r="N170" s="26">
        <v>0</v>
      </c>
      <c r="O170" s="26">
        <v>0</v>
      </c>
      <c r="P170" s="27">
        <f t="shared" si="9"/>
        <v>4331</v>
      </c>
      <c r="Q170" s="27">
        <f t="shared" si="1"/>
        <v>122.43</v>
      </c>
      <c r="R170" s="27">
        <f t="shared" si="11"/>
        <v>448.91</v>
      </c>
      <c r="S170" s="27">
        <v>0</v>
      </c>
      <c r="T170" s="27">
        <v>0</v>
      </c>
      <c r="U170" s="27">
        <f t="shared" si="3"/>
        <v>571.34</v>
      </c>
      <c r="V170" s="27">
        <f t="shared" si="4"/>
        <v>3759.66</v>
      </c>
      <c r="W170" s="27">
        <v>0</v>
      </c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  <c r="IV170" s="50"/>
    </row>
    <row r="171" spans="1:256" ht="25.5" x14ac:dyDescent="0.2">
      <c r="A171" s="23">
        <v>162</v>
      </c>
      <c r="B171" s="24" t="s">
        <v>246</v>
      </c>
      <c r="C171" s="24" t="s">
        <v>44</v>
      </c>
      <c r="D171" s="25">
        <v>1476</v>
      </c>
      <c r="E171" s="26">
        <v>2000</v>
      </c>
      <c r="F171" s="26">
        <v>0</v>
      </c>
      <c r="G171" s="26">
        <v>0</v>
      </c>
      <c r="H171" s="26">
        <v>1900</v>
      </c>
      <c r="I171" s="26">
        <v>2600</v>
      </c>
      <c r="J171" s="26">
        <v>0</v>
      </c>
      <c r="K171" s="26">
        <v>75</v>
      </c>
      <c r="L171" s="26">
        <v>0</v>
      </c>
      <c r="M171" s="26">
        <v>250</v>
      </c>
      <c r="N171" s="26">
        <v>0</v>
      </c>
      <c r="O171" s="26">
        <v>0</v>
      </c>
      <c r="P171" s="27">
        <f t="shared" si="9"/>
        <v>8301</v>
      </c>
      <c r="Q171" s="27">
        <f t="shared" si="1"/>
        <v>241.53</v>
      </c>
      <c r="R171" s="27">
        <f t="shared" si="11"/>
        <v>885.61</v>
      </c>
      <c r="S171" s="27">
        <v>146.41</v>
      </c>
      <c r="T171" s="27">
        <v>0</v>
      </c>
      <c r="U171" s="27">
        <f t="shared" si="3"/>
        <v>1273.55</v>
      </c>
      <c r="V171" s="27">
        <f t="shared" si="4"/>
        <v>7027.45</v>
      </c>
      <c r="W171" s="27">
        <v>0</v>
      </c>
    </row>
    <row r="172" spans="1:256" x14ac:dyDescent="0.2">
      <c r="A172" s="23">
        <v>163</v>
      </c>
      <c r="B172" s="24" t="s">
        <v>247</v>
      </c>
      <c r="C172" s="24" t="s">
        <v>55</v>
      </c>
      <c r="D172" s="25">
        <v>1223</v>
      </c>
      <c r="E172" s="26">
        <v>650</v>
      </c>
      <c r="F172" s="26">
        <v>0</v>
      </c>
      <c r="G172" s="26">
        <v>1000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250</v>
      </c>
      <c r="N172" s="26">
        <v>0</v>
      </c>
      <c r="O172" s="26">
        <v>0</v>
      </c>
      <c r="P172" s="27">
        <f t="shared" si="9"/>
        <v>3123</v>
      </c>
      <c r="Q172" s="27">
        <f t="shared" si="1"/>
        <v>86.19</v>
      </c>
      <c r="R172" s="27">
        <f t="shared" si="11"/>
        <v>316.02999999999997</v>
      </c>
      <c r="S172" s="27">
        <v>0</v>
      </c>
      <c r="T172" s="27">
        <v>0</v>
      </c>
      <c r="U172" s="27">
        <f t="shared" si="3"/>
        <v>402.22</v>
      </c>
      <c r="V172" s="27">
        <f t="shared" si="4"/>
        <v>2720.78</v>
      </c>
      <c r="W172" s="27">
        <v>0</v>
      </c>
    </row>
    <row r="173" spans="1:256" ht="51" x14ac:dyDescent="0.2">
      <c r="A173" s="23">
        <v>164</v>
      </c>
      <c r="B173" s="24" t="s">
        <v>248</v>
      </c>
      <c r="C173" s="24" t="s">
        <v>249</v>
      </c>
      <c r="D173" s="25">
        <f>2425+388</f>
        <v>2813</v>
      </c>
      <c r="E173" s="26">
        <v>0</v>
      </c>
      <c r="F173" s="26">
        <v>3031.25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7">
        <f t="shared" si="9"/>
        <v>5844.25</v>
      </c>
      <c r="Q173" s="27">
        <f t="shared" si="1"/>
        <v>175.33</v>
      </c>
      <c r="R173" s="27">
        <f t="shared" si="11"/>
        <v>642.87</v>
      </c>
      <c r="S173" s="27">
        <v>104.47</v>
      </c>
      <c r="T173" s="27">
        <v>0</v>
      </c>
      <c r="U173" s="27">
        <f t="shared" si="3"/>
        <v>922.67</v>
      </c>
      <c r="V173" s="27">
        <f t="shared" si="4"/>
        <v>4921.58</v>
      </c>
      <c r="W173" s="27">
        <v>0</v>
      </c>
    </row>
    <row r="174" spans="1:256" x14ac:dyDescent="0.2">
      <c r="A174" s="23">
        <v>165</v>
      </c>
      <c r="B174" s="24" t="s">
        <v>250</v>
      </c>
      <c r="C174" s="24" t="s">
        <v>60</v>
      </c>
      <c r="D174" s="25">
        <v>1105</v>
      </c>
      <c r="E174" s="26">
        <v>400</v>
      </c>
      <c r="F174" s="26">
        <v>0</v>
      </c>
      <c r="G174" s="26">
        <v>1000</v>
      </c>
      <c r="H174" s="26">
        <v>0</v>
      </c>
      <c r="I174" s="26">
        <v>0</v>
      </c>
      <c r="J174" s="26">
        <v>0</v>
      </c>
      <c r="K174" s="26">
        <v>50</v>
      </c>
      <c r="L174" s="26">
        <v>0</v>
      </c>
      <c r="M174" s="26">
        <v>250</v>
      </c>
      <c r="N174" s="26">
        <v>0</v>
      </c>
      <c r="O174" s="26">
        <v>0</v>
      </c>
      <c r="P174" s="27">
        <f t="shared" si="9"/>
        <v>2805</v>
      </c>
      <c r="Q174" s="27">
        <f t="shared" si="1"/>
        <v>76.650000000000006</v>
      </c>
      <c r="R174" s="27">
        <f t="shared" si="11"/>
        <v>281.05</v>
      </c>
      <c r="S174" s="27">
        <v>0</v>
      </c>
      <c r="T174" s="27">
        <v>0</v>
      </c>
      <c r="U174" s="27">
        <f t="shared" si="3"/>
        <v>357.7</v>
      </c>
      <c r="V174" s="27">
        <f t="shared" si="4"/>
        <v>2447.3000000000002</v>
      </c>
      <c r="W174" s="27">
        <v>0</v>
      </c>
    </row>
    <row r="175" spans="1:256" ht="38.25" x14ac:dyDescent="0.2">
      <c r="A175" s="23">
        <v>166</v>
      </c>
      <c r="B175" s="24" t="s">
        <v>251</v>
      </c>
      <c r="C175" s="24" t="s">
        <v>252</v>
      </c>
      <c r="D175" s="25">
        <f>(485*3)+2656</f>
        <v>4111</v>
      </c>
      <c r="E175" s="26">
        <v>2400</v>
      </c>
      <c r="F175" s="26">
        <f>485*3</f>
        <v>1455</v>
      </c>
      <c r="G175" s="26">
        <v>0</v>
      </c>
      <c r="H175" s="26">
        <v>0</v>
      </c>
      <c r="I175" s="26">
        <v>5400</v>
      </c>
      <c r="J175" s="26">
        <v>0</v>
      </c>
      <c r="K175" s="26">
        <v>0</v>
      </c>
      <c r="L175" s="26">
        <v>0</v>
      </c>
      <c r="M175" s="26">
        <v>250</v>
      </c>
      <c r="N175" s="26">
        <v>0</v>
      </c>
      <c r="O175" s="26">
        <v>0</v>
      </c>
      <c r="P175" s="27">
        <f t="shared" si="9"/>
        <v>13616</v>
      </c>
      <c r="Q175" s="27">
        <f t="shared" si="1"/>
        <v>400.98</v>
      </c>
      <c r="R175" s="27">
        <f t="shared" si="11"/>
        <v>1470.26</v>
      </c>
      <c r="S175" s="27">
        <v>361.64</v>
      </c>
      <c r="T175" s="27">
        <v>140.53</v>
      </c>
      <c r="U175" s="27">
        <f t="shared" si="3"/>
        <v>2373.41</v>
      </c>
      <c r="V175" s="27">
        <f t="shared" si="4"/>
        <v>11242.59</v>
      </c>
      <c r="W175" s="27">
        <v>0</v>
      </c>
    </row>
    <row r="176" spans="1:256" x14ac:dyDescent="0.2">
      <c r="A176" s="23">
        <v>167</v>
      </c>
      <c r="B176" s="31" t="s">
        <v>253</v>
      </c>
      <c r="C176" s="31" t="s">
        <v>36</v>
      </c>
      <c r="D176" s="25">
        <v>1074</v>
      </c>
      <c r="E176" s="26">
        <v>0</v>
      </c>
      <c r="F176" s="26">
        <v>0</v>
      </c>
      <c r="G176" s="26">
        <v>1000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250</v>
      </c>
      <c r="N176" s="26">
        <v>0</v>
      </c>
      <c r="O176" s="26">
        <v>0</v>
      </c>
      <c r="P176" s="27">
        <f t="shared" si="9"/>
        <v>2324</v>
      </c>
      <c r="Q176" s="27">
        <f t="shared" si="1"/>
        <v>62.22</v>
      </c>
      <c r="R176" s="27">
        <f t="shared" si="11"/>
        <v>228.14</v>
      </c>
      <c r="S176" s="27">
        <v>0</v>
      </c>
      <c r="T176" s="27">
        <v>0</v>
      </c>
      <c r="U176" s="27">
        <f t="shared" si="3"/>
        <v>290.36</v>
      </c>
      <c r="V176" s="27">
        <f t="shared" si="4"/>
        <v>2033.64</v>
      </c>
      <c r="W176" s="27">
        <v>0</v>
      </c>
    </row>
    <row r="177" spans="1:23" x14ac:dyDescent="0.2">
      <c r="A177" s="23">
        <v>168</v>
      </c>
      <c r="B177" s="24" t="s">
        <v>254</v>
      </c>
      <c r="C177" s="24" t="s">
        <v>55</v>
      </c>
      <c r="D177" s="25">
        <v>1223</v>
      </c>
      <c r="E177" s="26">
        <v>650</v>
      </c>
      <c r="F177" s="26">
        <v>0</v>
      </c>
      <c r="G177" s="26">
        <v>1000</v>
      </c>
      <c r="H177" s="26">
        <v>0</v>
      </c>
      <c r="I177" s="26">
        <v>0</v>
      </c>
      <c r="J177" s="26">
        <v>0</v>
      </c>
      <c r="K177" s="26">
        <v>75</v>
      </c>
      <c r="L177" s="26">
        <v>0</v>
      </c>
      <c r="M177" s="26">
        <v>250</v>
      </c>
      <c r="N177" s="26">
        <v>0</v>
      </c>
      <c r="O177" s="26">
        <v>0</v>
      </c>
      <c r="P177" s="27">
        <f t="shared" si="9"/>
        <v>3198</v>
      </c>
      <c r="Q177" s="27">
        <f t="shared" si="1"/>
        <v>88.44</v>
      </c>
      <c r="R177" s="27">
        <f t="shared" si="11"/>
        <v>324.27999999999997</v>
      </c>
      <c r="S177" s="27">
        <v>0</v>
      </c>
      <c r="T177" s="27">
        <v>0</v>
      </c>
      <c r="U177" s="27">
        <f t="shared" si="3"/>
        <v>412.72</v>
      </c>
      <c r="V177" s="27">
        <f t="shared" si="4"/>
        <v>2785.28</v>
      </c>
      <c r="W177" s="27">
        <v>0</v>
      </c>
    </row>
    <row r="178" spans="1:23" ht="25.5" x14ac:dyDescent="0.2">
      <c r="A178" s="23">
        <v>169</v>
      </c>
      <c r="B178" s="24" t="s">
        <v>255</v>
      </c>
      <c r="C178" s="31" t="s">
        <v>38</v>
      </c>
      <c r="D178" s="25">
        <v>1350</v>
      </c>
      <c r="E178" s="26">
        <v>2000</v>
      </c>
      <c r="F178" s="26">
        <v>0</v>
      </c>
      <c r="G178" s="26">
        <v>0</v>
      </c>
      <c r="H178" s="26">
        <v>1600</v>
      </c>
      <c r="I178" s="26">
        <v>2900</v>
      </c>
      <c r="J178" s="26">
        <v>0</v>
      </c>
      <c r="K178" s="26">
        <v>75</v>
      </c>
      <c r="L178" s="26">
        <v>0</v>
      </c>
      <c r="M178" s="26">
        <v>250</v>
      </c>
      <c r="N178" s="26">
        <v>0</v>
      </c>
      <c r="O178" s="26">
        <v>0</v>
      </c>
      <c r="P178" s="27">
        <f t="shared" si="9"/>
        <v>8175</v>
      </c>
      <c r="Q178" s="27">
        <f t="shared" si="1"/>
        <v>237.75</v>
      </c>
      <c r="R178" s="27">
        <f t="shared" si="11"/>
        <v>871.75</v>
      </c>
      <c r="S178" s="27">
        <v>146.18</v>
      </c>
      <c r="T178" s="27">
        <v>0</v>
      </c>
      <c r="U178" s="27">
        <f t="shared" si="3"/>
        <v>1255.68</v>
      </c>
      <c r="V178" s="27">
        <f t="shared" si="4"/>
        <v>6919.32</v>
      </c>
      <c r="W178" s="27">
        <v>0</v>
      </c>
    </row>
    <row r="179" spans="1:23" ht="25.5" x14ac:dyDescent="0.2">
      <c r="A179" s="23">
        <v>170</v>
      </c>
      <c r="B179" s="24" t="s">
        <v>256</v>
      </c>
      <c r="C179" s="24" t="s">
        <v>46</v>
      </c>
      <c r="D179" s="25">
        <v>1350</v>
      </c>
      <c r="E179" s="26">
        <v>2000</v>
      </c>
      <c r="F179" s="26">
        <v>0</v>
      </c>
      <c r="G179" s="26">
        <v>0</v>
      </c>
      <c r="H179" s="26">
        <v>0</v>
      </c>
      <c r="I179" s="26">
        <v>4500</v>
      </c>
      <c r="J179" s="26">
        <v>0</v>
      </c>
      <c r="K179" s="26">
        <v>75</v>
      </c>
      <c r="L179" s="26">
        <v>0</v>
      </c>
      <c r="M179" s="26">
        <v>250</v>
      </c>
      <c r="N179" s="26">
        <v>0</v>
      </c>
      <c r="O179" s="26">
        <v>0</v>
      </c>
      <c r="P179" s="27">
        <f t="shared" si="9"/>
        <v>8175</v>
      </c>
      <c r="Q179" s="27">
        <f t="shared" si="1"/>
        <v>237.75</v>
      </c>
      <c r="R179" s="27">
        <f t="shared" si="11"/>
        <v>871.75</v>
      </c>
      <c r="S179" s="27">
        <v>146.18</v>
      </c>
      <c r="T179" s="27">
        <v>0</v>
      </c>
      <c r="U179" s="27">
        <f t="shared" si="3"/>
        <v>1255.68</v>
      </c>
      <c r="V179" s="27">
        <f t="shared" si="4"/>
        <v>6919.32</v>
      </c>
      <c r="W179" s="27">
        <v>0</v>
      </c>
    </row>
    <row r="180" spans="1:23" x14ac:dyDescent="0.2">
      <c r="A180" s="23">
        <v>171</v>
      </c>
      <c r="B180" s="24" t="s">
        <v>257</v>
      </c>
      <c r="C180" s="24" t="s">
        <v>144</v>
      </c>
      <c r="D180" s="25">
        <v>1039</v>
      </c>
      <c r="E180" s="26">
        <v>400</v>
      </c>
      <c r="F180" s="26">
        <v>0</v>
      </c>
      <c r="G180" s="26">
        <v>1000</v>
      </c>
      <c r="H180" s="26">
        <v>0</v>
      </c>
      <c r="I180" s="26">
        <v>0</v>
      </c>
      <c r="J180" s="26">
        <v>0</v>
      </c>
      <c r="K180" s="26">
        <v>50</v>
      </c>
      <c r="L180" s="26">
        <v>200</v>
      </c>
      <c r="M180" s="26">
        <v>250</v>
      </c>
      <c r="N180" s="26">
        <v>0</v>
      </c>
      <c r="O180" s="26">
        <v>0</v>
      </c>
      <c r="P180" s="27">
        <f t="shared" si="9"/>
        <v>2939</v>
      </c>
      <c r="Q180" s="27">
        <f t="shared" si="1"/>
        <v>74.67</v>
      </c>
      <c r="R180" s="27">
        <f t="shared" si="11"/>
        <v>273.79000000000002</v>
      </c>
      <c r="S180" s="27">
        <v>0</v>
      </c>
      <c r="T180" s="27">
        <v>0</v>
      </c>
      <c r="U180" s="27">
        <f t="shared" si="3"/>
        <v>348.46</v>
      </c>
      <c r="V180" s="27">
        <f t="shared" si="4"/>
        <v>2590.54</v>
      </c>
      <c r="W180" s="27">
        <v>0</v>
      </c>
    </row>
    <row r="181" spans="1:23" ht="38.25" x14ac:dyDescent="0.2">
      <c r="A181" s="23">
        <v>172</v>
      </c>
      <c r="B181" s="24" t="s">
        <v>258</v>
      </c>
      <c r="C181" s="24" t="s">
        <v>67</v>
      </c>
      <c r="D181" s="25">
        <f>485*3</f>
        <v>1455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7">
        <f t="shared" si="9"/>
        <v>1455</v>
      </c>
      <c r="Q181" s="27">
        <f t="shared" si="1"/>
        <v>43.65</v>
      </c>
      <c r="R181" s="27">
        <f t="shared" si="11"/>
        <v>160.05000000000001</v>
      </c>
      <c r="S181" s="27">
        <v>0</v>
      </c>
      <c r="T181" s="27"/>
      <c r="U181" s="27">
        <f t="shared" si="3"/>
        <v>203.7</v>
      </c>
      <c r="V181" s="27">
        <f t="shared" si="4"/>
        <v>1251.3</v>
      </c>
      <c r="W181" s="27">
        <v>0</v>
      </c>
    </row>
    <row r="182" spans="1:23" x14ac:dyDescent="0.2">
      <c r="A182" s="23">
        <v>173</v>
      </c>
      <c r="B182" s="24" t="s">
        <v>259</v>
      </c>
      <c r="C182" s="24" t="s">
        <v>46</v>
      </c>
      <c r="D182" s="25">
        <v>1350</v>
      </c>
      <c r="E182" s="26">
        <v>2000</v>
      </c>
      <c r="F182" s="26">
        <v>0</v>
      </c>
      <c r="G182" s="26">
        <v>0</v>
      </c>
      <c r="H182" s="26">
        <v>0</v>
      </c>
      <c r="I182" s="26">
        <v>4500</v>
      </c>
      <c r="J182" s="26">
        <v>0</v>
      </c>
      <c r="K182" s="26">
        <v>0</v>
      </c>
      <c r="L182" s="26">
        <v>0</v>
      </c>
      <c r="M182" s="26">
        <v>250</v>
      </c>
      <c r="N182" s="26">
        <v>0</v>
      </c>
      <c r="O182" s="26">
        <v>0</v>
      </c>
      <c r="P182" s="27">
        <f t="shared" si="9"/>
        <v>8100</v>
      </c>
      <c r="Q182" s="27">
        <f t="shared" si="1"/>
        <v>235.5</v>
      </c>
      <c r="R182" s="27">
        <f t="shared" si="11"/>
        <v>863.5</v>
      </c>
      <c r="S182" s="27">
        <v>143.03</v>
      </c>
      <c r="T182" s="27">
        <v>0</v>
      </c>
      <c r="U182" s="27">
        <f t="shared" si="3"/>
        <v>1242.03</v>
      </c>
      <c r="V182" s="27">
        <f t="shared" si="4"/>
        <v>6857.97</v>
      </c>
      <c r="W182" s="27">
        <v>0</v>
      </c>
    </row>
    <row r="183" spans="1:23" ht="25.5" x14ac:dyDescent="0.2">
      <c r="A183" s="23">
        <v>174</v>
      </c>
      <c r="B183" s="31" t="s">
        <v>260</v>
      </c>
      <c r="C183" s="31" t="s">
        <v>44</v>
      </c>
      <c r="D183" s="26">
        <v>1476</v>
      </c>
      <c r="E183" s="26">
        <v>2000</v>
      </c>
      <c r="F183" s="26">
        <v>0</v>
      </c>
      <c r="G183" s="26">
        <v>0</v>
      </c>
      <c r="H183" s="26">
        <v>1900</v>
      </c>
      <c r="I183" s="26">
        <v>2600</v>
      </c>
      <c r="J183" s="26">
        <v>0</v>
      </c>
      <c r="K183" s="26">
        <v>75</v>
      </c>
      <c r="L183" s="26">
        <v>0</v>
      </c>
      <c r="M183" s="26">
        <v>250</v>
      </c>
      <c r="N183" s="26">
        <v>0</v>
      </c>
      <c r="O183" s="26">
        <v>0</v>
      </c>
      <c r="P183" s="27">
        <f t="shared" si="9"/>
        <v>8301</v>
      </c>
      <c r="Q183" s="27">
        <f t="shared" si="1"/>
        <v>241.53</v>
      </c>
      <c r="R183" s="27">
        <f t="shared" si="11"/>
        <v>885.61</v>
      </c>
      <c r="S183" s="27">
        <v>146.41</v>
      </c>
      <c r="T183" s="27">
        <v>0</v>
      </c>
      <c r="U183" s="27">
        <f t="shared" si="3"/>
        <v>1273.55</v>
      </c>
      <c r="V183" s="27">
        <f t="shared" si="4"/>
        <v>7027.45</v>
      </c>
      <c r="W183" s="27">
        <f>575</f>
        <v>575</v>
      </c>
    </row>
    <row r="184" spans="1:23" ht="25.5" x14ac:dyDescent="0.2">
      <c r="A184" s="23">
        <v>175</v>
      </c>
      <c r="B184" s="24" t="s">
        <v>261</v>
      </c>
      <c r="C184" s="24" t="s">
        <v>65</v>
      </c>
      <c r="D184" s="25">
        <f>485*4</f>
        <v>1940</v>
      </c>
      <c r="E184" s="26">
        <v>0</v>
      </c>
      <c r="F184" s="26">
        <f>606.25*2</f>
        <v>1212.5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7">
        <f t="shared" si="9"/>
        <v>3152.5</v>
      </c>
      <c r="Q184" s="27">
        <f t="shared" si="1"/>
        <v>94.58</v>
      </c>
      <c r="R184" s="27">
        <f t="shared" si="11"/>
        <v>346.78</v>
      </c>
      <c r="S184" s="27">
        <v>0</v>
      </c>
      <c r="T184" s="27">
        <v>0</v>
      </c>
      <c r="U184" s="27">
        <f t="shared" si="3"/>
        <v>441.36</v>
      </c>
      <c r="V184" s="27">
        <f t="shared" si="4"/>
        <v>2711.14</v>
      </c>
      <c r="W184" s="27">
        <v>0</v>
      </c>
    </row>
    <row r="185" spans="1:23" x14ac:dyDescent="0.2">
      <c r="A185" s="23">
        <v>176</v>
      </c>
      <c r="B185" s="24" t="s">
        <v>262</v>
      </c>
      <c r="C185" s="24" t="s">
        <v>263</v>
      </c>
      <c r="D185" s="25">
        <v>1460</v>
      </c>
      <c r="E185" s="26">
        <v>650</v>
      </c>
      <c r="F185" s="26">
        <v>0</v>
      </c>
      <c r="G185" s="26">
        <v>1000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250</v>
      </c>
      <c r="N185" s="26">
        <v>0</v>
      </c>
      <c r="O185" s="26">
        <v>0</v>
      </c>
      <c r="P185" s="27">
        <f t="shared" si="9"/>
        <v>3360</v>
      </c>
      <c r="Q185" s="27">
        <f t="shared" si="1"/>
        <v>93.3</v>
      </c>
      <c r="R185" s="27">
        <f t="shared" si="11"/>
        <v>342.1</v>
      </c>
      <c r="S185" s="27">
        <v>0</v>
      </c>
      <c r="T185" s="27">
        <v>41.8</v>
      </c>
      <c r="U185" s="27">
        <f t="shared" si="3"/>
        <v>477.2</v>
      </c>
      <c r="V185" s="27">
        <f t="shared" si="4"/>
        <v>2882.8</v>
      </c>
      <c r="W185" s="27">
        <v>0</v>
      </c>
    </row>
    <row r="186" spans="1:23" ht="27" customHeight="1" x14ac:dyDescent="0.2">
      <c r="A186" s="23">
        <v>177</v>
      </c>
      <c r="B186" s="24" t="s">
        <v>264</v>
      </c>
      <c r="C186" s="31" t="s">
        <v>33</v>
      </c>
      <c r="D186" s="25">
        <v>1634</v>
      </c>
      <c r="E186" s="26">
        <v>2000</v>
      </c>
      <c r="F186" s="26">
        <v>0</v>
      </c>
      <c r="G186" s="26">
        <v>0</v>
      </c>
      <c r="H186" s="26">
        <v>2200</v>
      </c>
      <c r="I186" s="26">
        <v>3200</v>
      </c>
      <c r="J186" s="26">
        <v>0</v>
      </c>
      <c r="K186" s="26">
        <v>75</v>
      </c>
      <c r="L186" s="26">
        <v>0</v>
      </c>
      <c r="M186" s="26">
        <v>250</v>
      </c>
      <c r="N186" s="26">
        <v>0</v>
      </c>
      <c r="O186" s="26">
        <v>0</v>
      </c>
      <c r="P186" s="27">
        <f t="shared" si="9"/>
        <v>9359</v>
      </c>
      <c r="Q186" s="27">
        <f t="shared" si="1"/>
        <v>273.27</v>
      </c>
      <c r="R186" s="27">
        <f t="shared" si="11"/>
        <v>1001.99</v>
      </c>
      <c r="S186" s="27">
        <v>147.44999999999999</v>
      </c>
      <c r="T186" s="27">
        <v>0</v>
      </c>
      <c r="U186" s="27">
        <f t="shared" si="3"/>
        <v>1422.71</v>
      </c>
      <c r="V186" s="27">
        <f t="shared" si="4"/>
        <v>7936.29</v>
      </c>
      <c r="W186" s="27">
        <v>0</v>
      </c>
    </row>
    <row r="187" spans="1:23" x14ac:dyDescent="0.2">
      <c r="A187" s="23">
        <v>178</v>
      </c>
      <c r="B187" s="28" t="s">
        <v>265</v>
      </c>
      <c r="C187" s="31" t="s">
        <v>46</v>
      </c>
      <c r="D187" s="51">
        <v>1350</v>
      </c>
      <c r="E187" s="26">
        <v>0</v>
      </c>
      <c r="F187" s="52">
        <v>0</v>
      </c>
      <c r="G187" s="26">
        <v>0</v>
      </c>
      <c r="H187" s="26">
        <v>0</v>
      </c>
      <c r="I187" s="52">
        <v>4500</v>
      </c>
      <c r="J187" s="26">
        <v>0</v>
      </c>
      <c r="K187" s="26">
        <v>0</v>
      </c>
      <c r="L187" s="26">
        <v>0</v>
      </c>
      <c r="M187" s="26">
        <v>250</v>
      </c>
      <c r="N187" s="26">
        <v>0</v>
      </c>
      <c r="O187" s="26">
        <v>0</v>
      </c>
      <c r="P187" s="27">
        <f t="shared" si="9"/>
        <v>6100</v>
      </c>
      <c r="Q187" s="27">
        <f t="shared" si="1"/>
        <v>175.5</v>
      </c>
      <c r="R187" s="27">
        <f t="shared" si="11"/>
        <v>643.5</v>
      </c>
      <c r="S187" s="27">
        <v>61.96</v>
      </c>
      <c r="T187" s="27">
        <v>0</v>
      </c>
      <c r="U187" s="27">
        <f t="shared" si="3"/>
        <v>880.96</v>
      </c>
      <c r="V187" s="27">
        <f t="shared" si="4"/>
        <v>5219.04</v>
      </c>
      <c r="W187" s="27">
        <v>0</v>
      </c>
    </row>
    <row r="188" spans="1:23" x14ac:dyDescent="0.2">
      <c r="A188" s="23">
        <v>179</v>
      </c>
      <c r="B188" s="24" t="s">
        <v>266</v>
      </c>
      <c r="C188" s="24" t="s">
        <v>33</v>
      </c>
      <c r="D188" s="25">
        <v>1634</v>
      </c>
      <c r="E188" s="26">
        <v>2400</v>
      </c>
      <c r="F188" s="26">
        <v>0</v>
      </c>
      <c r="G188" s="26">
        <v>0</v>
      </c>
      <c r="H188" s="26">
        <v>3000</v>
      </c>
      <c r="I188" s="26">
        <v>2400</v>
      </c>
      <c r="J188" s="26">
        <v>0</v>
      </c>
      <c r="K188" s="26">
        <v>0</v>
      </c>
      <c r="L188" s="26">
        <v>0</v>
      </c>
      <c r="M188" s="26">
        <v>250</v>
      </c>
      <c r="N188" s="26">
        <v>0</v>
      </c>
      <c r="O188" s="26">
        <v>0</v>
      </c>
      <c r="P188" s="27">
        <f t="shared" si="9"/>
        <v>9684</v>
      </c>
      <c r="Q188" s="27">
        <f t="shared" si="1"/>
        <v>283.02</v>
      </c>
      <c r="R188" s="27">
        <f t="shared" si="11"/>
        <v>1037.74</v>
      </c>
      <c r="S188" s="27">
        <v>284.3</v>
      </c>
      <c r="T188" s="27">
        <v>0</v>
      </c>
      <c r="U188" s="27">
        <f t="shared" si="3"/>
        <v>1605.06</v>
      </c>
      <c r="V188" s="27">
        <f t="shared" si="4"/>
        <v>8078.94</v>
      </c>
      <c r="W188" s="27">
        <v>0</v>
      </c>
    </row>
    <row r="189" spans="1:23" ht="25.5" x14ac:dyDescent="0.2">
      <c r="A189" s="23">
        <v>180</v>
      </c>
      <c r="B189" s="24" t="s">
        <v>267</v>
      </c>
      <c r="C189" s="24" t="s">
        <v>36</v>
      </c>
      <c r="D189" s="25">
        <v>1074</v>
      </c>
      <c r="E189" s="26">
        <v>0</v>
      </c>
      <c r="F189" s="26">
        <v>0</v>
      </c>
      <c r="G189" s="26">
        <v>1000</v>
      </c>
      <c r="H189" s="26">
        <v>0</v>
      </c>
      <c r="I189" s="26">
        <v>0</v>
      </c>
      <c r="J189" s="26">
        <v>0</v>
      </c>
      <c r="K189" s="26">
        <v>0</v>
      </c>
      <c r="L189" s="26">
        <v>600</v>
      </c>
      <c r="M189" s="26">
        <v>250</v>
      </c>
      <c r="N189" s="26">
        <v>0</v>
      </c>
      <c r="O189" s="26">
        <v>0</v>
      </c>
      <c r="P189" s="27">
        <f t="shared" si="9"/>
        <v>2924</v>
      </c>
      <c r="Q189" s="27">
        <f t="shared" si="1"/>
        <v>62.22</v>
      </c>
      <c r="R189" s="27">
        <f t="shared" si="11"/>
        <v>228.14</v>
      </c>
      <c r="S189" s="27">
        <v>0</v>
      </c>
      <c r="T189" s="27">
        <v>0</v>
      </c>
      <c r="U189" s="27">
        <f t="shared" si="3"/>
        <v>290.36</v>
      </c>
      <c r="V189" s="27">
        <f t="shared" si="4"/>
        <v>2633.64</v>
      </c>
      <c r="W189" s="27">
        <v>0</v>
      </c>
    </row>
    <row r="190" spans="1:23" ht="25.5" x14ac:dyDescent="0.2">
      <c r="A190" s="23">
        <v>181</v>
      </c>
      <c r="B190" s="24" t="s">
        <v>268</v>
      </c>
      <c r="C190" s="24" t="s">
        <v>224</v>
      </c>
      <c r="D190" s="25">
        <v>2425</v>
      </c>
      <c r="E190" s="26">
        <v>0</v>
      </c>
      <c r="F190" s="26">
        <v>3031.25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7">
        <f t="shared" si="9"/>
        <v>5456.25</v>
      </c>
      <c r="Q190" s="27">
        <f t="shared" si="1"/>
        <v>163.69</v>
      </c>
      <c r="R190" s="27">
        <f t="shared" si="11"/>
        <v>600.19000000000005</v>
      </c>
      <c r="S190" s="27">
        <v>32.72</v>
      </c>
      <c r="T190" s="27">
        <v>0</v>
      </c>
      <c r="U190" s="27">
        <f t="shared" si="3"/>
        <v>796.6</v>
      </c>
      <c r="V190" s="27">
        <f t="shared" si="4"/>
        <v>4659.6499999999996</v>
      </c>
      <c r="W190" s="27">
        <v>0</v>
      </c>
    </row>
    <row r="191" spans="1:23" x14ac:dyDescent="0.2">
      <c r="A191" s="23">
        <v>182</v>
      </c>
      <c r="B191" s="24" t="s">
        <v>269</v>
      </c>
      <c r="C191" s="24" t="s">
        <v>46</v>
      </c>
      <c r="D191" s="25">
        <v>1350</v>
      </c>
      <c r="E191" s="26">
        <v>2000</v>
      </c>
      <c r="F191" s="26">
        <v>0</v>
      </c>
      <c r="G191" s="26">
        <v>0</v>
      </c>
      <c r="H191" s="26">
        <v>0</v>
      </c>
      <c r="I191" s="26">
        <v>4500</v>
      </c>
      <c r="J191" s="26">
        <v>0</v>
      </c>
      <c r="K191" s="26">
        <v>0</v>
      </c>
      <c r="L191" s="26">
        <v>0</v>
      </c>
      <c r="M191" s="26">
        <v>250</v>
      </c>
      <c r="N191" s="26">
        <v>0</v>
      </c>
      <c r="O191" s="26">
        <v>0</v>
      </c>
      <c r="P191" s="27">
        <f t="shared" si="9"/>
        <v>8100</v>
      </c>
      <c r="Q191" s="27">
        <f t="shared" si="1"/>
        <v>235.5</v>
      </c>
      <c r="R191" s="27">
        <f t="shared" si="11"/>
        <v>863.5</v>
      </c>
      <c r="S191" s="27">
        <v>143.03</v>
      </c>
      <c r="T191" s="27">
        <v>0</v>
      </c>
      <c r="U191" s="27">
        <f t="shared" si="3"/>
        <v>1242.03</v>
      </c>
      <c r="V191" s="27">
        <f t="shared" si="4"/>
        <v>6857.97</v>
      </c>
      <c r="W191" s="27">
        <v>0</v>
      </c>
    </row>
    <row r="192" spans="1:23" x14ac:dyDescent="0.2">
      <c r="A192" s="23">
        <v>183</v>
      </c>
      <c r="B192" s="24" t="s">
        <v>270</v>
      </c>
      <c r="C192" s="24" t="s">
        <v>55</v>
      </c>
      <c r="D192" s="25">
        <v>2885</v>
      </c>
      <c r="E192" s="26">
        <v>0</v>
      </c>
      <c r="F192" s="26">
        <v>7910.48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7">
        <f t="shared" si="9"/>
        <v>10795.48</v>
      </c>
      <c r="Q192" s="27">
        <f t="shared" si="1"/>
        <v>323.86</v>
      </c>
      <c r="R192" s="27">
        <f t="shared" si="11"/>
        <v>1187.5</v>
      </c>
      <c r="S192" s="27">
        <v>138.78</v>
      </c>
      <c r="T192" s="27">
        <v>0</v>
      </c>
      <c r="U192" s="27">
        <f t="shared" si="3"/>
        <v>1650.14</v>
      </c>
      <c r="V192" s="27">
        <f t="shared" si="4"/>
        <v>9145.34</v>
      </c>
      <c r="W192" s="27">
        <v>0</v>
      </c>
    </row>
    <row r="193" spans="1:23" ht="25.5" x14ac:dyDescent="0.2">
      <c r="A193" s="23">
        <v>184</v>
      </c>
      <c r="B193" s="24" t="s">
        <v>271</v>
      </c>
      <c r="C193" s="24" t="s">
        <v>70</v>
      </c>
      <c r="D193" s="25">
        <v>1476</v>
      </c>
      <c r="E193" s="26">
        <v>2000</v>
      </c>
      <c r="F193" s="26">
        <v>0</v>
      </c>
      <c r="G193" s="26">
        <v>0</v>
      </c>
      <c r="H193" s="26">
        <v>0</v>
      </c>
      <c r="I193" s="26">
        <v>4500</v>
      </c>
      <c r="J193" s="26">
        <v>0</v>
      </c>
      <c r="K193" s="26">
        <v>75</v>
      </c>
      <c r="L193" s="26">
        <v>0</v>
      </c>
      <c r="M193" s="26">
        <v>250</v>
      </c>
      <c r="N193" s="26">
        <v>0</v>
      </c>
      <c r="O193" s="26">
        <v>0</v>
      </c>
      <c r="P193" s="27">
        <f t="shared" si="9"/>
        <v>8301</v>
      </c>
      <c r="Q193" s="27">
        <f t="shared" si="1"/>
        <v>241.53</v>
      </c>
      <c r="R193" s="27">
        <f t="shared" si="11"/>
        <v>885.61</v>
      </c>
      <c r="S193" s="27">
        <v>147.44999999999999</v>
      </c>
      <c r="T193" s="27">
        <v>0</v>
      </c>
      <c r="U193" s="27">
        <f t="shared" si="3"/>
        <v>1274.5899999999999</v>
      </c>
      <c r="V193" s="27">
        <f t="shared" si="4"/>
        <v>7026.41</v>
      </c>
      <c r="W193" s="27">
        <v>0</v>
      </c>
    </row>
    <row r="194" spans="1:23" ht="25.5" x14ac:dyDescent="0.2">
      <c r="A194" s="23">
        <v>185</v>
      </c>
      <c r="B194" s="24" t="s">
        <v>272</v>
      </c>
      <c r="C194" s="31" t="s">
        <v>38</v>
      </c>
      <c r="D194" s="25">
        <v>1350</v>
      </c>
      <c r="E194" s="26">
        <f>2000</f>
        <v>2000</v>
      </c>
      <c r="F194" s="26">
        <v>0</v>
      </c>
      <c r="G194" s="26">
        <v>0</v>
      </c>
      <c r="H194" s="26">
        <v>1600</v>
      </c>
      <c r="I194" s="26">
        <f>2900</f>
        <v>2900</v>
      </c>
      <c r="J194" s="26">
        <v>0</v>
      </c>
      <c r="K194" s="26">
        <v>50</v>
      </c>
      <c r="L194" s="26">
        <v>0</v>
      </c>
      <c r="M194" s="26">
        <v>250</v>
      </c>
      <c r="N194" s="26">
        <v>0</v>
      </c>
      <c r="O194" s="26">
        <v>0</v>
      </c>
      <c r="P194" s="27">
        <f t="shared" si="9"/>
        <v>8150</v>
      </c>
      <c r="Q194" s="27">
        <f t="shared" si="1"/>
        <v>237</v>
      </c>
      <c r="R194" s="27">
        <f t="shared" si="11"/>
        <v>869</v>
      </c>
      <c r="S194" s="27">
        <v>146.18</v>
      </c>
      <c r="T194" s="27">
        <v>0</v>
      </c>
      <c r="U194" s="27">
        <f t="shared" si="3"/>
        <v>1252.18</v>
      </c>
      <c r="V194" s="27">
        <f t="shared" si="4"/>
        <v>6897.82</v>
      </c>
      <c r="W194" s="27">
        <v>0</v>
      </c>
    </row>
    <row r="195" spans="1:23" ht="25.5" x14ac:dyDescent="0.2">
      <c r="A195" s="23">
        <v>186</v>
      </c>
      <c r="B195" s="24" t="s">
        <v>273</v>
      </c>
      <c r="C195" s="24" t="s">
        <v>33</v>
      </c>
      <c r="D195" s="25">
        <v>1634</v>
      </c>
      <c r="E195" s="26">
        <v>2400</v>
      </c>
      <c r="F195" s="26">
        <v>0</v>
      </c>
      <c r="G195" s="26">
        <v>0</v>
      </c>
      <c r="H195" s="26">
        <v>3000</v>
      </c>
      <c r="I195" s="26">
        <v>2400</v>
      </c>
      <c r="J195" s="26">
        <v>0</v>
      </c>
      <c r="K195" s="26">
        <v>0</v>
      </c>
      <c r="L195" s="26">
        <v>0</v>
      </c>
      <c r="M195" s="26">
        <v>250</v>
      </c>
      <c r="N195" s="26">
        <v>0</v>
      </c>
      <c r="O195" s="26">
        <v>0</v>
      </c>
      <c r="P195" s="27">
        <f t="shared" si="9"/>
        <v>9684</v>
      </c>
      <c r="Q195" s="27">
        <f t="shared" si="1"/>
        <v>283.02</v>
      </c>
      <c r="R195" s="27">
        <f t="shared" si="11"/>
        <v>1037.74</v>
      </c>
      <c r="S195" s="27">
        <v>207.96</v>
      </c>
      <c r="T195" s="27">
        <v>0</v>
      </c>
      <c r="U195" s="27">
        <f t="shared" si="3"/>
        <v>1528.72</v>
      </c>
      <c r="V195" s="27">
        <f t="shared" si="4"/>
        <v>8155.28</v>
      </c>
      <c r="W195" s="27">
        <v>0</v>
      </c>
    </row>
    <row r="196" spans="1:23" ht="25.5" x14ac:dyDescent="0.2">
      <c r="A196" s="23">
        <v>187</v>
      </c>
      <c r="B196" s="24" t="s">
        <v>274</v>
      </c>
      <c r="C196" s="24" t="s">
        <v>46</v>
      </c>
      <c r="D196" s="25">
        <v>1350</v>
      </c>
      <c r="E196" s="26">
        <v>2000</v>
      </c>
      <c r="F196" s="26">
        <v>0</v>
      </c>
      <c r="G196" s="26">
        <v>0</v>
      </c>
      <c r="H196" s="26">
        <v>0</v>
      </c>
      <c r="I196" s="26">
        <v>4500</v>
      </c>
      <c r="J196" s="26">
        <v>0</v>
      </c>
      <c r="K196" s="26">
        <v>0</v>
      </c>
      <c r="L196" s="26">
        <v>0</v>
      </c>
      <c r="M196" s="26">
        <v>250</v>
      </c>
      <c r="N196" s="26">
        <v>0</v>
      </c>
      <c r="O196" s="26">
        <v>0</v>
      </c>
      <c r="P196" s="27">
        <f t="shared" si="9"/>
        <v>8100</v>
      </c>
      <c r="Q196" s="27">
        <f t="shared" si="1"/>
        <v>235.5</v>
      </c>
      <c r="R196" s="27">
        <f t="shared" si="11"/>
        <v>863.5</v>
      </c>
      <c r="S196" s="27">
        <v>143.03</v>
      </c>
      <c r="T196" s="27">
        <v>0</v>
      </c>
      <c r="U196" s="27">
        <f t="shared" si="3"/>
        <v>1242.03</v>
      </c>
      <c r="V196" s="27">
        <f t="shared" si="4"/>
        <v>6857.97</v>
      </c>
      <c r="W196" s="27">
        <v>0</v>
      </c>
    </row>
    <row r="197" spans="1:23" ht="38.25" x14ac:dyDescent="0.2">
      <c r="A197" s="23">
        <v>188</v>
      </c>
      <c r="B197" s="24" t="s">
        <v>275</v>
      </c>
      <c r="C197" s="24" t="s">
        <v>67</v>
      </c>
      <c r="D197" s="25">
        <f>485*3</f>
        <v>1455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7">
        <f t="shared" si="9"/>
        <v>1455</v>
      </c>
      <c r="Q197" s="27">
        <f t="shared" si="1"/>
        <v>43.65</v>
      </c>
      <c r="R197" s="27">
        <f t="shared" si="11"/>
        <v>160.05000000000001</v>
      </c>
      <c r="S197" s="27">
        <v>0</v>
      </c>
      <c r="T197" s="27">
        <v>0</v>
      </c>
      <c r="U197" s="27">
        <f t="shared" si="3"/>
        <v>203.7</v>
      </c>
      <c r="V197" s="27">
        <f t="shared" si="4"/>
        <v>1251.3</v>
      </c>
      <c r="W197" s="27">
        <v>0</v>
      </c>
    </row>
    <row r="198" spans="1:23" ht="25.5" x14ac:dyDescent="0.2">
      <c r="A198" s="23">
        <v>189</v>
      </c>
      <c r="B198" s="24" t="s">
        <v>276</v>
      </c>
      <c r="C198" s="24" t="s">
        <v>277</v>
      </c>
      <c r="D198" s="25">
        <v>2441</v>
      </c>
      <c r="E198" s="26">
        <v>1000</v>
      </c>
      <c r="F198" s="26">
        <v>0</v>
      </c>
      <c r="G198" s="26">
        <v>1000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250</v>
      </c>
      <c r="N198" s="26">
        <v>0</v>
      </c>
      <c r="O198" s="26">
        <v>0</v>
      </c>
      <c r="P198" s="27">
        <f t="shared" si="9"/>
        <v>4691</v>
      </c>
      <c r="Q198" s="27">
        <f t="shared" si="1"/>
        <v>133.22999999999999</v>
      </c>
      <c r="R198" s="27">
        <f t="shared" si="11"/>
        <v>488.51</v>
      </c>
      <c r="S198" s="27">
        <v>0</v>
      </c>
      <c r="T198" s="27">
        <v>0</v>
      </c>
      <c r="U198" s="27">
        <f t="shared" si="3"/>
        <v>621.74</v>
      </c>
      <c r="V198" s="27">
        <f t="shared" si="4"/>
        <v>4069.26</v>
      </c>
      <c r="W198" s="27">
        <v>0</v>
      </c>
    </row>
    <row r="199" spans="1:23" ht="25.5" x14ac:dyDescent="0.2">
      <c r="A199" s="23">
        <v>190</v>
      </c>
      <c r="B199" s="24" t="s">
        <v>278</v>
      </c>
      <c r="C199" s="24" t="s">
        <v>279</v>
      </c>
      <c r="D199" s="25">
        <v>1555</v>
      </c>
      <c r="E199" s="26">
        <v>600</v>
      </c>
      <c r="F199" s="26">
        <v>0</v>
      </c>
      <c r="G199" s="26">
        <v>1000</v>
      </c>
      <c r="H199" s="26">
        <v>0</v>
      </c>
      <c r="I199" s="26">
        <v>0</v>
      </c>
      <c r="J199" s="26">
        <v>0</v>
      </c>
      <c r="K199" s="26">
        <v>50</v>
      </c>
      <c r="L199" s="26">
        <v>0</v>
      </c>
      <c r="M199" s="26">
        <v>250</v>
      </c>
      <c r="N199" s="26">
        <v>0</v>
      </c>
      <c r="O199" s="26">
        <v>0</v>
      </c>
      <c r="P199" s="27">
        <f t="shared" si="9"/>
        <v>3455</v>
      </c>
      <c r="Q199" s="27">
        <f t="shared" si="1"/>
        <v>96.15</v>
      </c>
      <c r="R199" s="27">
        <f t="shared" si="11"/>
        <v>352.55</v>
      </c>
      <c r="S199" s="27">
        <v>0</v>
      </c>
      <c r="T199" s="27">
        <v>0</v>
      </c>
      <c r="U199" s="27">
        <f t="shared" si="3"/>
        <v>448.7</v>
      </c>
      <c r="V199" s="27">
        <f t="shared" si="4"/>
        <v>3006.3</v>
      </c>
      <c r="W199" s="27">
        <v>0</v>
      </c>
    </row>
    <row r="200" spans="1:23" ht="25.5" x14ac:dyDescent="0.2">
      <c r="A200" s="23">
        <v>191</v>
      </c>
      <c r="B200" s="24" t="s">
        <v>280</v>
      </c>
      <c r="C200" s="31" t="s">
        <v>38</v>
      </c>
      <c r="D200" s="26">
        <v>1350</v>
      </c>
      <c r="E200" s="27">
        <f>2000</f>
        <v>2000</v>
      </c>
      <c r="F200" s="26">
        <v>0</v>
      </c>
      <c r="G200" s="26">
        <v>0</v>
      </c>
      <c r="H200" s="26">
        <v>1600</v>
      </c>
      <c r="I200" s="26">
        <v>2900</v>
      </c>
      <c r="J200" s="26">
        <v>0</v>
      </c>
      <c r="K200" s="26">
        <v>0</v>
      </c>
      <c r="L200" s="26">
        <v>0</v>
      </c>
      <c r="M200" s="26">
        <v>250</v>
      </c>
      <c r="N200" s="26">
        <v>0</v>
      </c>
      <c r="O200" s="26">
        <v>0</v>
      </c>
      <c r="P200" s="27">
        <f t="shared" si="9"/>
        <v>8100</v>
      </c>
      <c r="Q200" s="27">
        <f t="shared" si="1"/>
        <v>235.5</v>
      </c>
      <c r="R200" s="27">
        <f t="shared" si="11"/>
        <v>863.5</v>
      </c>
      <c r="S200" s="27">
        <v>137.69</v>
      </c>
      <c r="T200" s="27">
        <v>0</v>
      </c>
      <c r="U200" s="27">
        <f t="shared" si="3"/>
        <v>1236.69</v>
      </c>
      <c r="V200" s="27">
        <f t="shared" si="4"/>
        <v>6863.31</v>
      </c>
      <c r="W200" s="27">
        <v>0</v>
      </c>
    </row>
    <row r="201" spans="1:23" ht="24.75" customHeight="1" x14ac:dyDescent="0.2">
      <c r="A201" s="23">
        <v>192</v>
      </c>
      <c r="B201" s="24" t="s">
        <v>281</v>
      </c>
      <c r="C201" s="24" t="s">
        <v>282</v>
      </c>
      <c r="D201" s="25">
        <v>1159</v>
      </c>
      <c r="E201" s="26">
        <v>550</v>
      </c>
      <c r="F201" s="26">
        <v>0</v>
      </c>
      <c r="G201" s="26">
        <v>1000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250</v>
      </c>
      <c r="N201" s="26">
        <v>0</v>
      </c>
      <c r="O201" s="26">
        <v>0</v>
      </c>
      <c r="P201" s="27">
        <f t="shared" si="9"/>
        <v>2959</v>
      </c>
      <c r="Q201" s="27">
        <f t="shared" si="1"/>
        <v>81.27</v>
      </c>
      <c r="R201" s="27">
        <f t="shared" si="11"/>
        <v>297.99</v>
      </c>
      <c r="S201" s="27">
        <v>0</v>
      </c>
      <c r="T201" s="27">
        <v>0</v>
      </c>
      <c r="U201" s="27">
        <f t="shared" si="3"/>
        <v>379.26</v>
      </c>
      <c r="V201" s="27">
        <f t="shared" si="4"/>
        <v>2579.7399999999998</v>
      </c>
      <c r="W201" s="27">
        <v>0</v>
      </c>
    </row>
    <row r="202" spans="1:23" s="4" customFormat="1" ht="25.5" x14ac:dyDescent="0.2">
      <c r="A202" s="23">
        <v>193</v>
      </c>
      <c r="B202" s="24" t="s">
        <v>283</v>
      </c>
      <c r="C202" s="31" t="s">
        <v>284</v>
      </c>
      <c r="D202" s="25">
        <v>6759</v>
      </c>
      <c r="E202" s="26">
        <v>1800</v>
      </c>
      <c r="F202" s="26">
        <v>0</v>
      </c>
      <c r="G202" s="26">
        <v>4000</v>
      </c>
      <c r="H202" s="26">
        <v>0</v>
      </c>
      <c r="I202" s="26">
        <v>0</v>
      </c>
      <c r="J202" s="26">
        <v>375</v>
      </c>
      <c r="K202" s="26">
        <v>0</v>
      </c>
      <c r="L202" s="26">
        <v>0</v>
      </c>
      <c r="M202" s="26">
        <v>250</v>
      </c>
      <c r="N202" s="26">
        <v>0</v>
      </c>
      <c r="O202" s="26">
        <v>0</v>
      </c>
      <c r="P202" s="27">
        <f t="shared" si="9"/>
        <v>13184</v>
      </c>
      <c r="Q202" s="27">
        <f t="shared" si="1"/>
        <v>388.02</v>
      </c>
      <c r="R202" s="27">
        <f>(D202+E202+F202+G202+H202+I202+J202+K202+N202)*15%</f>
        <v>1940.1</v>
      </c>
      <c r="S202" s="27">
        <v>343.63</v>
      </c>
      <c r="T202" s="27">
        <v>0</v>
      </c>
      <c r="U202" s="27">
        <f t="shared" si="3"/>
        <v>2671.75</v>
      </c>
      <c r="V202" s="27">
        <f t="shared" si="4"/>
        <v>10512.25</v>
      </c>
      <c r="W202" s="27">
        <v>0</v>
      </c>
    </row>
    <row r="203" spans="1:23" ht="25.5" x14ac:dyDescent="0.2">
      <c r="A203" s="23">
        <v>194</v>
      </c>
      <c r="B203" s="24" t="s">
        <v>285</v>
      </c>
      <c r="C203" s="24" t="s">
        <v>98</v>
      </c>
      <c r="D203" s="25">
        <v>1350</v>
      </c>
      <c r="E203" s="26">
        <v>1500</v>
      </c>
      <c r="F203" s="26">
        <v>0</v>
      </c>
      <c r="G203" s="26">
        <v>0</v>
      </c>
      <c r="H203" s="26">
        <v>1600</v>
      </c>
      <c r="I203" s="26">
        <v>0</v>
      </c>
      <c r="J203" s="26">
        <v>0</v>
      </c>
      <c r="K203" s="26">
        <v>75</v>
      </c>
      <c r="L203" s="26">
        <v>0</v>
      </c>
      <c r="M203" s="26">
        <v>250</v>
      </c>
      <c r="N203" s="26">
        <v>0</v>
      </c>
      <c r="O203" s="26">
        <v>0</v>
      </c>
      <c r="P203" s="27">
        <f t="shared" si="9"/>
        <v>4775</v>
      </c>
      <c r="Q203" s="27">
        <f t="shared" si="1"/>
        <v>135.75</v>
      </c>
      <c r="R203" s="27">
        <f t="shared" ref="R203:R205" si="12">(D203+E203+F203+G203+H203+I203+J203+K203+N203)*11%</f>
        <v>497.75</v>
      </c>
      <c r="S203" s="27">
        <v>5.65</v>
      </c>
      <c r="T203" s="27">
        <v>0</v>
      </c>
      <c r="U203" s="27">
        <f t="shared" si="3"/>
        <v>639.15</v>
      </c>
      <c r="V203" s="27">
        <f t="shared" si="4"/>
        <v>4135.8500000000004</v>
      </c>
      <c r="W203" s="27">
        <v>0</v>
      </c>
    </row>
    <row r="204" spans="1:23" ht="25.5" x14ac:dyDescent="0.2">
      <c r="A204" s="23">
        <v>195</v>
      </c>
      <c r="B204" s="24" t="s">
        <v>286</v>
      </c>
      <c r="C204" s="31" t="s">
        <v>38</v>
      </c>
      <c r="D204" s="25">
        <v>1350</v>
      </c>
      <c r="E204" s="26">
        <f>2000</f>
        <v>2000</v>
      </c>
      <c r="F204" s="26">
        <v>0</v>
      </c>
      <c r="G204" s="26">
        <v>0</v>
      </c>
      <c r="H204" s="26">
        <v>1600</v>
      </c>
      <c r="I204" s="26">
        <f>2900</f>
        <v>2900</v>
      </c>
      <c r="J204" s="26">
        <v>0</v>
      </c>
      <c r="K204" s="26">
        <v>50</v>
      </c>
      <c r="L204" s="26">
        <v>0</v>
      </c>
      <c r="M204" s="26">
        <v>250</v>
      </c>
      <c r="N204" s="26">
        <v>0</v>
      </c>
      <c r="O204" s="26">
        <v>0</v>
      </c>
      <c r="P204" s="27">
        <f t="shared" si="9"/>
        <v>8150</v>
      </c>
      <c r="Q204" s="27">
        <f t="shared" si="1"/>
        <v>237</v>
      </c>
      <c r="R204" s="27">
        <f t="shared" si="12"/>
        <v>869</v>
      </c>
      <c r="S204" s="27">
        <v>145.13</v>
      </c>
      <c r="T204" s="27">
        <v>0</v>
      </c>
      <c r="U204" s="27">
        <f t="shared" si="3"/>
        <v>1251.1300000000001</v>
      </c>
      <c r="V204" s="27">
        <f t="shared" si="4"/>
        <v>6898.87</v>
      </c>
      <c r="W204" s="27">
        <v>0</v>
      </c>
    </row>
    <row r="205" spans="1:23" ht="25.5" x14ac:dyDescent="0.2">
      <c r="A205" s="23">
        <v>196</v>
      </c>
      <c r="B205" s="42" t="s">
        <v>287</v>
      </c>
      <c r="C205" s="34" t="s">
        <v>51</v>
      </c>
      <c r="D205" s="37">
        <v>5835</v>
      </c>
      <c r="E205" s="26">
        <v>3000</v>
      </c>
      <c r="F205" s="26">
        <v>0</v>
      </c>
      <c r="G205" s="26">
        <v>3000</v>
      </c>
      <c r="H205" s="26">
        <v>0</v>
      </c>
      <c r="I205" s="26">
        <v>0</v>
      </c>
      <c r="J205" s="26">
        <v>375</v>
      </c>
      <c r="K205" s="26">
        <v>0</v>
      </c>
      <c r="L205" s="26">
        <v>0</v>
      </c>
      <c r="M205" s="26">
        <v>250</v>
      </c>
      <c r="N205" s="26">
        <v>0</v>
      </c>
      <c r="O205" s="26">
        <v>0</v>
      </c>
      <c r="P205" s="27">
        <f t="shared" si="9"/>
        <v>12460</v>
      </c>
      <c r="Q205" s="27">
        <f t="shared" si="1"/>
        <v>366.3</v>
      </c>
      <c r="R205" s="27">
        <f t="shared" si="12"/>
        <v>1343.1</v>
      </c>
      <c r="S205" s="36">
        <v>313.94</v>
      </c>
      <c r="T205" s="27">
        <v>0</v>
      </c>
      <c r="U205" s="27">
        <f t="shared" si="3"/>
        <v>2023.34</v>
      </c>
      <c r="V205" s="27">
        <f t="shared" si="4"/>
        <v>10436.66</v>
      </c>
      <c r="W205" s="27">
        <v>0</v>
      </c>
    </row>
    <row r="206" spans="1:23" s="4" customFormat="1" ht="25.5" x14ac:dyDescent="0.2">
      <c r="A206" s="23">
        <v>197</v>
      </c>
      <c r="B206" s="24" t="s">
        <v>288</v>
      </c>
      <c r="C206" s="31" t="s">
        <v>38</v>
      </c>
      <c r="D206" s="25">
        <v>1350</v>
      </c>
      <c r="E206" s="26">
        <v>2000</v>
      </c>
      <c r="F206" s="26">
        <v>0</v>
      </c>
      <c r="G206" s="26">
        <v>0</v>
      </c>
      <c r="H206" s="26">
        <v>1600</v>
      </c>
      <c r="I206" s="26">
        <v>2900</v>
      </c>
      <c r="J206" s="26">
        <v>0</v>
      </c>
      <c r="K206" s="26">
        <v>50</v>
      </c>
      <c r="L206" s="26">
        <v>0</v>
      </c>
      <c r="M206" s="26">
        <v>250</v>
      </c>
      <c r="N206" s="26">
        <v>0</v>
      </c>
      <c r="O206" s="26">
        <v>0</v>
      </c>
      <c r="P206" s="27">
        <f t="shared" si="9"/>
        <v>8150</v>
      </c>
      <c r="Q206" s="27">
        <f t="shared" si="1"/>
        <v>237</v>
      </c>
      <c r="R206" s="27">
        <f>(D206+E206+F206+G206+H206+I206+J206+K206+N206)*13%</f>
        <v>1027</v>
      </c>
      <c r="S206" s="27">
        <v>157.63999999999999</v>
      </c>
      <c r="T206" s="27">
        <v>0</v>
      </c>
      <c r="U206" s="27">
        <f t="shared" si="3"/>
        <v>1421.64</v>
      </c>
      <c r="V206" s="27">
        <f t="shared" si="4"/>
        <v>6728.36</v>
      </c>
      <c r="W206" s="27">
        <v>0</v>
      </c>
    </row>
    <row r="207" spans="1:23" ht="25.5" x14ac:dyDescent="0.2">
      <c r="A207" s="23">
        <v>198</v>
      </c>
      <c r="B207" s="24" t="s">
        <v>289</v>
      </c>
      <c r="C207" s="31" t="s">
        <v>38</v>
      </c>
      <c r="D207" s="25">
        <v>1350</v>
      </c>
      <c r="E207" s="26">
        <v>2000</v>
      </c>
      <c r="F207" s="26">
        <v>0</v>
      </c>
      <c r="G207" s="26">
        <v>0</v>
      </c>
      <c r="H207" s="26">
        <v>1600</v>
      </c>
      <c r="I207" s="26">
        <v>2900</v>
      </c>
      <c r="J207" s="26">
        <v>0</v>
      </c>
      <c r="K207" s="26">
        <v>75</v>
      </c>
      <c r="L207" s="26">
        <v>0</v>
      </c>
      <c r="M207" s="26">
        <v>250</v>
      </c>
      <c r="N207" s="26">
        <v>0</v>
      </c>
      <c r="O207" s="26">
        <v>0</v>
      </c>
      <c r="P207" s="27">
        <f t="shared" si="9"/>
        <v>8175</v>
      </c>
      <c r="Q207" s="27">
        <f t="shared" si="1"/>
        <v>237.75</v>
      </c>
      <c r="R207" s="27">
        <f t="shared" ref="R207:R271" si="13">(D207+E207+F207+G207+H207+I207+J207+K207+N207)*11%</f>
        <v>871.75</v>
      </c>
      <c r="S207" s="27">
        <v>146.18</v>
      </c>
      <c r="T207" s="27">
        <v>0</v>
      </c>
      <c r="U207" s="27">
        <f t="shared" si="3"/>
        <v>1255.68</v>
      </c>
      <c r="V207" s="27">
        <f t="shared" si="4"/>
        <v>6919.32</v>
      </c>
      <c r="W207" s="27">
        <v>0</v>
      </c>
    </row>
    <row r="208" spans="1:23" ht="25.5" x14ac:dyDescent="0.2">
      <c r="A208" s="23">
        <v>199</v>
      </c>
      <c r="B208" s="24" t="s">
        <v>290</v>
      </c>
      <c r="C208" s="24" t="s">
        <v>46</v>
      </c>
      <c r="D208" s="25">
        <v>1350</v>
      </c>
      <c r="E208" s="26">
        <v>2000</v>
      </c>
      <c r="F208" s="26">
        <v>0</v>
      </c>
      <c r="G208" s="26">
        <v>0</v>
      </c>
      <c r="H208" s="26">
        <v>0</v>
      </c>
      <c r="I208" s="26">
        <v>4500</v>
      </c>
      <c r="J208" s="26">
        <v>0</v>
      </c>
      <c r="K208" s="26">
        <v>0</v>
      </c>
      <c r="L208" s="26">
        <v>0</v>
      </c>
      <c r="M208" s="26">
        <v>250</v>
      </c>
      <c r="N208" s="26">
        <v>0</v>
      </c>
      <c r="O208" s="26">
        <v>0</v>
      </c>
      <c r="P208" s="27">
        <f t="shared" si="9"/>
        <v>8100</v>
      </c>
      <c r="Q208" s="27">
        <f t="shared" si="1"/>
        <v>235.5</v>
      </c>
      <c r="R208" s="27">
        <f t="shared" si="13"/>
        <v>863.5</v>
      </c>
      <c r="S208" s="27">
        <v>143.03</v>
      </c>
      <c r="T208" s="27">
        <v>0</v>
      </c>
      <c r="U208" s="27">
        <f t="shared" si="3"/>
        <v>1242.03</v>
      </c>
      <c r="V208" s="27">
        <f t="shared" si="4"/>
        <v>6857.97</v>
      </c>
      <c r="W208" s="27">
        <v>0</v>
      </c>
    </row>
    <row r="209" spans="1:23" ht="25.5" x14ac:dyDescent="0.2">
      <c r="A209" s="23">
        <v>200</v>
      </c>
      <c r="B209" s="24" t="s">
        <v>291</v>
      </c>
      <c r="C209" s="24" t="s">
        <v>98</v>
      </c>
      <c r="D209" s="25">
        <v>1350</v>
      </c>
      <c r="E209" s="26">
        <v>2000</v>
      </c>
      <c r="F209" s="26">
        <v>0</v>
      </c>
      <c r="G209" s="26">
        <v>0</v>
      </c>
      <c r="H209" s="26">
        <v>0</v>
      </c>
      <c r="I209" s="26">
        <v>4500</v>
      </c>
      <c r="J209" s="26">
        <v>0</v>
      </c>
      <c r="K209" s="26">
        <v>0</v>
      </c>
      <c r="L209" s="26">
        <v>0</v>
      </c>
      <c r="M209" s="26">
        <v>250</v>
      </c>
      <c r="N209" s="26">
        <v>0</v>
      </c>
      <c r="O209" s="26">
        <v>0</v>
      </c>
      <c r="P209" s="27">
        <f t="shared" si="9"/>
        <v>8100</v>
      </c>
      <c r="Q209" s="27">
        <f t="shared" si="1"/>
        <v>235.5</v>
      </c>
      <c r="R209" s="27">
        <f t="shared" si="13"/>
        <v>863.5</v>
      </c>
      <c r="S209" s="27">
        <v>143.03</v>
      </c>
      <c r="T209" s="27">
        <v>105.5</v>
      </c>
      <c r="U209" s="27">
        <f t="shared" si="3"/>
        <v>1347.53</v>
      </c>
      <c r="V209" s="27">
        <f t="shared" si="4"/>
        <v>6752.47</v>
      </c>
      <c r="W209" s="27">
        <v>0</v>
      </c>
    </row>
    <row r="210" spans="1:23" ht="25.5" x14ac:dyDescent="0.2">
      <c r="A210" s="23">
        <v>201</v>
      </c>
      <c r="B210" s="24" t="s">
        <v>292</v>
      </c>
      <c r="C210" s="24" t="s">
        <v>60</v>
      </c>
      <c r="D210" s="25">
        <v>1105</v>
      </c>
      <c r="E210" s="26">
        <v>400</v>
      </c>
      <c r="F210" s="26">
        <v>0</v>
      </c>
      <c r="G210" s="26">
        <v>1000</v>
      </c>
      <c r="H210" s="26">
        <v>0</v>
      </c>
      <c r="I210" s="26">
        <v>0</v>
      </c>
      <c r="J210" s="26">
        <v>0</v>
      </c>
      <c r="K210" s="26">
        <v>35</v>
      </c>
      <c r="L210" s="26">
        <v>200</v>
      </c>
      <c r="M210" s="26">
        <v>250</v>
      </c>
      <c r="N210" s="26">
        <v>0</v>
      </c>
      <c r="O210" s="26">
        <v>0</v>
      </c>
      <c r="P210" s="27">
        <f t="shared" si="9"/>
        <v>2990</v>
      </c>
      <c r="Q210" s="27">
        <f t="shared" si="1"/>
        <v>76.2</v>
      </c>
      <c r="R210" s="27">
        <f t="shared" si="13"/>
        <v>279.39999999999998</v>
      </c>
      <c r="S210" s="27">
        <v>0</v>
      </c>
      <c r="T210" s="27">
        <v>0</v>
      </c>
      <c r="U210" s="27">
        <f t="shared" si="3"/>
        <v>355.6</v>
      </c>
      <c r="V210" s="27">
        <f t="shared" si="4"/>
        <v>2634.4</v>
      </c>
      <c r="W210" s="27">
        <v>0</v>
      </c>
    </row>
    <row r="211" spans="1:23" ht="25.5" x14ac:dyDescent="0.2">
      <c r="A211" s="23">
        <v>202</v>
      </c>
      <c r="B211" s="24" t="s">
        <v>293</v>
      </c>
      <c r="C211" s="24" t="s">
        <v>294</v>
      </c>
      <c r="D211" s="25">
        <v>1381</v>
      </c>
      <c r="E211" s="26">
        <v>650</v>
      </c>
      <c r="F211" s="26">
        <v>0</v>
      </c>
      <c r="G211" s="26">
        <v>1000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250</v>
      </c>
      <c r="N211" s="26">
        <v>0</v>
      </c>
      <c r="O211" s="26">
        <v>0</v>
      </c>
      <c r="P211" s="27">
        <f t="shared" si="9"/>
        <v>3281</v>
      </c>
      <c r="Q211" s="27">
        <f t="shared" si="1"/>
        <v>90.93</v>
      </c>
      <c r="R211" s="27">
        <f t="shared" si="13"/>
        <v>333.41</v>
      </c>
      <c r="S211" s="27">
        <v>0</v>
      </c>
      <c r="T211" s="27">
        <v>0</v>
      </c>
      <c r="U211" s="27">
        <f t="shared" si="3"/>
        <v>424.34</v>
      </c>
      <c r="V211" s="27">
        <f t="shared" si="4"/>
        <v>2856.66</v>
      </c>
      <c r="W211" s="27">
        <v>0</v>
      </c>
    </row>
    <row r="212" spans="1:23" x14ac:dyDescent="0.2">
      <c r="A212" s="23">
        <v>203</v>
      </c>
      <c r="B212" s="24" t="s">
        <v>295</v>
      </c>
      <c r="C212" s="24" t="s">
        <v>77</v>
      </c>
      <c r="D212" s="25">
        <v>1792</v>
      </c>
      <c r="E212" s="26">
        <v>2500</v>
      </c>
      <c r="F212" s="26">
        <v>0</v>
      </c>
      <c r="G212" s="26">
        <v>0</v>
      </c>
      <c r="H212" s="26">
        <v>2500</v>
      </c>
      <c r="I212" s="26">
        <v>3000</v>
      </c>
      <c r="J212" s="26">
        <v>0</v>
      </c>
      <c r="K212" s="26">
        <v>50</v>
      </c>
      <c r="L212" s="26">
        <v>0</v>
      </c>
      <c r="M212" s="26">
        <v>250</v>
      </c>
      <c r="N212" s="26">
        <v>0</v>
      </c>
      <c r="O212" s="26">
        <v>0</v>
      </c>
      <c r="P212" s="27">
        <f t="shared" si="9"/>
        <v>10092</v>
      </c>
      <c r="Q212" s="27">
        <f t="shared" si="1"/>
        <v>295.26</v>
      </c>
      <c r="R212" s="27">
        <f t="shared" si="13"/>
        <v>1082.6199999999999</v>
      </c>
      <c r="S212" s="27">
        <v>221.78</v>
      </c>
      <c r="T212" s="27">
        <v>132.28</v>
      </c>
      <c r="U212" s="27">
        <f t="shared" si="3"/>
        <v>1731.94</v>
      </c>
      <c r="V212" s="27">
        <f t="shared" si="4"/>
        <v>8360.06</v>
      </c>
      <c r="W212" s="27">
        <v>0</v>
      </c>
    </row>
    <row r="213" spans="1:23" x14ac:dyDescent="0.2">
      <c r="A213" s="23">
        <v>204</v>
      </c>
      <c r="B213" s="24" t="s">
        <v>296</v>
      </c>
      <c r="C213" s="24" t="s">
        <v>70</v>
      </c>
      <c r="D213" s="25">
        <v>1476</v>
      </c>
      <c r="E213" s="26">
        <v>2000</v>
      </c>
      <c r="F213" s="26">
        <v>0</v>
      </c>
      <c r="G213" s="26">
        <v>0</v>
      </c>
      <c r="H213" s="26">
        <v>0</v>
      </c>
      <c r="I213" s="26">
        <v>4500</v>
      </c>
      <c r="J213" s="26">
        <v>0</v>
      </c>
      <c r="K213" s="26">
        <v>0</v>
      </c>
      <c r="L213" s="26">
        <v>0</v>
      </c>
      <c r="M213" s="26">
        <v>250</v>
      </c>
      <c r="N213" s="26">
        <v>0</v>
      </c>
      <c r="O213" s="26">
        <v>0</v>
      </c>
      <c r="P213" s="27">
        <f t="shared" si="9"/>
        <v>8226</v>
      </c>
      <c r="Q213" s="27">
        <f t="shared" si="1"/>
        <v>239.28</v>
      </c>
      <c r="R213" s="27">
        <f t="shared" si="13"/>
        <v>877.36</v>
      </c>
      <c r="S213" s="27">
        <v>148.33000000000001</v>
      </c>
      <c r="T213" s="27">
        <v>0</v>
      </c>
      <c r="U213" s="27">
        <f t="shared" si="3"/>
        <v>1264.97</v>
      </c>
      <c r="V213" s="27">
        <f t="shared" si="4"/>
        <v>6961.03</v>
      </c>
      <c r="W213" s="27">
        <v>0</v>
      </c>
    </row>
    <row r="214" spans="1:23" x14ac:dyDescent="0.2">
      <c r="A214" s="23">
        <v>205</v>
      </c>
      <c r="B214" s="24" t="s">
        <v>297</v>
      </c>
      <c r="C214" s="24" t="s">
        <v>55</v>
      </c>
      <c r="D214" s="25">
        <v>1223</v>
      </c>
      <c r="E214" s="27">
        <f>2000</f>
        <v>2000</v>
      </c>
      <c r="F214" s="26">
        <v>0</v>
      </c>
      <c r="G214" s="26">
        <v>0</v>
      </c>
      <c r="H214" s="26">
        <v>1300</v>
      </c>
      <c r="I214" s="26">
        <f>3200</f>
        <v>3200</v>
      </c>
      <c r="J214" s="26">
        <v>0</v>
      </c>
      <c r="K214" s="26">
        <v>0</v>
      </c>
      <c r="L214" s="26">
        <v>0</v>
      </c>
      <c r="M214" s="26">
        <v>250</v>
      </c>
      <c r="N214" s="26">
        <v>0</v>
      </c>
      <c r="O214" s="26">
        <v>0</v>
      </c>
      <c r="P214" s="27">
        <f t="shared" si="9"/>
        <v>7973</v>
      </c>
      <c r="Q214" s="27">
        <f t="shared" si="1"/>
        <v>231.69</v>
      </c>
      <c r="R214" s="27">
        <f t="shared" si="13"/>
        <v>849.53</v>
      </c>
      <c r="S214" s="27">
        <v>137.69</v>
      </c>
      <c r="T214" s="27">
        <v>0</v>
      </c>
      <c r="U214" s="27">
        <f t="shared" si="3"/>
        <v>1218.9100000000001</v>
      </c>
      <c r="V214" s="27">
        <f t="shared" si="4"/>
        <v>6754.09</v>
      </c>
      <c r="W214" s="27">
        <v>0</v>
      </c>
    </row>
    <row r="215" spans="1:23" ht="25.5" x14ac:dyDescent="0.2">
      <c r="A215" s="23">
        <v>206</v>
      </c>
      <c r="B215" s="24" t="s">
        <v>298</v>
      </c>
      <c r="C215" s="24" t="s">
        <v>224</v>
      </c>
      <c r="D215" s="25">
        <v>2425</v>
      </c>
      <c r="E215" s="26">
        <v>0</v>
      </c>
      <c r="F215" s="26">
        <v>1818.75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7">
        <f t="shared" si="9"/>
        <v>4243.75</v>
      </c>
      <c r="Q215" s="27">
        <f t="shared" si="1"/>
        <v>127.31</v>
      </c>
      <c r="R215" s="27">
        <f t="shared" si="13"/>
        <v>466.81</v>
      </c>
      <c r="S215" s="27">
        <v>48.43</v>
      </c>
      <c r="T215" s="27">
        <v>0</v>
      </c>
      <c r="U215" s="27">
        <f t="shared" si="3"/>
        <v>642.54999999999995</v>
      </c>
      <c r="V215" s="27">
        <f t="shared" si="4"/>
        <v>3601.2</v>
      </c>
      <c r="W215" s="27">
        <v>0</v>
      </c>
    </row>
    <row r="216" spans="1:23" ht="25.5" x14ac:dyDescent="0.2">
      <c r="A216" s="23">
        <v>207</v>
      </c>
      <c r="B216" s="24" t="s">
        <v>299</v>
      </c>
      <c r="C216" s="24" t="s">
        <v>282</v>
      </c>
      <c r="D216" s="25">
        <v>1159</v>
      </c>
      <c r="E216" s="26">
        <v>550</v>
      </c>
      <c r="F216" s="26">
        <v>0</v>
      </c>
      <c r="G216" s="26">
        <v>1000</v>
      </c>
      <c r="H216" s="26">
        <v>0</v>
      </c>
      <c r="I216" s="26">
        <v>0</v>
      </c>
      <c r="J216" s="26">
        <v>0</v>
      </c>
      <c r="K216" s="26">
        <v>50</v>
      </c>
      <c r="L216" s="26">
        <v>200</v>
      </c>
      <c r="M216" s="26">
        <v>250</v>
      </c>
      <c r="N216" s="26">
        <v>0</v>
      </c>
      <c r="O216" s="26">
        <v>0</v>
      </c>
      <c r="P216" s="27">
        <f t="shared" si="9"/>
        <v>3209</v>
      </c>
      <c r="Q216" s="27">
        <f t="shared" si="1"/>
        <v>82.77</v>
      </c>
      <c r="R216" s="27">
        <f t="shared" si="13"/>
        <v>303.49</v>
      </c>
      <c r="S216" s="27">
        <v>0</v>
      </c>
      <c r="T216" s="27">
        <v>0</v>
      </c>
      <c r="U216" s="27">
        <f t="shared" si="3"/>
        <v>386.26</v>
      </c>
      <c r="V216" s="27">
        <f t="shared" si="4"/>
        <v>2822.74</v>
      </c>
      <c r="W216" s="27">
        <v>0</v>
      </c>
    </row>
    <row r="217" spans="1:23" s="4" customFormat="1" ht="25.5" x14ac:dyDescent="0.2">
      <c r="A217" s="23">
        <v>208</v>
      </c>
      <c r="B217" s="24" t="s">
        <v>300</v>
      </c>
      <c r="C217" s="24" t="s">
        <v>301</v>
      </c>
      <c r="D217" s="25">
        <v>1246</v>
      </c>
      <c r="E217" s="26">
        <v>500</v>
      </c>
      <c r="F217" s="26">
        <v>0</v>
      </c>
      <c r="G217" s="26">
        <v>1000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250</v>
      </c>
      <c r="N217" s="26">
        <v>0</v>
      </c>
      <c r="O217" s="26">
        <v>0</v>
      </c>
      <c r="P217" s="27">
        <f t="shared" si="9"/>
        <v>2996</v>
      </c>
      <c r="Q217" s="27">
        <f t="shared" si="1"/>
        <v>82.38</v>
      </c>
      <c r="R217" s="27">
        <f t="shared" si="13"/>
        <v>302.06</v>
      </c>
      <c r="S217" s="27">
        <v>0</v>
      </c>
      <c r="T217" s="27">
        <v>0</v>
      </c>
      <c r="U217" s="27">
        <f t="shared" si="3"/>
        <v>384.44</v>
      </c>
      <c r="V217" s="27">
        <f t="shared" si="4"/>
        <v>2611.56</v>
      </c>
      <c r="W217" s="27">
        <v>0</v>
      </c>
    </row>
    <row r="218" spans="1:23" ht="25.5" x14ac:dyDescent="0.2">
      <c r="A218" s="23">
        <v>209</v>
      </c>
      <c r="B218" s="24" t="s">
        <v>302</v>
      </c>
      <c r="C218" s="24" t="s">
        <v>33</v>
      </c>
      <c r="D218" s="25">
        <v>1634</v>
      </c>
      <c r="E218" s="26">
        <v>2400</v>
      </c>
      <c r="F218" s="26">
        <v>0</v>
      </c>
      <c r="G218" s="26">
        <v>0</v>
      </c>
      <c r="H218" s="26">
        <v>3000</v>
      </c>
      <c r="I218" s="26">
        <v>2400</v>
      </c>
      <c r="J218" s="26">
        <v>0</v>
      </c>
      <c r="K218" s="26">
        <v>75</v>
      </c>
      <c r="L218" s="26">
        <v>0</v>
      </c>
      <c r="M218" s="26">
        <v>250</v>
      </c>
      <c r="N218" s="26">
        <v>0</v>
      </c>
      <c r="O218" s="26">
        <v>0</v>
      </c>
      <c r="P218" s="27">
        <f t="shared" si="9"/>
        <v>9759</v>
      </c>
      <c r="Q218" s="27">
        <f t="shared" si="1"/>
        <v>285.27</v>
      </c>
      <c r="R218" s="27">
        <f t="shared" si="13"/>
        <v>1045.99</v>
      </c>
      <c r="S218" s="27">
        <v>207.96</v>
      </c>
      <c r="T218" s="27">
        <v>0</v>
      </c>
      <c r="U218" s="27">
        <f t="shared" si="3"/>
        <v>1539.22</v>
      </c>
      <c r="V218" s="27">
        <f t="shared" si="4"/>
        <v>8219.7800000000007</v>
      </c>
      <c r="W218" s="27">
        <v>0</v>
      </c>
    </row>
    <row r="219" spans="1:23" ht="25.5" x14ac:dyDescent="0.2">
      <c r="A219" s="23">
        <v>210</v>
      </c>
      <c r="B219" s="24" t="s">
        <v>303</v>
      </c>
      <c r="C219" s="24" t="s">
        <v>36</v>
      </c>
      <c r="D219" s="25">
        <v>1074</v>
      </c>
      <c r="E219" s="26">
        <v>400</v>
      </c>
      <c r="F219" s="26">
        <v>0</v>
      </c>
      <c r="G219" s="26">
        <v>1000</v>
      </c>
      <c r="H219" s="26">
        <v>0</v>
      </c>
      <c r="I219" s="26">
        <v>0</v>
      </c>
      <c r="J219" s="26">
        <v>0</v>
      </c>
      <c r="K219" s="26">
        <v>50</v>
      </c>
      <c r="L219" s="26">
        <v>200</v>
      </c>
      <c r="M219" s="26">
        <v>250</v>
      </c>
      <c r="N219" s="26">
        <v>0</v>
      </c>
      <c r="O219" s="26">
        <v>0</v>
      </c>
      <c r="P219" s="27">
        <f t="shared" si="9"/>
        <v>2974</v>
      </c>
      <c r="Q219" s="27">
        <f t="shared" si="1"/>
        <v>75.72</v>
      </c>
      <c r="R219" s="27">
        <f t="shared" si="13"/>
        <v>277.64</v>
      </c>
      <c r="S219" s="27">
        <v>0</v>
      </c>
      <c r="T219" s="27">
        <v>0</v>
      </c>
      <c r="U219" s="27">
        <f t="shared" si="3"/>
        <v>353.36</v>
      </c>
      <c r="V219" s="27">
        <f t="shared" si="4"/>
        <v>2620.64</v>
      </c>
      <c r="W219" s="27">
        <v>0</v>
      </c>
    </row>
    <row r="220" spans="1:23" ht="25.5" x14ac:dyDescent="0.2">
      <c r="A220" s="23">
        <v>211</v>
      </c>
      <c r="B220" s="24" t="s">
        <v>304</v>
      </c>
      <c r="C220" s="24" t="s">
        <v>124</v>
      </c>
      <c r="D220" s="25">
        <v>2425</v>
      </c>
      <c r="E220" s="26">
        <v>0</v>
      </c>
      <c r="F220" s="26">
        <v>3031.25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7">
        <f t="shared" si="9"/>
        <v>5456.25</v>
      </c>
      <c r="Q220" s="27">
        <f t="shared" si="1"/>
        <v>163.69</v>
      </c>
      <c r="R220" s="27">
        <f t="shared" si="13"/>
        <v>600.19000000000005</v>
      </c>
      <c r="S220" s="27">
        <v>6.13</v>
      </c>
      <c r="T220" s="27">
        <v>0</v>
      </c>
      <c r="U220" s="27">
        <f t="shared" si="3"/>
        <v>770.01</v>
      </c>
      <c r="V220" s="27">
        <f t="shared" si="4"/>
        <v>4686.24</v>
      </c>
      <c r="W220" s="27">
        <v>0</v>
      </c>
    </row>
    <row r="221" spans="1:23" ht="25.5" x14ac:dyDescent="0.2">
      <c r="A221" s="23">
        <v>212</v>
      </c>
      <c r="B221" s="24" t="s">
        <v>305</v>
      </c>
      <c r="C221" s="24" t="s">
        <v>306</v>
      </c>
      <c r="D221" s="25">
        <v>1074</v>
      </c>
      <c r="E221" s="26">
        <v>0</v>
      </c>
      <c r="F221" s="26">
        <v>0</v>
      </c>
      <c r="G221" s="26">
        <v>1000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250</v>
      </c>
      <c r="N221" s="26">
        <v>0</v>
      </c>
      <c r="O221" s="26">
        <v>0</v>
      </c>
      <c r="P221" s="27">
        <f>SUM(D221:O221)</f>
        <v>2324</v>
      </c>
      <c r="Q221" s="27">
        <f t="shared" si="1"/>
        <v>62.22</v>
      </c>
      <c r="R221" s="27">
        <f t="shared" si="13"/>
        <v>228.14</v>
      </c>
      <c r="S221" s="27">
        <v>0</v>
      </c>
      <c r="T221" s="27">
        <v>0</v>
      </c>
      <c r="U221" s="27">
        <f t="shared" si="3"/>
        <v>290.36</v>
      </c>
      <c r="V221" s="27">
        <f t="shared" si="4"/>
        <v>2033.64</v>
      </c>
      <c r="W221" s="27">
        <v>0</v>
      </c>
    </row>
    <row r="222" spans="1:23" ht="25.5" x14ac:dyDescent="0.2">
      <c r="A222" s="23">
        <v>213</v>
      </c>
      <c r="B222" s="24" t="s">
        <v>307</v>
      </c>
      <c r="C222" s="24" t="s">
        <v>70</v>
      </c>
      <c r="D222" s="25">
        <v>1476</v>
      </c>
      <c r="E222" s="26">
        <v>2000</v>
      </c>
      <c r="F222" s="26">
        <v>0</v>
      </c>
      <c r="G222" s="26">
        <v>1900</v>
      </c>
      <c r="H222" s="26">
        <v>0</v>
      </c>
      <c r="I222" s="26">
        <v>2600</v>
      </c>
      <c r="J222" s="26">
        <v>0</v>
      </c>
      <c r="K222" s="26">
        <v>0</v>
      </c>
      <c r="L222" s="26">
        <v>0</v>
      </c>
      <c r="M222" s="26">
        <v>250</v>
      </c>
      <c r="N222" s="26">
        <v>0</v>
      </c>
      <c r="O222" s="26">
        <v>0</v>
      </c>
      <c r="P222" s="27">
        <f t="shared" ref="P222:P335" si="14">SUM(D222:N222)</f>
        <v>8226</v>
      </c>
      <c r="Q222" s="27">
        <f t="shared" si="1"/>
        <v>239.28</v>
      </c>
      <c r="R222" s="27">
        <f t="shared" si="13"/>
        <v>877.36</v>
      </c>
      <c r="S222" s="27">
        <v>148.33000000000001</v>
      </c>
      <c r="T222" s="27">
        <v>0</v>
      </c>
      <c r="U222" s="27">
        <f t="shared" si="3"/>
        <v>1264.97</v>
      </c>
      <c r="V222" s="27">
        <f t="shared" si="4"/>
        <v>6961.03</v>
      </c>
      <c r="W222" s="27">
        <v>0</v>
      </c>
    </row>
    <row r="223" spans="1:23" ht="25.5" x14ac:dyDescent="0.2">
      <c r="A223" s="23">
        <v>214</v>
      </c>
      <c r="B223" s="24" t="s">
        <v>308</v>
      </c>
      <c r="C223" s="24" t="s">
        <v>46</v>
      </c>
      <c r="D223" s="25">
        <v>1350</v>
      </c>
      <c r="E223" s="26">
        <v>2000</v>
      </c>
      <c r="F223" s="26">
        <v>0</v>
      </c>
      <c r="G223" s="26">
        <v>0</v>
      </c>
      <c r="H223" s="26">
        <v>0</v>
      </c>
      <c r="I223" s="26">
        <v>4500</v>
      </c>
      <c r="J223" s="26">
        <v>0</v>
      </c>
      <c r="K223" s="26">
        <v>75</v>
      </c>
      <c r="L223" s="26">
        <v>0</v>
      </c>
      <c r="M223" s="26">
        <v>250</v>
      </c>
      <c r="N223" s="26">
        <v>0</v>
      </c>
      <c r="O223" s="26">
        <v>0</v>
      </c>
      <c r="P223" s="27">
        <f t="shared" si="14"/>
        <v>8175</v>
      </c>
      <c r="Q223" s="27">
        <f t="shared" si="1"/>
        <v>237.75</v>
      </c>
      <c r="R223" s="27">
        <f t="shared" si="13"/>
        <v>871.75</v>
      </c>
      <c r="S223" s="27">
        <v>145.13</v>
      </c>
      <c r="T223" s="27">
        <v>0</v>
      </c>
      <c r="U223" s="27">
        <f t="shared" si="3"/>
        <v>1254.6300000000001</v>
      </c>
      <c r="V223" s="27">
        <f t="shared" si="4"/>
        <v>6920.37</v>
      </c>
      <c r="W223" s="27">
        <v>0</v>
      </c>
    </row>
    <row r="224" spans="1:23" ht="25.5" x14ac:dyDescent="0.2">
      <c r="A224" s="23">
        <v>215</v>
      </c>
      <c r="B224" s="24" t="s">
        <v>309</v>
      </c>
      <c r="C224" s="24" t="s">
        <v>98</v>
      </c>
      <c r="D224" s="25">
        <v>1350</v>
      </c>
      <c r="E224" s="26">
        <v>1500</v>
      </c>
      <c r="F224" s="26">
        <v>0</v>
      </c>
      <c r="G224" s="26">
        <v>0</v>
      </c>
      <c r="H224" s="26">
        <v>1600</v>
      </c>
      <c r="I224" s="26">
        <v>0</v>
      </c>
      <c r="J224" s="26">
        <v>0</v>
      </c>
      <c r="K224" s="26">
        <v>0</v>
      </c>
      <c r="L224" s="26">
        <v>0</v>
      </c>
      <c r="M224" s="26">
        <v>250</v>
      </c>
      <c r="N224" s="26">
        <v>0</v>
      </c>
      <c r="O224" s="26">
        <v>0</v>
      </c>
      <c r="P224" s="27">
        <f t="shared" si="14"/>
        <v>4700</v>
      </c>
      <c r="Q224" s="27">
        <f t="shared" si="1"/>
        <v>133.5</v>
      </c>
      <c r="R224" s="27">
        <f t="shared" si="13"/>
        <v>489.5</v>
      </c>
      <c r="S224" s="27">
        <v>2.46</v>
      </c>
      <c r="T224" s="27">
        <v>0</v>
      </c>
      <c r="U224" s="27">
        <f t="shared" si="3"/>
        <v>625.46</v>
      </c>
      <c r="V224" s="27">
        <f t="shared" si="4"/>
        <v>4074.54</v>
      </c>
      <c r="W224" s="27">
        <v>0</v>
      </c>
    </row>
    <row r="225" spans="1:23" ht="25.5" x14ac:dyDescent="0.2">
      <c r="A225" s="23">
        <v>216</v>
      </c>
      <c r="B225" s="24" t="s">
        <v>310</v>
      </c>
      <c r="C225" s="24" t="s">
        <v>55</v>
      </c>
      <c r="D225" s="25">
        <v>1223</v>
      </c>
      <c r="E225" s="27">
        <f>2000</f>
        <v>2000</v>
      </c>
      <c r="F225" s="26">
        <v>0</v>
      </c>
      <c r="G225" s="26">
        <v>0</v>
      </c>
      <c r="H225" s="26">
        <v>1300</v>
      </c>
      <c r="I225" s="26">
        <f>3200</f>
        <v>3200</v>
      </c>
      <c r="J225" s="26">
        <v>0</v>
      </c>
      <c r="K225" s="26">
        <v>0</v>
      </c>
      <c r="L225" s="26">
        <v>0</v>
      </c>
      <c r="M225" s="26">
        <v>250</v>
      </c>
      <c r="N225" s="26">
        <v>0</v>
      </c>
      <c r="O225" s="26">
        <v>0</v>
      </c>
      <c r="P225" s="27">
        <f t="shared" si="14"/>
        <v>7973</v>
      </c>
      <c r="Q225" s="27">
        <f t="shared" si="1"/>
        <v>231.69</v>
      </c>
      <c r="R225" s="27">
        <f t="shared" si="13"/>
        <v>849.53</v>
      </c>
      <c r="S225" s="27">
        <v>139.80000000000001</v>
      </c>
      <c r="T225" s="27">
        <v>0</v>
      </c>
      <c r="U225" s="27">
        <f t="shared" si="3"/>
        <v>1221.02</v>
      </c>
      <c r="V225" s="27">
        <f t="shared" si="4"/>
        <v>6751.98</v>
      </c>
      <c r="W225" s="27">
        <v>0</v>
      </c>
    </row>
    <row r="226" spans="1:23" ht="25.5" x14ac:dyDescent="0.2">
      <c r="A226" s="23">
        <v>217</v>
      </c>
      <c r="B226" s="24" t="s">
        <v>311</v>
      </c>
      <c r="C226" s="24" t="s">
        <v>65</v>
      </c>
      <c r="D226" s="25">
        <v>485</v>
      </c>
      <c r="E226" s="26">
        <v>0</v>
      </c>
      <c r="F226" s="26">
        <v>485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7">
        <f t="shared" si="14"/>
        <v>970</v>
      </c>
      <c r="Q226" s="27">
        <f t="shared" si="1"/>
        <v>29.1</v>
      </c>
      <c r="R226" s="27">
        <f t="shared" si="13"/>
        <v>106.7</v>
      </c>
      <c r="S226" s="27">
        <v>0</v>
      </c>
      <c r="T226" s="27">
        <v>0</v>
      </c>
      <c r="U226" s="27">
        <f t="shared" si="3"/>
        <v>135.80000000000001</v>
      </c>
      <c r="V226" s="27">
        <f t="shared" si="4"/>
        <v>834.2</v>
      </c>
      <c r="W226" s="27">
        <v>0</v>
      </c>
    </row>
    <row r="227" spans="1:23" ht="25.5" x14ac:dyDescent="0.2">
      <c r="A227" s="23">
        <v>218</v>
      </c>
      <c r="B227" s="24" t="s">
        <v>312</v>
      </c>
      <c r="C227" s="24" t="s">
        <v>36</v>
      </c>
      <c r="D227" s="25">
        <v>1074</v>
      </c>
      <c r="E227" s="26">
        <v>400</v>
      </c>
      <c r="F227" s="26">
        <v>0</v>
      </c>
      <c r="G227" s="26">
        <v>1000</v>
      </c>
      <c r="H227" s="26">
        <v>0</v>
      </c>
      <c r="I227" s="26">
        <v>0</v>
      </c>
      <c r="J227" s="26">
        <v>0</v>
      </c>
      <c r="K227" s="26">
        <v>0</v>
      </c>
      <c r="L227" s="26">
        <v>200</v>
      </c>
      <c r="M227" s="26">
        <v>250</v>
      </c>
      <c r="N227" s="26">
        <v>0</v>
      </c>
      <c r="O227" s="26">
        <v>0</v>
      </c>
      <c r="P227" s="27">
        <f t="shared" si="14"/>
        <v>2924</v>
      </c>
      <c r="Q227" s="27">
        <f t="shared" si="1"/>
        <v>74.22</v>
      </c>
      <c r="R227" s="27">
        <f t="shared" si="13"/>
        <v>272.14</v>
      </c>
      <c r="S227" s="27">
        <v>0</v>
      </c>
      <c r="T227" s="27">
        <v>0</v>
      </c>
      <c r="U227" s="27">
        <f t="shared" si="3"/>
        <v>346.36</v>
      </c>
      <c r="V227" s="27">
        <f t="shared" si="4"/>
        <v>2577.64</v>
      </c>
      <c r="W227" s="27">
        <v>0</v>
      </c>
    </row>
    <row r="228" spans="1:23" ht="25.5" x14ac:dyDescent="0.2">
      <c r="A228" s="23">
        <v>219</v>
      </c>
      <c r="B228" s="24" t="s">
        <v>313</v>
      </c>
      <c r="C228" s="24" t="s">
        <v>46</v>
      </c>
      <c r="D228" s="25">
        <v>1350</v>
      </c>
      <c r="E228" s="26">
        <v>2000</v>
      </c>
      <c r="F228" s="26">
        <v>0</v>
      </c>
      <c r="G228" s="26">
        <v>0</v>
      </c>
      <c r="H228" s="26">
        <v>0</v>
      </c>
      <c r="I228" s="26">
        <v>4500</v>
      </c>
      <c r="J228" s="26">
        <v>0</v>
      </c>
      <c r="K228" s="26">
        <v>0</v>
      </c>
      <c r="L228" s="26">
        <v>0</v>
      </c>
      <c r="M228" s="26">
        <v>250</v>
      </c>
      <c r="N228" s="26">
        <v>0</v>
      </c>
      <c r="O228" s="26">
        <v>0</v>
      </c>
      <c r="P228" s="27">
        <f t="shared" si="14"/>
        <v>8100</v>
      </c>
      <c r="Q228" s="27">
        <f t="shared" si="1"/>
        <v>235.5</v>
      </c>
      <c r="R228" s="27">
        <f t="shared" si="13"/>
        <v>863.5</v>
      </c>
      <c r="S228" s="27">
        <v>143.03</v>
      </c>
      <c r="T228" s="27">
        <v>0</v>
      </c>
      <c r="U228" s="27">
        <f t="shared" si="3"/>
        <v>1242.03</v>
      </c>
      <c r="V228" s="27">
        <f t="shared" si="4"/>
        <v>6857.97</v>
      </c>
      <c r="W228" s="27">
        <v>0</v>
      </c>
    </row>
    <row r="229" spans="1:23" ht="25.5" x14ac:dyDescent="0.2">
      <c r="A229" s="23">
        <v>220</v>
      </c>
      <c r="B229" s="24" t="s">
        <v>314</v>
      </c>
      <c r="C229" s="24" t="s">
        <v>98</v>
      </c>
      <c r="D229" s="25">
        <v>1350</v>
      </c>
      <c r="E229" s="26">
        <v>1500</v>
      </c>
      <c r="F229" s="26">
        <v>0</v>
      </c>
      <c r="G229" s="26">
        <v>0</v>
      </c>
      <c r="H229" s="26">
        <v>1600</v>
      </c>
      <c r="I229" s="26">
        <v>0</v>
      </c>
      <c r="J229" s="26">
        <v>0</v>
      </c>
      <c r="K229" s="26">
        <v>75</v>
      </c>
      <c r="L229" s="26">
        <v>0</v>
      </c>
      <c r="M229" s="26">
        <v>250</v>
      </c>
      <c r="N229" s="26">
        <v>0</v>
      </c>
      <c r="O229" s="26">
        <v>0</v>
      </c>
      <c r="P229" s="27">
        <f t="shared" si="14"/>
        <v>4775</v>
      </c>
      <c r="Q229" s="27">
        <f t="shared" si="1"/>
        <v>135.75</v>
      </c>
      <c r="R229" s="27">
        <f t="shared" si="13"/>
        <v>497.75</v>
      </c>
      <c r="S229" s="27">
        <v>5.65</v>
      </c>
      <c r="T229" s="27">
        <v>0</v>
      </c>
      <c r="U229" s="27">
        <f t="shared" si="3"/>
        <v>639.15</v>
      </c>
      <c r="V229" s="27">
        <f t="shared" si="4"/>
        <v>4135.8500000000004</v>
      </c>
      <c r="W229" s="27">
        <v>0</v>
      </c>
    </row>
    <row r="230" spans="1:23" ht="25.5" x14ac:dyDescent="0.2">
      <c r="A230" s="23">
        <v>221</v>
      </c>
      <c r="B230" s="24" t="s">
        <v>315</v>
      </c>
      <c r="C230" s="24" t="s">
        <v>70</v>
      </c>
      <c r="D230" s="25">
        <v>1476</v>
      </c>
      <c r="E230" s="26">
        <v>2000</v>
      </c>
      <c r="F230" s="26">
        <v>0</v>
      </c>
      <c r="G230" s="26">
        <v>1900</v>
      </c>
      <c r="H230" s="26">
        <v>0</v>
      </c>
      <c r="I230" s="26">
        <v>2600</v>
      </c>
      <c r="J230" s="26">
        <v>0</v>
      </c>
      <c r="K230" s="26">
        <v>50</v>
      </c>
      <c r="L230" s="26">
        <v>0</v>
      </c>
      <c r="M230" s="26">
        <v>250</v>
      </c>
      <c r="N230" s="26">
        <v>0</v>
      </c>
      <c r="O230" s="26">
        <v>0</v>
      </c>
      <c r="P230" s="27">
        <f t="shared" si="14"/>
        <v>8276</v>
      </c>
      <c r="Q230" s="27">
        <f t="shared" si="1"/>
        <v>240.78</v>
      </c>
      <c r="R230" s="27">
        <f t="shared" si="13"/>
        <v>882.86</v>
      </c>
      <c r="S230" s="27">
        <v>146.11000000000001</v>
      </c>
      <c r="T230" s="27">
        <v>0</v>
      </c>
      <c r="U230" s="27">
        <f t="shared" si="3"/>
        <v>1269.75</v>
      </c>
      <c r="V230" s="27">
        <f t="shared" si="4"/>
        <v>7006.25</v>
      </c>
      <c r="W230" s="27">
        <v>0</v>
      </c>
    </row>
    <row r="231" spans="1:23" x14ac:dyDescent="0.2">
      <c r="A231" s="23">
        <v>222</v>
      </c>
      <c r="B231" s="24" t="s">
        <v>316</v>
      </c>
      <c r="C231" s="24" t="s">
        <v>144</v>
      </c>
      <c r="D231" s="25">
        <v>1039</v>
      </c>
      <c r="E231" s="26">
        <v>400</v>
      </c>
      <c r="F231" s="26">
        <v>0</v>
      </c>
      <c r="G231" s="26">
        <v>1000</v>
      </c>
      <c r="H231" s="26">
        <v>0</v>
      </c>
      <c r="I231" s="26">
        <v>0</v>
      </c>
      <c r="J231" s="26">
        <v>0</v>
      </c>
      <c r="K231" s="26">
        <v>50</v>
      </c>
      <c r="L231" s="26">
        <v>200</v>
      </c>
      <c r="M231" s="26">
        <v>250</v>
      </c>
      <c r="N231" s="26">
        <v>0</v>
      </c>
      <c r="O231" s="26">
        <v>0</v>
      </c>
      <c r="P231" s="27">
        <f t="shared" si="14"/>
        <v>2939</v>
      </c>
      <c r="Q231" s="27">
        <f t="shared" si="1"/>
        <v>74.67</v>
      </c>
      <c r="R231" s="27">
        <f t="shared" si="13"/>
        <v>273.79000000000002</v>
      </c>
      <c r="S231" s="27">
        <v>0</v>
      </c>
      <c r="T231" s="27">
        <v>0</v>
      </c>
      <c r="U231" s="27">
        <f t="shared" si="3"/>
        <v>348.46</v>
      </c>
      <c r="V231" s="27">
        <f t="shared" si="4"/>
        <v>2590.54</v>
      </c>
      <c r="W231" s="27">
        <v>0</v>
      </c>
    </row>
    <row r="232" spans="1:23" ht="25.5" x14ac:dyDescent="0.2">
      <c r="A232" s="23">
        <v>223</v>
      </c>
      <c r="B232" s="24" t="s">
        <v>317</v>
      </c>
      <c r="C232" s="31" t="s">
        <v>38</v>
      </c>
      <c r="D232" s="25">
        <v>1350</v>
      </c>
      <c r="E232" s="26">
        <v>2000</v>
      </c>
      <c r="F232" s="26">
        <v>0</v>
      </c>
      <c r="G232" s="26">
        <v>0</v>
      </c>
      <c r="H232" s="26">
        <v>1600</v>
      </c>
      <c r="I232" s="26">
        <v>2900</v>
      </c>
      <c r="J232" s="26">
        <v>0</v>
      </c>
      <c r="K232" s="26">
        <v>75</v>
      </c>
      <c r="L232" s="26">
        <v>0</v>
      </c>
      <c r="M232" s="26">
        <v>250</v>
      </c>
      <c r="N232" s="26">
        <v>0</v>
      </c>
      <c r="O232" s="26">
        <v>0</v>
      </c>
      <c r="P232" s="27">
        <f t="shared" si="14"/>
        <v>8175</v>
      </c>
      <c r="Q232" s="27">
        <f t="shared" si="1"/>
        <v>237.75</v>
      </c>
      <c r="R232" s="27">
        <f t="shared" si="13"/>
        <v>871.75</v>
      </c>
      <c r="S232" s="27">
        <v>146.18</v>
      </c>
      <c r="T232" s="27">
        <v>0</v>
      </c>
      <c r="U232" s="27">
        <f t="shared" si="3"/>
        <v>1255.68</v>
      </c>
      <c r="V232" s="27">
        <f t="shared" si="4"/>
        <v>6919.32</v>
      </c>
      <c r="W232" s="27">
        <v>0</v>
      </c>
    </row>
    <row r="233" spans="1:23" ht="25.5" x14ac:dyDescent="0.2">
      <c r="A233" s="23">
        <v>224</v>
      </c>
      <c r="B233" s="39" t="s">
        <v>318</v>
      </c>
      <c r="C233" s="24" t="s">
        <v>124</v>
      </c>
      <c r="D233" s="26">
        <v>2425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7">
        <f t="shared" si="14"/>
        <v>2425</v>
      </c>
      <c r="Q233" s="27">
        <f t="shared" si="1"/>
        <v>72.75</v>
      </c>
      <c r="R233" s="27">
        <f t="shared" si="13"/>
        <v>266.75</v>
      </c>
      <c r="S233" s="27">
        <v>0</v>
      </c>
      <c r="T233" s="27">
        <v>0</v>
      </c>
      <c r="U233" s="27">
        <f t="shared" si="3"/>
        <v>339.5</v>
      </c>
      <c r="V233" s="27">
        <f t="shared" si="4"/>
        <v>2085.5</v>
      </c>
      <c r="W233" s="27">
        <v>0</v>
      </c>
    </row>
    <row r="234" spans="1:23" ht="25.5" x14ac:dyDescent="0.2">
      <c r="A234" s="23">
        <v>225</v>
      </c>
      <c r="B234" s="39" t="s">
        <v>319</v>
      </c>
      <c r="C234" s="24" t="s">
        <v>124</v>
      </c>
      <c r="D234" s="26">
        <v>2425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7">
        <f t="shared" si="14"/>
        <v>2425</v>
      </c>
      <c r="Q234" s="27">
        <f t="shared" si="1"/>
        <v>72.75</v>
      </c>
      <c r="R234" s="27">
        <f t="shared" si="13"/>
        <v>266.75</v>
      </c>
      <c r="S234" s="27">
        <v>0</v>
      </c>
      <c r="T234" s="27">
        <v>0</v>
      </c>
      <c r="U234" s="27">
        <f t="shared" si="3"/>
        <v>339.5</v>
      </c>
      <c r="V234" s="27">
        <f t="shared" si="4"/>
        <v>2085.5</v>
      </c>
      <c r="W234" s="27">
        <v>0</v>
      </c>
    </row>
    <row r="235" spans="1:23" ht="25.5" x14ac:dyDescent="0.2">
      <c r="A235" s="23">
        <v>226</v>
      </c>
      <c r="B235" s="24" t="s">
        <v>320</v>
      </c>
      <c r="C235" s="24" t="s">
        <v>44</v>
      </c>
      <c r="D235" s="25">
        <v>1476</v>
      </c>
      <c r="E235" s="26">
        <v>2000</v>
      </c>
      <c r="F235" s="26">
        <v>0</v>
      </c>
      <c r="G235" s="26">
        <v>0</v>
      </c>
      <c r="H235" s="26">
        <v>1900</v>
      </c>
      <c r="I235" s="26">
        <v>2600</v>
      </c>
      <c r="J235" s="26">
        <v>0</v>
      </c>
      <c r="K235" s="26">
        <v>35</v>
      </c>
      <c r="L235" s="26">
        <v>0</v>
      </c>
      <c r="M235" s="26">
        <v>250</v>
      </c>
      <c r="N235" s="26">
        <v>0</v>
      </c>
      <c r="O235" s="26">
        <v>0</v>
      </c>
      <c r="P235" s="27">
        <f t="shared" si="14"/>
        <v>8261</v>
      </c>
      <c r="Q235" s="27">
        <f t="shared" si="1"/>
        <v>240.33</v>
      </c>
      <c r="R235" s="27">
        <f t="shared" si="13"/>
        <v>881.21</v>
      </c>
      <c r="S235" s="27">
        <v>145.79</v>
      </c>
      <c r="T235" s="27">
        <v>0</v>
      </c>
      <c r="U235" s="27">
        <f t="shared" si="3"/>
        <v>1267.33</v>
      </c>
      <c r="V235" s="27">
        <f t="shared" si="4"/>
        <v>6993.67</v>
      </c>
      <c r="W235" s="27">
        <v>0</v>
      </c>
    </row>
    <row r="236" spans="1:23" ht="25.5" x14ac:dyDescent="0.2">
      <c r="A236" s="23">
        <v>227</v>
      </c>
      <c r="B236" s="24" t="s">
        <v>321</v>
      </c>
      <c r="C236" s="31" t="s">
        <v>38</v>
      </c>
      <c r="D236" s="25">
        <v>1350</v>
      </c>
      <c r="E236" s="26">
        <v>2000</v>
      </c>
      <c r="F236" s="26">
        <v>0</v>
      </c>
      <c r="G236" s="26">
        <v>0</v>
      </c>
      <c r="H236" s="26">
        <v>1600</v>
      </c>
      <c r="I236" s="26">
        <v>2900</v>
      </c>
      <c r="J236" s="26">
        <v>0</v>
      </c>
      <c r="K236" s="26">
        <v>75</v>
      </c>
      <c r="L236" s="26">
        <v>0</v>
      </c>
      <c r="M236" s="26">
        <v>250</v>
      </c>
      <c r="N236" s="26">
        <v>0</v>
      </c>
      <c r="O236" s="26">
        <v>0</v>
      </c>
      <c r="P236" s="27">
        <f t="shared" si="14"/>
        <v>8175</v>
      </c>
      <c r="Q236" s="27">
        <f t="shared" si="1"/>
        <v>237.75</v>
      </c>
      <c r="R236" s="27">
        <f t="shared" si="13"/>
        <v>871.75</v>
      </c>
      <c r="S236" s="27">
        <v>146.18</v>
      </c>
      <c r="T236" s="27">
        <v>0</v>
      </c>
      <c r="U236" s="27">
        <f t="shared" si="3"/>
        <v>1255.68</v>
      </c>
      <c r="V236" s="27">
        <f t="shared" si="4"/>
        <v>6919.32</v>
      </c>
      <c r="W236" s="27">
        <v>9060.77</v>
      </c>
    </row>
    <row r="237" spans="1:23" ht="25.5" x14ac:dyDescent="0.2">
      <c r="A237" s="23">
        <v>228</v>
      </c>
      <c r="B237" s="24" t="s">
        <v>322</v>
      </c>
      <c r="C237" s="24" t="s">
        <v>98</v>
      </c>
      <c r="D237" s="25">
        <v>1350</v>
      </c>
      <c r="E237" s="26">
        <v>2000</v>
      </c>
      <c r="F237" s="26">
        <v>0</v>
      </c>
      <c r="G237" s="26">
        <v>1600</v>
      </c>
      <c r="H237" s="26">
        <v>0</v>
      </c>
      <c r="I237" s="26">
        <v>2900</v>
      </c>
      <c r="J237" s="26">
        <v>0</v>
      </c>
      <c r="K237" s="26">
        <v>35</v>
      </c>
      <c r="L237" s="26">
        <v>0</v>
      </c>
      <c r="M237" s="26">
        <v>250</v>
      </c>
      <c r="N237" s="26">
        <v>0</v>
      </c>
      <c r="O237" s="26">
        <v>0</v>
      </c>
      <c r="P237" s="27">
        <f t="shared" si="14"/>
        <v>8135</v>
      </c>
      <c r="Q237" s="27">
        <f t="shared" si="1"/>
        <v>236.55</v>
      </c>
      <c r="R237" s="27">
        <f t="shared" si="13"/>
        <v>867.35</v>
      </c>
      <c r="S237" s="27">
        <v>639</v>
      </c>
      <c r="T237" s="27">
        <v>0</v>
      </c>
      <c r="U237" s="27">
        <f t="shared" si="3"/>
        <v>1742.9</v>
      </c>
      <c r="V237" s="27">
        <f t="shared" si="4"/>
        <v>6392.1</v>
      </c>
      <c r="W237" s="27">
        <v>0</v>
      </c>
    </row>
    <row r="238" spans="1:23" s="4" customFormat="1" ht="25.5" x14ac:dyDescent="0.2">
      <c r="A238" s="23">
        <v>229</v>
      </c>
      <c r="B238" s="31" t="s">
        <v>323</v>
      </c>
      <c r="C238" s="31" t="s">
        <v>65</v>
      </c>
      <c r="D238" s="26">
        <v>485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7">
        <f t="shared" si="14"/>
        <v>485</v>
      </c>
      <c r="Q238" s="27">
        <f t="shared" si="1"/>
        <v>14.55</v>
      </c>
      <c r="R238" s="27">
        <f t="shared" si="13"/>
        <v>53.35</v>
      </c>
      <c r="S238" s="27">
        <v>0</v>
      </c>
      <c r="T238" s="27">
        <v>0</v>
      </c>
      <c r="U238" s="27">
        <f t="shared" si="3"/>
        <v>67.900000000000006</v>
      </c>
      <c r="V238" s="27">
        <f t="shared" si="4"/>
        <v>417.1</v>
      </c>
      <c r="W238" s="27">
        <v>0</v>
      </c>
    </row>
    <row r="239" spans="1:23" s="4" customFormat="1" x14ac:dyDescent="0.2">
      <c r="A239" s="23">
        <v>230</v>
      </c>
      <c r="B239" s="53" t="s">
        <v>324</v>
      </c>
      <c r="C239" s="32" t="s">
        <v>325</v>
      </c>
      <c r="D239" s="26">
        <v>1960</v>
      </c>
      <c r="E239" s="26">
        <v>0</v>
      </c>
      <c r="F239" s="26">
        <v>0</v>
      </c>
      <c r="G239" s="26">
        <v>1000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250</v>
      </c>
      <c r="N239" s="26"/>
      <c r="O239" s="26">
        <v>0</v>
      </c>
      <c r="P239" s="27">
        <f t="shared" si="14"/>
        <v>3210</v>
      </c>
      <c r="Q239" s="27">
        <f t="shared" si="1"/>
        <v>88.8</v>
      </c>
      <c r="R239" s="27">
        <f t="shared" si="13"/>
        <v>325.60000000000002</v>
      </c>
      <c r="S239" s="27">
        <v>0</v>
      </c>
      <c r="T239" s="27">
        <v>0</v>
      </c>
      <c r="U239" s="27">
        <f t="shared" si="3"/>
        <v>414.4</v>
      </c>
      <c r="V239" s="27">
        <f t="shared" si="4"/>
        <v>2795.6</v>
      </c>
      <c r="W239" s="27">
        <v>0</v>
      </c>
    </row>
    <row r="240" spans="1:23" ht="25.5" x14ac:dyDescent="0.2">
      <c r="A240" s="23">
        <v>231</v>
      </c>
      <c r="B240" s="24" t="s">
        <v>326</v>
      </c>
      <c r="C240" s="24" t="s">
        <v>98</v>
      </c>
      <c r="D240" s="25">
        <v>1350</v>
      </c>
      <c r="E240" s="26">
        <v>1500</v>
      </c>
      <c r="F240" s="26">
        <v>0</v>
      </c>
      <c r="G240" s="26">
        <v>0</v>
      </c>
      <c r="H240" s="26">
        <v>1600</v>
      </c>
      <c r="I240" s="26">
        <v>0</v>
      </c>
      <c r="J240" s="26">
        <v>0</v>
      </c>
      <c r="K240" s="26">
        <v>75</v>
      </c>
      <c r="L240" s="26">
        <v>0</v>
      </c>
      <c r="M240" s="26">
        <v>250</v>
      </c>
      <c r="N240" s="26">
        <v>0</v>
      </c>
      <c r="O240" s="26">
        <v>0</v>
      </c>
      <c r="P240" s="27">
        <f t="shared" si="14"/>
        <v>4775</v>
      </c>
      <c r="Q240" s="27">
        <f t="shared" si="1"/>
        <v>135.75</v>
      </c>
      <c r="R240" s="27">
        <f t="shared" si="13"/>
        <v>497.75</v>
      </c>
      <c r="S240" s="27">
        <v>0</v>
      </c>
      <c r="T240" s="27">
        <v>0</v>
      </c>
      <c r="U240" s="27">
        <f t="shared" si="3"/>
        <v>633.5</v>
      </c>
      <c r="V240" s="27">
        <f t="shared" si="4"/>
        <v>4141.5</v>
      </c>
      <c r="W240" s="27">
        <v>0</v>
      </c>
    </row>
    <row r="241" spans="1:23" ht="25.5" x14ac:dyDescent="0.2">
      <c r="A241" s="23">
        <v>232</v>
      </c>
      <c r="B241" s="24" t="s">
        <v>327</v>
      </c>
      <c r="C241" s="24" t="s">
        <v>44</v>
      </c>
      <c r="D241" s="25">
        <v>1476</v>
      </c>
      <c r="E241" s="26">
        <v>2000</v>
      </c>
      <c r="F241" s="26">
        <v>0</v>
      </c>
      <c r="G241" s="26">
        <v>0</v>
      </c>
      <c r="H241" s="26">
        <v>1900</v>
      </c>
      <c r="I241" s="26">
        <v>2600</v>
      </c>
      <c r="J241" s="26">
        <v>0</v>
      </c>
      <c r="K241" s="26">
        <v>75</v>
      </c>
      <c r="L241" s="26">
        <v>0</v>
      </c>
      <c r="M241" s="26">
        <v>250</v>
      </c>
      <c r="N241" s="26">
        <v>0</v>
      </c>
      <c r="O241" s="26">
        <v>0</v>
      </c>
      <c r="P241" s="27">
        <f t="shared" si="14"/>
        <v>8301</v>
      </c>
      <c r="Q241" s="27">
        <f t="shared" si="1"/>
        <v>241.53</v>
      </c>
      <c r="R241" s="27">
        <f t="shared" si="13"/>
        <v>885.61</v>
      </c>
      <c r="S241" s="27">
        <v>146.41</v>
      </c>
      <c r="T241" s="27">
        <v>0</v>
      </c>
      <c r="U241" s="27">
        <f t="shared" si="3"/>
        <v>1273.55</v>
      </c>
      <c r="V241" s="27">
        <f t="shared" si="4"/>
        <v>7027.45</v>
      </c>
      <c r="W241" s="27">
        <f>422.5</f>
        <v>422.5</v>
      </c>
    </row>
    <row r="242" spans="1:23" ht="25.5" x14ac:dyDescent="0.2">
      <c r="A242" s="23">
        <v>233</v>
      </c>
      <c r="B242" s="32" t="s">
        <v>328</v>
      </c>
      <c r="C242" s="32" t="s">
        <v>329</v>
      </c>
      <c r="D242" s="25">
        <v>1012.5</v>
      </c>
      <c r="E242" s="26">
        <v>1200</v>
      </c>
      <c r="F242" s="26">
        <v>0</v>
      </c>
      <c r="G242" s="26">
        <v>0</v>
      </c>
      <c r="H242" s="26">
        <v>2175</v>
      </c>
      <c r="I242" s="26">
        <v>0</v>
      </c>
      <c r="J242" s="26">
        <v>0</v>
      </c>
      <c r="K242" s="26">
        <v>0</v>
      </c>
      <c r="L242" s="26">
        <v>0</v>
      </c>
      <c r="M242" s="26">
        <v>250</v>
      </c>
      <c r="N242" s="26">
        <v>0</v>
      </c>
      <c r="O242" s="26">
        <v>0</v>
      </c>
      <c r="P242" s="27">
        <f t="shared" si="14"/>
        <v>4637.5</v>
      </c>
      <c r="Q242" s="27">
        <f t="shared" si="1"/>
        <v>131.63</v>
      </c>
      <c r="R242" s="27">
        <f t="shared" si="13"/>
        <v>482.63</v>
      </c>
      <c r="S242" s="27"/>
      <c r="T242" s="27"/>
      <c r="U242" s="27"/>
      <c r="V242" s="27">
        <f t="shared" si="4"/>
        <v>4637.5</v>
      </c>
      <c r="W242" s="27">
        <v>0</v>
      </c>
    </row>
    <row r="243" spans="1:23" ht="25.5" x14ac:dyDescent="0.2">
      <c r="A243" s="23">
        <v>234</v>
      </c>
      <c r="B243" s="24" t="s">
        <v>330</v>
      </c>
      <c r="C243" s="24" t="s">
        <v>33</v>
      </c>
      <c r="D243" s="25">
        <v>1634</v>
      </c>
      <c r="E243" s="26">
        <v>2400</v>
      </c>
      <c r="F243" s="26">
        <v>0</v>
      </c>
      <c r="G243" s="26">
        <v>0</v>
      </c>
      <c r="H243" s="26">
        <v>3000</v>
      </c>
      <c r="I243" s="26">
        <v>2400</v>
      </c>
      <c r="J243" s="26">
        <v>0</v>
      </c>
      <c r="K243" s="26">
        <v>75</v>
      </c>
      <c r="L243" s="26">
        <v>0</v>
      </c>
      <c r="M243" s="26">
        <v>250</v>
      </c>
      <c r="N243" s="26">
        <v>0</v>
      </c>
      <c r="O243" s="26">
        <v>0</v>
      </c>
      <c r="P243" s="27">
        <f t="shared" si="14"/>
        <v>9759</v>
      </c>
      <c r="Q243" s="27">
        <f t="shared" si="1"/>
        <v>285.27</v>
      </c>
      <c r="R243" s="27">
        <f t="shared" si="13"/>
        <v>1045.99</v>
      </c>
      <c r="S243" s="27">
        <v>203.2</v>
      </c>
      <c r="T243" s="27">
        <v>0</v>
      </c>
      <c r="U243" s="27">
        <f t="shared" ref="U243:U335" si="15">SUM(Q243:T243)</f>
        <v>1534.46</v>
      </c>
      <c r="V243" s="27">
        <f t="shared" si="4"/>
        <v>8224.5400000000009</v>
      </c>
      <c r="W243" s="27">
        <v>0</v>
      </c>
    </row>
    <row r="244" spans="1:23" ht="25.5" x14ac:dyDescent="0.2">
      <c r="A244" s="23">
        <v>235</v>
      </c>
      <c r="B244" s="24" t="s">
        <v>331</v>
      </c>
      <c r="C244" s="24" t="s">
        <v>46</v>
      </c>
      <c r="D244" s="25">
        <v>1476</v>
      </c>
      <c r="E244" s="26">
        <v>2000</v>
      </c>
      <c r="F244" s="26">
        <v>0</v>
      </c>
      <c r="G244" s="26">
        <v>0</v>
      </c>
      <c r="H244" s="26">
        <v>1900</v>
      </c>
      <c r="I244" s="26">
        <v>2600</v>
      </c>
      <c r="J244" s="26">
        <v>0</v>
      </c>
      <c r="K244" s="26">
        <v>0</v>
      </c>
      <c r="L244" s="26">
        <v>0</v>
      </c>
      <c r="M244" s="26">
        <v>250</v>
      </c>
      <c r="N244" s="26">
        <v>0</v>
      </c>
      <c r="O244" s="26">
        <v>0</v>
      </c>
      <c r="P244" s="27">
        <f t="shared" si="14"/>
        <v>8226</v>
      </c>
      <c r="Q244" s="27">
        <f t="shared" si="1"/>
        <v>239.28</v>
      </c>
      <c r="R244" s="27">
        <f t="shared" si="13"/>
        <v>877.36</v>
      </c>
      <c r="S244" s="27">
        <v>148.33000000000001</v>
      </c>
      <c r="T244" s="27">
        <v>0</v>
      </c>
      <c r="U244" s="27">
        <f t="shared" si="15"/>
        <v>1264.97</v>
      </c>
      <c r="V244" s="27">
        <f t="shared" si="4"/>
        <v>6961.03</v>
      </c>
      <c r="W244" s="27">
        <v>0</v>
      </c>
    </row>
    <row r="245" spans="1:23" ht="25.5" x14ac:dyDescent="0.2">
      <c r="A245" s="23">
        <v>236</v>
      </c>
      <c r="B245" s="24" t="s">
        <v>332</v>
      </c>
      <c r="C245" s="24" t="s">
        <v>33</v>
      </c>
      <c r="D245" s="25">
        <v>1634</v>
      </c>
      <c r="E245" s="26">
        <v>2400</v>
      </c>
      <c r="F245" s="26">
        <v>0</v>
      </c>
      <c r="G245" s="26">
        <v>0</v>
      </c>
      <c r="H245" s="26">
        <v>3000</v>
      </c>
      <c r="I245" s="26">
        <v>2400</v>
      </c>
      <c r="J245" s="26">
        <v>0</v>
      </c>
      <c r="K245" s="26">
        <v>75</v>
      </c>
      <c r="L245" s="26">
        <v>0</v>
      </c>
      <c r="M245" s="26">
        <v>250</v>
      </c>
      <c r="N245" s="26">
        <v>0</v>
      </c>
      <c r="O245" s="26">
        <v>0</v>
      </c>
      <c r="P245" s="27">
        <f t="shared" si="14"/>
        <v>9759</v>
      </c>
      <c r="Q245" s="27">
        <f t="shared" si="1"/>
        <v>285.27</v>
      </c>
      <c r="R245" s="27">
        <f t="shared" si="13"/>
        <v>1045.99</v>
      </c>
      <c r="S245" s="27">
        <v>207.96</v>
      </c>
      <c r="T245" s="27">
        <v>0</v>
      </c>
      <c r="U245" s="27">
        <f t="shared" si="15"/>
        <v>1539.22</v>
      </c>
      <c r="V245" s="27">
        <f t="shared" si="4"/>
        <v>8219.7800000000007</v>
      </c>
      <c r="W245" s="27">
        <v>0</v>
      </c>
    </row>
    <row r="246" spans="1:23" ht="25.5" x14ac:dyDescent="0.2">
      <c r="A246" s="23">
        <v>237</v>
      </c>
      <c r="B246" s="24" t="s">
        <v>333</v>
      </c>
      <c r="C246" s="24" t="s">
        <v>44</v>
      </c>
      <c r="D246" s="25">
        <v>1476</v>
      </c>
      <c r="E246" s="26">
        <v>2000</v>
      </c>
      <c r="F246" s="26">
        <v>0</v>
      </c>
      <c r="G246" s="26">
        <v>0</v>
      </c>
      <c r="H246" s="26">
        <v>1900</v>
      </c>
      <c r="I246" s="26">
        <v>2600</v>
      </c>
      <c r="J246" s="26">
        <v>0</v>
      </c>
      <c r="K246" s="26">
        <v>75</v>
      </c>
      <c r="L246" s="26">
        <v>0</v>
      </c>
      <c r="M246" s="26">
        <v>250</v>
      </c>
      <c r="N246" s="26">
        <v>0</v>
      </c>
      <c r="O246" s="26">
        <v>0</v>
      </c>
      <c r="P246" s="27">
        <f t="shared" si="14"/>
        <v>8301</v>
      </c>
      <c r="Q246" s="27">
        <f t="shared" si="1"/>
        <v>241.53</v>
      </c>
      <c r="R246" s="27">
        <f t="shared" si="13"/>
        <v>885.61</v>
      </c>
      <c r="S246" s="27">
        <v>146.41</v>
      </c>
      <c r="T246" s="27">
        <v>0</v>
      </c>
      <c r="U246" s="27">
        <f t="shared" si="15"/>
        <v>1273.55</v>
      </c>
      <c r="V246" s="27">
        <f t="shared" si="4"/>
        <v>7027.45</v>
      </c>
      <c r="W246" s="27">
        <f>375</f>
        <v>375</v>
      </c>
    </row>
    <row r="247" spans="1:23" ht="25.5" x14ac:dyDescent="0.2">
      <c r="A247" s="23">
        <v>238</v>
      </c>
      <c r="B247" s="24" t="s">
        <v>334</v>
      </c>
      <c r="C247" s="24" t="s">
        <v>44</v>
      </c>
      <c r="D247" s="25">
        <v>1476</v>
      </c>
      <c r="E247" s="26">
        <v>2000</v>
      </c>
      <c r="F247" s="26">
        <v>0</v>
      </c>
      <c r="G247" s="26">
        <v>0</v>
      </c>
      <c r="H247" s="26">
        <v>1900</v>
      </c>
      <c r="I247" s="26">
        <v>2600</v>
      </c>
      <c r="J247" s="26">
        <v>0</v>
      </c>
      <c r="K247" s="26">
        <v>75</v>
      </c>
      <c r="L247" s="26">
        <v>0</v>
      </c>
      <c r="M247" s="26">
        <v>250</v>
      </c>
      <c r="N247" s="26">
        <v>0</v>
      </c>
      <c r="O247" s="26">
        <v>0</v>
      </c>
      <c r="P247" s="27">
        <f t="shared" si="14"/>
        <v>8301</v>
      </c>
      <c r="Q247" s="27">
        <f t="shared" si="1"/>
        <v>241.53</v>
      </c>
      <c r="R247" s="27">
        <f t="shared" si="13"/>
        <v>885.61</v>
      </c>
      <c r="S247" s="27">
        <v>146.41</v>
      </c>
      <c r="T247" s="27">
        <v>0</v>
      </c>
      <c r="U247" s="27">
        <f t="shared" si="15"/>
        <v>1273.55</v>
      </c>
      <c r="V247" s="27">
        <f t="shared" si="4"/>
        <v>7027.45</v>
      </c>
      <c r="W247" s="27">
        <v>0</v>
      </c>
    </row>
    <row r="248" spans="1:23" ht="25.5" x14ac:dyDescent="0.2">
      <c r="A248" s="23">
        <v>239</v>
      </c>
      <c r="B248" s="24" t="s">
        <v>335</v>
      </c>
      <c r="C248" s="24" t="s">
        <v>44</v>
      </c>
      <c r="D248" s="25">
        <v>1476</v>
      </c>
      <c r="E248" s="26">
        <v>2000</v>
      </c>
      <c r="F248" s="26">
        <v>0</v>
      </c>
      <c r="G248" s="26">
        <v>0</v>
      </c>
      <c r="H248" s="26">
        <v>1900</v>
      </c>
      <c r="I248" s="26">
        <v>2600</v>
      </c>
      <c r="J248" s="26">
        <v>0</v>
      </c>
      <c r="K248" s="26">
        <v>75</v>
      </c>
      <c r="L248" s="26">
        <v>0</v>
      </c>
      <c r="M248" s="26">
        <v>250</v>
      </c>
      <c r="N248" s="26">
        <v>0</v>
      </c>
      <c r="O248" s="26">
        <v>0</v>
      </c>
      <c r="P248" s="27">
        <f t="shared" si="14"/>
        <v>8301</v>
      </c>
      <c r="Q248" s="27">
        <f t="shared" si="1"/>
        <v>241.53</v>
      </c>
      <c r="R248" s="27">
        <f t="shared" si="13"/>
        <v>885.61</v>
      </c>
      <c r="S248" s="27">
        <v>146.41</v>
      </c>
      <c r="T248" s="27">
        <v>0</v>
      </c>
      <c r="U248" s="27">
        <f t="shared" si="15"/>
        <v>1273.55</v>
      </c>
      <c r="V248" s="27">
        <f t="shared" si="4"/>
        <v>7027.45</v>
      </c>
      <c r="W248" s="27">
        <f>376.4</f>
        <v>376.4</v>
      </c>
    </row>
    <row r="249" spans="1:23" ht="30.75" customHeight="1" x14ac:dyDescent="0.2">
      <c r="A249" s="23">
        <v>240</v>
      </c>
      <c r="B249" s="24" t="s">
        <v>336</v>
      </c>
      <c r="C249" s="24" t="s">
        <v>36</v>
      </c>
      <c r="D249" s="25">
        <v>1074</v>
      </c>
      <c r="E249" s="26">
        <v>400</v>
      </c>
      <c r="F249" s="26">
        <v>0</v>
      </c>
      <c r="G249" s="26">
        <v>1000</v>
      </c>
      <c r="H249" s="26">
        <v>0</v>
      </c>
      <c r="I249" s="26">
        <v>0</v>
      </c>
      <c r="J249" s="26">
        <v>0</v>
      </c>
      <c r="K249" s="26">
        <v>0</v>
      </c>
      <c r="L249" s="26">
        <v>200</v>
      </c>
      <c r="M249" s="26">
        <v>250</v>
      </c>
      <c r="N249" s="26">
        <v>0</v>
      </c>
      <c r="O249" s="26">
        <v>0</v>
      </c>
      <c r="P249" s="27">
        <f t="shared" si="14"/>
        <v>2924</v>
      </c>
      <c r="Q249" s="27">
        <f t="shared" si="1"/>
        <v>74.22</v>
      </c>
      <c r="R249" s="27">
        <f t="shared" si="13"/>
        <v>272.14</v>
      </c>
      <c r="S249" s="27">
        <v>0</v>
      </c>
      <c r="T249" s="27">
        <v>0</v>
      </c>
      <c r="U249" s="27">
        <f t="shared" si="15"/>
        <v>346.36</v>
      </c>
      <c r="V249" s="27">
        <f t="shared" si="4"/>
        <v>2577.64</v>
      </c>
      <c r="W249" s="27">
        <v>0</v>
      </c>
    </row>
    <row r="250" spans="1:23" ht="25.5" x14ac:dyDescent="0.2">
      <c r="A250" s="23">
        <v>241</v>
      </c>
      <c r="B250" s="24" t="s">
        <v>337</v>
      </c>
      <c r="C250" s="24" t="s">
        <v>157</v>
      </c>
      <c r="D250" s="25">
        <v>1253</v>
      </c>
      <c r="E250" s="26">
        <v>550</v>
      </c>
      <c r="F250" s="26">
        <v>0</v>
      </c>
      <c r="G250" s="26">
        <v>1000</v>
      </c>
      <c r="H250" s="26">
        <v>0</v>
      </c>
      <c r="I250" s="26">
        <v>0</v>
      </c>
      <c r="J250" s="26">
        <v>0</v>
      </c>
      <c r="K250" s="26">
        <v>50</v>
      </c>
      <c r="L250" s="26">
        <v>0</v>
      </c>
      <c r="M250" s="26">
        <v>250</v>
      </c>
      <c r="N250" s="26">
        <v>0</v>
      </c>
      <c r="O250" s="26">
        <v>0</v>
      </c>
      <c r="P250" s="27">
        <f t="shared" si="14"/>
        <v>3103</v>
      </c>
      <c r="Q250" s="27">
        <f t="shared" si="1"/>
        <v>85.59</v>
      </c>
      <c r="R250" s="27">
        <f t="shared" si="13"/>
        <v>313.83</v>
      </c>
      <c r="S250" s="27">
        <v>0</v>
      </c>
      <c r="T250" s="27">
        <v>38.340000000000003</v>
      </c>
      <c r="U250" s="27">
        <f t="shared" si="15"/>
        <v>437.76</v>
      </c>
      <c r="V250" s="27">
        <f t="shared" si="4"/>
        <v>2665.24</v>
      </c>
      <c r="W250" s="27">
        <v>0</v>
      </c>
    </row>
    <row r="251" spans="1:23" ht="25.5" x14ac:dyDescent="0.2">
      <c r="A251" s="23">
        <v>242</v>
      </c>
      <c r="B251" s="24" t="s">
        <v>338</v>
      </c>
      <c r="C251" s="24" t="s">
        <v>65</v>
      </c>
      <c r="D251" s="25">
        <f>485*2</f>
        <v>970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7">
        <f t="shared" si="14"/>
        <v>970</v>
      </c>
      <c r="Q251" s="27">
        <f t="shared" si="1"/>
        <v>29.1</v>
      </c>
      <c r="R251" s="27">
        <f t="shared" si="13"/>
        <v>106.7</v>
      </c>
      <c r="S251" s="27">
        <v>9.64</v>
      </c>
      <c r="T251" s="27">
        <v>0</v>
      </c>
      <c r="U251" s="27">
        <f t="shared" si="15"/>
        <v>145.44</v>
      </c>
      <c r="V251" s="27">
        <f t="shared" si="4"/>
        <v>824.56</v>
      </c>
      <c r="W251" s="27">
        <v>0</v>
      </c>
    </row>
    <row r="252" spans="1:23" ht="25.5" x14ac:dyDescent="0.2">
      <c r="A252" s="23">
        <v>243</v>
      </c>
      <c r="B252" s="24" t="s">
        <v>339</v>
      </c>
      <c r="C252" s="24" t="s">
        <v>144</v>
      </c>
      <c r="D252" s="25">
        <v>1039</v>
      </c>
      <c r="E252" s="26">
        <v>400</v>
      </c>
      <c r="F252" s="26">
        <v>0</v>
      </c>
      <c r="G252" s="26">
        <v>1000</v>
      </c>
      <c r="H252" s="26">
        <v>0</v>
      </c>
      <c r="I252" s="26">
        <v>0</v>
      </c>
      <c r="J252" s="26">
        <v>0</v>
      </c>
      <c r="K252" s="26">
        <v>50</v>
      </c>
      <c r="L252" s="26">
        <v>200</v>
      </c>
      <c r="M252" s="26">
        <v>250</v>
      </c>
      <c r="N252" s="26">
        <v>0</v>
      </c>
      <c r="O252" s="26">
        <v>0</v>
      </c>
      <c r="P252" s="27">
        <f t="shared" si="14"/>
        <v>2939</v>
      </c>
      <c r="Q252" s="27">
        <f t="shared" si="1"/>
        <v>74.67</v>
      </c>
      <c r="R252" s="27">
        <f t="shared" si="13"/>
        <v>273.79000000000002</v>
      </c>
      <c r="S252" s="27">
        <v>0</v>
      </c>
      <c r="T252" s="27">
        <v>0</v>
      </c>
      <c r="U252" s="27">
        <f t="shared" si="15"/>
        <v>348.46</v>
      </c>
      <c r="V252" s="27">
        <f t="shared" si="4"/>
        <v>2590.54</v>
      </c>
      <c r="W252" s="27">
        <v>0</v>
      </c>
    </row>
    <row r="253" spans="1:23" ht="25.5" x14ac:dyDescent="0.2">
      <c r="A253" s="23">
        <v>244</v>
      </c>
      <c r="B253" s="24" t="s">
        <v>340</v>
      </c>
      <c r="C253" s="24" t="s">
        <v>341</v>
      </c>
      <c r="D253" s="25">
        <v>1039</v>
      </c>
      <c r="E253" s="26">
        <v>400</v>
      </c>
      <c r="F253" s="26">
        <v>0</v>
      </c>
      <c r="G253" s="26">
        <v>1000</v>
      </c>
      <c r="H253" s="26">
        <v>0</v>
      </c>
      <c r="I253" s="26">
        <v>0</v>
      </c>
      <c r="J253" s="26">
        <v>0</v>
      </c>
      <c r="K253" s="26">
        <v>0</v>
      </c>
      <c r="L253" s="26">
        <v>200</v>
      </c>
      <c r="M253" s="26">
        <v>250</v>
      </c>
      <c r="N253" s="26">
        <v>0</v>
      </c>
      <c r="O253" s="26">
        <v>0</v>
      </c>
      <c r="P253" s="27">
        <f t="shared" si="14"/>
        <v>2889</v>
      </c>
      <c r="Q253" s="27">
        <f t="shared" si="1"/>
        <v>73.17</v>
      </c>
      <c r="R253" s="27">
        <f t="shared" si="13"/>
        <v>268.29000000000002</v>
      </c>
      <c r="S253" s="27">
        <v>0</v>
      </c>
      <c r="T253" s="27">
        <v>0</v>
      </c>
      <c r="U253" s="27">
        <f t="shared" si="15"/>
        <v>341.46</v>
      </c>
      <c r="V253" s="27">
        <f t="shared" si="4"/>
        <v>2547.54</v>
      </c>
      <c r="W253" s="27">
        <v>0</v>
      </c>
    </row>
    <row r="254" spans="1:23" ht="25.5" x14ac:dyDescent="0.2">
      <c r="A254" s="23">
        <v>245</v>
      </c>
      <c r="B254" s="24" t="s">
        <v>342</v>
      </c>
      <c r="C254" s="24" t="s">
        <v>343</v>
      </c>
      <c r="D254" s="25">
        <v>1381</v>
      </c>
      <c r="E254" s="26">
        <v>600</v>
      </c>
      <c r="F254" s="26">
        <v>0</v>
      </c>
      <c r="G254" s="26">
        <v>1000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250</v>
      </c>
      <c r="N254" s="26">
        <v>0</v>
      </c>
      <c r="O254" s="26">
        <v>0</v>
      </c>
      <c r="P254" s="27">
        <f t="shared" si="14"/>
        <v>3231</v>
      </c>
      <c r="Q254" s="27">
        <f t="shared" si="1"/>
        <v>89.43</v>
      </c>
      <c r="R254" s="27">
        <f t="shared" si="13"/>
        <v>327.91</v>
      </c>
      <c r="S254" s="27">
        <v>0</v>
      </c>
      <c r="T254" s="27">
        <v>40.06</v>
      </c>
      <c r="U254" s="27">
        <f t="shared" si="15"/>
        <v>457.4</v>
      </c>
      <c r="V254" s="27">
        <f t="shared" si="4"/>
        <v>2773.6</v>
      </c>
      <c r="W254" s="27">
        <v>0</v>
      </c>
    </row>
    <row r="255" spans="1:23" ht="25.5" x14ac:dyDescent="0.2">
      <c r="A255" s="23">
        <v>246</v>
      </c>
      <c r="B255" s="24" t="s">
        <v>344</v>
      </c>
      <c r="C255" s="24" t="s">
        <v>345</v>
      </c>
      <c r="D255" s="25">
        <v>1575</v>
      </c>
      <c r="E255" s="26">
        <v>816</v>
      </c>
      <c r="F255" s="26">
        <v>0</v>
      </c>
      <c r="G255" s="26">
        <v>1000</v>
      </c>
      <c r="H255" s="26">
        <v>0</v>
      </c>
      <c r="I255" s="26">
        <v>0</v>
      </c>
      <c r="J255" s="26">
        <v>0</v>
      </c>
      <c r="K255" s="26">
        <v>75</v>
      </c>
      <c r="L255" s="26">
        <v>0</v>
      </c>
      <c r="M255" s="26">
        <v>250</v>
      </c>
      <c r="N255" s="26">
        <v>0</v>
      </c>
      <c r="O255" s="26">
        <v>0</v>
      </c>
      <c r="P255" s="27">
        <f t="shared" si="14"/>
        <v>3716</v>
      </c>
      <c r="Q255" s="27">
        <f t="shared" si="1"/>
        <v>103.98</v>
      </c>
      <c r="R255" s="27">
        <f t="shared" si="13"/>
        <v>381.26</v>
      </c>
      <c r="S255" s="27">
        <v>0</v>
      </c>
      <c r="T255" s="27">
        <v>0</v>
      </c>
      <c r="U255" s="27">
        <f t="shared" si="15"/>
        <v>485.24</v>
      </c>
      <c r="V255" s="27">
        <f t="shared" si="4"/>
        <v>3230.76</v>
      </c>
      <c r="W255" s="27">
        <v>0</v>
      </c>
    </row>
    <row r="256" spans="1:23" ht="25.5" x14ac:dyDescent="0.2">
      <c r="A256" s="23">
        <v>247</v>
      </c>
      <c r="B256" s="24" t="s">
        <v>346</v>
      </c>
      <c r="C256" s="24" t="s">
        <v>98</v>
      </c>
      <c r="D256" s="25">
        <v>1350</v>
      </c>
      <c r="E256" s="26">
        <v>2000</v>
      </c>
      <c r="F256" s="26">
        <v>0</v>
      </c>
      <c r="G256" s="26">
        <v>1600</v>
      </c>
      <c r="H256" s="26">
        <v>0</v>
      </c>
      <c r="I256" s="26">
        <v>2900</v>
      </c>
      <c r="J256" s="26">
        <v>0</v>
      </c>
      <c r="K256" s="26">
        <v>35</v>
      </c>
      <c r="L256" s="26">
        <v>0</v>
      </c>
      <c r="M256" s="26">
        <v>250</v>
      </c>
      <c r="N256" s="26">
        <v>0</v>
      </c>
      <c r="O256" s="26">
        <v>0</v>
      </c>
      <c r="P256" s="27">
        <f t="shared" si="14"/>
        <v>8135</v>
      </c>
      <c r="Q256" s="27">
        <f t="shared" si="1"/>
        <v>236.55</v>
      </c>
      <c r="R256" s="27">
        <f t="shared" si="13"/>
        <v>867.35</v>
      </c>
      <c r="S256" s="27">
        <v>140.56</v>
      </c>
      <c r="T256" s="27">
        <v>0</v>
      </c>
      <c r="U256" s="27">
        <f t="shared" si="15"/>
        <v>1244.46</v>
      </c>
      <c r="V256" s="27">
        <f t="shared" si="4"/>
        <v>6890.54</v>
      </c>
      <c r="W256" s="27">
        <f>1987.17+210+591.2</f>
        <v>2788.37</v>
      </c>
    </row>
    <row r="257" spans="1:23" ht="25.5" x14ac:dyDescent="0.2">
      <c r="A257" s="23">
        <v>248</v>
      </c>
      <c r="B257" s="24" t="s">
        <v>347</v>
      </c>
      <c r="C257" s="24" t="s">
        <v>70</v>
      </c>
      <c r="D257" s="25">
        <v>1476</v>
      </c>
      <c r="E257" s="26">
        <v>2000</v>
      </c>
      <c r="F257" s="26">
        <v>0</v>
      </c>
      <c r="G257" s="26">
        <v>1900</v>
      </c>
      <c r="H257" s="26">
        <v>0</v>
      </c>
      <c r="I257" s="26">
        <v>2600</v>
      </c>
      <c r="J257" s="26">
        <v>0</v>
      </c>
      <c r="K257" s="26">
        <v>50</v>
      </c>
      <c r="L257" s="26">
        <v>0</v>
      </c>
      <c r="M257" s="26">
        <v>250</v>
      </c>
      <c r="N257" s="26">
        <v>0</v>
      </c>
      <c r="O257" s="26">
        <v>0</v>
      </c>
      <c r="P257" s="27">
        <f t="shared" si="14"/>
        <v>8276</v>
      </c>
      <c r="Q257" s="27">
        <f t="shared" si="1"/>
        <v>240.78</v>
      </c>
      <c r="R257" s="27">
        <f t="shared" si="13"/>
        <v>882.86</v>
      </c>
      <c r="S257" s="27">
        <v>146.41</v>
      </c>
      <c r="T257" s="27">
        <v>0</v>
      </c>
      <c r="U257" s="27">
        <f t="shared" si="15"/>
        <v>1270.05</v>
      </c>
      <c r="V257" s="27">
        <f t="shared" si="4"/>
        <v>7005.95</v>
      </c>
      <c r="W257" s="27">
        <f>2144.2</f>
        <v>2144.1999999999998</v>
      </c>
    </row>
    <row r="258" spans="1:23" ht="25.5" x14ac:dyDescent="0.2">
      <c r="A258" s="23">
        <v>249</v>
      </c>
      <c r="B258" s="24" t="s">
        <v>348</v>
      </c>
      <c r="C258" s="24" t="s">
        <v>65</v>
      </c>
      <c r="D258" s="25">
        <f>485*4</f>
        <v>1940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7">
        <f t="shared" si="14"/>
        <v>1940</v>
      </c>
      <c r="Q258" s="27">
        <f t="shared" si="1"/>
        <v>58.2</v>
      </c>
      <c r="R258" s="27">
        <f t="shared" si="13"/>
        <v>213.4</v>
      </c>
      <c r="S258" s="27">
        <v>0</v>
      </c>
      <c r="T258" s="27">
        <v>0</v>
      </c>
      <c r="U258" s="27">
        <f t="shared" si="15"/>
        <v>271.60000000000002</v>
      </c>
      <c r="V258" s="27">
        <f t="shared" si="4"/>
        <v>1668.4</v>
      </c>
      <c r="W258" s="27">
        <v>0</v>
      </c>
    </row>
    <row r="259" spans="1:23" ht="25.5" x14ac:dyDescent="0.2">
      <c r="A259" s="23">
        <v>250</v>
      </c>
      <c r="B259" s="54" t="s">
        <v>349</v>
      </c>
      <c r="C259" s="24" t="s">
        <v>124</v>
      </c>
      <c r="D259" s="26">
        <v>2425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7">
        <f t="shared" si="14"/>
        <v>2425</v>
      </c>
      <c r="Q259" s="27">
        <f t="shared" si="1"/>
        <v>72.75</v>
      </c>
      <c r="R259" s="27">
        <f t="shared" si="13"/>
        <v>266.75</v>
      </c>
      <c r="S259" s="27">
        <v>0</v>
      </c>
      <c r="T259" s="27">
        <v>0</v>
      </c>
      <c r="U259" s="27">
        <f t="shared" si="15"/>
        <v>339.5</v>
      </c>
      <c r="V259" s="27">
        <f t="shared" si="4"/>
        <v>2085.5</v>
      </c>
      <c r="W259" s="27">
        <v>0</v>
      </c>
    </row>
    <row r="260" spans="1:23" ht="25.5" x14ac:dyDescent="0.2">
      <c r="A260" s="23">
        <v>251</v>
      </c>
      <c r="B260" s="24" t="s">
        <v>350</v>
      </c>
      <c r="C260" s="24" t="s">
        <v>33</v>
      </c>
      <c r="D260" s="25">
        <v>1634</v>
      </c>
      <c r="E260" s="26">
        <v>2400</v>
      </c>
      <c r="F260" s="26">
        <v>0</v>
      </c>
      <c r="G260" s="26">
        <v>0</v>
      </c>
      <c r="H260" s="26">
        <v>3000</v>
      </c>
      <c r="I260" s="26">
        <v>2400</v>
      </c>
      <c r="J260" s="26">
        <v>0</v>
      </c>
      <c r="K260" s="26">
        <v>0</v>
      </c>
      <c r="L260" s="26">
        <v>0</v>
      </c>
      <c r="M260" s="26">
        <v>250</v>
      </c>
      <c r="N260" s="26">
        <v>0</v>
      </c>
      <c r="O260" s="26">
        <v>0</v>
      </c>
      <c r="P260" s="27">
        <f t="shared" si="14"/>
        <v>9684</v>
      </c>
      <c r="Q260" s="27">
        <f t="shared" si="1"/>
        <v>283.02</v>
      </c>
      <c r="R260" s="27">
        <f t="shared" si="13"/>
        <v>1037.74</v>
      </c>
      <c r="S260" s="27">
        <v>207.96</v>
      </c>
      <c r="T260" s="27">
        <v>0</v>
      </c>
      <c r="U260" s="27">
        <f t="shared" si="15"/>
        <v>1528.72</v>
      </c>
      <c r="V260" s="27">
        <f t="shared" si="4"/>
        <v>8155.28</v>
      </c>
      <c r="W260" s="27">
        <v>0</v>
      </c>
    </row>
    <row r="261" spans="1:23" ht="25.5" x14ac:dyDescent="0.2">
      <c r="A261" s="23">
        <v>252</v>
      </c>
      <c r="B261" s="24" t="s">
        <v>351</v>
      </c>
      <c r="C261" s="31" t="s">
        <v>38</v>
      </c>
      <c r="D261" s="25">
        <v>1350</v>
      </c>
      <c r="E261" s="26">
        <v>1500</v>
      </c>
      <c r="F261" s="26">
        <v>0</v>
      </c>
      <c r="G261" s="26">
        <v>0</v>
      </c>
      <c r="H261" s="26">
        <v>0</v>
      </c>
      <c r="I261" s="26">
        <v>4500</v>
      </c>
      <c r="J261" s="26">
        <v>0</v>
      </c>
      <c r="K261" s="26">
        <v>0</v>
      </c>
      <c r="L261" s="26">
        <v>0</v>
      </c>
      <c r="M261" s="26">
        <v>250</v>
      </c>
      <c r="N261" s="26">
        <v>0</v>
      </c>
      <c r="O261" s="26">
        <v>0</v>
      </c>
      <c r="P261" s="27">
        <f t="shared" si="14"/>
        <v>7600</v>
      </c>
      <c r="Q261" s="27">
        <f t="shared" si="1"/>
        <v>220.5</v>
      </c>
      <c r="R261" s="27">
        <f t="shared" si="13"/>
        <v>808.5</v>
      </c>
      <c r="S261" s="27">
        <v>122.03</v>
      </c>
      <c r="T261" s="27">
        <v>0</v>
      </c>
      <c r="U261" s="27">
        <f t="shared" si="15"/>
        <v>1151.03</v>
      </c>
      <c r="V261" s="27">
        <f t="shared" si="4"/>
        <v>6448.97</v>
      </c>
      <c r="W261" s="27">
        <v>0</v>
      </c>
    </row>
    <row r="262" spans="1:23" ht="25.5" x14ac:dyDescent="0.2">
      <c r="A262" s="23">
        <v>253</v>
      </c>
      <c r="B262" s="39" t="s">
        <v>352</v>
      </c>
      <c r="C262" s="31" t="s">
        <v>38</v>
      </c>
      <c r="D262" s="25">
        <v>1350</v>
      </c>
      <c r="E262" s="26">
        <v>2000</v>
      </c>
      <c r="F262" s="26">
        <v>0</v>
      </c>
      <c r="G262" s="26">
        <v>0</v>
      </c>
      <c r="H262" s="26">
        <v>1600</v>
      </c>
      <c r="I262" s="26">
        <v>2900</v>
      </c>
      <c r="J262" s="26">
        <v>0</v>
      </c>
      <c r="K262" s="26">
        <v>0</v>
      </c>
      <c r="L262" s="26">
        <v>0</v>
      </c>
      <c r="M262" s="26">
        <v>250</v>
      </c>
      <c r="N262" s="26">
        <v>0</v>
      </c>
      <c r="O262" s="26">
        <v>0</v>
      </c>
      <c r="P262" s="27">
        <f t="shared" si="14"/>
        <v>8100</v>
      </c>
      <c r="Q262" s="27">
        <f t="shared" si="1"/>
        <v>235.5</v>
      </c>
      <c r="R262" s="27">
        <f t="shared" si="13"/>
        <v>863.5</v>
      </c>
      <c r="S262" s="27">
        <v>139.11000000000001</v>
      </c>
      <c r="T262" s="27">
        <v>0</v>
      </c>
      <c r="U262" s="27">
        <f t="shared" si="15"/>
        <v>1238.1099999999999</v>
      </c>
      <c r="V262" s="27">
        <f t="shared" si="4"/>
        <v>6861.89</v>
      </c>
      <c r="W262" s="27">
        <f>2309.34+199</f>
        <v>2508.34</v>
      </c>
    </row>
    <row r="263" spans="1:23" x14ac:dyDescent="0.2">
      <c r="A263" s="23">
        <v>254</v>
      </c>
      <c r="B263" s="24" t="s">
        <v>353</v>
      </c>
      <c r="C263" s="24" t="s">
        <v>46</v>
      </c>
      <c r="D263" s="25">
        <v>1350</v>
      </c>
      <c r="E263" s="26">
        <v>2000</v>
      </c>
      <c r="F263" s="26">
        <v>0</v>
      </c>
      <c r="G263" s="26">
        <v>0</v>
      </c>
      <c r="H263" s="26">
        <v>0</v>
      </c>
      <c r="I263" s="26">
        <v>4500</v>
      </c>
      <c r="J263" s="26">
        <v>0</v>
      </c>
      <c r="K263" s="26">
        <v>75</v>
      </c>
      <c r="L263" s="26">
        <v>0</v>
      </c>
      <c r="M263" s="26">
        <v>250</v>
      </c>
      <c r="N263" s="26">
        <v>0</v>
      </c>
      <c r="O263" s="26">
        <v>0</v>
      </c>
      <c r="P263" s="27">
        <f t="shared" si="14"/>
        <v>8175</v>
      </c>
      <c r="Q263" s="27">
        <f t="shared" si="1"/>
        <v>237.75</v>
      </c>
      <c r="R263" s="27">
        <f t="shared" si="13"/>
        <v>871.75</v>
      </c>
      <c r="S263" s="27">
        <v>146.18</v>
      </c>
      <c r="T263" s="27">
        <v>0</v>
      </c>
      <c r="U263" s="27">
        <f t="shared" si="15"/>
        <v>1255.68</v>
      </c>
      <c r="V263" s="27">
        <f t="shared" si="4"/>
        <v>6919.32</v>
      </c>
      <c r="W263" s="27">
        <v>0</v>
      </c>
    </row>
    <row r="264" spans="1:23" ht="25.5" x14ac:dyDescent="0.2">
      <c r="A264" s="23">
        <v>255</v>
      </c>
      <c r="B264" s="24" t="s">
        <v>354</v>
      </c>
      <c r="C264" s="24" t="s">
        <v>355</v>
      </c>
      <c r="D264" s="25">
        <v>1460</v>
      </c>
      <c r="E264" s="26">
        <v>400</v>
      </c>
      <c r="F264" s="26">
        <v>0</v>
      </c>
      <c r="G264" s="26">
        <v>1000</v>
      </c>
      <c r="H264" s="26">
        <v>0</v>
      </c>
      <c r="I264" s="26">
        <v>0</v>
      </c>
      <c r="J264" s="26">
        <v>0</v>
      </c>
      <c r="K264" s="26">
        <v>50</v>
      </c>
      <c r="L264" s="26">
        <v>0</v>
      </c>
      <c r="M264" s="26">
        <v>250</v>
      </c>
      <c r="N264" s="26">
        <v>0</v>
      </c>
      <c r="O264" s="26">
        <v>0</v>
      </c>
      <c r="P264" s="27">
        <f t="shared" si="14"/>
        <v>3160</v>
      </c>
      <c r="Q264" s="27">
        <f t="shared" si="1"/>
        <v>87.3</v>
      </c>
      <c r="R264" s="27">
        <f t="shared" si="13"/>
        <v>320.10000000000002</v>
      </c>
      <c r="S264" s="27">
        <v>0</v>
      </c>
      <c r="T264" s="27">
        <v>0</v>
      </c>
      <c r="U264" s="27">
        <f t="shared" si="15"/>
        <v>407.4</v>
      </c>
      <c r="V264" s="27">
        <f t="shared" si="4"/>
        <v>2752.6</v>
      </c>
      <c r="W264" s="27">
        <v>0</v>
      </c>
    </row>
    <row r="265" spans="1:23" x14ac:dyDescent="0.2">
      <c r="A265" s="23">
        <v>256</v>
      </c>
      <c r="B265" s="24" t="s">
        <v>356</v>
      </c>
      <c r="C265" s="24" t="s">
        <v>36</v>
      </c>
      <c r="D265" s="25">
        <v>1074</v>
      </c>
      <c r="E265" s="26">
        <v>400</v>
      </c>
      <c r="F265" s="26">
        <v>0</v>
      </c>
      <c r="G265" s="26">
        <v>1000</v>
      </c>
      <c r="H265" s="26">
        <v>0</v>
      </c>
      <c r="I265" s="26">
        <v>0</v>
      </c>
      <c r="J265" s="26">
        <v>0</v>
      </c>
      <c r="K265" s="26">
        <v>0</v>
      </c>
      <c r="L265" s="26">
        <v>200</v>
      </c>
      <c r="M265" s="26">
        <v>250</v>
      </c>
      <c r="N265" s="26">
        <v>0</v>
      </c>
      <c r="O265" s="26">
        <v>0</v>
      </c>
      <c r="P265" s="27">
        <f t="shared" si="14"/>
        <v>2924</v>
      </c>
      <c r="Q265" s="27">
        <f t="shared" si="1"/>
        <v>74.22</v>
      </c>
      <c r="R265" s="27">
        <f t="shared" si="13"/>
        <v>272.14</v>
      </c>
      <c r="S265" s="27">
        <v>0</v>
      </c>
      <c r="T265" s="27">
        <v>0</v>
      </c>
      <c r="U265" s="27">
        <f t="shared" si="15"/>
        <v>346.36</v>
      </c>
      <c r="V265" s="27">
        <f t="shared" si="4"/>
        <v>2577.64</v>
      </c>
      <c r="W265" s="27">
        <v>0</v>
      </c>
    </row>
    <row r="266" spans="1:23" ht="38.25" x14ac:dyDescent="0.2">
      <c r="A266" s="23">
        <v>257</v>
      </c>
      <c r="B266" s="24" t="s">
        <v>357</v>
      </c>
      <c r="C266" s="24" t="s">
        <v>358</v>
      </c>
      <c r="D266" s="25">
        <v>1074</v>
      </c>
      <c r="E266" s="26">
        <v>0</v>
      </c>
      <c r="F266" s="26">
        <v>0</v>
      </c>
      <c r="G266" s="26">
        <v>1000</v>
      </c>
      <c r="H266" s="26">
        <v>0</v>
      </c>
      <c r="I266" s="26">
        <v>0</v>
      </c>
      <c r="J266" s="26">
        <v>0</v>
      </c>
      <c r="K266" s="26">
        <v>0</v>
      </c>
      <c r="L266" s="26">
        <v>200</v>
      </c>
      <c r="M266" s="26">
        <v>250</v>
      </c>
      <c r="N266" s="26">
        <v>0</v>
      </c>
      <c r="O266" s="26">
        <v>0</v>
      </c>
      <c r="P266" s="27">
        <f t="shared" si="14"/>
        <v>2524</v>
      </c>
      <c r="Q266" s="27">
        <f t="shared" si="1"/>
        <v>62.22</v>
      </c>
      <c r="R266" s="27">
        <f t="shared" si="13"/>
        <v>228.14</v>
      </c>
      <c r="S266" s="27">
        <v>0</v>
      </c>
      <c r="T266" s="27">
        <v>0</v>
      </c>
      <c r="U266" s="27">
        <f t="shared" si="15"/>
        <v>290.36</v>
      </c>
      <c r="V266" s="27">
        <f t="shared" si="4"/>
        <v>2233.64</v>
      </c>
      <c r="W266" s="27">
        <v>0</v>
      </c>
    </row>
    <row r="267" spans="1:23" ht="25.5" x14ac:dyDescent="0.2">
      <c r="A267" s="23">
        <v>258</v>
      </c>
      <c r="B267" s="24" t="s">
        <v>359</v>
      </c>
      <c r="C267" s="24" t="s">
        <v>360</v>
      </c>
      <c r="D267" s="25">
        <v>970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7">
        <f t="shared" si="14"/>
        <v>970</v>
      </c>
      <c r="Q267" s="27">
        <f t="shared" si="1"/>
        <v>29.1</v>
      </c>
      <c r="R267" s="27">
        <f t="shared" si="13"/>
        <v>106.7</v>
      </c>
      <c r="S267" s="27">
        <v>0</v>
      </c>
      <c r="T267" s="27">
        <v>0</v>
      </c>
      <c r="U267" s="27">
        <f t="shared" si="15"/>
        <v>135.80000000000001</v>
      </c>
      <c r="V267" s="27">
        <f t="shared" si="4"/>
        <v>834.2</v>
      </c>
      <c r="W267" s="27">
        <v>0</v>
      </c>
    </row>
    <row r="268" spans="1:23" ht="25.5" x14ac:dyDescent="0.2">
      <c r="A268" s="23">
        <v>259</v>
      </c>
      <c r="B268" s="24" t="s">
        <v>361</v>
      </c>
      <c r="C268" s="24" t="s">
        <v>36</v>
      </c>
      <c r="D268" s="25">
        <v>1074</v>
      </c>
      <c r="E268" s="26">
        <v>400</v>
      </c>
      <c r="F268" s="26">
        <v>0</v>
      </c>
      <c r="G268" s="26">
        <v>1000</v>
      </c>
      <c r="H268" s="26">
        <v>0</v>
      </c>
      <c r="I268" s="26">
        <v>0</v>
      </c>
      <c r="J268" s="26">
        <v>0</v>
      </c>
      <c r="K268" s="26">
        <v>50</v>
      </c>
      <c r="L268" s="26">
        <v>200</v>
      </c>
      <c r="M268" s="26">
        <v>250</v>
      </c>
      <c r="N268" s="26">
        <v>0</v>
      </c>
      <c r="O268" s="26">
        <v>0</v>
      </c>
      <c r="P268" s="27">
        <f t="shared" si="14"/>
        <v>2974</v>
      </c>
      <c r="Q268" s="27">
        <f t="shared" si="1"/>
        <v>75.72</v>
      </c>
      <c r="R268" s="27">
        <f t="shared" si="13"/>
        <v>277.64</v>
      </c>
      <c r="S268" s="27">
        <v>0</v>
      </c>
      <c r="T268" s="27">
        <v>0</v>
      </c>
      <c r="U268" s="27">
        <f t="shared" si="15"/>
        <v>353.36</v>
      </c>
      <c r="V268" s="27">
        <f t="shared" si="4"/>
        <v>2620.64</v>
      </c>
      <c r="W268" s="27">
        <v>0</v>
      </c>
    </row>
    <row r="269" spans="1:23" ht="25.5" x14ac:dyDescent="0.2">
      <c r="A269" s="23">
        <v>260</v>
      </c>
      <c r="B269" s="24" t="s">
        <v>362</v>
      </c>
      <c r="C269" s="24" t="s">
        <v>33</v>
      </c>
      <c r="D269" s="25">
        <v>1634</v>
      </c>
      <c r="E269" s="26">
        <v>2400</v>
      </c>
      <c r="F269" s="26">
        <v>0</v>
      </c>
      <c r="G269" s="26">
        <v>2200</v>
      </c>
      <c r="H269" s="26">
        <v>0</v>
      </c>
      <c r="I269" s="26">
        <v>3200</v>
      </c>
      <c r="J269" s="26">
        <v>0</v>
      </c>
      <c r="K269" s="26">
        <v>50</v>
      </c>
      <c r="L269" s="26">
        <v>0</v>
      </c>
      <c r="M269" s="26">
        <v>250</v>
      </c>
      <c r="N269" s="26">
        <v>0</v>
      </c>
      <c r="O269" s="26">
        <v>0</v>
      </c>
      <c r="P269" s="27">
        <f t="shared" si="14"/>
        <v>9734</v>
      </c>
      <c r="Q269" s="27">
        <f t="shared" si="1"/>
        <v>284.52</v>
      </c>
      <c r="R269" s="27">
        <f t="shared" si="13"/>
        <v>1043.24</v>
      </c>
      <c r="S269" s="27">
        <v>206.92</v>
      </c>
      <c r="T269" s="27">
        <v>0</v>
      </c>
      <c r="U269" s="27">
        <f t="shared" si="15"/>
        <v>1534.68</v>
      </c>
      <c r="V269" s="27">
        <f t="shared" si="4"/>
        <v>8199.32</v>
      </c>
      <c r="W269" s="27">
        <v>0</v>
      </c>
    </row>
    <row r="270" spans="1:23" x14ac:dyDescent="0.2">
      <c r="A270" s="23">
        <v>261</v>
      </c>
      <c r="B270" s="24" t="s">
        <v>363</v>
      </c>
      <c r="C270" s="24" t="s">
        <v>70</v>
      </c>
      <c r="D270" s="25">
        <v>1476</v>
      </c>
      <c r="E270" s="26">
        <v>2000</v>
      </c>
      <c r="F270" s="26">
        <v>0</v>
      </c>
      <c r="G270" s="26">
        <v>1900</v>
      </c>
      <c r="H270" s="26">
        <v>0</v>
      </c>
      <c r="I270" s="26">
        <v>2600</v>
      </c>
      <c r="J270" s="26">
        <v>0</v>
      </c>
      <c r="K270" s="26">
        <v>50</v>
      </c>
      <c r="L270" s="26">
        <v>0</v>
      </c>
      <c r="M270" s="26">
        <v>250</v>
      </c>
      <c r="N270" s="26">
        <v>0</v>
      </c>
      <c r="O270" s="26">
        <v>0</v>
      </c>
      <c r="P270" s="27">
        <f t="shared" si="14"/>
        <v>8276</v>
      </c>
      <c r="Q270" s="27">
        <f t="shared" si="1"/>
        <v>240.78</v>
      </c>
      <c r="R270" s="27">
        <f t="shared" si="13"/>
        <v>882.86</v>
      </c>
      <c r="S270" s="27">
        <v>146.41</v>
      </c>
      <c r="T270" s="27">
        <v>0</v>
      </c>
      <c r="U270" s="27">
        <f t="shared" si="15"/>
        <v>1270.05</v>
      </c>
      <c r="V270" s="27">
        <f t="shared" si="4"/>
        <v>7005.95</v>
      </c>
      <c r="W270" s="27">
        <v>0</v>
      </c>
    </row>
    <row r="271" spans="1:23" ht="25.5" x14ac:dyDescent="0.2">
      <c r="A271" s="23">
        <v>262</v>
      </c>
      <c r="B271" s="24" t="s">
        <v>364</v>
      </c>
      <c r="C271" s="24" t="s">
        <v>365</v>
      </c>
      <c r="D271" s="25">
        <v>1105</v>
      </c>
      <c r="E271" s="26">
        <v>500</v>
      </c>
      <c r="F271" s="26">
        <v>0</v>
      </c>
      <c r="G271" s="26">
        <v>1000</v>
      </c>
      <c r="H271" s="26">
        <v>0</v>
      </c>
      <c r="I271" s="26">
        <v>0</v>
      </c>
      <c r="J271" s="26">
        <v>0</v>
      </c>
      <c r="K271" s="26">
        <v>50</v>
      </c>
      <c r="L271" s="26">
        <v>200</v>
      </c>
      <c r="M271" s="26">
        <v>250</v>
      </c>
      <c r="N271" s="26">
        <v>0</v>
      </c>
      <c r="O271" s="26">
        <v>0</v>
      </c>
      <c r="P271" s="27">
        <f t="shared" si="14"/>
        <v>3105</v>
      </c>
      <c r="Q271" s="27">
        <f t="shared" si="1"/>
        <v>79.650000000000006</v>
      </c>
      <c r="R271" s="27">
        <f t="shared" si="13"/>
        <v>292.05</v>
      </c>
      <c r="S271" s="27">
        <v>0</v>
      </c>
      <c r="T271" s="27">
        <v>0</v>
      </c>
      <c r="U271" s="27">
        <f t="shared" si="15"/>
        <v>371.7</v>
      </c>
      <c r="V271" s="27">
        <f t="shared" si="4"/>
        <v>2733.3</v>
      </c>
      <c r="W271" s="27">
        <v>0</v>
      </c>
    </row>
    <row r="272" spans="1:23" s="4" customFormat="1" ht="25.5" x14ac:dyDescent="0.2">
      <c r="A272" s="23">
        <v>263</v>
      </c>
      <c r="B272" s="24" t="s">
        <v>366</v>
      </c>
      <c r="C272" s="24" t="s">
        <v>55</v>
      </c>
      <c r="D272" s="25">
        <v>2885</v>
      </c>
      <c r="E272" s="26">
        <v>0</v>
      </c>
      <c r="F272" s="26">
        <v>1442.5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7">
        <f t="shared" si="14"/>
        <v>4327.5</v>
      </c>
      <c r="Q272" s="27">
        <f t="shared" si="1"/>
        <v>129.83000000000001</v>
      </c>
      <c r="R272" s="27">
        <f>(D272+E272+F272+G272+H272+I272+J272+K272+N272)*12%</f>
        <v>519.29999999999995</v>
      </c>
      <c r="S272" s="27">
        <v>0</v>
      </c>
      <c r="T272" s="27">
        <v>0</v>
      </c>
      <c r="U272" s="27">
        <f t="shared" si="15"/>
        <v>649.13</v>
      </c>
      <c r="V272" s="27">
        <f t="shared" si="4"/>
        <v>3678.37</v>
      </c>
      <c r="W272" s="27">
        <f>640</f>
        <v>640</v>
      </c>
    </row>
    <row r="273" spans="1:23" ht="27" customHeight="1" x14ac:dyDescent="0.2">
      <c r="A273" s="23">
        <v>264</v>
      </c>
      <c r="B273" s="24" t="s">
        <v>367</v>
      </c>
      <c r="C273" s="24" t="s">
        <v>36</v>
      </c>
      <c r="D273" s="25">
        <v>1074</v>
      </c>
      <c r="E273" s="26">
        <v>0</v>
      </c>
      <c r="F273" s="26">
        <v>0</v>
      </c>
      <c r="G273" s="26">
        <v>1000</v>
      </c>
      <c r="H273" s="26">
        <v>0</v>
      </c>
      <c r="I273" s="26">
        <v>0</v>
      </c>
      <c r="J273" s="26">
        <v>0</v>
      </c>
      <c r="K273" s="26">
        <v>0</v>
      </c>
      <c r="L273" s="26">
        <v>200</v>
      </c>
      <c r="M273" s="26">
        <v>250</v>
      </c>
      <c r="N273" s="26">
        <v>0</v>
      </c>
      <c r="O273" s="26">
        <v>0</v>
      </c>
      <c r="P273" s="27">
        <f t="shared" si="14"/>
        <v>2524</v>
      </c>
      <c r="Q273" s="27">
        <f t="shared" si="1"/>
        <v>62.22</v>
      </c>
      <c r="R273" s="27">
        <f t="shared" ref="R273:R274" si="16">(D273+E273+F273+G273+H273+I273+J273+K273+N273)*11%</f>
        <v>228.14</v>
      </c>
      <c r="S273" s="27">
        <v>0</v>
      </c>
      <c r="T273" s="27">
        <v>0</v>
      </c>
      <c r="U273" s="27">
        <f t="shared" si="15"/>
        <v>290.36</v>
      </c>
      <c r="V273" s="27">
        <f t="shared" si="4"/>
        <v>2233.64</v>
      </c>
      <c r="W273" s="27">
        <v>0</v>
      </c>
    </row>
    <row r="274" spans="1:23" x14ac:dyDescent="0.2">
      <c r="A274" s="23">
        <v>265</v>
      </c>
      <c r="B274" s="24" t="s">
        <v>368</v>
      </c>
      <c r="C274" s="24" t="s">
        <v>36</v>
      </c>
      <c r="D274" s="25">
        <v>1074</v>
      </c>
      <c r="E274" s="26">
        <v>0</v>
      </c>
      <c r="F274" s="26">
        <v>0</v>
      </c>
      <c r="G274" s="26">
        <v>1000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250</v>
      </c>
      <c r="N274" s="26">
        <v>0</v>
      </c>
      <c r="O274" s="26">
        <v>0</v>
      </c>
      <c r="P274" s="27">
        <f t="shared" si="14"/>
        <v>2324</v>
      </c>
      <c r="Q274" s="27">
        <f t="shared" si="1"/>
        <v>62.22</v>
      </c>
      <c r="R274" s="27">
        <f t="shared" si="16"/>
        <v>228.14</v>
      </c>
      <c r="S274" s="27">
        <v>0</v>
      </c>
      <c r="T274" s="27">
        <v>0</v>
      </c>
      <c r="U274" s="27">
        <f t="shared" si="15"/>
        <v>290.36</v>
      </c>
      <c r="V274" s="27">
        <f t="shared" si="4"/>
        <v>2033.64</v>
      </c>
      <c r="W274" s="27">
        <v>0</v>
      </c>
    </row>
    <row r="275" spans="1:23" s="4" customFormat="1" ht="25.5" x14ac:dyDescent="0.2">
      <c r="A275" s="23">
        <v>266</v>
      </c>
      <c r="B275" s="24" t="s">
        <v>369</v>
      </c>
      <c r="C275" s="31" t="s">
        <v>38</v>
      </c>
      <c r="D275" s="25">
        <v>1350</v>
      </c>
      <c r="E275" s="26">
        <v>2000</v>
      </c>
      <c r="F275" s="26">
        <v>0</v>
      </c>
      <c r="G275" s="26">
        <v>0</v>
      </c>
      <c r="H275" s="26">
        <v>1600</v>
      </c>
      <c r="I275" s="26">
        <v>2900</v>
      </c>
      <c r="J275" s="26">
        <v>0</v>
      </c>
      <c r="K275" s="26">
        <v>0</v>
      </c>
      <c r="L275" s="26">
        <v>0</v>
      </c>
      <c r="M275" s="26">
        <v>250</v>
      </c>
      <c r="N275" s="26">
        <v>0</v>
      </c>
      <c r="O275" s="26">
        <v>0</v>
      </c>
      <c r="P275" s="27">
        <f t="shared" si="14"/>
        <v>8100</v>
      </c>
      <c r="Q275" s="27">
        <f t="shared" si="1"/>
        <v>235.5</v>
      </c>
      <c r="R275" s="27">
        <f>(D275+E275+F275+G275+H275+I275+J275+K275+N275)*13%</f>
        <v>1020.5</v>
      </c>
      <c r="S275" s="27">
        <v>156.04</v>
      </c>
      <c r="T275" s="27">
        <v>0</v>
      </c>
      <c r="U275" s="27">
        <f t="shared" si="15"/>
        <v>1412.04</v>
      </c>
      <c r="V275" s="27">
        <f t="shared" si="4"/>
        <v>6687.96</v>
      </c>
      <c r="W275" s="27">
        <v>0</v>
      </c>
    </row>
    <row r="276" spans="1:23" ht="29.25" customHeight="1" x14ac:dyDescent="0.2">
      <c r="A276" s="23">
        <v>267</v>
      </c>
      <c r="B276" s="24" t="s">
        <v>370</v>
      </c>
      <c r="C276" s="24" t="s">
        <v>36</v>
      </c>
      <c r="D276" s="25">
        <v>1074</v>
      </c>
      <c r="E276" s="26">
        <v>0</v>
      </c>
      <c r="F276" s="26">
        <v>0</v>
      </c>
      <c r="G276" s="26">
        <v>1000</v>
      </c>
      <c r="H276" s="26">
        <v>0</v>
      </c>
      <c r="I276" s="26">
        <v>0</v>
      </c>
      <c r="J276" s="26">
        <v>0</v>
      </c>
      <c r="K276" s="26">
        <v>50</v>
      </c>
      <c r="L276" s="26">
        <v>0</v>
      </c>
      <c r="M276" s="26">
        <v>250</v>
      </c>
      <c r="N276" s="26">
        <v>0</v>
      </c>
      <c r="O276" s="26">
        <v>0</v>
      </c>
      <c r="P276" s="27">
        <f t="shared" si="14"/>
        <v>2374</v>
      </c>
      <c r="Q276" s="27">
        <f t="shared" si="1"/>
        <v>63.72</v>
      </c>
      <c r="R276" s="27">
        <f t="shared" ref="R276:R284" si="17">(D276+E276+F276+G276+H276+I276+J276+K276+N276)*11%</f>
        <v>233.64</v>
      </c>
      <c r="S276" s="27">
        <v>0</v>
      </c>
      <c r="T276" s="27">
        <v>0</v>
      </c>
      <c r="U276" s="27">
        <f t="shared" si="15"/>
        <v>297.36</v>
      </c>
      <c r="V276" s="27">
        <f t="shared" si="4"/>
        <v>2076.64</v>
      </c>
      <c r="W276" s="27">
        <v>0</v>
      </c>
    </row>
    <row r="277" spans="1:23" ht="25.5" x14ac:dyDescent="0.2">
      <c r="A277" s="23">
        <v>268</v>
      </c>
      <c r="B277" s="24" t="s">
        <v>371</v>
      </c>
      <c r="C277" s="24" t="s">
        <v>46</v>
      </c>
      <c r="D277" s="25">
        <v>1350</v>
      </c>
      <c r="E277" s="26">
        <v>2000</v>
      </c>
      <c r="F277" s="26">
        <v>0</v>
      </c>
      <c r="G277" s="26">
        <v>0</v>
      </c>
      <c r="H277" s="26">
        <v>0</v>
      </c>
      <c r="I277" s="26">
        <v>4500</v>
      </c>
      <c r="J277" s="26">
        <v>0</v>
      </c>
      <c r="K277" s="26">
        <v>75</v>
      </c>
      <c r="L277" s="26">
        <v>0</v>
      </c>
      <c r="M277" s="26">
        <v>250</v>
      </c>
      <c r="N277" s="26">
        <v>0</v>
      </c>
      <c r="O277" s="26">
        <v>0</v>
      </c>
      <c r="P277" s="27">
        <f t="shared" si="14"/>
        <v>8175</v>
      </c>
      <c r="Q277" s="27">
        <f t="shared" si="1"/>
        <v>237.75</v>
      </c>
      <c r="R277" s="27">
        <f t="shared" si="17"/>
        <v>871.75</v>
      </c>
      <c r="S277" s="27">
        <v>146.18</v>
      </c>
      <c r="T277" s="27">
        <v>0</v>
      </c>
      <c r="U277" s="27">
        <f t="shared" si="15"/>
        <v>1255.68</v>
      </c>
      <c r="V277" s="27">
        <f t="shared" si="4"/>
        <v>6919.32</v>
      </c>
      <c r="W277" s="27">
        <v>0</v>
      </c>
    </row>
    <row r="278" spans="1:23" x14ac:dyDescent="0.2">
      <c r="A278" s="23">
        <v>269</v>
      </c>
      <c r="B278" s="24" t="s">
        <v>372</v>
      </c>
      <c r="C278" s="24" t="s">
        <v>33</v>
      </c>
      <c r="D278" s="25">
        <v>1634</v>
      </c>
      <c r="E278" s="26">
        <v>2400</v>
      </c>
      <c r="F278" s="26">
        <v>0</v>
      </c>
      <c r="G278" s="26">
        <v>0</v>
      </c>
      <c r="H278" s="26">
        <v>3000</v>
      </c>
      <c r="I278" s="26">
        <v>2400</v>
      </c>
      <c r="J278" s="26">
        <v>0</v>
      </c>
      <c r="K278" s="26">
        <v>0</v>
      </c>
      <c r="L278" s="26">
        <v>0</v>
      </c>
      <c r="M278" s="26">
        <v>250</v>
      </c>
      <c r="N278" s="26">
        <v>0</v>
      </c>
      <c r="O278" s="26">
        <v>0</v>
      </c>
      <c r="P278" s="27">
        <f t="shared" si="14"/>
        <v>9684</v>
      </c>
      <c r="Q278" s="27">
        <f t="shared" si="1"/>
        <v>283.02</v>
      </c>
      <c r="R278" s="27">
        <f t="shared" si="17"/>
        <v>1037.74</v>
      </c>
      <c r="S278" s="27">
        <v>204.84</v>
      </c>
      <c r="T278" s="27">
        <v>0</v>
      </c>
      <c r="U278" s="27">
        <f t="shared" si="15"/>
        <v>1525.6</v>
      </c>
      <c r="V278" s="27">
        <f t="shared" si="4"/>
        <v>8158.4</v>
      </c>
      <c r="W278" s="27">
        <v>0</v>
      </c>
    </row>
    <row r="279" spans="1:23" ht="25.5" x14ac:dyDescent="0.2">
      <c r="A279" s="23">
        <v>270</v>
      </c>
      <c r="B279" s="24" t="s">
        <v>373</v>
      </c>
      <c r="C279" s="24" t="s">
        <v>374</v>
      </c>
      <c r="D279" s="25">
        <f>(362*2)+485</f>
        <v>1209</v>
      </c>
      <c r="E279" s="26">
        <v>0</v>
      </c>
      <c r="F279" s="26">
        <f>(181*2)+242.5</f>
        <v>604.5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7">
        <f t="shared" si="14"/>
        <v>1813.5</v>
      </c>
      <c r="Q279" s="27">
        <f t="shared" si="1"/>
        <v>54.41</v>
      </c>
      <c r="R279" s="27">
        <f t="shared" si="17"/>
        <v>199.49</v>
      </c>
      <c r="S279" s="27">
        <v>0</v>
      </c>
      <c r="T279" s="27">
        <v>0</v>
      </c>
      <c r="U279" s="27">
        <f t="shared" si="15"/>
        <v>253.9</v>
      </c>
      <c r="V279" s="27">
        <f t="shared" si="4"/>
        <v>1559.6</v>
      </c>
      <c r="W279" s="27">
        <v>0</v>
      </c>
    </row>
    <row r="280" spans="1:23" ht="25.5" x14ac:dyDescent="0.2">
      <c r="A280" s="23">
        <v>271</v>
      </c>
      <c r="B280" s="24" t="s">
        <v>375</v>
      </c>
      <c r="C280" s="24" t="s">
        <v>105</v>
      </c>
      <c r="D280" s="25">
        <v>1135</v>
      </c>
      <c r="E280" s="26">
        <v>400</v>
      </c>
      <c r="F280" s="26">
        <v>0</v>
      </c>
      <c r="G280" s="26">
        <v>1000</v>
      </c>
      <c r="H280" s="26">
        <v>0</v>
      </c>
      <c r="I280" s="26">
        <v>0</v>
      </c>
      <c r="J280" s="26">
        <v>0</v>
      </c>
      <c r="K280" s="26">
        <v>75</v>
      </c>
      <c r="L280" s="26">
        <v>0</v>
      </c>
      <c r="M280" s="26">
        <v>250</v>
      </c>
      <c r="N280" s="26">
        <v>0</v>
      </c>
      <c r="O280" s="26">
        <v>0</v>
      </c>
      <c r="P280" s="27">
        <f t="shared" si="14"/>
        <v>2860</v>
      </c>
      <c r="Q280" s="27">
        <f t="shared" si="1"/>
        <v>78.3</v>
      </c>
      <c r="R280" s="27">
        <f t="shared" si="17"/>
        <v>287.10000000000002</v>
      </c>
      <c r="S280" s="27">
        <v>0</v>
      </c>
      <c r="T280" s="27">
        <v>0</v>
      </c>
      <c r="U280" s="27">
        <f t="shared" si="15"/>
        <v>365.4</v>
      </c>
      <c r="V280" s="27">
        <f t="shared" si="4"/>
        <v>2494.6</v>
      </c>
      <c r="W280" s="27">
        <v>0</v>
      </c>
    </row>
    <row r="281" spans="1:23" ht="25.5" x14ac:dyDescent="0.2">
      <c r="A281" s="23">
        <v>272</v>
      </c>
      <c r="B281" s="24" t="s">
        <v>376</v>
      </c>
      <c r="C281" s="24" t="s">
        <v>70</v>
      </c>
      <c r="D281" s="25">
        <v>1476</v>
      </c>
      <c r="E281" s="26">
        <v>2000</v>
      </c>
      <c r="F281" s="26">
        <v>0</v>
      </c>
      <c r="G281" s="26">
        <v>1900</v>
      </c>
      <c r="H281" s="26">
        <v>0</v>
      </c>
      <c r="I281" s="26">
        <v>2600</v>
      </c>
      <c r="J281" s="26">
        <v>0</v>
      </c>
      <c r="K281" s="26">
        <v>50</v>
      </c>
      <c r="L281" s="26">
        <v>0</v>
      </c>
      <c r="M281" s="26">
        <v>250</v>
      </c>
      <c r="N281" s="26">
        <v>0</v>
      </c>
      <c r="O281" s="26">
        <v>0</v>
      </c>
      <c r="P281" s="27">
        <f t="shared" si="14"/>
        <v>8276</v>
      </c>
      <c r="Q281" s="27">
        <f t="shared" si="1"/>
        <v>240.78</v>
      </c>
      <c r="R281" s="27">
        <f t="shared" si="17"/>
        <v>882.86</v>
      </c>
      <c r="S281" s="27">
        <v>146.41</v>
      </c>
      <c r="T281" s="27">
        <v>0</v>
      </c>
      <c r="U281" s="27">
        <f t="shared" si="15"/>
        <v>1270.05</v>
      </c>
      <c r="V281" s="27">
        <f t="shared" si="4"/>
        <v>7005.95</v>
      </c>
      <c r="W281" s="27">
        <v>0</v>
      </c>
    </row>
    <row r="282" spans="1:23" x14ac:dyDescent="0.2">
      <c r="A282" s="23">
        <v>273</v>
      </c>
      <c r="B282" s="24" t="s">
        <v>377</v>
      </c>
      <c r="C282" s="24" t="s">
        <v>46</v>
      </c>
      <c r="D282" s="25">
        <v>1350</v>
      </c>
      <c r="E282" s="26">
        <v>2000</v>
      </c>
      <c r="F282" s="26">
        <v>0</v>
      </c>
      <c r="G282" s="26">
        <v>0</v>
      </c>
      <c r="H282" s="26">
        <v>0</v>
      </c>
      <c r="I282" s="26">
        <v>4500</v>
      </c>
      <c r="J282" s="26">
        <v>0</v>
      </c>
      <c r="K282" s="26">
        <v>0</v>
      </c>
      <c r="L282" s="26">
        <v>0</v>
      </c>
      <c r="M282" s="26">
        <v>250</v>
      </c>
      <c r="N282" s="26">
        <v>0</v>
      </c>
      <c r="O282" s="26">
        <v>0</v>
      </c>
      <c r="P282" s="27">
        <f t="shared" si="14"/>
        <v>8100</v>
      </c>
      <c r="Q282" s="27">
        <f t="shared" si="1"/>
        <v>235.5</v>
      </c>
      <c r="R282" s="27">
        <f t="shared" si="17"/>
        <v>863.5</v>
      </c>
      <c r="S282" s="27">
        <v>146.96</v>
      </c>
      <c r="T282" s="27">
        <v>0</v>
      </c>
      <c r="U282" s="27">
        <f t="shared" si="15"/>
        <v>1245.96</v>
      </c>
      <c r="V282" s="27">
        <f t="shared" si="4"/>
        <v>6854.04</v>
      </c>
      <c r="W282" s="27">
        <v>0</v>
      </c>
    </row>
    <row r="283" spans="1:23" ht="25.5" x14ac:dyDescent="0.2">
      <c r="A283" s="23">
        <v>274</v>
      </c>
      <c r="B283" s="24" t="s">
        <v>378</v>
      </c>
      <c r="C283" s="24" t="s">
        <v>224</v>
      </c>
      <c r="D283" s="25">
        <v>2425</v>
      </c>
      <c r="E283" s="26">
        <v>0</v>
      </c>
      <c r="F283" s="26">
        <v>606.25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7">
        <f t="shared" si="14"/>
        <v>3031.25</v>
      </c>
      <c r="Q283" s="27">
        <f t="shared" si="1"/>
        <v>90.94</v>
      </c>
      <c r="R283" s="27">
        <f t="shared" si="17"/>
        <v>333.44</v>
      </c>
      <c r="S283" s="27">
        <v>0</v>
      </c>
      <c r="T283" s="27">
        <v>0</v>
      </c>
      <c r="U283" s="27">
        <f t="shared" si="15"/>
        <v>424.38</v>
      </c>
      <c r="V283" s="27">
        <f t="shared" si="4"/>
        <v>2606.87</v>
      </c>
      <c r="W283" s="27">
        <v>0</v>
      </c>
    </row>
    <row r="284" spans="1:23" ht="25.5" x14ac:dyDescent="0.2">
      <c r="A284" s="23">
        <v>275</v>
      </c>
      <c r="B284" s="24" t="s">
        <v>379</v>
      </c>
      <c r="C284" s="24" t="s">
        <v>36</v>
      </c>
      <c r="D284" s="25">
        <v>1074</v>
      </c>
      <c r="E284" s="26">
        <v>400</v>
      </c>
      <c r="F284" s="26">
        <v>0</v>
      </c>
      <c r="G284" s="26">
        <v>1000</v>
      </c>
      <c r="H284" s="26">
        <v>0</v>
      </c>
      <c r="I284" s="26">
        <v>0</v>
      </c>
      <c r="J284" s="26">
        <v>0</v>
      </c>
      <c r="K284" s="26">
        <v>50</v>
      </c>
      <c r="L284" s="26">
        <v>200</v>
      </c>
      <c r="M284" s="26">
        <v>250</v>
      </c>
      <c r="N284" s="26">
        <v>0</v>
      </c>
      <c r="O284" s="26">
        <v>0</v>
      </c>
      <c r="P284" s="27">
        <f t="shared" si="14"/>
        <v>2974</v>
      </c>
      <c r="Q284" s="27">
        <f t="shared" si="1"/>
        <v>75.72</v>
      </c>
      <c r="R284" s="27">
        <f t="shared" si="17"/>
        <v>277.64</v>
      </c>
      <c r="S284" s="27">
        <v>0</v>
      </c>
      <c r="T284" s="27">
        <v>0</v>
      </c>
      <c r="U284" s="27">
        <f t="shared" si="15"/>
        <v>353.36</v>
      </c>
      <c r="V284" s="27">
        <f t="shared" si="4"/>
        <v>2620.64</v>
      </c>
      <c r="W284" s="27">
        <v>0</v>
      </c>
    </row>
    <row r="285" spans="1:23" s="4" customFormat="1" x14ac:dyDescent="0.2">
      <c r="A285" s="23">
        <v>276</v>
      </c>
      <c r="B285" s="24" t="s">
        <v>380</v>
      </c>
      <c r="C285" s="24" t="s">
        <v>36</v>
      </c>
      <c r="D285" s="25">
        <v>1074</v>
      </c>
      <c r="E285" s="26">
        <v>400</v>
      </c>
      <c r="F285" s="26">
        <v>0</v>
      </c>
      <c r="G285" s="26">
        <v>1000</v>
      </c>
      <c r="H285" s="26">
        <v>0</v>
      </c>
      <c r="I285" s="26">
        <v>0</v>
      </c>
      <c r="J285" s="26">
        <v>0</v>
      </c>
      <c r="K285" s="26">
        <v>50</v>
      </c>
      <c r="L285" s="26">
        <v>200</v>
      </c>
      <c r="M285" s="26">
        <v>250</v>
      </c>
      <c r="N285" s="26">
        <v>0</v>
      </c>
      <c r="O285" s="26">
        <v>0</v>
      </c>
      <c r="P285" s="27">
        <f t="shared" si="14"/>
        <v>2974</v>
      </c>
      <c r="Q285" s="27">
        <f>(D285+E285+F285+G285+H285+I285+J285+K285+L285+N285)*3%</f>
        <v>81.72</v>
      </c>
      <c r="R285" s="27">
        <f>(D285+E285+F285+G285+H285+I285+J285+K285+L285+N285)*11%</f>
        <v>299.64</v>
      </c>
      <c r="S285" s="27">
        <v>0</v>
      </c>
      <c r="T285" s="27">
        <v>0</v>
      </c>
      <c r="U285" s="27">
        <f t="shared" si="15"/>
        <v>381.36</v>
      </c>
      <c r="V285" s="27">
        <f t="shared" si="4"/>
        <v>2592.64</v>
      </c>
      <c r="W285" s="27">
        <v>0</v>
      </c>
    </row>
    <row r="286" spans="1:23" ht="25.5" x14ac:dyDescent="0.2">
      <c r="A286" s="23">
        <v>277</v>
      </c>
      <c r="B286" s="24" t="s">
        <v>381</v>
      </c>
      <c r="C286" s="24" t="s">
        <v>44</v>
      </c>
      <c r="D286" s="25">
        <v>1476</v>
      </c>
      <c r="E286" s="26">
        <v>2000</v>
      </c>
      <c r="F286" s="26">
        <v>0</v>
      </c>
      <c r="G286" s="26">
        <v>1900</v>
      </c>
      <c r="H286" s="26">
        <v>1900</v>
      </c>
      <c r="I286" s="26">
        <v>0</v>
      </c>
      <c r="J286" s="26">
        <v>0</v>
      </c>
      <c r="K286" s="26">
        <v>50</v>
      </c>
      <c r="L286" s="26">
        <v>0</v>
      </c>
      <c r="M286" s="26">
        <v>250</v>
      </c>
      <c r="N286" s="26">
        <v>0</v>
      </c>
      <c r="O286" s="26">
        <v>0</v>
      </c>
      <c r="P286" s="27">
        <f t="shared" si="14"/>
        <v>7576</v>
      </c>
      <c r="Q286" s="27">
        <f t="shared" ref="Q286:Q335" si="18">(D286+E286+F286+G286+H286+I286+J286+K286+N286)*3%</f>
        <v>219.78</v>
      </c>
      <c r="R286" s="27">
        <f t="shared" ref="R286:R334" si="19">(D286+E286+F286+G286+H286+I286+J286+K286+N286)*11%</f>
        <v>805.86</v>
      </c>
      <c r="S286" s="27">
        <v>26.94</v>
      </c>
      <c r="T286" s="27">
        <v>0</v>
      </c>
      <c r="U286" s="27">
        <f t="shared" si="15"/>
        <v>1052.58</v>
      </c>
      <c r="V286" s="27">
        <f t="shared" si="4"/>
        <v>6523.42</v>
      </c>
      <c r="W286" s="27">
        <f>2459.38+209+626</f>
        <v>3294.38</v>
      </c>
    </row>
    <row r="287" spans="1:23" ht="25.5" x14ac:dyDescent="0.2">
      <c r="A287" s="23">
        <v>278</v>
      </c>
      <c r="B287" s="24" t="s">
        <v>382</v>
      </c>
      <c r="C287" s="24" t="s">
        <v>55</v>
      </c>
      <c r="D287" s="25">
        <v>1223</v>
      </c>
      <c r="E287" s="27">
        <f>2000</f>
        <v>2000</v>
      </c>
      <c r="F287" s="26">
        <v>0</v>
      </c>
      <c r="G287" s="26">
        <v>0</v>
      </c>
      <c r="H287" s="26">
        <v>1300</v>
      </c>
      <c r="I287" s="26">
        <f>3200</f>
        <v>3200</v>
      </c>
      <c r="J287" s="26">
        <v>0</v>
      </c>
      <c r="K287" s="26">
        <v>0</v>
      </c>
      <c r="L287" s="26">
        <v>0</v>
      </c>
      <c r="M287" s="26">
        <v>250</v>
      </c>
      <c r="N287" s="26">
        <v>0</v>
      </c>
      <c r="O287" s="26">
        <v>0</v>
      </c>
      <c r="P287" s="27">
        <f t="shared" si="14"/>
        <v>7973</v>
      </c>
      <c r="Q287" s="27">
        <f t="shared" si="18"/>
        <v>231.69</v>
      </c>
      <c r="R287" s="27">
        <f t="shared" si="19"/>
        <v>849.53</v>
      </c>
      <c r="S287" s="27">
        <v>139.80000000000001</v>
      </c>
      <c r="T287" s="27">
        <v>0</v>
      </c>
      <c r="U287" s="27">
        <f t="shared" si="15"/>
        <v>1221.02</v>
      </c>
      <c r="V287" s="27">
        <f t="shared" si="4"/>
        <v>6751.98</v>
      </c>
      <c r="W287" s="27">
        <v>0</v>
      </c>
    </row>
    <row r="288" spans="1:23" ht="38.25" x14ac:dyDescent="0.2">
      <c r="A288" s="23">
        <v>279</v>
      </c>
      <c r="B288" s="24" t="s">
        <v>383</v>
      </c>
      <c r="C288" s="24" t="s">
        <v>187</v>
      </c>
      <c r="D288" s="25">
        <f>(485*4)+1476</f>
        <v>3416</v>
      </c>
      <c r="E288" s="26">
        <v>2000</v>
      </c>
      <c r="F288" s="26">
        <f>606.25*4</f>
        <v>2425</v>
      </c>
      <c r="G288" s="26">
        <v>0</v>
      </c>
      <c r="H288" s="26">
        <v>0</v>
      </c>
      <c r="I288" s="26">
        <v>4500</v>
      </c>
      <c r="J288" s="26">
        <v>0</v>
      </c>
      <c r="K288" s="26">
        <v>0</v>
      </c>
      <c r="L288" s="26">
        <v>0</v>
      </c>
      <c r="M288" s="26">
        <v>250</v>
      </c>
      <c r="N288" s="26">
        <v>0</v>
      </c>
      <c r="O288" s="26">
        <v>0</v>
      </c>
      <c r="P288" s="27">
        <f t="shared" si="14"/>
        <v>12591</v>
      </c>
      <c r="Q288" s="27">
        <f t="shared" si="18"/>
        <v>370.23</v>
      </c>
      <c r="R288" s="27">
        <f t="shared" si="19"/>
        <v>1357.51</v>
      </c>
      <c r="S288" s="27">
        <v>319.31</v>
      </c>
      <c r="T288" s="27">
        <v>0</v>
      </c>
      <c r="U288" s="27">
        <f t="shared" si="15"/>
        <v>2047.05</v>
      </c>
      <c r="V288" s="27">
        <f t="shared" si="4"/>
        <v>10543.95</v>
      </c>
      <c r="W288" s="27">
        <v>0</v>
      </c>
    </row>
    <row r="289" spans="1:23" ht="25.5" x14ac:dyDescent="0.2">
      <c r="A289" s="23">
        <v>280</v>
      </c>
      <c r="B289" s="24" t="s">
        <v>384</v>
      </c>
      <c r="C289" s="31" t="s">
        <v>38</v>
      </c>
      <c r="D289" s="25">
        <v>1350</v>
      </c>
      <c r="E289" s="26">
        <v>2000</v>
      </c>
      <c r="F289" s="26">
        <v>0</v>
      </c>
      <c r="G289" s="26">
        <v>0</v>
      </c>
      <c r="H289" s="26">
        <v>1600</v>
      </c>
      <c r="I289" s="26">
        <v>2900</v>
      </c>
      <c r="J289" s="26">
        <v>0</v>
      </c>
      <c r="K289" s="26">
        <v>75</v>
      </c>
      <c r="L289" s="26">
        <v>0</v>
      </c>
      <c r="M289" s="26">
        <v>250</v>
      </c>
      <c r="N289" s="26">
        <v>0</v>
      </c>
      <c r="O289" s="26">
        <v>0</v>
      </c>
      <c r="P289" s="27">
        <f t="shared" si="14"/>
        <v>8175</v>
      </c>
      <c r="Q289" s="27">
        <f t="shared" si="18"/>
        <v>237.75</v>
      </c>
      <c r="R289" s="27">
        <f t="shared" si="19"/>
        <v>871.75</v>
      </c>
      <c r="S289" s="27">
        <v>146.18</v>
      </c>
      <c r="T289" s="27">
        <v>0</v>
      </c>
      <c r="U289" s="27">
        <f t="shared" si="15"/>
        <v>1255.68</v>
      </c>
      <c r="V289" s="27">
        <f t="shared" si="4"/>
        <v>6919.32</v>
      </c>
      <c r="W289" s="27">
        <v>0</v>
      </c>
    </row>
    <row r="290" spans="1:23" ht="25.5" x14ac:dyDescent="0.2">
      <c r="A290" s="23">
        <v>281</v>
      </c>
      <c r="B290" s="24" t="s">
        <v>385</v>
      </c>
      <c r="C290" s="24" t="s">
        <v>98</v>
      </c>
      <c r="D290" s="25">
        <v>1350</v>
      </c>
      <c r="E290" s="26">
        <v>1500</v>
      </c>
      <c r="F290" s="26">
        <v>0</v>
      </c>
      <c r="G290" s="26">
        <v>0</v>
      </c>
      <c r="H290" s="26">
        <v>1600</v>
      </c>
      <c r="I290" s="26">
        <v>0</v>
      </c>
      <c r="J290" s="26">
        <v>0</v>
      </c>
      <c r="K290" s="26">
        <v>0</v>
      </c>
      <c r="L290" s="26">
        <v>0</v>
      </c>
      <c r="M290" s="26">
        <v>250</v>
      </c>
      <c r="N290" s="26">
        <v>0</v>
      </c>
      <c r="O290" s="26">
        <v>0</v>
      </c>
      <c r="P290" s="27">
        <f t="shared" si="14"/>
        <v>4700</v>
      </c>
      <c r="Q290" s="27">
        <f t="shared" si="18"/>
        <v>133.5</v>
      </c>
      <c r="R290" s="27">
        <f t="shared" si="19"/>
        <v>489.5</v>
      </c>
      <c r="S290" s="27">
        <v>0.23</v>
      </c>
      <c r="T290" s="27">
        <v>0</v>
      </c>
      <c r="U290" s="27">
        <f t="shared" si="15"/>
        <v>623.23</v>
      </c>
      <c r="V290" s="27">
        <f t="shared" si="4"/>
        <v>4076.77</v>
      </c>
      <c r="W290" s="27">
        <v>0</v>
      </c>
    </row>
    <row r="291" spans="1:23" ht="25.5" x14ac:dyDescent="0.2">
      <c r="A291" s="23">
        <v>282</v>
      </c>
      <c r="B291" s="24" t="s">
        <v>386</v>
      </c>
      <c r="C291" s="24" t="s">
        <v>240</v>
      </c>
      <c r="D291" s="25">
        <v>1039</v>
      </c>
      <c r="E291" s="26">
        <v>0</v>
      </c>
      <c r="F291" s="26">
        <v>0</v>
      </c>
      <c r="G291" s="26">
        <v>1000</v>
      </c>
      <c r="H291" s="26">
        <v>0</v>
      </c>
      <c r="I291" s="26">
        <v>0</v>
      </c>
      <c r="J291" s="26">
        <v>0</v>
      </c>
      <c r="K291" s="26">
        <v>0</v>
      </c>
      <c r="L291" s="26">
        <v>200</v>
      </c>
      <c r="M291" s="26">
        <v>250</v>
      </c>
      <c r="N291" s="26">
        <v>0</v>
      </c>
      <c r="O291" s="26">
        <v>0</v>
      </c>
      <c r="P291" s="27">
        <f t="shared" si="14"/>
        <v>2489</v>
      </c>
      <c r="Q291" s="27">
        <f t="shared" si="18"/>
        <v>61.17</v>
      </c>
      <c r="R291" s="27">
        <f t="shared" si="19"/>
        <v>224.29</v>
      </c>
      <c r="S291" s="27">
        <v>0</v>
      </c>
      <c r="T291" s="27">
        <v>0</v>
      </c>
      <c r="U291" s="27">
        <f t="shared" si="15"/>
        <v>285.45999999999998</v>
      </c>
      <c r="V291" s="27">
        <f t="shared" si="4"/>
        <v>2203.54</v>
      </c>
      <c r="W291" s="27">
        <v>0</v>
      </c>
    </row>
    <row r="292" spans="1:23" ht="25.5" x14ac:dyDescent="0.2">
      <c r="A292" s="23">
        <v>283</v>
      </c>
      <c r="B292" s="24" t="s">
        <v>387</v>
      </c>
      <c r="C292" s="24" t="s">
        <v>36</v>
      </c>
      <c r="D292" s="25">
        <v>1074</v>
      </c>
      <c r="E292" s="26">
        <v>400</v>
      </c>
      <c r="F292" s="26">
        <v>0</v>
      </c>
      <c r="G292" s="26">
        <v>600</v>
      </c>
      <c r="H292" s="26">
        <v>0</v>
      </c>
      <c r="I292" s="26">
        <v>1400</v>
      </c>
      <c r="J292" s="26">
        <v>0</v>
      </c>
      <c r="K292" s="26">
        <v>35</v>
      </c>
      <c r="L292" s="26">
        <v>0</v>
      </c>
      <c r="M292" s="26">
        <v>250</v>
      </c>
      <c r="N292" s="26">
        <v>0</v>
      </c>
      <c r="O292" s="26">
        <v>0</v>
      </c>
      <c r="P292" s="27">
        <f t="shared" si="14"/>
        <v>3759</v>
      </c>
      <c r="Q292" s="27">
        <f t="shared" si="18"/>
        <v>105.27</v>
      </c>
      <c r="R292" s="27">
        <f t="shared" si="19"/>
        <v>385.99</v>
      </c>
      <c r="S292" s="27">
        <v>0</v>
      </c>
      <c r="T292" s="27">
        <v>0</v>
      </c>
      <c r="U292" s="27">
        <f t="shared" si="15"/>
        <v>491.26</v>
      </c>
      <c r="V292" s="27">
        <f t="shared" si="4"/>
        <v>3267.74</v>
      </c>
      <c r="W292" s="27">
        <v>0</v>
      </c>
    </row>
    <row r="293" spans="1:23" ht="38.25" x14ac:dyDescent="0.2">
      <c r="A293" s="23">
        <v>284</v>
      </c>
      <c r="B293" s="24" t="s">
        <v>388</v>
      </c>
      <c r="C293" s="24" t="s">
        <v>389</v>
      </c>
      <c r="D293" s="25">
        <f>(485*2)+1476</f>
        <v>2446</v>
      </c>
      <c r="E293" s="26">
        <v>650</v>
      </c>
      <c r="F293" s="26">
        <f>606.25*2</f>
        <v>1212.5</v>
      </c>
      <c r="G293" s="26">
        <v>1000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250</v>
      </c>
      <c r="N293" s="26">
        <v>0</v>
      </c>
      <c r="O293" s="26">
        <v>0</v>
      </c>
      <c r="P293" s="27">
        <f t="shared" si="14"/>
        <v>5558.5</v>
      </c>
      <c r="Q293" s="27">
        <f t="shared" si="18"/>
        <v>159.26</v>
      </c>
      <c r="R293" s="27">
        <f t="shared" si="19"/>
        <v>583.94000000000005</v>
      </c>
      <c r="S293" s="27">
        <v>38.11</v>
      </c>
      <c r="T293" s="27">
        <f>14.67*2</f>
        <v>29.34</v>
      </c>
      <c r="U293" s="27">
        <f t="shared" si="15"/>
        <v>810.65</v>
      </c>
      <c r="V293" s="27">
        <f t="shared" si="4"/>
        <v>4747.8500000000004</v>
      </c>
      <c r="W293" s="27">
        <v>0</v>
      </c>
    </row>
    <row r="294" spans="1:23" ht="25.5" x14ac:dyDescent="0.2">
      <c r="A294" s="23">
        <v>285</v>
      </c>
      <c r="B294" s="24" t="s">
        <v>390</v>
      </c>
      <c r="C294" s="24" t="s">
        <v>33</v>
      </c>
      <c r="D294" s="25">
        <v>1634</v>
      </c>
      <c r="E294" s="26">
        <v>2400</v>
      </c>
      <c r="F294" s="26">
        <v>0</v>
      </c>
      <c r="G294" s="26">
        <v>0</v>
      </c>
      <c r="H294" s="26">
        <v>0</v>
      </c>
      <c r="I294" s="26">
        <v>5400</v>
      </c>
      <c r="J294" s="26">
        <v>0</v>
      </c>
      <c r="K294" s="26">
        <v>75</v>
      </c>
      <c r="L294" s="26">
        <v>0</v>
      </c>
      <c r="M294" s="26">
        <v>250</v>
      </c>
      <c r="N294" s="26">
        <v>0</v>
      </c>
      <c r="O294" s="26">
        <v>0</v>
      </c>
      <c r="P294" s="27">
        <f t="shared" si="14"/>
        <v>9759</v>
      </c>
      <c r="Q294" s="27">
        <f t="shared" si="18"/>
        <v>285.27</v>
      </c>
      <c r="R294" s="27">
        <f t="shared" si="19"/>
        <v>1045.99</v>
      </c>
      <c r="S294" s="27">
        <v>207.96</v>
      </c>
      <c r="T294" s="27">
        <v>0</v>
      </c>
      <c r="U294" s="27">
        <f t="shared" si="15"/>
        <v>1539.22</v>
      </c>
      <c r="V294" s="27">
        <f t="shared" si="4"/>
        <v>8219.7800000000007</v>
      </c>
      <c r="W294" s="27">
        <v>0</v>
      </c>
    </row>
    <row r="295" spans="1:23" ht="25.5" x14ac:dyDescent="0.2">
      <c r="A295" s="23">
        <v>286</v>
      </c>
      <c r="B295" s="24" t="s">
        <v>391</v>
      </c>
      <c r="C295" s="24" t="s">
        <v>392</v>
      </c>
      <c r="D295" s="55">
        <v>1575</v>
      </c>
      <c r="E295" s="26">
        <v>800</v>
      </c>
      <c r="F295" s="26">
        <v>0</v>
      </c>
      <c r="G295" s="26">
        <v>1000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250</v>
      </c>
      <c r="N295" s="26">
        <v>0</v>
      </c>
      <c r="O295" s="26">
        <v>0</v>
      </c>
      <c r="P295" s="27">
        <f t="shared" si="14"/>
        <v>3625</v>
      </c>
      <c r="Q295" s="27">
        <f t="shared" si="18"/>
        <v>101.25</v>
      </c>
      <c r="R295" s="27">
        <f t="shared" si="19"/>
        <v>371.25</v>
      </c>
      <c r="S295" s="27">
        <v>0</v>
      </c>
      <c r="T295" s="27">
        <v>0</v>
      </c>
      <c r="U295" s="27">
        <f t="shared" si="15"/>
        <v>472.5</v>
      </c>
      <c r="V295" s="27">
        <f t="shared" si="4"/>
        <v>3152.5</v>
      </c>
      <c r="W295" s="27">
        <v>0</v>
      </c>
    </row>
    <row r="296" spans="1:23" ht="25.5" x14ac:dyDescent="0.2">
      <c r="A296" s="23">
        <v>287</v>
      </c>
      <c r="B296" s="24" t="s">
        <v>393</v>
      </c>
      <c r="C296" s="24" t="s">
        <v>224</v>
      </c>
      <c r="D296" s="25">
        <v>2425</v>
      </c>
      <c r="E296" s="26">
        <v>0</v>
      </c>
      <c r="F296" s="26">
        <v>3031.25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7">
        <f t="shared" si="14"/>
        <v>5456.25</v>
      </c>
      <c r="Q296" s="27">
        <f t="shared" si="18"/>
        <v>163.69</v>
      </c>
      <c r="R296" s="27">
        <f t="shared" si="19"/>
        <v>600.19000000000005</v>
      </c>
      <c r="S296" s="27">
        <v>31.89</v>
      </c>
      <c r="T296" s="27">
        <v>0</v>
      </c>
      <c r="U296" s="27">
        <f t="shared" si="15"/>
        <v>795.77</v>
      </c>
      <c r="V296" s="27">
        <f t="shared" si="4"/>
        <v>4660.4799999999996</v>
      </c>
      <c r="W296" s="27">
        <v>0</v>
      </c>
    </row>
    <row r="297" spans="1:23" ht="25.5" x14ac:dyDescent="0.2">
      <c r="A297" s="23">
        <v>288</v>
      </c>
      <c r="B297" s="24" t="s">
        <v>394</v>
      </c>
      <c r="C297" s="24" t="s">
        <v>395</v>
      </c>
      <c r="D297" s="25">
        <v>1575</v>
      </c>
      <c r="E297" s="26">
        <v>550</v>
      </c>
      <c r="F297" s="26">
        <v>0</v>
      </c>
      <c r="G297" s="26">
        <v>1000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250</v>
      </c>
      <c r="N297" s="26">
        <v>0</v>
      </c>
      <c r="O297" s="26">
        <v>0</v>
      </c>
      <c r="P297" s="27">
        <f t="shared" si="14"/>
        <v>3375</v>
      </c>
      <c r="Q297" s="27">
        <f t="shared" si="18"/>
        <v>93.75</v>
      </c>
      <c r="R297" s="27">
        <f t="shared" si="19"/>
        <v>343.75</v>
      </c>
      <c r="S297" s="27">
        <v>0</v>
      </c>
      <c r="T297" s="27">
        <v>42</v>
      </c>
      <c r="U297" s="27">
        <f t="shared" si="15"/>
        <v>479.5</v>
      </c>
      <c r="V297" s="27">
        <f t="shared" si="4"/>
        <v>2895.5</v>
      </c>
      <c r="W297" s="27">
        <v>0</v>
      </c>
    </row>
    <row r="298" spans="1:23" s="4" customFormat="1" ht="25.5" x14ac:dyDescent="0.2">
      <c r="A298" s="23">
        <v>289</v>
      </c>
      <c r="B298" s="31" t="s">
        <v>396</v>
      </c>
      <c r="C298" s="24" t="s">
        <v>177</v>
      </c>
      <c r="D298" s="25">
        <v>1128</v>
      </c>
      <c r="E298" s="26">
        <v>0</v>
      </c>
      <c r="F298" s="26">
        <v>0</v>
      </c>
      <c r="G298" s="26">
        <v>1000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250</v>
      </c>
      <c r="N298" s="26">
        <v>0</v>
      </c>
      <c r="O298" s="26">
        <v>0</v>
      </c>
      <c r="P298" s="27">
        <f t="shared" si="14"/>
        <v>2378</v>
      </c>
      <c r="Q298" s="27">
        <f t="shared" si="18"/>
        <v>63.84</v>
      </c>
      <c r="R298" s="27">
        <f t="shared" si="19"/>
        <v>234.08</v>
      </c>
      <c r="S298" s="27">
        <v>0</v>
      </c>
      <c r="T298" s="27">
        <v>0</v>
      </c>
      <c r="U298" s="27">
        <f t="shared" si="15"/>
        <v>297.92</v>
      </c>
      <c r="V298" s="27">
        <f t="shared" si="4"/>
        <v>2080.08</v>
      </c>
      <c r="W298" s="27">
        <v>0</v>
      </c>
    </row>
    <row r="299" spans="1:23" ht="25.5" x14ac:dyDescent="0.2">
      <c r="A299" s="23">
        <v>290</v>
      </c>
      <c r="B299" s="24" t="s">
        <v>397</v>
      </c>
      <c r="C299" s="24" t="s">
        <v>65</v>
      </c>
      <c r="D299" s="25">
        <f>485*2</f>
        <v>970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7">
        <f t="shared" si="14"/>
        <v>970</v>
      </c>
      <c r="Q299" s="27">
        <f t="shared" si="18"/>
        <v>29.1</v>
      </c>
      <c r="R299" s="27">
        <f t="shared" si="19"/>
        <v>106.7</v>
      </c>
      <c r="S299" s="27">
        <v>0</v>
      </c>
      <c r="T299" s="27">
        <v>0</v>
      </c>
      <c r="U299" s="27">
        <f t="shared" si="15"/>
        <v>135.80000000000001</v>
      </c>
      <c r="V299" s="27">
        <f t="shared" si="4"/>
        <v>834.2</v>
      </c>
      <c r="W299" s="27">
        <v>0</v>
      </c>
    </row>
    <row r="300" spans="1:23" x14ac:dyDescent="0.2">
      <c r="A300" s="23">
        <v>291</v>
      </c>
      <c r="B300" s="24" t="s">
        <v>398</v>
      </c>
      <c r="C300" s="24" t="s">
        <v>33</v>
      </c>
      <c r="D300" s="25">
        <v>1634</v>
      </c>
      <c r="E300" s="26">
        <v>2400</v>
      </c>
      <c r="F300" s="26">
        <v>0</v>
      </c>
      <c r="G300" s="26">
        <v>0</v>
      </c>
      <c r="H300" s="26">
        <v>0</v>
      </c>
      <c r="I300" s="26">
        <v>5400</v>
      </c>
      <c r="J300" s="26">
        <v>0</v>
      </c>
      <c r="K300" s="26">
        <v>0</v>
      </c>
      <c r="L300" s="26">
        <v>0</v>
      </c>
      <c r="M300" s="26">
        <v>250</v>
      </c>
      <c r="N300" s="26">
        <v>0</v>
      </c>
      <c r="O300" s="26">
        <v>0</v>
      </c>
      <c r="P300" s="27">
        <f t="shared" si="14"/>
        <v>9684</v>
      </c>
      <c r="Q300" s="27">
        <f t="shared" si="18"/>
        <v>283.02</v>
      </c>
      <c r="R300" s="27">
        <f t="shared" si="19"/>
        <v>1037.74</v>
      </c>
      <c r="S300" s="27">
        <v>204.84</v>
      </c>
      <c r="T300" s="27">
        <v>0</v>
      </c>
      <c r="U300" s="27">
        <f t="shared" si="15"/>
        <v>1525.6</v>
      </c>
      <c r="V300" s="27">
        <f t="shared" si="4"/>
        <v>8158.4</v>
      </c>
      <c r="W300" s="27">
        <v>0</v>
      </c>
    </row>
    <row r="301" spans="1:23" ht="29.25" customHeight="1" x14ac:dyDescent="0.2">
      <c r="A301" s="23">
        <v>292</v>
      </c>
      <c r="B301" s="24" t="s">
        <v>399</v>
      </c>
      <c r="C301" s="24" t="s">
        <v>46</v>
      </c>
      <c r="D301" s="25">
        <v>1350</v>
      </c>
      <c r="E301" s="26">
        <v>2000</v>
      </c>
      <c r="F301" s="26">
        <v>0</v>
      </c>
      <c r="G301" s="26">
        <v>0</v>
      </c>
      <c r="H301" s="26">
        <v>2500</v>
      </c>
      <c r="I301" s="26">
        <v>2000</v>
      </c>
      <c r="J301" s="26">
        <v>0</v>
      </c>
      <c r="K301" s="26">
        <v>75</v>
      </c>
      <c r="L301" s="26">
        <v>0</v>
      </c>
      <c r="M301" s="26">
        <v>250</v>
      </c>
      <c r="N301" s="26">
        <v>0</v>
      </c>
      <c r="O301" s="26">
        <v>0</v>
      </c>
      <c r="P301" s="27">
        <f t="shared" si="14"/>
        <v>8175</v>
      </c>
      <c r="Q301" s="27">
        <f t="shared" si="18"/>
        <v>237.75</v>
      </c>
      <c r="R301" s="27">
        <f t="shared" si="19"/>
        <v>871.75</v>
      </c>
      <c r="S301" s="27">
        <v>146.18</v>
      </c>
      <c r="T301" s="27">
        <v>0</v>
      </c>
      <c r="U301" s="27">
        <f t="shared" si="15"/>
        <v>1255.68</v>
      </c>
      <c r="V301" s="27">
        <f t="shared" si="4"/>
        <v>6919.32</v>
      </c>
      <c r="W301" s="27">
        <v>0</v>
      </c>
    </row>
    <row r="302" spans="1:23" ht="25.5" x14ac:dyDescent="0.2">
      <c r="A302" s="23">
        <v>293</v>
      </c>
      <c r="B302" s="24" t="s">
        <v>400</v>
      </c>
      <c r="C302" s="24" t="s">
        <v>46</v>
      </c>
      <c r="D302" s="25">
        <v>1350</v>
      </c>
      <c r="E302" s="26">
        <v>2000</v>
      </c>
      <c r="F302" s="26">
        <v>0</v>
      </c>
      <c r="G302" s="26">
        <v>0</v>
      </c>
      <c r="H302" s="26">
        <v>0</v>
      </c>
      <c r="I302" s="26">
        <v>4500</v>
      </c>
      <c r="J302" s="26">
        <v>0</v>
      </c>
      <c r="K302" s="26">
        <v>0</v>
      </c>
      <c r="L302" s="26">
        <v>0</v>
      </c>
      <c r="M302" s="26">
        <v>250</v>
      </c>
      <c r="N302" s="26">
        <v>0</v>
      </c>
      <c r="O302" s="26">
        <v>0</v>
      </c>
      <c r="P302" s="27">
        <f t="shared" si="14"/>
        <v>8100</v>
      </c>
      <c r="Q302" s="27">
        <f t="shared" si="18"/>
        <v>235.5</v>
      </c>
      <c r="R302" s="27">
        <f t="shared" si="19"/>
        <v>863.5</v>
      </c>
      <c r="S302" s="27">
        <v>143.03</v>
      </c>
      <c r="T302" s="27">
        <v>0</v>
      </c>
      <c r="U302" s="27">
        <f t="shared" si="15"/>
        <v>1242.03</v>
      </c>
      <c r="V302" s="27">
        <f t="shared" si="4"/>
        <v>6857.97</v>
      </c>
      <c r="W302" s="27">
        <v>0</v>
      </c>
    </row>
    <row r="303" spans="1:23" ht="25.5" x14ac:dyDescent="0.2">
      <c r="A303" s="23">
        <v>294</v>
      </c>
      <c r="B303" s="24" t="s">
        <v>401</v>
      </c>
      <c r="C303" s="24" t="s">
        <v>33</v>
      </c>
      <c r="D303" s="25">
        <v>1634</v>
      </c>
      <c r="E303" s="26">
        <v>2400</v>
      </c>
      <c r="F303" s="26">
        <v>0</v>
      </c>
      <c r="G303" s="26">
        <v>0</v>
      </c>
      <c r="H303" s="26">
        <v>3000</v>
      </c>
      <c r="I303" s="26">
        <v>2400</v>
      </c>
      <c r="J303" s="26">
        <v>0</v>
      </c>
      <c r="K303" s="26">
        <v>0</v>
      </c>
      <c r="L303" s="26">
        <v>0</v>
      </c>
      <c r="M303" s="26">
        <v>250</v>
      </c>
      <c r="N303" s="26">
        <v>0</v>
      </c>
      <c r="O303" s="26">
        <v>0</v>
      </c>
      <c r="P303" s="27">
        <f t="shared" si="14"/>
        <v>9684</v>
      </c>
      <c r="Q303" s="27">
        <f t="shared" si="18"/>
        <v>283.02</v>
      </c>
      <c r="R303" s="27">
        <f t="shared" si="19"/>
        <v>1037.74</v>
      </c>
      <c r="S303" s="27">
        <v>204.84</v>
      </c>
      <c r="T303" s="27">
        <v>0</v>
      </c>
      <c r="U303" s="27">
        <f t="shared" si="15"/>
        <v>1525.6</v>
      </c>
      <c r="V303" s="27">
        <f t="shared" si="4"/>
        <v>8158.4</v>
      </c>
      <c r="W303" s="27">
        <v>0</v>
      </c>
    </row>
    <row r="304" spans="1:23" ht="25.5" x14ac:dyDescent="0.2">
      <c r="A304" s="23">
        <v>295</v>
      </c>
      <c r="B304" s="24" t="s">
        <v>402</v>
      </c>
      <c r="C304" s="24" t="s">
        <v>33</v>
      </c>
      <c r="D304" s="25">
        <v>1634</v>
      </c>
      <c r="E304" s="26">
        <v>2400</v>
      </c>
      <c r="F304" s="26">
        <v>0</v>
      </c>
      <c r="G304" s="26">
        <v>0</v>
      </c>
      <c r="H304" s="26">
        <v>3000</v>
      </c>
      <c r="I304" s="26">
        <v>2400</v>
      </c>
      <c r="J304" s="26">
        <v>0</v>
      </c>
      <c r="K304" s="26">
        <v>0</v>
      </c>
      <c r="L304" s="26">
        <v>0</v>
      </c>
      <c r="M304" s="26">
        <v>250</v>
      </c>
      <c r="N304" s="26">
        <v>0</v>
      </c>
      <c r="O304" s="26">
        <v>0</v>
      </c>
      <c r="P304" s="27">
        <f t="shared" si="14"/>
        <v>9684</v>
      </c>
      <c r="Q304" s="27">
        <f t="shared" si="18"/>
        <v>283.02</v>
      </c>
      <c r="R304" s="27">
        <f t="shared" si="19"/>
        <v>1037.74</v>
      </c>
      <c r="S304" s="27">
        <v>0</v>
      </c>
      <c r="T304" s="27">
        <v>0</v>
      </c>
      <c r="U304" s="27">
        <f t="shared" si="15"/>
        <v>1320.76</v>
      </c>
      <c r="V304" s="27">
        <f t="shared" si="4"/>
        <v>8363.24</v>
      </c>
      <c r="W304" s="27">
        <v>0</v>
      </c>
    </row>
    <row r="305" spans="1:256" ht="25.5" x14ac:dyDescent="0.2">
      <c r="A305" s="23">
        <v>296</v>
      </c>
      <c r="B305" s="31" t="s">
        <v>403</v>
      </c>
      <c r="C305" s="31" t="s">
        <v>404</v>
      </c>
      <c r="D305" s="56">
        <v>1155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7">
        <f t="shared" si="14"/>
        <v>1155</v>
      </c>
      <c r="Q305" s="27">
        <f t="shared" si="18"/>
        <v>34.65</v>
      </c>
      <c r="R305" s="27">
        <f t="shared" si="19"/>
        <v>127.05</v>
      </c>
      <c r="S305" s="27">
        <v>0</v>
      </c>
      <c r="T305" s="27">
        <v>0</v>
      </c>
      <c r="U305" s="27">
        <f t="shared" si="15"/>
        <v>161.69999999999999</v>
      </c>
      <c r="V305" s="27">
        <f t="shared" si="4"/>
        <v>993.3</v>
      </c>
      <c r="W305" s="27">
        <v>0</v>
      </c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0"/>
      <c r="HW305" s="50"/>
      <c r="HX305" s="50"/>
      <c r="HY305" s="50"/>
      <c r="HZ305" s="50"/>
      <c r="IA305" s="50"/>
      <c r="IB305" s="50"/>
      <c r="IC305" s="50"/>
      <c r="ID305" s="50"/>
      <c r="IE305" s="50"/>
      <c r="IF305" s="50"/>
      <c r="IG305" s="50"/>
      <c r="IH305" s="50"/>
      <c r="II305" s="50"/>
      <c r="IJ305" s="50"/>
      <c r="IK305" s="50"/>
      <c r="IL305" s="50"/>
      <c r="IM305" s="50"/>
      <c r="IN305" s="50"/>
      <c r="IO305" s="50"/>
      <c r="IP305" s="50"/>
      <c r="IQ305" s="50"/>
      <c r="IR305" s="50"/>
      <c r="IS305" s="50"/>
      <c r="IT305" s="50"/>
      <c r="IU305" s="50"/>
      <c r="IV305" s="50"/>
    </row>
    <row r="306" spans="1:256" ht="25.5" x14ac:dyDescent="0.2">
      <c r="A306" s="23">
        <v>297</v>
      </c>
      <c r="B306" s="24" t="s">
        <v>405</v>
      </c>
      <c r="C306" s="24" t="s">
        <v>44</v>
      </c>
      <c r="D306" s="26">
        <v>1476</v>
      </c>
      <c r="E306" s="26">
        <v>2000</v>
      </c>
      <c r="F306" s="26">
        <v>0</v>
      </c>
      <c r="G306" s="26">
        <v>0</v>
      </c>
      <c r="H306" s="26">
        <v>1900</v>
      </c>
      <c r="I306" s="26">
        <v>2600</v>
      </c>
      <c r="J306" s="26">
        <v>0</v>
      </c>
      <c r="K306" s="26">
        <v>0</v>
      </c>
      <c r="L306" s="26">
        <v>0</v>
      </c>
      <c r="M306" s="26">
        <v>250</v>
      </c>
      <c r="N306" s="26">
        <v>0</v>
      </c>
      <c r="O306" s="26">
        <v>0</v>
      </c>
      <c r="P306" s="27">
        <f t="shared" si="14"/>
        <v>8226</v>
      </c>
      <c r="Q306" s="27">
        <f t="shared" si="18"/>
        <v>239.28</v>
      </c>
      <c r="R306" s="27">
        <f t="shared" si="19"/>
        <v>877.36</v>
      </c>
      <c r="S306" s="27">
        <v>146.41</v>
      </c>
      <c r="T306" s="27">
        <v>0</v>
      </c>
      <c r="U306" s="27">
        <f t="shared" si="15"/>
        <v>1263.05</v>
      </c>
      <c r="V306" s="27">
        <f t="shared" si="4"/>
        <v>6962.95</v>
      </c>
      <c r="W306" s="27">
        <v>0</v>
      </c>
    </row>
    <row r="307" spans="1:256" x14ac:dyDescent="0.2">
      <c r="A307" s="23">
        <v>298</v>
      </c>
      <c r="B307" s="32" t="s">
        <v>406</v>
      </c>
      <c r="C307" s="32" t="s">
        <v>46</v>
      </c>
      <c r="D307" s="26">
        <v>1350</v>
      </c>
      <c r="E307" s="26">
        <v>0</v>
      </c>
      <c r="F307" s="26">
        <v>0</v>
      </c>
      <c r="G307" s="26">
        <v>0</v>
      </c>
      <c r="H307" s="26">
        <v>0</v>
      </c>
      <c r="I307" s="26">
        <v>4500</v>
      </c>
      <c r="J307" s="26">
        <v>0</v>
      </c>
      <c r="K307" s="26">
        <v>0</v>
      </c>
      <c r="L307" s="26">
        <v>0</v>
      </c>
      <c r="M307" s="26">
        <v>250</v>
      </c>
      <c r="N307" s="26">
        <v>0</v>
      </c>
      <c r="O307" s="26">
        <v>0</v>
      </c>
      <c r="P307" s="27">
        <f t="shared" si="14"/>
        <v>6100</v>
      </c>
      <c r="Q307" s="27">
        <f t="shared" si="18"/>
        <v>175.5</v>
      </c>
      <c r="R307" s="27">
        <f t="shared" si="19"/>
        <v>643.5</v>
      </c>
      <c r="S307" s="27">
        <v>48.15</v>
      </c>
      <c r="T307" s="27">
        <v>0</v>
      </c>
      <c r="U307" s="27">
        <f t="shared" si="15"/>
        <v>867.15</v>
      </c>
      <c r="V307" s="27">
        <f t="shared" si="4"/>
        <v>5232.8500000000004</v>
      </c>
      <c r="W307" s="27">
        <v>0</v>
      </c>
    </row>
    <row r="308" spans="1:256" ht="25.5" x14ac:dyDescent="0.2">
      <c r="A308" s="23">
        <v>299</v>
      </c>
      <c r="B308" s="24" t="s">
        <v>407</v>
      </c>
      <c r="C308" s="24" t="s">
        <v>70</v>
      </c>
      <c r="D308" s="25">
        <v>1377.6</v>
      </c>
      <c r="E308" s="26">
        <v>1866.67</v>
      </c>
      <c r="F308" s="26">
        <v>0</v>
      </c>
      <c r="G308" s="26">
        <v>1773.33</v>
      </c>
      <c r="H308" s="26">
        <v>0</v>
      </c>
      <c r="I308" s="26">
        <v>2426.67</v>
      </c>
      <c r="J308" s="26">
        <v>0</v>
      </c>
      <c r="K308" s="26">
        <v>46.67</v>
      </c>
      <c r="L308" s="26">
        <v>0</v>
      </c>
      <c r="M308" s="26">
        <v>233.33</v>
      </c>
      <c r="N308" s="26">
        <v>0</v>
      </c>
      <c r="O308" s="26">
        <v>0</v>
      </c>
      <c r="P308" s="27">
        <f t="shared" si="14"/>
        <v>7724.27</v>
      </c>
      <c r="Q308" s="27">
        <f t="shared" si="18"/>
        <v>224.73</v>
      </c>
      <c r="R308" s="27">
        <f t="shared" si="19"/>
        <v>824</v>
      </c>
      <c r="S308" s="27">
        <v>146.41</v>
      </c>
      <c r="T308" s="27">
        <v>0</v>
      </c>
      <c r="U308" s="27">
        <f t="shared" si="15"/>
        <v>1195.1400000000001</v>
      </c>
      <c r="V308" s="27">
        <f t="shared" si="4"/>
        <v>6529.13</v>
      </c>
      <c r="W308" s="27">
        <f>2169.36</f>
        <v>2169.36</v>
      </c>
    </row>
    <row r="309" spans="1:256" ht="25.5" x14ac:dyDescent="0.2">
      <c r="A309" s="23">
        <v>300</v>
      </c>
      <c r="B309" s="24" t="s">
        <v>408</v>
      </c>
      <c r="C309" s="24" t="s">
        <v>70</v>
      </c>
      <c r="D309" s="25">
        <v>1476</v>
      </c>
      <c r="E309" s="26">
        <v>2000</v>
      </c>
      <c r="F309" s="26">
        <v>0</v>
      </c>
      <c r="G309" s="26">
        <v>1900</v>
      </c>
      <c r="H309" s="26">
        <v>0</v>
      </c>
      <c r="I309" s="26">
        <v>2600</v>
      </c>
      <c r="J309" s="26">
        <v>0</v>
      </c>
      <c r="K309" s="26">
        <v>50</v>
      </c>
      <c r="L309" s="26">
        <v>0</v>
      </c>
      <c r="M309" s="26">
        <v>250</v>
      </c>
      <c r="N309" s="26">
        <v>0</v>
      </c>
      <c r="O309" s="26">
        <v>0</v>
      </c>
      <c r="P309" s="27">
        <f t="shared" si="14"/>
        <v>8276</v>
      </c>
      <c r="Q309" s="27">
        <f t="shared" si="18"/>
        <v>240.78</v>
      </c>
      <c r="R309" s="27">
        <f t="shared" si="19"/>
        <v>882.86</v>
      </c>
      <c r="S309" s="27">
        <v>145.79</v>
      </c>
      <c r="T309" s="27">
        <v>0</v>
      </c>
      <c r="U309" s="27">
        <f t="shared" si="15"/>
        <v>1269.43</v>
      </c>
      <c r="V309" s="27">
        <f t="shared" si="4"/>
        <v>7006.57</v>
      </c>
      <c r="W309" s="27">
        <f>2302.86</f>
        <v>2302.86</v>
      </c>
    </row>
    <row r="310" spans="1:256" ht="38.25" x14ac:dyDescent="0.2">
      <c r="A310" s="23">
        <v>301</v>
      </c>
      <c r="B310" s="24" t="s">
        <v>409</v>
      </c>
      <c r="C310" s="24" t="s">
        <v>252</v>
      </c>
      <c r="D310" s="25">
        <f>(485*6)+1634</f>
        <v>4544</v>
      </c>
      <c r="E310" s="26">
        <v>1800</v>
      </c>
      <c r="F310" s="26">
        <f>485*6</f>
        <v>2910</v>
      </c>
      <c r="G310" s="26">
        <v>0</v>
      </c>
      <c r="H310" s="26">
        <v>2200</v>
      </c>
      <c r="I310" s="26">
        <v>0</v>
      </c>
      <c r="J310" s="26">
        <v>0</v>
      </c>
      <c r="K310" s="26">
        <v>75</v>
      </c>
      <c r="L310" s="26">
        <v>0</v>
      </c>
      <c r="M310" s="26">
        <v>250</v>
      </c>
      <c r="N310" s="26">
        <v>0</v>
      </c>
      <c r="O310" s="26">
        <v>0</v>
      </c>
      <c r="P310" s="27">
        <f t="shared" si="14"/>
        <v>11779</v>
      </c>
      <c r="Q310" s="27">
        <f t="shared" si="18"/>
        <v>345.87</v>
      </c>
      <c r="R310" s="27">
        <f t="shared" si="19"/>
        <v>1268.19</v>
      </c>
      <c r="S310" s="27">
        <v>286.02</v>
      </c>
      <c r="T310" s="27">
        <v>76.73</v>
      </c>
      <c r="U310" s="27">
        <f t="shared" si="15"/>
        <v>1976.81</v>
      </c>
      <c r="V310" s="27">
        <f t="shared" si="4"/>
        <v>9802.19</v>
      </c>
      <c r="W310" s="27">
        <v>0</v>
      </c>
    </row>
    <row r="311" spans="1:256" ht="25.5" x14ac:dyDescent="0.2">
      <c r="A311" s="23">
        <v>302</v>
      </c>
      <c r="B311" s="24" t="s">
        <v>410</v>
      </c>
      <c r="C311" s="24" t="s">
        <v>98</v>
      </c>
      <c r="D311" s="25">
        <v>1350</v>
      </c>
      <c r="E311" s="26">
        <v>1500</v>
      </c>
      <c r="F311" s="26">
        <v>0</v>
      </c>
      <c r="G311" s="26">
        <v>0</v>
      </c>
      <c r="H311" s="26">
        <v>1600</v>
      </c>
      <c r="I311" s="26">
        <v>0</v>
      </c>
      <c r="J311" s="26">
        <v>0</v>
      </c>
      <c r="K311" s="26">
        <v>75</v>
      </c>
      <c r="L311" s="26">
        <v>0</v>
      </c>
      <c r="M311" s="26">
        <v>250</v>
      </c>
      <c r="N311" s="26">
        <v>0</v>
      </c>
      <c r="O311" s="26">
        <v>0</v>
      </c>
      <c r="P311" s="27">
        <f t="shared" si="14"/>
        <v>4775</v>
      </c>
      <c r="Q311" s="27">
        <f t="shared" si="18"/>
        <v>135.75</v>
      </c>
      <c r="R311" s="27">
        <f t="shared" si="19"/>
        <v>497.75</v>
      </c>
      <c r="S311" s="27">
        <v>5.65</v>
      </c>
      <c r="T311" s="27">
        <v>0</v>
      </c>
      <c r="U311" s="27">
        <f t="shared" si="15"/>
        <v>639.15</v>
      </c>
      <c r="V311" s="27">
        <f t="shared" si="4"/>
        <v>4135.8500000000004</v>
      </c>
      <c r="W311" s="27">
        <f>8827.16</f>
        <v>8827.16</v>
      </c>
    </row>
    <row r="312" spans="1:256" ht="25.5" x14ac:dyDescent="0.2">
      <c r="A312" s="23">
        <v>303</v>
      </c>
      <c r="B312" s="24" t="s">
        <v>411</v>
      </c>
      <c r="C312" s="24" t="s">
        <v>412</v>
      </c>
      <c r="D312" s="25">
        <v>1634</v>
      </c>
      <c r="E312" s="26">
        <v>2000</v>
      </c>
      <c r="F312" s="26">
        <v>0</v>
      </c>
      <c r="G312" s="26">
        <v>0</v>
      </c>
      <c r="H312" s="26">
        <v>0</v>
      </c>
      <c r="I312" s="26">
        <v>5400</v>
      </c>
      <c r="J312" s="26">
        <v>0</v>
      </c>
      <c r="K312" s="26">
        <v>0</v>
      </c>
      <c r="L312" s="26">
        <v>0</v>
      </c>
      <c r="M312" s="26">
        <v>250</v>
      </c>
      <c r="N312" s="26">
        <v>0</v>
      </c>
      <c r="O312" s="26">
        <v>0</v>
      </c>
      <c r="P312" s="27">
        <f t="shared" si="14"/>
        <v>9284</v>
      </c>
      <c r="Q312" s="27">
        <f t="shared" si="18"/>
        <v>271.02</v>
      </c>
      <c r="R312" s="27">
        <f t="shared" si="19"/>
        <v>993.74</v>
      </c>
      <c r="S312" s="27">
        <v>0</v>
      </c>
      <c r="T312" s="27">
        <v>0</v>
      </c>
      <c r="U312" s="27">
        <f t="shared" si="15"/>
        <v>1264.76</v>
      </c>
      <c r="V312" s="27">
        <f t="shared" si="4"/>
        <v>8019.24</v>
      </c>
      <c r="W312" s="27">
        <v>0</v>
      </c>
    </row>
    <row r="313" spans="1:256" x14ac:dyDescent="0.2">
      <c r="A313" s="23">
        <v>304</v>
      </c>
      <c r="B313" s="24" t="s">
        <v>413</v>
      </c>
      <c r="C313" s="24" t="s">
        <v>144</v>
      </c>
      <c r="D313" s="25">
        <v>1039</v>
      </c>
      <c r="E313" s="26">
        <v>400</v>
      </c>
      <c r="F313" s="26">
        <v>0</v>
      </c>
      <c r="G313" s="26">
        <v>1000</v>
      </c>
      <c r="H313" s="26">
        <v>0</v>
      </c>
      <c r="I313" s="26">
        <v>0</v>
      </c>
      <c r="J313" s="26">
        <v>0</v>
      </c>
      <c r="K313" s="26">
        <v>75</v>
      </c>
      <c r="L313" s="26">
        <v>200</v>
      </c>
      <c r="M313" s="26">
        <v>250</v>
      </c>
      <c r="N313" s="26">
        <v>0</v>
      </c>
      <c r="O313" s="26">
        <v>0</v>
      </c>
      <c r="P313" s="27">
        <f t="shared" si="14"/>
        <v>2964</v>
      </c>
      <c r="Q313" s="27">
        <f t="shared" si="18"/>
        <v>75.42</v>
      </c>
      <c r="R313" s="27">
        <f t="shared" si="19"/>
        <v>276.54000000000002</v>
      </c>
      <c r="S313" s="27">
        <v>0</v>
      </c>
      <c r="T313" s="27">
        <v>0</v>
      </c>
      <c r="U313" s="27">
        <f t="shared" si="15"/>
        <v>351.96</v>
      </c>
      <c r="V313" s="27">
        <f t="shared" si="4"/>
        <v>2612.04</v>
      </c>
      <c r="W313" s="27">
        <v>0</v>
      </c>
    </row>
    <row r="314" spans="1:256" ht="25.5" x14ac:dyDescent="0.2">
      <c r="A314" s="23">
        <v>305</v>
      </c>
      <c r="B314" s="24" t="s">
        <v>414</v>
      </c>
      <c r="C314" s="24" t="s">
        <v>70</v>
      </c>
      <c r="D314" s="25">
        <v>1476</v>
      </c>
      <c r="E314" s="26">
        <v>2000</v>
      </c>
      <c r="F314" s="26">
        <v>0</v>
      </c>
      <c r="G314" s="26">
        <v>0</v>
      </c>
      <c r="H314" s="26">
        <v>1900</v>
      </c>
      <c r="I314" s="26">
        <v>2600</v>
      </c>
      <c r="J314" s="26">
        <v>0</v>
      </c>
      <c r="K314" s="26">
        <v>0</v>
      </c>
      <c r="L314" s="26">
        <v>0</v>
      </c>
      <c r="M314" s="26">
        <v>250</v>
      </c>
      <c r="N314" s="26">
        <v>0</v>
      </c>
      <c r="O314" s="26">
        <v>0</v>
      </c>
      <c r="P314" s="27">
        <f t="shared" si="14"/>
        <v>8226</v>
      </c>
      <c r="Q314" s="27">
        <f t="shared" si="18"/>
        <v>239.28</v>
      </c>
      <c r="R314" s="27">
        <f t="shared" si="19"/>
        <v>877.36</v>
      </c>
      <c r="S314" s="27">
        <v>148.33000000000001</v>
      </c>
      <c r="T314" s="27">
        <v>0</v>
      </c>
      <c r="U314" s="27">
        <f t="shared" si="15"/>
        <v>1264.97</v>
      </c>
      <c r="V314" s="27">
        <f t="shared" si="4"/>
        <v>6961.03</v>
      </c>
      <c r="W314" s="27">
        <v>0</v>
      </c>
    </row>
    <row r="315" spans="1:256" x14ac:dyDescent="0.2">
      <c r="A315" s="23">
        <v>306</v>
      </c>
      <c r="B315" s="24" t="s">
        <v>415</v>
      </c>
      <c r="C315" s="24" t="s">
        <v>149</v>
      </c>
      <c r="D315" s="25">
        <v>1575</v>
      </c>
      <c r="E315" s="26">
        <v>550</v>
      </c>
      <c r="F315" s="26">
        <v>0</v>
      </c>
      <c r="G315" s="26">
        <v>1000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250</v>
      </c>
      <c r="N315" s="26">
        <v>0</v>
      </c>
      <c r="O315" s="26">
        <v>0</v>
      </c>
      <c r="P315" s="27">
        <f t="shared" si="14"/>
        <v>3375</v>
      </c>
      <c r="Q315" s="27">
        <f t="shared" si="18"/>
        <v>93.75</v>
      </c>
      <c r="R315" s="27">
        <f t="shared" si="19"/>
        <v>343.75</v>
      </c>
      <c r="S315" s="27">
        <v>0</v>
      </c>
      <c r="T315" s="27">
        <v>42</v>
      </c>
      <c r="U315" s="27">
        <f t="shared" si="15"/>
        <v>479.5</v>
      </c>
      <c r="V315" s="27">
        <f t="shared" si="4"/>
        <v>2895.5</v>
      </c>
      <c r="W315" s="27">
        <v>0</v>
      </c>
    </row>
    <row r="316" spans="1:256" x14ac:dyDescent="0.2">
      <c r="A316" s="23">
        <v>307</v>
      </c>
      <c r="B316" s="24" t="s">
        <v>416</v>
      </c>
      <c r="C316" s="24" t="s">
        <v>46</v>
      </c>
      <c r="D316" s="25">
        <v>1350</v>
      </c>
      <c r="E316" s="26">
        <v>2000</v>
      </c>
      <c r="F316" s="26">
        <v>0</v>
      </c>
      <c r="G316" s="26">
        <v>0</v>
      </c>
      <c r="H316" s="26">
        <v>0</v>
      </c>
      <c r="I316" s="26">
        <v>4500</v>
      </c>
      <c r="J316" s="26">
        <v>0</v>
      </c>
      <c r="K316" s="26">
        <v>75</v>
      </c>
      <c r="L316" s="26">
        <v>0</v>
      </c>
      <c r="M316" s="26">
        <v>250</v>
      </c>
      <c r="N316" s="26">
        <v>0</v>
      </c>
      <c r="O316" s="26">
        <v>0</v>
      </c>
      <c r="P316" s="27">
        <f t="shared" si="14"/>
        <v>8175</v>
      </c>
      <c r="Q316" s="27">
        <f t="shared" si="18"/>
        <v>237.75</v>
      </c>
      <c r="R316" s="27">
        <f t="shared" si="19"/>
        <v>871.75</v>
      </c>
      <c r="S316" s="27">
        <v>146.18</v>
      </c>
      <c r="T316" s="27">
        <v>0</v>
      </c>
      <c r="U316" s="27">
        <f t="shared" si="15"/>
        <v>1255.68</v>
      </c>
      <c r="V316" s="27">
        <f t="shared" si="4"/>
        <v>6919.32</v>
      </c>
      <c r="W316" s="27">
        <v>0</v>
      </c>
    </row>
    <row r="317" spans="1:256" x14ac:dyDescent="0.2">
      <c r="A317" s="23">
        <v>308</v>
      </c>
      <c r="B317" s="24" t="s">
        <v>417</v>
      </c>
      <c r="C317" s="24" t="s">
        <v>177</v>
      </c>
      <c r="D317" s="25">
        <v>1128</v>
      </c>
      <c r="E317" s="26">
        <v>400</v>
      </c>
      <c r="F317" s="26">
        <v>0</v>
      </c>
      <c r="G317" s="26">
        <v>1000</v>
      </c>
      <c r="H317" s="26">
        <v>0</v>
      </c>
      <c r="I317" s="26">
        <v>0</v>
      </c>
      <c r="J317" s="26">
        <v>0</v>
      </c>
      <c r="K317" s="26">
        <v>50</v>
      </c>
      <c r="L317" s="26">
        <v>0</v>
      </c>
      <c r="M317" s="26">
        <v>250</v>
      </c>
      <c r="N317" s="26">
        <v>0</v>
      </c>
      <c r="O317" s="26">
        <v>0</v>
      </c>
      <c r="P317" s="27">
        <f t="shared" si="14"/>
        <v>2828</v>
      </c>
      <c r="Q317" s="27">
        <f t="shared" si="18"/>
        <v>77.34</v>
      </c>
      <c r="R317" s="27">
        <f t="shared" si="19"/>
        <v>283.58</v>
      </c>
      <c r="S317" s="27">
        <v>0</v>
      </c>
      <c r="T317" s="27">
        <v>0</v>
      </c>
      <c r="U317" s="27">
        <f t="shared" si="15"/>
        <v>360.92</v>
      </c>
      <c r="V317" s="27">
        <f t="shared" si="4"/>
        <v>2467.08</v>
      </c>
      <c r="W317" s="27">
        <v>0</v>
      </c>
    </row>
    <row r="318" spans="1:256" x14ac:dyDescent="0.2">
      <c r="A318" s="23">
        <v>309</v>
      </c>
      <c r="B318" s="24" t="s">
        <v>418</v>
      </c>
      <c r="C318" s="24" t="s">
        <v>33</v>
      </c>
      <c r="D318" s="25">
        <f>362*6</f>
        <v>2172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7">
        <f t="shared" si="14"/>
        <v>2172</v>
      </c>
      <c r="Q318" s="27">
        <f t="shared" si="18"/>
        <v>65.16</v>
      </c>
      <c r="R318" s="27">
        <f t="shared" si="19"/>
        <v>238.92</v>
      </c>
      <c r="S318" s="27">
        <v>0</v>
      </c>
      <c r="T318" s="27">
        <v>0</v>
      </c>
      <c r="U318" s="27">
        <f t="shared" si="15"/>
        <v>304.08</v>
      </c>
      <c r="V318" s="27">
        <f t="shared" si="4"/>
        <v>1867.92</v>
      </c>
      <c r="W318" s="27">
        <v>0</v>
      </c>
    </row>
    <row r="319" spans="1:256" ht="25.5" x14ac:dyDescent="0.2">
      <c r="A319" s="23">
        <v>310</v>
      </c>
      <c r="B319" s="39" t="s">
        <v>419</v>
      </c>
      <c r="C319" s="24" t="s">
        <v>240</v>
      </c>
      <c r="D319" s="26">
        <v>1039</v>
      </c>
      <c r="E319" s="26">
        <v>400</v>
      </c>
      <c r="F319" s="26">
        <v>0</v>
      </c>
      <c r="G319" s="26">
        <v>1000</v>
      </c>
      <c r="H319" s="26">
        <v>0</v>
      </c>
      <c r="I319" s="26">
        <v>0</v>
      </c>
      <c r="J319" s="26">
        <v>0</v>
      </c>
      <c r="K319" s="26">
        <v>0</v>
      </c>
      <c r="L319" s="26">
        <v>200</v>
      </c>
      <c r="M319" s="26">
        <v>250</v>
      </c>
      <c r="N319" s="26">
        <v>0</v>
      </c>
      <c r="O319" s="26">
        <v>0</v>
      </c>
      <c r="P319" s="27">
        <f t="shared" si="14"/>
        <v>2889</v>
      </c>
      <c r="Q319" s="27">
        <f t="shared" si="18"/>
        <v>73.17</v>
      </c>
      <c r="R319" s="27">
        <f t="shared" si="19"/>
        <v>268.29000000000002</v>
      </c>
      <c r="S319" s="27">
        <v>0</v>
      </c>
      <c r="T319" s="27">
        <v>0</v>
      </c>
      <c r="U319" s="27">
        <f t="shared" si="15"/>
        <v>341.46</v>
      </c>
      <c r="V319" s="27">
        <f t="shared" si="4"/>
        <v>2547.54</v>
      </c>
      <c r="W319" s="27">
        <v>0</v>
      </c>
    </row>
    <row r="320" spans="1:256" ht="25.5" x14ac:dyDescent="0.2">
      <c r="A320" s="23">
        <v>311</v>
      </c>
      <c r="B320" s="24" t="s">
        <v>420</v>
      </c>
      <c r="C320" s="24" t="s">
        <v>177</v>
      </c>
      <c r="D320" s="25">
        <v>1128</v>
      </c>
      <c r="E320" s="26">
        <v>550</v>
      </c>
      <c r="F320" s="26">
        <v>0</v>
      </c>
      <c r="G320" s="26">
        <v>1000</v>
      </c>
      <c r="H320" s="26">
        <v>0</v>
      </c>
      <c r="I320" s="26">
        <v>0</v>
      </c>
      <c r="J320" s="26">
        <v>0</v>
      </c>
      <c r="K320" s="26">
        <v>75</v>
      </c>
      <c r="L320" s="26">
        <v>0</v>
      </c>
      <c r="M320" s="26">
        <v>250</v>
      </c>
      <c r="N320" s="26">
        <v>0</v>
      </c>
      <c r="O320" s="26">
        <v>0</v>
      </c>
      <c r="P320" s="27">
        <f t="shared" si="14"/>
        <v>3003</v>
      </c>
      <c r="Q320" s="27">
        <f t="shared" si="18"/>
        <v>82.59</v>
      </c>
      <c r="R320" s="27">
        <f t="shared" si="19"/>
        <v>302.83</v>
      </c>
      <c r="S320" s="27">
        <v>0</v>
      </c>
      <c r="T320" s="27">
        <v>0</v>
      </c>
      <c r="U320" s="27">
        <f t="shared" si="15"/>
        <v>385.42</v>
      </c>
      <c r="V320" s="27">
        <f t="shared" si="4"/>
        <v>2617.58</v>
      </c>
      <c r="W320" s="27">
        <v>0</v>
      </c>
    </row>
    <row r="321" spans="1:23" ht="25.5" x14ac:dyDescent="0.2">
      <c r="A321" s="23">
        <v>312</v>
      </c>
      <c r="B321" s="24" t="s">
        <v>421</v>
      </c>
      <c r="C321" s="24" t="s">
        <v>70</v>
      </c>
      <c r="D321" s="25">
        <v>1476</v>
      </c>
      <c r="E321" s="26">
        <v>2000</v>
      </c>
      <c r="F321" s="26">
        <v>0</v>
      </c>
      <c r="G321" s="26">
        <v>1900</v>
      </c>
      <c r="H321" s="26">
        <v>0</v>
      </c>
      <c r="I321" s="26">
        <v>2600</v>
      </c>
      <c r="J321" s="26">
        <v>0</v>
      </c>
      <c r="K321" s="26">
        <v>50</v>
      </c>
      <c r="L321" s="26">
        <v>0</v>
      </c>
      <c r="M321" s="26">
        <v>250</v>
      </c>
      <c r="N321" s="26">
        <v>0</v>
      </c>
      <c r="O321" s="26">
        <v>0</v>
      </c>
      <c r="P321" s="27">
        <f t="shared" si="14"/>
        <v>8276</v>
      </c>
      <c r="Q321" s="27">
        <f t="shared" si="18"/>
        <v>240.78</v>
      </c>
      <c r="R321" s="27">
        <f t="shared" si="19"/>
        <v>882.86</v>
      </c>
      <c r="S321" s="27">
        <v>146.41</v>
      </c>
      <c r="T321" s="27">
        <v>0</v>
      </c>
      <c r="U321" s="27">
        <f t="shared" si="15"/>
        <v>1270.05</v>
      </c>
      <c r="V321" s="27">
        <f t="shared" si="4"/>
        <v>7005.95</v>
      </c>
      <c r="W321" s="27">
        <f>2383.7+630</f>
        <v>3013.7</v>
      </c>
    </row>
    <row r="322" spans="1:23" x14ac:dyDescent="0.2">
      <c r="A322" s="23">
        <v>313</v>
      </c>
      <c r="B322" s="24" t="s">
        <v>422</v>
      </c>
      <c r="C322" s="24" t="s">
        <v>70</v>
      </c>
      <c r="D322" s="25">
        <v>1476</v>
      </c>
      <c r="E322" s="26">
        <v>2000</v>
      </c>
      <c r="F322" s="26">
        <v>0</v>
      </c>
      <c r="G322" s="26">
        <v>1900</v>
      </c>
      <c r="H322" s="26">
        <v>0</v>
      </c>
      <c r="I322" s="26">
        <v>2600</v>
      </c>
      <c r="J322" s="26">
        <v>0</v>
      </c>
      <c r="K322" s="26">
        <v>50</v>
      </c>
      <c r="L322" s="26">
        <v>0</v>
      </c>
      <c r="M322" s="26">
        <v>250</v>
      </c>
      <c r="N322" s="26">
        <v>0</v>
      </c>
      <c r="O322" s="26">
        <v>0</v>
      </c>
      <c r="P322" s="27">
        <f t="shared" si="14"/>
        <v>8276</v>
      </c>
      <c r="Q322" s="27">
        <f t="shared" si="18"/>
        <v>240.78</v>
      </c>
      <c r="R322" s="27">
        <f t="shared" si="19"/>
        <v>882.86</v>
      </c>
      <c r="S322" s="27">
        <v>146.41</v>
      </c>
      <c r="T322" s="27">
        <v>0</v>
      </c>
      <c r="U322" s="27">
        <f t="shared" si="15"/>
        <v>1270.05</v>
      </c>
      <c r="V322" s="27">
        <f t="shared" si="4"/>
        <v>7005.95</v>
      </c>
      <c r="W322" s="27">
        <f>2100.59</f>
        <v>2100.59</v>
      </c>
    </row>
    <row r="323" spans="1:23" ht="38.25" x14ac:dyDescent="0.2">
      <c r="A323" s="23">
        <v>314</v>
      </c>
      <c r="B323" s="24" t="s">
        <v>423</v>
      </c>
      <c r="C323" s="24" t="s">
        <v>67</v>
      </c>
      <c r="D323" s="25">
        <f>485*3</f>
        <v>1455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7">
        <f t="shared" si="14"/>
        <v>1455</v>
      </c>
      <c r="Q323" s="27">
        <f t="shared" si="18"/>
        <v>43.65</v>
      </c>
      <c r="R323" s="27">
        <f t="shared" si="19"/>
        <v>160.05000000000001</v>
      </c>
      <c r="S323" s="27">
        <v>0</v>
      </c>
      <c r="T323" s="27">
        <v>0</v>
      </c>
      <c r="U323" s="27">
        <f t="shared" si="15"/>
        <v>203.7</v>
      </c>
      <c r="V323" s="27">
        <f t="shared" si="4"/>
        <v>1251.3</v>
      </c>
      <c r="W323" s="27">
        <v>0</v>
      </c>
    </row>
    <row r="324" spans="1:23" ht="25.5" x14ac:dyDescent="0.2">
      <c r="A324" s="23">
        <v>315</v>
      </c>
      <c r="B324" s="24" t="s">
        <v>424</v>
      </c>
      <c r="C324" s="24" t="s">
        <v>425</v>
      </c>
      <c r="D324" s="25">
        <v>1074</v>
      </c>
      <c r="E324" s="26">
        <v>0</v>
      </c>
      <c r="F324" s="26">
        <v>0</v>
      </c>
      <c r="G324" s="27">
        <v>1000</v>
      </c>
      <c r="H324" s="26">
        <v>0</v>
      </c>
      <c r="I324" s="26">
        <v>0</v>
      </c>
      <c r="J324" s="26">
        <v>0</v>
      </c>
      <c r="K324" s="26">
        <v>0</v>
      </c>
      <c r="L324" s="26">
        <v>600</v>
      </c>
      <c r="M324" s="26">
        <v>250</v>
      </c>
      <c r="N324" s="26">
        <v>0</v>
      </c>
      <c r="O324" s="26">
        <v>0</v>
      </c>
      <c r="P324" s="27">
        <f t="shared" si="14"/>
        <v>2924</v>
      </c>
      <c r="Q324" s="27">
        <f t="shared" si="18"/>
        <v>62.22</v>
      </c>
      <c r="R324" s="27">
        <f t="shared" si="19"/>
        <v>228.14</v>
      </c>
      <c r="S324" s="27">
        <v>0</v>
      </c>
      <c r="T324" s="27">
        <v>0</v>
      </c>
      <c r="U324" s="27">
        <f t="shared" si="15"/>
        <v>290.36</v>
      </c>
      <c r="V324" s="27">
        <f t="shared" si="4"/>
        <v>2633.64</v>
      </c>
      <c r="W324" s="27">
        <v>0</v>
      </c>
    </row>
    <row r="325" spans="1:23" ht="25.5" x14ac:dyDescent="0.2">
      <c r="A325" s="23">
        <v>316</v>
      </c>
      <c r="B325" s="31" t="s">
        <v>426</v>
      </c>
      <c r="C325" s="31" t="s">
        <v>46</v>
      </c>
      <c r="D325" s="25">
        <v>1350</v>
      </c>
      <c r="E325" s="26">
        <v>0</v>
      </c>
      <c r="F325" s="26">
        <v>0</v>
      </c>
      <c r="G325" s="27">
        <v>0</v>
      </c>
      <c r="H325" s="26">
        <v>0</v>
      </c>
      <c r="I325" s="26">
        <f>2000+2500</f>
        <v>4500</v>
      </c>
      <c r="J325" s="26">
        <v>0</v>
      </c>
      <c r="K325" s="26">
        <v>0</v>
      </c>
      <c r="L325" s="26">
        <v>0</v>
      </c>
      <c r="M325" s="26">
        <v>250</v>
      </c>
      <c r="N325" s="26"/>
      <c r="O325" s="26">
        <v>0</v>
      </c>
      <c r="P325" s="27">
        <f t="shared" si="14"/>
        <v>6100</v>
      </c>
      <c r="Q325" s="27">
        <f t="shared" si="18"/>
        <v>175.5</v>
      </c>
      <c r="R325" s="27">
        <f t="shared" si="19"/>
        <v>643.5</v>
      </c>
      <c r="S325" s="27">
        <v>61.96</v>
      </c>
      <c r="T325" s="27"/>
      <c r="U325" s="27">
        <f t="shared" si="15"/>
        <v>880.96</v>
      </c>
      <c r="V325" s="27">
        <f t="shared" si="4"/>
        <v>5219.04</v>
      </c>
      <c r="W325" s="27">
        <v>0</v>
      </c>
    </row>
    <row r="326" spans="1:23" ht="25.5" x14ac:dyDescent="0.2">
      <c r="A326" s="23">
        <v>317</v>
      </c>
      <c r="B326" s="24" t="s">
        <v>427</v>
      </c>
      <c r="C326" s="31" t="s">
        <v>38</v>
      </c>
      <c r="D326" s="25">
        <v>1350</v>
      </c>
      <c r="E326" s="26">
        <v>2000</v>
      </c>
      <c r="F326" s="26">
        <v>0</v>
      </c>
      <c r="G326" s="26">
        <v>0</v>
      </c>
      <c r="H326" s="26">
        <v>1600</v>
      </c>
      <c r="I326" s="26">
        <v>2900</v>
      </c>
      <c r="J326" s="26">
        <v>0</v>
      </c>
      <c r="K326" s="26">
        <v>75</v>
      </c>
      <c r="L326" s="26">
        <v>0</v>
      </c>
      <c r="M326" s="26">
        <v>250</v>
      </c>
      <c r="N326" s="26">
        <v>0</v>
      </c>
      <c r="O326" s="26">
        <v>0</v>
      </c>
      <c r="P326" s="27">
        <f t="shared" si="14"/>
        <v>8175</v>
      </c>
      <c r="Q326" s="27">
        <f t="shared" si="18"/>
        <v>237.75</v>
      </c>
      <c r="R326" s="27">
        <f t="shared" si="19"/>
        <v>871.75</v>
      </c>
      <c r="S326" s="27">
        <v>143.03</v>
      </c>
      <c r="T326" s="27">
        <v>105.5</v>
      </c>
      <c r="U326" s="27">
        <f t="shared" si="15"/>
        <v>1358.03</v>
      </c>
      <c r="V326" s="27">
        <f t="shared" si="4"/>
        <v>6816.97</v>
      </c>
      <c r="W326" s="27">
        <f>3075.77</f>
        <v>3075.77</v>
      </c>
    </row>
    <row r="327" spans="1:23" ht="25.5" x14ac:dyDescent="0.2">
      <c r="A327" s="23">
        <v>318</v>
      </c>
      <c r="B327" s="24" t="s">
        <v>427</v>
      </c>
      <c r="C327" s="24" t="s">
        <v>70</v>
      </c>
      <c r="D327" s="25">
        <v>1476</v>
      </c>
      <c r="E327" s="26">
        <v>2000</v>
      </c>
      <c r="F327" s="26">
        <v>0</v>
      </c>
      <c r="G327" s="26">
        <v>0</v>
      </c>
      <c r="H327" s="26">
        <v>0</v>
      </c>
      <c r="I327" s="26">
        <v>4500</v>
      </c>
      <c r="J327" s="26">
        <v>0</v>
      </c>
      <c r="K327" s="26">
        <v>0</v>
      </c>
      <c r="L327" s="26">
        <v>0</v>
      </c>
      <c r="M327" s="26">
        <v>250</v>
      </c>
      <c r="N327" s="26">
        <v>0</v>
      </c>
      <c r="O327" s="26">
        <v>0</v>
      </c>
      <c r="P327" s="27">
        <f t="shared" si="14"/>
        <v>8226</v>
      </c>
      <c r="Q327" s="27">
        <f t="shared" si="18"/>
        <v>239.28</v>
      </c>
      <c r="R327" s="27">
        <f t="shared" si="19"/>
        <v>877.36</v>
      </c>
      <c r="S327" s="27">
        <v>148.33000000000001</v>
      </c>
      <c r="T327" s="27">
        <v>0</v>
      </c>
      <c r="U327" s="27">
        <f t="shared" si="15"/>
        <v>1264.97</v>
      </c>
      <c r="V327" s="27">
        <f t="shared" si="4"/>
        <v>6961.03</v>
      </c>
      <c r="W327" s="27">
        <v>0</v>
      </c>
    </row>
    <row r="328" spans="1:23" ht="25.5" x14ac:dyDescent="0.2">
      <c r="A328" s="23">
        <v>319</v>
      </c>
      <c r="B328" s="57" t="s">
        <v>428</v>
      </c>
      <c r="C328" s="57" t="s">
        <v>429</v>
      </c>
      <c r="D328" s="37">
        <v>9581</v>
      </c>
      <c r="E328" s="26">
        <v>4000</v>
      </c>
      <c r="F328" s="26">
        <v>0</v>
      </c>
      <c r="G328" s="26">
        <v>5000</v>
      </c>
      <c r="H328" s="26">
        <v>0</v>
      </c>
      <c r="I328" s="26">
        <v>0</v>
      </c>
      <c r="J328" s="26">
        <v>375</v>
      </c>
      <c r="K328" s="26">
        <v>0</v>
      </c>
      <c r="L328" s="26">
        <v>0</v>
      </c>
      <c r="M328" s="26">
        <v>250</v>
      </c>
      <c r="N328" s="26">
        <v>0</v>
      </c>
      <c r="O328" s="26">
        <v>0</v>
      </c>
      <c r="P328" s="27">
        <f t="shared" si="14"/>
        <v>19206</v>
      </c>
      <c r="Q328" s="27">
        <f t="shared" si="18"/>
        <v>568.67999999999995</v>
      </c>
      <c r="R328" s="27">
        <f t="shared" si="19"/>
        <v>2085.16</v>
      </c>
      <c r="S328" s="36">
        <v>590.53</v>
      </c>
      <c r="T328" s="36">
        <v>254.77</v>
      </c>
      <c r="U328" s="27">
        <f t="shared" si="15"/>
        <v>3499.14</v>
      </c>
      <c r="V328" s="27">
        <f t="shared" si="4"/>
        <v>15706.86</v>
      </c>
      <c r="W328" s="27">
        <v>0</v>
      </c>
    </row>
    <row r="329" spans="1:23" ht="25.5" x14ac:dyDescent="0.2">
      <c r="A329" s="23">
        <v>320</v>
      </c>
      <c r="B329" s="24" t="s">
        <v>430</v>
      </c>
      <c r="C329" s="24" t="s">
        <v>36</v>
      </c>
      <c r="D329" s="25">
        <v>1074</v>
      </c>
      <c r="E329" s="26">
        <v>400</v>
      </c>
      <c r="F329" s="26">
        <v>0</v>
      </c>
      <c r="G329" s="26">
        <v>1000</v>
      </c>
      <c r="H329" s="26">
        <v>0</v>
      </c>
      <c r="I329" s="26">
        <v>0</v>
      </c>
      <c r="J329" s="26">
        <v>0</v>
      </c>
      <c r="K329" s="26">
        <v>50</v>
      </c>
      <c r="L329" s="26">
        <v>200</v>
      </c>
      <c r="M329" s="26">
        <v>250</v>
      </c>
      <c r="N329" s="26">
        <v>0</v>
      </c>
      <c r="O329" s="26">
        <v>0</v>
      </c>
      <c r="P329" s="27">
        <f t="shared" si="14"/>
        <v>2974</v>
      </c>
      <c r="Q329" s="27">
        <f t="shared" si="18"/>
        <v>75.72</v>
      </c>
      <c r="R329" s="27">
        <f t="shared" si="19"/>
        <v>277.64</v>
      </c>
      <c r="S329" s="27">
        <v>0</v>
      </c>
      <c r="T329" s="27">
        <v>0</v>
      </c>
      <c r="U329" s="27">
        <f t="shared" si="15"/>
        <v>353.36</v>
      </c>
      <c r="V329" s="27">
        <f t="shared" si="4"/>
        <v>2620.64</v>
      </c>
      <c r="W329" s="27">
        <v>0</v>
      </c>
    </row>
    <row r="330" spans="1:23" x14ac:dyDescent="0.2">
      <c r="A330" s="23">
        <v>321</v>
      </c>
      <c r="B330" s="24" t="s">
        <v>431</v>
      </c>
      <c r="C330" s="24" t="s">
        <v>36</v>
      </c>
      <c r="D330" s="25">
        <v>1074</v>
      </c>
      <c r="E330" s="26">
        <v>400</v>
      </c>
      <c r="F330" s="26">
        <v>0</v>
      </c>
      <c r="G330" s="26">
        <v>1000</v>
      </c>
      <c r="H330" s="26">
        <v>0</v>
      </c>
      <c r="I330" s="26">
        <v>0</v>
      </c>
      <c r="J330" s="26">
        <v>0</v>
      </c>
      <c r="K330" s="26">
        <v>50</v>
      </c>
      <c r="L330" s="26">
        <v>200</v>
      </c>
      <c r="M330" s="26">
        <v>250</v>
      </c>
      <c r="N330" s="26">
        <v>0</v>
      </c>
      <c r="O330" s="26">
        <v>0</v>
      </c>
      <c r="P330" s="27">
        <f t="shared" si="14"/>
        <v>2974</v>
      </c>
      <c r="Q330" s="27">
        <f t="shared" si="18"/>
        <v>75.72</v>
      </c>
      <c r="R330" s="27">
        <f t="shared" si="19"/>
        <v>277.64</v>
      </c>
      <c r="S330" s="27">
        <v>0</v>
      </c>
      <c r="T330" s="27">
        <v>0</v>
      </c>
      <c r="U330" s="27">
        <f t="shared" si="15"/>
        <v>353.36</v>
      </c>
      <c r="V330" s="27">
        <f t="shared" si="4"/>
        <v>2620.64</v>
      </c>
      <c r="W330" s="27">
        <v>0</v>
      </c>
    </row>
    <row r="331" spans="1:23" ht="25.5" x14ac:dyDescent="0.2">
      <c r="A331" s="23">
        <v>322</v>
      </c>
      <c r="B331" s="24" t="s">
        <v>432</v>
      </c>
      <c r="C331" s="31" t="s">
        <v>38</v>
      </c>
      <c r="D331" s="25">
        <v>1350</v>
      </c>
      <c r="E331" s="26">
        <v>2000</v>
      </c>
      <c r="F331" s="26">
        <v>0</v>
      </c>
      <c r="G331" s="26">
        <v>0</v>
      </c>
      <c r="H331" s="26">
        <v>1600</v>
      </c>
      <c r="I331" s="26">
        <v>2900</v>
      </c>
      <c r="J331" s="26">
        <v>0</v>
      </c>
      <c r="K331" s="26">
        <v>75</v>
      </c>
      <c r="L331" s="26">
        <v>0</v>
      </c>
      <c r="M331" s="26">
        <v>250</v>
      </c>
      <c r="N331" s="26">
        <v>0</v>
      </c>
      <c r="O331" s="26">
        <v>0</v>
      </c>
      <c r="P331" s="27">
        <f t="shared" si="14"/>
        <v>8175</v>
      </c>
      <c r="Q331" s="27">
        <f t="shared" si="18"/>
        <v>237.75</v>
      </c>
      <c r="R331" s="27">
        <f t="shared" si="19"/>
        <v>871.75</v>
      </c>
      <c r="S331" s="27">
        <v>143.03</v>
      </c>
      <c r="T331" s="27">
        <v>0</v>
      </c>
      <c r="U331" s="27">
        <f t="shared" si="15"/>
        <v>1252.53</v>
      </c>
      <c r="V331" s="27">
        <f t="shared" si="4"/>
        <v>6922.47</v>
      </c>
      <c r="W331" s="27">
        <v>0</v>
      </c>
    </row>
    <row r="332" spans="1:23" ht="25.5" x14ac:dyDescent="0.2">
      <c r="A332" s="23">
        <v>323</v>
      </c>
      <c r="B332" s="24" t="s">
        <v>433</v>
      </c>
      <c r="C332" s="31" t="s">
        <v>38</v>
      </c>
      <c r="D332" s="25">
        <v>1350</v>
      </c>
      <c r="E332" s="26">
        <v>2000</v>
      </c>
      <c r="F332" s="26">
        <v>0</v>
      </c>
      <c r="G332" s="26">
        <v>0</v>
      </c>
      <c r="H332" s="26">
        <v>1600</v>
      </c>
      <c r="I332" s="26">
        <f>2900</f>
        <v>2900</v>
      </c>
      <c r="J332" s="26">
        <v>0</v>
      </c>
      <c r="K332" s="26">
        <v>0</v>
      </c>
      <c r="L332" s="26">
        <v>0</v>
      </c>
      <c r="M332" s="26">
        <v>250</v>
      </c>
      <c r="N332" s="26">
        <v>0</v>
      </c>
      <c r="O332" s="26">
        <v>0</v>
      </c>
      <c r="P332" s="27">
        <f t="shared" si="14"/>
        <v>8100</v>
      </c>
      <c r="Q332" s="27">
        <f t="shared" si="18"/>
        <v>235.5</v>
      </c>
      <c r="R332" s="27">
        <f t="shared" si="19"/>
        <v>863.5</v>
      </c>
      <c r="S332" s="27">
        <v>146.18</v>
      </c>
      <c r="T332" s="27">
        <v>0</v>
      </c>
      <c r="U332" s="27">
        <f t="shared" si="15"/>
        <v>1245.18</v>
      </c>
      <c r="V332" s="27">
        <f t="shared" si="4"/>
        <v>6854.82</v>
      </c>
      <c r="W332" s="27">
        <v>0</v>
      </c>
    </row>
    <row r="333" spans="1:23" ht="25.5" x14ac:dyDescent="0.2">
      <c r="A333" s="23">
        <v>324</v>
      </c>
      <c r="B333" s="24" t="s">
        <v>434</v>
      </c>
      <c r="C333" s="31" t="s">
        <v>38</v>
      </c>
      <c r="D333" s="25">
        <v>1350</v>
      </c>
      <c r="E333" s="26">
        <v>2000</v>
      </c>
      <c r="F333" s="26">
        <v>0</v>
      </c>
      <c r="G333" s="26">
        <v>0</v>
      </c>
      <c r="H333" s="26">
        <v>1600</v>
      </c>
      <c r="I333" s="26">
        <v>2900</v>
      </c>
      <c r="J333" s="26">
        <v>0</v>
      </c>
      <c r="K333" s="26">
        <v>75</v>
      </c>
      <c r="L333" s="26">
        <v>0</v>
      </c>
      <c r="M333" s="26">
        <v>250</v>
      </c>
      <c r="N333" s="26">
        <v>0</v>
      </c>
      <c r="O333" s="26">
        <v>0</v>
      </c>
      <c r="P333" s="27">
        <f t="shared" si="14"/>
        <v>8175</v>
      </c>
      <c r="Q333" s="27">
        <f t="shared" si="18"/>
        <v>237.75</v>
      </c>
      <c r="R333" s="27">
        <f t="shared" si="19"/>
        <v>871.75</v>
      </c>
      <c r="S333" s="27">
        <v>145.13</v>
      </c>
      <c r="T333" s="27">
        <v>0</v>
      </c>
      <c r="U333" s="27">
        <f t="shared" si="15"/>
        <v>1254.6300000000001</v>
      </c>
      <c r="V333" s="27">
        <f t="shared" si="4"/>
        <v>6920.37</v>
      </c>
      <c r="W333" s="27">
        <v>0</v>
      </c>
    </row>
    <row r="334" spans="1:23" ht="25.5" x14ac:dyDescent="0.2">
      <c r="A334" s="23">
        <v>325</v>
      </c>
      <c r="B334" s="24" t="s">
        <v>435</v>
      </c>
      <c r="C334" s="24" t="s">
        <v>105</v>
      </c>
      <c r="D334" s="25">
        <v>1192</v>
      </c>
      <c r="E334" s="26">
        <v>550</v>
      </c>
      <c r="F334" s="26">
        <v>0</v>
      </c>
      <c r="G334" s="26">
        <v>1000</v>
      </c>
      <c r="H334" s="26">
        <v>0</v>
      </c>
      <c r="I334" s="26">
        <v>0</v>
      </c>
      <c r="J334" s="26">
        <v>0</v>
      </c>
      <c r="K334" s="26">
        <v>50</v>
      </c>
      <c r="L334" s="26">
        <v>0</v>
      </c>
      <c r="M334" s="26">
        <v>250</v>
      </c>
      <c r="N334" s="26">
        <v>0</v>
      </c>
      <c r="O334" s="26">
        <v>0</v>
      </c>
      <c r="P334" s="27">
        <f t="shared" si="14"/>
        <v>3042</v>
      </c>
      <c r="Q334" s="27">
        <f t="shared" si="18"/>
        <v>83.76</v>
      </c>
      <c r="R334" s="27">
        <f t="shared" si="19"/>
        <v>307.12</v>
      </c>
      <c r="S334" s="27">
        <v>0</v>
      </c>
      <c r="T334" s="27">
        <v>0</v>
      </c>
      <c r="U334" s="27">
        <f t="shared" si="15"/>
        <v>390.88</v>
      </c>
      <c r="V334" s="27">
        <f t="shared" si="4"/>
        <v>2651.12</v>
      </c>
      <c r="W334" s="27">
        <v>0</v>
      </c>
    </row>
    <row r="335" spans="1:23" s="4" customFormat="1" ht="25.5" x14ac:dyDescent="0.2">
      <c r="A335" s="23">
        <v>326</v>
      </c>
      <c r="B335" s="24" t="s">
        <v>436</v>
      </c>
      <c r="C335" s="31" t="s">
        <v>437</v>
      </c>
      <c r="D335" s="25">
        <v>1701</v>
      </c>
      <c r="E335" s="26">
        <v>1000</v>
      </c>
      <c r="F335" s="26">
        <v>0</v>
      </c>
      <c r="G335" s="26">
        <v>0</v>
      </c>
      <c r="H335" s="26">
        <v>0</v>
      </c>
      <c r="I335" s="26">
        <v>3000</v>
      </c>
      <c r="J335" s="26">
        <v>0</v>
      </c>
      <c r="K335" s="26">
        <v>0</v>
      </c>
      <c r="L335" s="26">
        <v>0</v>
      </c>
      <c r="M335" s="26">
        <v>250</v>
      </c>
      <c r="N335" s="26">
        <v>0</v>
      </c>
      <c r="O335" s="26">
        <v>0</v>
      </c>
      <c r="P335" s="27">
        <f t="shared" si="14"/>
        <v>5951</v>
      </c>
      <c r="Q335" s="27">
        <f t="shared" si="18"/>
        <v>171.03</v>
      </c>
      <c r="R335" s="27">
        <f>(D335+E335+F335+G335+H335+I335+J335+K335+N335)*12%</f>
        <v>684.12</v>
      </c>
      <c r="S335" s="27">
        <v>60.68</v>
      </c>
      <c r="T335" s="27">
        <v>76.62</v>
      </c>
      <c r="U335" s="27">
        <f t="shared" si="15"/>
        <v>992.45</v>
      </c>
      <c r="V335" s="27">
        <f t="shared" si="4"/>
        <v>4958.55</v>
      </c>
      <c r="W335" s="27">
        <v>0</v>
      </c>
    </row>
    <row r="336" spans="1:23" ht="13.5" customHeight="1" x14ac:dyDescent="0.2">
      <c r="A336" s="234" t="s">
        <v>438</v>
      </c>
      <c r="B336" s="234"/>
      <c r="C336" s="234"/>
      <c r="D336" s="58">
        <f t="shared" ref="D336:W336" si="20">SUM(D10:D335)</f>
        <v>554953.1</v>
      </c>
      <c r="E336" s="59">
        <f t="shared" si="20"/>
        <v>402119.67</v>
      </c>
      <c r="F336" s="59">
        <f t="shared" si="20"/>
        <v>70493.73</v>
      </c>
      <c r="G336" s="59">
        <f t="shared" si="20"/>
        <v>161473.32999999999</v>
      </c>
      <c r="H336" s="59">
        <f t="shared" si="20"/>
        <v>202575</v>
      </c>
      <c r="I336" s="59">
        <f t="shared" si="20"/>
        <v>544426.67000000004</v>
      </c>
      <c r="J336" s="59">
        <f t="shared" si="20"/>
        <v>3750</v>
      </c>
      <c r="K336" s="59">
        <f t="shared" si="20"/>
        <v>8406.67</v>
      </c>
      <c r="L336" s="59">
        <f t="shared" si="20"/>
        <v>9800</v>
      </c>
      <c r="M336" s="59">
        <f t="shared" si="20"/>
        <v>68233.33</v>
      </c>
      <c r="N336" s="59">
        <f t="shared" si="20"/>
        <v>6000</v>
      </c>
      <c r="O336" s="59">
        <f t="shared" si="20"/>
        <v>0</v>
      </c>
      <c r="P336" s="59">
        <f t="shared" si="20"/>
        <v>2032231.5</v>
      </c>
      <c r="Q336" s="59">
        <f t="shared" si="20"/>
        <v>58632.01</v>
      </c>
      <c r="R336" s="59">
        <f t="shared" si="20"/>
        <v>217697.09</v>
      </c>
      <c r="S336" s="59">
        <f t="shared" si="20"/>
        <v>30716.62</v>
      </c>
      <c r="T336" s="59">
        <f t="shared" si="20"/>
        <v>3039.57</v>
      </c>
      <c r="U336" s="59">
        <f t="shared" si="20"/>
        <v>309471.03000000003</v>
      </c>
      <c r="V336" s="60">
        <f t="shared" si="20"/>
        <v>1722760.47</v>
      </c>
      <c r="W336" s="61">
        <f t="shared" si="20"/>
        <v>87865.600000000006</v>
      </c>
    </row>
  </sheetData>
  <sheetProtection selectLockedCells="1" selectUnlockedCells="1"/>
  <mergeCells count="9">
    <mergeCell ref="V8:V9"/>
    <mergeCell ref="W8:W9"/>
    <mergeCell ref="A336:C336"/>
    <mergeCell ref="A8:A9"/>
    <mergeCell ref="B8:B9"/>
    <mergeCell ref="C8:C9"/>
    <mergeCell ref="D8:D9"/>
    <mergeCell ref="E8:P8"/>
    <mergeCell ref="Q8:U8"/>
  </mergeCells>
  <printOptions horizontalCentered="1" verticalCentered="1"/>
  <pageMargins left="0.55138888888888893" right="0.55138888888888893" top="1.1812499999999999" bottom="1.3777777777777778" header="0.51180555555555551" footer="0.51180555555555551"/>
  <pageSetup paperSize="5" scale="45" orientation="landscape" useFirstPageNumber="1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85"/>
  <sheetViews>
    <sheetView showGridLines="0" zoomScale="110" zoomScaleNormal="110" workbookViewId="0"/>
  </sheetViews>
  <sheetFormatPr baseColWidth="10" defaultColWidth="11.5703125" defaultRowHeight="12.75" x14ac:dyDescent="0.2"/>
  <cols>
    <col min="1" max="1" width="6.5703125" style="62" customWidth="1"/>
    <col min="2" max="2" width="40.85546875" style="62" customWidth="1"/>
    <col min="3" max="3" width="35.140625" style="62" customWidth="1"/>
    <col min="4" max="4" width="17.5703125" style="62" customWidth="1"/>
    <col min="5" max="5" width="15.28515625" style="62" customWidth="1"/>
    <col min="6" max="6" width="12.7109375" style="62" customWidth="1"/>
    <col min="7" max="7" width="14.42578125" style="62" customWidth="1"/>
    <col min="8" max="8" width="11" style="62" customWidth="1"/>
    <col min="9" max="9" width="18.85546875" style="62" customWidth="1"/>
    <col min="10" max="13" width="0" style="62" hidden="1" customWidth="1"/>
    <col min="14" max="14" width="17" style="62" customWidth="1"/>
    <col min="15" max="15" width="17.140625" style="62" customWidth="1"/>
    <col min="16" max="16" width="14.42578125" style="62" customWidth="1"/>
    <col min="17" max="17" width="11.5703125" style="62"/>
    <col min="18" max="18" width="13.7109375" style="62" customWidth="1"/>
    <col min="19" max="19" width="11.5703125" style="62"/>
    <col min="20" max="20" width="13.5703125" style="62" customWidth="1"/>
    <col min="21" max="16384" width="11.5703125" style="62"/>
  </cols>
  <sheetData>
    <row r="1" spans="1:24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24" ht="19.5" customHeight="1" x14ac:dyDescent="0.2">
      <c r="A2" s="63"/>
      <c r="B2" s="235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64"/>
    </row>
    <row r="3" spans="1:24" ht="12.75" customHeight="1" x14ac:dyDescent="0.2">
      <c r="A3" s="7"/>
      <c r="B3" s="236" t="s">
        <v>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64"/>
    </row>
    <row r="4" spans="1:24" ht="19.5" customHeight="1" x14ac:dyDescent="0.2">
      <c r="A4" s="236" t="s">
        <v>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64"/>
    </row>
    <row r="5" spans="1:24" ht="12.75" customHeight="1" x14ac:dyDescent="0.2">
      <c r="A5" s="236" t="s">
        <v>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64"/>
    </row>
    <row r="6" spans="1:24" ht="14.25" customHeight="1" x14ac:dyDescent="0.2">
      <c r="A6" s="236" t="s">
        <v>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64"/>
    </row>
    <row r="7" spans="1:24" ht="14.25" customHeight="1" x14ac:dyDescent="0.2">
      <c r="A7" s="237" t="s">
        <v>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64"/>
    </row>
    <row r="8" spans="1:2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</row>
    <row r="9" spans="1:24" ht="26.25" customHeight="1" x14ac:dyDescent="0.2">
      <c r="A9" s="238" t="s">
        <v>7</v>
      </c>
      <c r="B9" s="239" t="s">
        <v>8</v>
      </c>
      <c r="C9" s="232" t="s">
        <v>9</v>
      </c>
      <c r="D9" s="239" t="s">
        <v>439</v>
      </c>
      <c r="E9" s="239" t="s">
        <v>11</v>
      </c>
      <c r="F9" s="239"/>
      <c r="G9" s="239"/>
      <c r="H9" s="239"/>
      <c r="I9" s="239"/>
      <c r="J9" s="239" t="s">
        <v>12</v>
      </c>
      <c r="K9" s="239"/>
      <c r="L9" s="239"/>
      <c r="M9" s="239"/>
      <c r="N9" s="239"/>
      <c r="O9" s="239" t="s">
        <v>440</v>
      </c>
      <c r="P9" s="240" t="s">
        <v>441</v>
      </c>
    </row>
    <row r="10" spans="1:24" ht="57.75" customHeight="1" x14ac:dyDescent="0.2">
      <c r="A10" s="238"/>
      <c r="B10" s="239"/>
      <c r="C10" s="232"/>
      <c r="D10" s="239"/>
      <c r="E10" s="67" t="s">
        <v>442</v>
      </c>
      <c r="F10" s="67" t="s">
        <v>20</v>
      </c>
      <c r="G10" s="67" t="s">
        <v>23</v>
      </c>
      <c r="H10" s="67" t="s">
        <v>443</v>
      </c>
      <c r="I10" s="67" t="s">
        <v>26</v>
      </c>
      <c r="J10" s="68" t="s">
        <v>27</v>
      </c>
      <c r="K10" s="68" t="s">
        <v>444</v>
      </c>
      <c r="L10" s="68" t="s">
        <v>29</v>
      </c>
      <c r="M10" s="68" t="s">
        <v>445</v>
      </c>
      <c r="N10" s="67" t="s">
        <v>31</v>
      </c>
      <c r="O10" s="239"/>
      <c r="P10" s="240"/>
    </row>
    <row r="11" spans="1:24" ht="26.25" customHeight="1" x14ac:dyDescent="0.2">
      <c r="A11" s="69">
        <v>1</v>
      </c>
      <c r="B11" s="57" t="s">
        <v>446</v>
      </c>
      <c r="C11" s="57" t="s">
        <v>447</v>
      </c>
      <c r="D11" s="70">
        <v>2425</v>
      </c>
      <c r="E11" s="71">
        <v>0</v>
      </c>
      <c r="F11" s="72">
        <v>0</v>
      </c>
      <c r="G11" s="73">
        <v>0</v>
      </c>
      <c r="H11" s="73">
        <v>0</v>
      </c>
      <c r="I11" s="36">
        <f t="shared" ref="I11:I187" si="0">SUM(D11:G11)</f>
        <v>2425</v>
      </c>
      <c r="J11" s="36">
        <f t="shared" ref="J11:J255" si="1">(D11+E11+F11)*3%</f>
        <v>72.75</v>
      </c>
      <c r="K11" s="36">
        <f>D11*11%</f>
        <v>266.75</v>
      </c>
      <c r="L11" s="36">
        <v>0</v>
      </c>
      <c r="M11" s="36">
        <v>0</v>
      </c>
      <c r="N11" s="36">
        <f t="shared" ref="N11:N59" si="2">J11+K11+L11+M11</f>
        <v>339.5</v>
      </c>
      <c r="O11" s="36">
        <f t="shared" ref="O11:O82" si="3">I11-N11</f>
        <v>2085.5</v>
      </c>
      <c r="P11" s="74">
        <v>0</v>
      </c>
      <c r="Q11" s="75"/>
      <c r="R11" s="75"/>
      <c r="S11" s="75"/>
      <c r="T11" s="75"/>
      <c r="U11" s="75"/>
      <c r="V11" s="75"/>
      <c r="W11" s="76"/>
      <c r="X11" s="76"/>
    </row>
    <row r="12" spans="1:24" s="80" customFormat="1" ht="27" customHeight="1" x14ac:dyDescent="0.2">
      <c r="A12" s="69">
        <v>2</v>
      </c>
      <c r="B12" s="57" t="s">
        <v>448</v>
      </c>
      <c r="C12" s="57" t="s">
        <v>449</v>
      </c>
      <c r="D12" s="77">
        <v>1940</v>
      </c>
      <c r="E12" s="71">
        <v>0</v>
      </c>
      <c r="F12" s="72">
        <v>0</v>
      </c>
      <c r="G12" s="73">
        <v>0</v>
      </c>
      <c r="H12" s="73">
        <v>0</v>
      </c>
      <c r="I12" s="36">
        <f t="shared" si="0"/>
        <v>1940</v>
      </c>
      <c r="J12" s="36">
        <f t="shared" si="1"/>
        <v>58.2</v>
      </c>
      <c r="K12" s="36">
        <f>D12*10%</f>
        <v>194</v>
      </c>
      <c r="L12" s="36">
        <v>0</v>
      </c>
      <c r="M12" s="36">
        <v>0</v>
      </c>
      <c r="N12" s="36">
        <f t="shared" si="2"/>
        <v>252.2</v>
      </c>
      <c r="O12" s="36">
        <f t="shared" si="3"/>
        <v>1687.8</v>
      </c>
      <c r="P12" s="74">
        <v>0</v>
      </c>
      <c r="Q12" s="78"/>
      <c r="R12" s="78"/>
      <c r="S12" s="78"/>
      <c r="T12" s="78"/>
      <c r="U12" s="78"/>
      <c r="V12" s="78"/>
      <c r="W12" s="79"/>
      <c r="X12" s="79"/>
    </row>
    <row r="13" spans="1:24" s="80" customFormat="1" ht="27" customHeight="1" x14ac:dyDescent="0.2">
      <c r="A13" s="69">
        <v>3</v>
      </c>
      <c r="B13" s="57" t="s">
        <v>450</v>
      </c>
      <c r="C13" s="57" t="s">
        <v>447</v>
      </c>
      <c r="D13" s="77">
        <v>2425</v>
      </c>
      <c r="E13" s="71">
        <v>0</v>
      </c>
      <c r="F13" s="72">
        <v>0</v>
      </c>
      <c r="G13" s="73">
        <v>0</v>
      </c>
      <c r="H13" s="73">
        <v>0</v>
      </c>
      <c r="I13" s="36">
        <f t="shared" si="0"/>
        <v>2425</v>
      </c>
      <c r="J13" s="36">
        <f t="shared" si="1"/>
        <v>72.75</v>
      </c>
      <c r="K13" s="36">
        <f>D13*11%</f>
        <v>266.75</v>
      </c>
      <c r="L13" s="36">
        <v>0</v>
      </c>
      <c r="M13" s="36">
        <v>0</v>
      </c>
      <c r="N13" s="36">
        <f t="shared" si="2"/>
        <v>339.5</v>
      </c>
      <c r="O13" s="36">
        <f t="shared" si="3"/>
        <v>2085.5</v>
      </c>
      <c r="P13" s="74">
        <v>0</v>
      </c>
      <c r="Q13" s="78"/>
      <c r="R13" s="78"/>
      <c r="S13" s="78"/>
      <c r="T13" s="78"/>
      <c r="U13" s="78"/>
      <c r="V13" s="78"/>
      <c r="W13" s="79"/>
      <c r="X13" s="79"/>
    </row>
    <row r="14" spans="1:24" s="80" customFormat="1" ht="27" customHeight="1" x14ac:dyDescent="0.2">
      <c r="A14" s="69">
        <v>4</v>
      </c>
      <c r="B14" s="81" t="s">
        <v>451</v>
      </c>
      <c r="C14" s="33" t="s">
        <v>452</v>
      </c>
      <c r="D14" s="77">
        <v>2392</v>
      </c>
      <c r="E14" s="71">
        <v>1900</v>
      </c>
      <c r="F14" s="72">
        <v>0</v>
      </c>
      <c r="G14" s="73">
        <v>250</v>
      </c>
      <c r="H14" s="73">
        <v>0</v>
      </c>
      <c r="I14" s="36">
        <f t="shared" si="0"/>
        <v>4542</v>
      </c>
      <c r="J14" s="36">
        <f t="shared" si="1"/>
        <v>128.76</v>
      </c>
      <c r="K14" s="36">
        <f>(D14+E14)*12%</f>
        <v>515.04</v>
      </c>
      <c r="L14" s="36">
        <v>0</v>
      </c>
      <c r="M14" s="36">
        <v>0</v>
      </c>
      <c r="N14" s="36">
        <f t="shared" si="2"/>
        <v>643.79999999999995</v>
      </c>
      <c r="O14" s="36">
        <f t="shared" si="3"/>
        <v>3898.2</v>
      </c>
      <c r="P14" s="74">
        <v>0</v>
      </c>
      <c r="Q14" s="78"/>
      <c r="R14" s="78"/>
      <c r="S14" s="78"/>
      <c r="T14" s="78"/>
      <c r="U14" s="78"/>
      <c r="V14" s="78"/>
      <c r="W14" s="79"/>
      <c r="X14" s="79"/>
    </row>
    <row r="15" spans="1:24" s="80" customFormat="1" ht="27" customHeight="1" x14ac:dyDescent="0.2">
      <c r="A15" s="69">
        <v>5</v>
      </c>
      <c r="B15" s="57" t="s">
        <v>453</v>
      </c>
      <c r="C15" s="57" t="s">
        <v>454</v>
      </c>
      <c r="D15" s="36">
        <v>2249</v>
      </c>
      <c r="E15" s="36">
        <v>1000</v>
      </c>
      <c r="F15" s="72">
        <v>0</v>
      </c>
      <c r="G15" s="73">
        <v>250</v>
      </c>
      <c r="H15" s="73">
        <v>0</v>
      </c>
      <c r="I15" s="36">
        <f t="shared" si="0"/>
        <v>3499</v>
      </c>
      <c r="J15" s="36">
        <f t="shared" si="1"/>
        <v>97.47</v>
      </c>
      <c r="K15" s="36">
        <f t="shared" ref="K15:K16" si="4">(D15+E15)*11%</f>
        <v>357.39</v>
      </c>
      <c r="L15" s="36">
        <v>0</v>
      </c>
      <c r="M15" s="36">
        <v>0</v>
      </c>
      <c r="N15" s="36">
        <f t="shared" si="2"/>
        <v>454.86</v>
      </c>
      <c r="O15" s="36">
        <f t="shared" si="3"/>
        <v>3044.14</v>
      </c>
      <c r="P15" s="74">
        <v>0</v>
      </c>
      <c r="Q15" s="78"/>
      <c r="R15" s="78"/>
      <c r="S15" s="78"/>
      <c r="T15" s="78"/>
      <c r="U15" s="78"/>
      <c r="V15" s="78"/>
      <c r="W15" s="79"/>
      <c r="X15" s="79"/>
    </row>
    <row r="16" spans="1:24" s="80" customFormat="1" ht="27" customHeight="1" x14ac:dyDescent="0.2">
      <c r="A16" s="69">
        <v>6</v>
      </c>
      <c r="B16" s="82" t="s">
        <v>455</v>
      </c>
      <c r="C16" s="57" t="s">
        <v>454</v>
      </c>
      <c r="D16" s="72">
        <v>2249</v>
      </c>
      <c r="E16" s="72">
        <v>1000</v>
      </c>
      <c r="F16" s="72">
        <v>0</v>
      </c>
      <c r="G16" s="72">
        <v>250</v>
      </c>
      <c r="H16" s="73">
        <v>0</v>
      </c>
      <c r="I16" s="36">
        <f t="shared" si="0"/>
        <v>3499</v>
      </c>
      <c r="J16" s="36">
        <f t="shared" si="1"/>
        <v>97.47</v>
      </c>
      <c r="K16" s="36">
        <f t="shared" si="4"/>
        <v>357.39</v>
      </c>
      <c r="L16" s="36">
        <v>0</v>
      </c>
      <c r="M16" s="36">
        <v>0</v>
      </c>
      <c r="N16" s="36">
        <f t="shared" si="2"/>
        <v>454.86</v>
      </c>
      <c r="O16" s="36">
        <f t="shared" si="3"/>
        <v>3044.14</v>
      </c>
      <c r="P16" s="74">
        <v>0</v>
      </c>
      <c r="Q16" s="78"/>
      <c r="R16" s="78"/>
      <c r="S16" s="78"/>
      <c r="T16" s="78"/>
      <c r="U16" s="78"/>
      <c r="V16" s="78"/>
      <c r="W16" s="79"/>
      <c r="X16" s="79"/>
    </row>
    <row r="17" spans="1:24" s="80" customFormat="1" ht="27" customHeight="1" x14ac:dyDescent="0.2">
      <c r="A17" s="69">
        <v>7</v>
      </c>
      <c r="B17" s="57" t="s">
        <v>456</v>
      </c>
      <c r="C17" s="57" t="s">
        <v>449</v>
      </c>
      <c r="D17" s="77">
        <v>1940</v>
      </c>
      <c r="E17" s="71">
        <v>0</v>
      </c>
      <c r="F17" s="72">
        <v>0</v>
      </c>
      <c r="G17" s="73">
        <v>0</v>
      </c>
      <c r="H17" s="73">
        <v>0</v>
      </c>
      <c r="I17" s="36">
        <f t="shared" si="0"/>
        <v>1940</v>
      </c>
      <c r="J17" s="36">
        <f t="shared" si="1"/>
        <v>58.2</v>
      </c>
      <c r="K17" s="36">
        <f>D17*10%</f>
        <v>194</v>
      </c>
      <c r="L17" s="36">
        <v>0</v>
      </c>
      <c r="M17" s="36">
        <v>0</v>
      </c>
      <c r="N17" s="36">
        <f t="shared" si="2"/>
        <v>252.2</v>
      </c>
      <c r="O17" s="36">
        <f t="shared" si="3"/>
        <v>1687.8</v>
      </c>
      <c r="P17" s="74">
        <v>0</v>
      </c>
      <c r="Q17" s="78"/>
      <c r="R17" s="78"/>
      <c r="S17" s="78"/>
      <c r="T17" s="78"/>
      <c r="U17" s="78"/>
      <c r="V17" s="78"/>
      <c r="W17" s="79"/>
      <c r="X17" s="79"/>
    </row>
    <row r="18" spans="1:24" s="80" customFormat="1" ht="27" customHeight="1" x14ac:dyDescent="0.2">
      <c r="A18" s="69">
        <v>8</v>
      </c>
      <c r="B18" s="57" t="s">
        <v>457</v>
      </c>
      <c r="C18" s="57" t="s">
        <v>458</v>
      </c>
      <c r="D18" s="77">
        <v>2375</v>
      </c>
      <c r="E18" s="70">
        <v>1000</v>
      </c>
      <c r="F18" s="72">
        <v>0</v>
      </c>
      <c r="G18" s="73">
        <v>250</v>
      </c>
      <c r="H18" s="73">
        <v>0</v>
      </c>
      <c r="I18" s="36">
        <f t="shared" si="0"/>
        <v>3625</v>
      </c>
      <c r="J18" s="36">
        <f t="shared" si="1"/>
        <v>101.25</v>
      </c>
      <c r="K18" s="36">
        <f t="shared" ref="K18:K19" si="5">(D18+E18)*11%</f>
        <v>371.25</v>
      </c>
      <c r="L18" s="36">
        <v>0</v>
      </c>
      <c r="M18" s="36">
        <v>0</v>
      </c>
      <c r="N18" s="36">
        <f t="shared" si="2"/>
        <v>472.5</v>
      </c>
      <c r="O18" s="36">
        <f t="shared" si="3"/>
        <v>3152.5</v>
      </c>
      <c r="P18" s="74">
        <v>0</v>
      </c>
      <c r="Q18" s="78"/>
      <c r="R18" s="78"/>
      <c r="S18" s="78"/>
      <c r="T18" s="78"/>
      <c r="U18" s="78"/>
      <c r="V18" s="78"/>
      <c r="W18" s="79"/>
      <c r="X18" s="79"/>
    </row>
    <row r="19" spans="1:24" s="80" customFormat="1" ht="27" customHeight="1" x14ac:dyDescent="0.2">
      <c r="A19" s="69">
        <v>9</v>
      </c>
      <c r="B19" s="83" t="s">
        <v>459</v>
      </c>
      <c r="C19" s="83" t="s">
        <v>460</v>
      </c>
      <c r="D19" s="70">
        <v>2760</v>
      </c>
      <c r="E19" s="71">
        <v>1000</v>
      </c>
      <c r="F19" s="72">
        <v>0</v>
      </c>
      <c r="G19" s="73">
        <v>250</v>
      </c>
      <c r="H19" s="73">
        <v>0</v>
      </c>
      <c r="I19" s="36">
        <f t="shared" si="0"/>
        <v>4010</v>
      </c>
      <c r="J19" s="36">
        <f t="shared" si="1"/>
        <v>112.8</v>
      </c>
      <c r="K19" s="36">
        <f t="shared" si="5"/>
        <v>413.6</v>
      </c>
      <c r="L19" s="36">
        <v>0</v>
      </c>
      <c r="M19" s="36">
        <v>0</v>
      </c>
      <c r="N19" s="36">
        <f t="shared" si="2"/>
        <v>526.4</v>
      </c>
      <c r="O19" s="36">
        <f t="shared" si="3"/>
        <v>3483.6</v>
      </c>
      <c r="P19" s="74">
        <v>0</v>
      </c>
      <c r="Q19" s="78"/>
      <c r="R19" s="78"/>
      <c r="S19" s="78"/>
      <c r="T19" s="78"/>
      <c r="U19" s="78"/>
      <c r="V19" s="78"/>
      <c r="W19" s="79"/>
      <c r="X19" s="79"/>
    </row>
    <row r="20" spans="1:24" s="80" customFormat="1" ht="27" customHeight="1" x14ac:dyDescent="0.2">
      <c r="A20" s="69">
        <v>10</v>
      </c>
      <c r="B20" s="57" t="s">
        <v>461</v>
      </c>
      <c r="C20" s="57" t="s">
        <v>449</v>
      </c>
      <c r="D20" s="77">
        <v>1940</v>
      </c>
      <c r="E20" s="71">
        <v>0</v>
      </c>
      <c r="F20" s="72">
        <v>0</v>
      </c>
      <c r="G20" s="73">
        <v>0</v>
      </c>
      <c r="H20" s="73">
        <v>0</v>
      </c>
      <c r="I20" s="36">
        <f t="shared" si="0"/>
        <v>1940</v>
      </c>
      <c r="J20" s="36">
        <f t="shared" si="1"/>
        <v>58.2</v>
      </c>
      <c r="K20" s="36">
        <f>D20*10%</f>
        <v>194</v>
      </c>
      <c r="L20" s="36">
        <v>0</v>
      </c>
      <c r="M20" s="36">
        <v>0</v>
      </c>
      <c r="N20" s="36">
        <f t="shared" si="2"/>
        <v>252.2</v>
      </c>
      <c r="O20" s="36">
        <f t="shared" si="3"/>
        <v>1687.8</v>
      </c>
      <c r="P20" s="74">
        <v>0</v>
      </c>
      <c r="Q20" s="78"/>
      <c r="R20" s="78"/>
      <c r="S20" s="78"/>
      <c r="T20" s="78"/>
      <c r="U20" s="78"/>
      <c r="V20" s="78"/>
      <c r="W20" s="79"/>
      <c r="X20" s="79"/>
    </row>
    <row r="21" spans="1:24" s="80" customFormat="1" ht="27" customHeight="1" x14ac:dyDescent="0.2">
      <c r="A21" s="69">
        <v>11</v>
      </c>
      <c r="B21" s="84" t="s">
        <v>462</v>
      </c>
      <c r="C21" s="85" t="s">
        <v>463</v>
      </c>
      <c r="D21" s="86">
        <v>6759</v>
      </c>
      <c r="E21" s="40">
        <f>4000+4000</f>
        <v>8000</v>
      </c>
      <c r="F21" s="87">
        <v>375</v>
      </c>
      <c r="G21" s="88">
        <v>250</v>
      </c>
      <c r="H21" s="73">
        <v>0</v>
      </c>
      <c r="I21" s="36">
        <f t="shared" si="0"/>
        <v>15384</v>
      </c>
      <c r="J21" s="36">
        <f t="shared" si="1"/>
        <v>454.02</v>
      </c>
      <c r="K21" s="36">
        <f>(D21+E21+F21)*15%</f>
        <v>2270.1</v>
      </c>
      <c r="L21" s="36">
        <v>433.83</v>
      </c>
      <c r="M21" s="36">
        <v>203.4</v>
      </c>
      <c r="N21" s="36">
        <f t="shared" si="2"/>
        <v>3361.35</v>
      </c>
      <c r="O21" s="36">
        <f t="shared" si="3"/>
        <v>12022.65</v>
      </c>
      <c r="P21" s="74">
        <v>0</v>
      </c>
      <c r="Q21" s="78"/>
      <c r="R21" s="78"/>
      <c r="S21" s="78"/>
      <c r="T21" s="78"/>
      <c r="U21" s="78"/>
      <c r="V21" s="78"/>
      <c r="W21" s="79"/>
      <c r="X21" s="79"/>
    </row>
    <row r="22" spans="1:24" s="80" customFormat="1" ht="27" customHeight="1" x14ac:dyDescent="0.2">
      <c r="A22" s="69">
        <v>12</v>
      </c>
      <c r="B22" s="89" t="s">
        <v>464</v>
      </c>
      <c r="C22" s="57" t="s">
        <v>465</v>
      </c>
      <c r="D22" s="90">
        <v>1902</v>
      </c>
      <c r="E22" s="71">
        <v>1000</v>
      </c>
      <c r="F22" s="72">
        <v>0</v>
      </c>
      <c r="G22" s="73">
        <v>250</v>
      </c>
      <c r="H22" s="73">
        <v>0</v>
      </c>
      <c r="I22" s="36">
        <f t="shared" si="0"/>
        <v>3152</v>
      </c>
      <c r="J22" s="36">
        <f t="shared" si="1"/>
        <v>87.06</v>
      </c>
      <c r="K22" s="36">
        <v>319.22000000000003</v>
      </c>
      <c r="L22" s="36">
        <v>0</v>
      </c>
      <c r="M22" s="36">
        <v>39</v>
      </c>
      <c r="N22" s="36">
        <f t="shared" si="2"/>
        <v>445.28</v>
      </c>
      <c r="O22" s="36">
        <f t="shared" si="3"/>
        <v>2706.72</v>
      </c>
      <c r="P22" s="74">
        <v>0</v>
      </c>
      <c r="Q22" s="78"/>
      <c r="R22" s="78"/>
      <c r="S22" s="78"/>
      <c r="T22" s="78"/>
      <c r="U22" s="78"/>
      <c r="V22" s="78"/>
      <c r="W22" s="79"/>
      <c r="X22" s="79"/>
    </row>
    <row r="23" spans="1:24" s="80" customFormat="1" ht="27" customHeight="1" x14ac:dyDescent="0.2">
      <c r="A23" s="69">
        <v>13</v>
      </c>
      <c r="B23" s="57" t="s">
        <v>466</v>
      </c>
      <c r="C23" s="57" t="s">
        <v>447</v>
      </c>
      <c r="D23" s="77">
        <v>2425</v>
      </c>
      <c r="E23" s="71">
        <v>0</v>
      </c>
      <c r="F23" s="72">
        <v>0</v>
      </c>
      <c r="G23" s="73">
        <v>0</v>
      </c>
      <c r="H23" s="73">
        <v>0</v>
      </c>
      <c r="I23" s="36">
        <f t="shared" si="0"/>
        <v>2425</v>
      </c>
      <c r="J23" s="36">
        <f t="shared" si="1"/>
        <v>72.75</v>
      </c>
      <c r="K23" s="36">
        <f>D23*11%</f>
        <v>266.75</v>
      </c>
      <c r="L23" s="36">
        <v>0</v>
      </c>
      <c r="M23" s="36">
        <v>0</v>
      </c>
      <c r="N23" s="36">
        <f t="shared" si="2"/>
        <v>339.5</v>
      </c>
      <c r="O23" s="36">
        <f t="shared" si="3"/>
        <v>2085.5</v>
      </c>
      <c r="P23" s="74">
        <v>0</v>
      </c>
      <c r="Q23" s="78"/>
      <c r="R23" s="78"/>
      <c r="S23" s="78"/>
      <c r="T23" s="78"/>
      <c r="U23" s="78"/>
      <c r="V23" s="78"/>
      <c r="W23" s="79"/>
      <c r="X23" s="79"/>
    </row>
    <row r="24" spans="1:24" s="80" customFormat="1" ht="27" customHeight="1" x14ac:dyDescent="0.2">
      <c r="A24" s="69">
        <v>14</v>
      </c>
      <c r="B24" s="57" t="s">
        <v>467</v>
      </c>
      <c r="C24" s="57" t="s">
        <v>449</v>
      </c>
      <c r="D24" s="70">
        <v>1940</v>
      </c>
      <c r="E24" s="71">
        <v>0</v>
      </c>
      <c r="F24" s="72">
        <v>0</v>
      </c>
      <c r="G24" s="73">
        <v>0</v>
      </c>
      <c r="H24" s="73">
        <v>0</v>
      </c>
      <c r="I24" s="36">
        <f t="shared" si="0"/>
        <v>1940</v>
      </c>
      <c r="J24" s="36">
        <f t="shared" si="1"/>
        <v>58.2</v>
      </c>
      <c r="K24" s="36">
        <f>D24*10%</f>
        <v>194</v>
      </c>
      <c r="L24" s="36">
        <v>0</v>
      </c>
      <c r="M24" s="36">
        <v>0</v>
      </c>
      <c r="N24" s="36">
        <f t="shared" si="2"/>
        <v>252.2</v>
      </c>
      <c r="O24" s="36">
        <f t="shared" si="3"/>
        <v>1687.8</v>
      </c>
      <c r="P24" s="74">
        <v>0</v>
      </c>
      <c r="Q24" s="78"/>
      <c r="R24" s="78"/>
      <c r="S24" s="78"/>
      <c r="T24" s="78"/>
      <c r="U24" s="78"/>
      <c r="V24" s="78"/>
      <c r="W24" s="79"/>
      <c r="X24" s="79"/>
    </row>
    <row r="25" spans="1:24" s="80" customFormat="1" ht="27" customHeight="1" x14ac:dyDescent="0.2">
      <c r="A25" s="69">
        <v>15</v>
      </c>
      <c r="B25" s="57" t="s">
        <v>468</v>
      </c>
      <c r="C25" s="57" t="s">
        <v>447</v>
      </c>
      <c r="D25" s="77">
        <v>2425</v>
      </c>
      <c r="E25" s="71">
        <v>0</v>
      </c>
      <c r="F25" s="72">
        <v>0</v>
      </c>
      <c r="G25" s="73">
        <v>0</v>
      </c>
      <c r="H25" s="73">
        <v>0</v>
      </c>
      <c r="I25" s="36">
        <f t="shared" si="0"/>
        <v>2425</v>
      </c>
      <c r="J25" s="36">
        <f t="shared" si="1"/>
        <v>72.75</v>
      </c>
      <c r="K25" s="36">
        <f>D25*11%</f>
        <v>266.75</v>
      </c>
      <c r="L25" s="36">
        <v>0</v>
      </c>
      <c r="M25" s="36">
        <v>0</v>
      </c>
      <c r="N25" s="36">
        <f t="shared" si="2"/>
        <v>339.5</v>
      </c>
      <c r="O25" s="36">
        <f t="shared" si="3"/>
        <v>2085.5</v>
      </c>
      <c r="P25" s="74">
        <v>0</v>
      </c>
      <c r="Q25" s="78"/>
      <c r="R25" s="78"/>
      <c r="S25" s="78"/>
      <c r="T25" s="78"/>
      <c r="U25" s="78"/>
      <c r="V25" s="78"/>
      <c r="W25" s="79"/>
      <c r="X25" s="79"/>
    </row>
    <row r="26" spans="1:24" s="80" customFormat="1" ht="27" customHeight="1" x14ac:dyDescent="0.2">
      <c r="A26" s="69">
        <v>16</v>
      </c>
      <c r="B26" s="84" t="s">
        <v>469</v>
      </c>
      <c r="C26" s="57" t="s">
        <v>470</v>
      </c>
      <c r="D26" s="91">
        <v>5835</v>
      </c>
      <c r="E26" s="70">
        <v>3000</v>
      </c>
      <c r="F26" s="72">
        <v>0</v>
      </c>
      <c r="G26" s="73">
        <v>250</v>
      </c>
      <c r="H26" s="73">
        <v>0</v>
      </c>
      <c r="I26" s="36">
        <f t="shared" si="0"/>
        <v>9085</v>
      </c>
      <c r="J26" s="36">
        <f t="shared" si="1"/>
        <v>265.05</v>
      </c>
      <c r="K26" s="36">
        <f t="shared" ref="K26:K27" si="6">(D26+E26)*14%</f>
        <v>1236.9000000000001</v>
      </c>
      <c r="L26" s="36">
        <v>195.55</v>
      </c>
      <c r="M26" s="36">
        <v>123.78</v>
      </c>
      <c r="N26" s="36">
        <f t="shared" si="2"/>
        <v>1821.28</v>
      </c>
      <c r="O26" s="36">
        <f t="shared" si="3"/>
        <v>7263.72</v>
      </c>
      <c r="P26" s="74">
        <v>0</v>
      </c>
      <c r="Q26" s="78"/>
      <c r="R26" s="78"/>
      <c r="S26" s="78"/>
      <c r="T26" s="78"/>
      <c r="U26" s="78"/>
      <c r="V26" s="78"/>
      <c r="W26" s="79"/>
      <c r="X26" s="79"/>
    </row>
    <row r="27" spans="1:24" s="80" customFormat="1" ht="27" customHeight="1" x14ac:dyDescent="0.2">
      <c r="A27" s="69">
        <v>17</v>
      </c>
      <c r="B27" s="92" t="s">
        <v>471</v>
      </c>
      <c r="C27" s="85" t="s">
        <v>472</v>
      </c>
      <c r="D27" s="72">
        <v>5373</v>
      </c>
      <c r="E27" s="72">
        <v>3000</v>
      </c>
      <c r="F27" s="72">
        <v>0</v>
      </c>
      <c r="G27" s="72">
        <v>250</v>
      </c>
      <c r="H27" s="73">
        <v>0</v>
      </c>
      <c r="I27" s="36">
        <f t="shared" si="0"/>
        <v>8623</v>
      </c>
      <c r="J27" s="36">
        <f t="shared" si="1"/>
        <v>251.19</v>
      </c>
      <c r="K27" s="36">
        <f t="shared" si="6"/>
        <v>1172.22</v>
      </c>
      <c r="L27" s="36">
        <v>160.81</v>
      </c>
      <c r="M27" s="36">
        <v>112.53</v>
      </c>
      <c r="N27" s="36">
        <f t="shared" si="2"/>
        <v>1696.75</v>
      </c>
      <c r="O27" s="36">
        <f t="shared" si="3"/>
        <v>6926.25</v>
      </c>
      <c r="P27" s="74">
        <v>0</v>
      </c>
      <c r="Q27" s="78"/>
      <c r="R27" s="78"/>
      <c r="S27" s="78"/>
      <c r="T27" s="78"/>
      <c r="U27" s="78"/>
      <c r="V27" s="78"/>
      <c r="W27" s="79"/>
      <c r="X27" s="79"/>
    </row>
    <row r="28" spans="1:24" s="80" customFormat="1" ht="27" customHeight="1" x14ac:dyDescent="0.2">
      <c r="A28" s="69">
        <v>18</v>
      </c>
      <c r="B28" s="83" t="s">
        <v>473</v>
      </c>
      <c r="C28" s="83" t="s">
        <v>474</v>
      </c>
      <c r="D28" s="70">
        <v>2760</v>
      </c>
      <c r="E28" s="71">
        <v>1000</v>
      </c>
      <c r="F28" s="72">
        <v>0</v>
      </c>
      <c r="G28" s="73">
        <v>250</v>
      </c>
      <c r="H28" s="73">
        <v>0</v>
      </c>
      <c r="I28" s="36">
        <f t="shared" si="0"/>
        <v>4010</v>
      </c>
      <c r="J28" s="36">
        <f t="shared" si="1"/>
        <v>112.8</v>
      </c>
      <c r="K28" s="36">
        <f>(D28+E28)*11%</f>
        <v>413.6</v>
      </c>
      <c r="L28" s="36">
        <v>0</v>
      </c>
      <c r="M28" s="36">
        <v>0</v>
      </c>
      <c r="N28" s="36">
        <f t="shared" si="2"/>
        <v>526.4</v>
      </c>
      <c r="O28" s="36">
        <f t="shared" si="3"/>
        <v>3483.6</v>
      </c>
      <c r="P28" s="74">
        <v>0</v>
      </c>
      <c r="Q28" s="78"/>
      <c r="R28" s="78"/>
      <c r="S28" s="78"/>
      <c r="T28" s="78"/>
      <c r="U28" s="78"/>
      <c r="V28" s="78"/>
      <c r="W28" s="79"/>
      <c r="X28" s="79"/>
    </row>
    <row r="29" spans="1:24" s="80" customFormat="1" ht="27" customHeight="1" x14ac:dyDescent="0.2">
      <c r="A29" s="69">
        <v>19</v>
      </c>
      <c r="B29" s="93" t="s">
        <v>475</v>
      </c>
      <c r="C29" s="53" t="s">
        <v>476</v>
      </c>
      <c r="D29" s="94">
        <v>5835</v>
      </c>
      <c r="E29" s="71">
        <v>3000</v>
      </c>
      <c r="F29" s="72">
        <v>0</v>
      </c>
      <c r="G29" s="73">
        <v>250</v>
      </c>
      <c r="H29" s="73">
        <v>0</v>
      </c>
      <c r="I29" s="36">
        <f t="shared" si="0"/>
        <v>9085</v>
      </c>
      <c r="J29" s="36">
        <f t="shared" si="1"/>
        <v>265.05</v>
      </c>
      <c r="K29" s="36">
        <f>(D29+E29)*14%</f>
        <v>1236.9000000000001</v>
      </c>
      <c r="L29" s="36">
        <v>179.99</v>
      </c>
      <c r="M29" s="36">
        <v>118.74</v>
      </c>
      <c r="N29" s="36">
        <f t="shared" si="2"/>
        <v>1800.68</v>
      </c>
      <c r="O29" s="36">
        <f t="shared" si="3"/>
        <v>7284.32</v>
      </c>
      <c r="P29" s="74">
        <f>125</f>
        <v>125</v>
      </c>
      <c r="Q29" s="78"/>
      <c r="R29" s="78"/>
      <c r="S29" s="78"/>
      <c r="T29" s="78"/>
      <c r="U29" s="78"/>
      <c r="V29" s="78"/>
      <c r="W29" s="79"/>
      <c r="X29" s="79"/>
    </row>
    <row r="30" spans="1:24" s="80" customFormat="1" ht="27" customHeight="1" x14ac:dyDescent="0.2">
      <c r="A30" s="69">
        <v>20</v>
      </c>
      <c r="B30" s="57" t="s">
        <v>477</v>
      </c>
      <c r="C30" s="34" t="s">
        <v>478</v>
      </c>
      <c r="D30" s="77">
        <v>2328</v>
      </c>
      <c r="E30" s="71">
        <v>0</v>
      </c>
      <c r="F30" s="72">
        <v>0</v>
      </c>
      <c r="G30" s="73">
        <v>0</v>
      </c>
      <c r="H30" s="73">
        <v>0</v>
      </c>
      <c r="I30" s="36">
        <f t="shared" si="0"/>
        <v>2328</v>
      </c>
      <c r="J30" s="36">
        <f t="shared" si="1"/>
        <v>69.84</v>
      </c>
      <c r="K30" s="36">
        <f>D30*11%</f>
        <v>256.08</v>
      </c>
      <c r="L30" s="36">
        <v>0</v>
      </c>
      <c r="M30" s="36">
        <v>0</v>
      </c>
      <c r="N30" s="36">
        <f t="shared" si="2"/>
        <v>325.92</v>
      </c>
      <c r="O30" s="36">
        <f t="shared" si="3"/>
        <v>2002.08</v>
      </c>
      <c r="P30" s="74">
        <v>0</v>
      </c>
      <c r="Q30" s="78"/>
      <c r="R30" s="78"/>
      <c r="S30" s="78"/>
      <c r="T30" s="78"/>
      <c r="U30" s="78"/>
      <c r="V30" s="78"/>
      <c r="W30" s="79"/>
      <c r="X30" s="79"/>
    </row>
    <row r="31" spans="1:24" s="80" customFormat="1" ht="27" customHeight="1" x14ac:dyDescent="0.2">
      <c r="A31" s="69">
        <v>21</v>
      </c>
      <c r="B31" s="95" t="s">
        <v>479</v>
      </c>
      <c r="C31" s="96" t="s">
        <v>463</v>
      </c>
      <c r="D31" s="29">
        <v>6759</v>
      </c>
      <c r="E31" s="71">
        <v>4000</v>
      </c>
      <c r="F31" s="72">
        <v>375</v>
      </c>
      <c r="G31" s="73">
        <v>250</v>
      </c>
      <c r="H31" s="73">
        <v>0</v>
      </c>
      <c r="I31" s="36">
        <f t="shared" si="0"/>
        <v>11384</v>
      </c>
      <c r="J31" s="36">
        <f t="shared" si="1"/>
        <v>334.02</v>
      </c>
      <c r="K31" s="36">
        <f>(D31+E31+F31)*15%</f>
        <v>1670.1</v>
      </c>
      <c r="L31" s="36">
        <v>269.83</v>
      </c>
      <c r="M31" s="36">
        <v>149.63999999999999</v>
      </c>
      <c r="N31" s="36">
        <f t="shared" si="2"/>
        <v>2423.59</v>
      </c>
      <c r="O31" s="36">
        <f t="shared" si="3"/>
        <v>8960.41</v>
      </c>
      <c r="P31" s="74">
        <v>0</v>
      </c>
      <c r="Q31" s="78"/>
      <c r="R31" s="78"/>
      <c r="S31" s="78"/>
      <c r="T31" s="78"/>
      <c r="U31" s="78"/>
      <c r="V31" s="78"/>
      <c r="W31" s="79"/>
      <c r="X31" s="79"/>
    </row>
    <row r="32" spans="1:24" s="80" customFormat="1" ht="27" customHeight="1" x14ac:dyDescent="0.2">
      <c r="A32" s="69">
        <v>22</v>
      </c>
      <c r="B32" s="83" t="s">
        <v>480</v>
      </c>
      <c r="C32" s="57" t="s">
        <v>481</v>
      </c>
      <c r="D32" s="70">
        <v>2037</v>
      </c>
      <c r="E32" s="71">
        <v>0</v>
      </c>
      <c r="F32" s="72">
        <v>0</v>
      </c>
      <c r="G32" s="73">
        <v>0</v>
      </c>
      <c r="H32" s="73">
        <v>0</v>
      </c>
      <c r="I32" s="36">
        <f t="shared" si="0"/>
        <v>2037</v>
      </c>
      <c r="J32" s="36">
        <f t="shared" si="1"/>
        <v>61.11</v>
      </c>
      <c r="K32" s="36">
        <f>D32*11%</f>
        <v>224.07</v>
      </c>
      <c r="L32" s="36">
        <v>0</v>
      </c>
      <c r="M32" s="36">
        <v>0</v>
      </c>
      <c r="N32" s="36">
        <f t="shared" si="2"/>
        <v>285.18</v>
      </c>
      <c r="O32" s="36">
        <f t="shared" si="3"/>
        <v>1751.82</v>
      </c>
      <c r="P32" s="74">
        <v>0</v>
      </c>
      <c r="Q32" s="78"/>
      <c r="R32" s="78"/>
      <c r="S32" s="78"/>
      <c r="T32" s="78"/>
      <c r="U32" s="78"/>
      <c r="V32" s="78"/>
      <c r="W32" s="79"/>
      <c r="X32" s="79"/>
    </row>
    <row r="33" spans="1:24" s="80" customFormat="1" ht="27" customHeight="1" x14ac:dyDescent="0.2">
      <c r="A33" s="69">
        <v>23</v>
      </c>
      <c r="B33" s="57" t="s">
        <v>482</v>
      </c>
      <c r="C33" s="57" t="s">
        <v>449</v>
      </c>
      <c r="D33" s="77">
        <v>1940</v>
      </c>
      <c r="E33" s="71">
        <v>0</v>
      </c>
      <c r="F33" s="72">
        <v>0</v>
      </c>
      <c r="G33" s="73">
        <v>0</v>
      </c>
      <c r="H33" s="73">
        <v>0</v>
      </c>
      <c r="I33" s="36">
        <f t="shared" si="0"/>
        <v>1940</v>
      </c>
      <c r="J33" s="36">
        <f t="shared" si="1"/>
        <v>58.2</v>
      </c>
      <c r="K33" s="36">
        <f>D33*10%</f>
        <v>194</v>
      </c>
      <c r="L33" s="36">
        <v>0</v>
      </c>
      <c r="M33" s="36">
        <v>0</v>
      </c>
      <c r="N33" s="36">
        <f t="shared" si="2"/>
        <v>252.2</v>
      </c>
      <c r="O33" s="36">
        <f t="shared" si="3"/>
        <v>1687.8</v>
      </c>
      <c r="P33" s="74">
        <v>0</v>
      </c>
      <c r="Q33" s="78"/>
      <c r="R33" s="78"/>
      <c r="S33" s="78"/>
      <c r="T33" s="78"/>
      <c r="U33" s="78"/>
      <c r="V33" s="78"/>
      <c r="W33" s="79"/>
      <c r="X33" s="79"/>
    </row>
    <row r="34" spans="1:24" s="80" customFormat="1" ht="27" customHeight="1" x14ac:dyDescent="0.2">
      <c r="A34" s="69">
        <v>24</v>
      </c>
      <c r="B34" s="82" t="s">
        <v>483</v>
      </c>
      <c r="C34" s="85" t="s">
        <v>484</v>
      </c>
      <c r="D34" s="72">
        <v>2375</v>
      </c>
      <c r="E34" s="72">
        <f>2000</f>
        <v>2000</v>
      </c>
      <c r="F34" s="72">
        <v>0</v>
      </c>
      <c r="G34" s="72">
        <v>250</v>
      </c>
      <c r="H34" s="73">
        <v>0</v>
      </c>
      <c r="I34" s="36">
        <f t="shared" si="0"/>
        <v>4625</v>
      </c>
      <c r="J34" s="36">
        <f t="shared" si="1"/>
        <v>131.25</v>
      </c>
      <c r="K34" s="36">
        <f>(D34+E34)*11%</f>
        <v>481.25</v>
      </c>
      <c r="L34" s="36">
        <v>0</v>
      </c>
      <c r="M34" s="36">
        <v>45.36</v>
      </c>
      <c r="N34" s="36">
        <f t="shared" si="2"/>
        <v>657.86</v>
      </c>
      <c r="O34" s="36">
        <f t="shared" si="3"/>
        <v>3967.14</v>
      </c>
      <c r="P34" s="74">
        <v>0</v>
      </c>
      <c r="Q34" s="78"/>
      <c r="R34" s="78"/>
      <c r="S34" s="78"/>
      <c r="T34" s="78"/>
      <c r="U34" s="78"/>
      <c r="V34" s="78"/>
      <c r="W34" s="79"/>
      <c r="X34" s="79"/>
    </row>
    <row r="35" spans="1:24" s="80" customFormat="1" ht="27" customHeight="1" x14ac:dyDescent="0.2">
      <c r="A35" s="69">
        <v>25</v>
      </c>
      <c r="B35" s="84" t="s">
        <v>485</v>
      </c>
      <c r="C35" s="57" t="s">
        <v>486</v>
      </c>
      <c r="D35" s="97">
        <v>2234</v>
      </c>
      <c r="E35" s="98">
        <v>1900</v>
      </c>
      <c r="F35" s="72">
        <v>0</v>
      </c>
      <c r="G35" s="72">
        <v>250</v>
      </c>
      <c r="H35" s="73">
        <v>0</v>
      </c>
      <c r="I35" s="36">
        <f t="shared" si="0"/>
        <v>4384</v>
      </c>
      <c r="J35" s="36">
        <f t="shared" si="1"/>
        <v>124.02</v>
      </c>
      <c r="K35" s="36">
        <f>(D35+E35+F35)*12%</f>
        <v>496.08</v>
      </c>
      <c r="L35" s="36">
        <v>0</v>
      </c>
      <c r="M35" s="36">
        <v>55.56</v>
      </c>
      <c r="N35" s="36">
        <f t="shared" si="2"/>
        <v>675.66</v>
      </c>
      <c r="O35" s="36">
        <f t="shared" si="3"/>
        <v>3708.34</v>
      </c>
      <c r="P35" s="74">
        <f>640</f>
        <v>640</v>
      </c>
      <c r="Q35" s="78"/>
      <c r="R35" s="78"/>
      <c r="S35" s="78"/>
      <c r="T35" s="78"/>
      <c r="U35" s="78"/>
      <c r="V35" s="78"/>
      <c r="W35" s="79"/>
      <c r="X35" s="79"/>
    </row>
    <row r="36" spans="1:24" s="80" customFormat="1" ht="27" customHeight="1" x14ac:dyDescent="0.2">
      <c r="A36" s="69">
        <v>26</v>
      </c>
      <c r="B36" s="82" t="s">
        <v>487</v>
      </c>
      <c r="C36" s="85" t="s">
        <v>488</v>
      </c>
      <c r="D36" s="72">
        <v>3241</v>
      </c>
      <c r="E36" s="72">
        <v>1000</v>
      </c>
      <c r="F36" s="72">
        <v>0</v>
      </c>
      <c r="G36" s="72">
        <v>250</v>
      </c>
      <c r="H36" s="73">
        <v>0</v>
      </c>
      <c r="I36" s="36">
        <f t="shared" si="0"/>
        <v>4491</v>
      </c>
      <c r="J36" s="36">
        <f t="shared" si="1"/>
        <v>127.23</v>
      </c>
      <c r="K36" s="36">
        <f>(D36+E36)*12%</f>
        <v>508.92</v>
      </c>
      <c r="L36" s="36">
        <v>0</v>
      </c>
      <c r="M36" s="36">
        <v>0</v>
      </c>
      <c r="N36" s="36">
        <f t="shared" si="2"/>
        <v>636.15</v>
      </c>
      <c r="O36" s="36">
        <f t="shared" si="3"/>
        <v>3854.85</v>
      </c>
      <c r="P36" s="74">
        <v>0</v>
      </c>
      <c r="Q36" s="78"/>
      <c r="R36" s="78"/>
      <c r="S36" s="78"/>
      <c r="T36" s="78"/>
      <c r="U36" s="78"/>
      <c r="V36" s="78"/>
      <c r="W36" s="79"/>
      <c r="X36" s="79"/>
    </row>
    <row r="37" spans="1:24" s="80" customFormat="1" ht="27" customHeight="1" x14ac:dyDescent="0.2">
      <c r="A37" s="69">
        <v>27</v>
      </c>
      <c r="B37" s="57" t="s">
        <v>489</v>
      </c>
      <c r="C37" s="57" t="s">
        <v>490</v>
      </c>
      <c r="D37" s="70">
        <v>1668</v>
      </c>
      <c r="E37" s="70">
        <v>1000</v>
      </c>
      <c r="F37" s="72">
        <v>0</v>
      </c>
      <c r="G37" s="73">
        <v>250</v>
      </c>
      <c r="H37" s="73">
        <v>0</v>
      </c>
      <c r="I37" s="36">
        <f t="shared" si="0"/>
        <v>2918</v>
      </c>
      <c r="J37" s="36">
        <f t="shared" si="1"/>
        <v>80.040000000000006</v>
      </c>
      <c r="K37" s="36">
        <f>(D37+E37)*11%</f>
        <v>293.48</v>
      </c>
      <c r="L37" s="36">
        <v>0</v>
      </c>
      <c r="M37" s="36">
        <v>0</v>
      </c>
      <c r="N37" s="36">
        <f t="shared" si="2"/>
        <v>373.52</v>
      </c>
      <c r="O37" s="36">
        <f t="shared" si="3"/>
        <v>2544.48</v>
      </c>
      <c r="P37" s="74">
        <v>0</v>
      </c>
      <c r="Q37" s="78"/>
      <c r="R37" s="78"/>
      <c r="S37" s="78"/>
      <c r="T37" s="78"/>
      <c r="U37" s="78"/>
      <c r="V37" s="78"/>
      <c r="W37" s="79"/>
      <c r="X37" s="79"/>
    </row>
    <row r="38" spans="1:24" s="80" customFormat="1" ht="27" customHeight="1" x14ac:dyDescent="0.2">
      <c r="A38" s="69">
        <v>28</v>
      </c>
      <c r="B38" s="57" t="s">
        <v>491</v>
      </c>
      <c r="C38" s="57" t="s">
        <v>447</v>
      </c>
      <c r="D38" s="77">
        <v>2425</v>
      </c>
      <c r="E38" s="71">
        <v>2000</v>
      </c>
      <c r="F38" s="72">
        <v>0</v>
      </c>
      <c r="G38" s="73">
        <v>0</v>
      </c>
      <c r="H38" s="73">
        <v>0</v>
      </c>
      <c r="I38" s="36">
        <f t="shared" si="0"/>
        <v>4425</v>
      </c>
      <c r="J38" s="36">
        <f t="shared" si="1"/>
        <v>132.75</v>
      </c>
      <c r="K38" s="36">
        <f>D38*11%</f>
        <v>266.75</v>
      </c>
      <c r="L38" s="36">
        <v>0</v>
      </c>
      <c r="M38" s="36">
        <v>0</v>
      </c>
      <c r="N38" s="36">
        <f t="shared" si="2"/>
        <v>399.5</v>
      </c>
      <c r="O38" s="36">
        <f t="shared" si="3"/>
        <v>4025.5</v>
      </c>
      <c r="P38" s="74">
        <v>0</v>
      </c>
      <c r="Q38" s="78"/>
      <c r="R38" s="78"/>
      <c r="S38" s="78"/>
      <c r="T38" s="78"/>
      <c r="U38" s="78"/>
      <c r="V38" s="78"/>
      <c r="W38" s="79"/>
      <c r="X38" s="79"/>
    </row>
    <row r="39" spans="1:24" s="80" customFormat="1" ht="27" customHeight="1" x14ac:dyDescent="0.2">
      <c r="A39" s="69">
        <v>29</v>
      </c>
      <c r="B39" s="57" t="s">
        <v>492</v>
      </c>
      <c r="C39" s="57" t="s">
        <v>493</v>
      </c>
      <c r="D39" s="70">
        <v>1831</v>
      </c>
      <c r="E39" s="71">
        <v>1000</v>
      </c>
      <c r="F39" s="72">
        <v>0</v>
      </c>
      <c r="G39" s="73">
        <v>250</v>
      </c>
      <c r="H39" s="73">
        <v>0</v>
      </c>
      <c r="I39" s="36">
        <f t="shared" si="0"/>
        <v>3081</v>
      </c>
      <c r="J39" s="36">
        <f t="shared" si="1"/>
        <v>84.93</v>
      </c>
      <c r="K39" s="36">
        <f>(D39+E39)*11%</f>
        <v>311.41000000000003</v>
      </c>
      <c r="L39" s="36">
        <v>0</v>
      </c>
      <c r="M39" s="36">
        <v>0</v>
      </c>
      <c r="N39" s="36">
        <f t="shared" si="2"/>
        <v>396.34</v>
      </c>
      <c r="O39" s="36">
        <f t="shared" si="3"/>
        <v>2684.66</v>
      </c>
      <c r="P39" s="74">
        <v>0</v>
      </c>
      <c r="Q39" s="78"/>
      <c r="R39" s="78"/>
      <c r="S39" s="78"/>
      <c r="T39" s="78"/>
      <c r="U39" s="78"/>
      <c r="V39" s="78"/>
      <c r="W39" s="79"/>
      <c r="X39" s="79"/>
    </row>
    <row r="40" spans="1:24" s="80" customFormat="1" ht="27" customHeight="1" x14ac:dyDescent="0.2">
      <c r="A40" s="69">
        <v>30</v>
      </c>
      <c r="B40" s="57" t="s">
        <v>494</v>
      </c>
      <c r="C40" s="34" t="s">
        <v>478</v>
      </c>
      <c r="D40" s="77">
        <v>2328</v>
      </c>
      <c r="E40" s="71">
        <v>0</v>
      </c>
      <c r="F40" s="72">
        <v>0</v>
      </c>
      <c r="G40" s="73">
        <v>0</v>
      </c>
      <c r="H40" s="73">
        <v>0</v>
      </c>
      <c r="I40" s="36">
        <f t="shared" si="0"/>
        <v>2328</v>
      </c>
      <c r="J40" s="36">
        <f t="shared" si="1"/>
        <v>69.84</v>
      </c>
      <c r="K40" s="36">
        <f>D40*11%</f>
        <v>256.08</v>
      </c>
      <c r="L40" s="36">
        <v>0</v>
      </c>
      <c r="M40" s="36">
        <v>0</v>
      </c>
      <c r="N40" s="36">
        <f t="shared" si="2"/>
        <v>325.92</v>
      </c>
      <c r="O40" s="36">
        <f t="shared" si="3"/>
        <v>2002.08</v>
      </c>
      <c r="P40" s="74">
        <v>0</v>
      </c>
      <c r="Q40" s="78"/>
      <c r="R40" s="78"/>
      <c r="S40" s="78"/>
      <c r="T40" s="78"/>
      <c r="U40" s="78"/>
      <c r="V40" s="78"/>
      <c r="W40" s="79"/>
      <c r="X40" s="79"/>
    </row>
    <row r="41" spans="1:24" s="80" customFormat="1" ht="27" customHeight="1" x14ac:dyDescent="0.2">
      <c r="A41" s="69">
        <v>31</v>
      </c>
      <c r="B41" s="82" t="s">
        <v>495</v>
      </c>
      <c r="C41" s="85" t="s">
        <v>496</v>
      </c>
      <c r="D41" s="72">
        <v>3081</v>
      </c>
      <c r="E41" s="72">
        <v>1000</v>
      </c>
      <c r="F41" s="72">
        <v>0</v>
      </c>
      <c r="G41" s="72">
        <v>250</v>
      </c>
      <c r="H41" s="73">
        <v>0</v>
      </c>
      <c r="I41" s="36">
        <f t="shared" si="0"/>
        <v>4331</v>
      </c>
      <c r="J41" s="36">
        <f t="shared" si="1"/>
        <v>122.43</v>
      </c>
      <c r="K41" s="36">
        <f t="shared" ref="K41:K42" si="7">(D41+E41+F41)*12%</f>
        <v>489.72</v>
      </c>
      <c r="L41" s="36">
        <v>0</v>
      </c>
      <c r="M41" s="36">
        <v>0</v>
      </c>
      <c r="N41" s="36">
        <f t="shared" si="2"/>
        <v>612.15</v>
      </c>
      <c r="O41" s="36">
        <f t="shared" si="3"/>
        <v>3718.85</v>
      </c>
      <c r="P41" s="74">
        <v>0</v>
      </c>
      <c r="Q41" s="78"/>
      <c r="R41" s="78"/>
      <c r="S41" s="78"/>
      <c r="T41" s="78"/>
      <c r="U41" s="78"/>
      <c r="V41" s="78"/>
      <c r="W41" s="79"/>
      <c r="X41" s="79"/>
    </row>
    <row r="42" spans="1:24" s="80" customFormat="1" ht="27" customHeight="1" x14ac:dyDescent="0.2">
      <c r="A42" s="69">
        <v>32</v>
      </c>
      <c r="B42" s="57" t="s">
        <v>497</v>
      </c>
      <c r="C42" s="57" t="s">
        <v>498</v>
      </c>
      <c r="D42" s="70">
        <v>3241</v>
      </c>
      <c r="E42" s="70">
        <v>1000</v>
      </c>
      <c r="F42" s="73">
        <v>0</v>
      </c>
      <c r="G42" s="73">
        <v>250</v>
      </c>
      <c r="H42" s="73">
        <v>0</v>
      </c>
      <c r="I42" s="36">
        <f t="shared" si="0"/>
        <v>4491</v>
      </c>
      <c r="J42" s="36">
        <f t="shared" si="1"/>
        <v>127.23</v>
      </c>
      <c r="K42" s="36">
        <f t="shared" si="7"/>
        <v>508.92</v>
      </c>
      <c r="L42" s="36">
        <v>0</v>
      </c>
      <c r="M42" s="36">
        <v>0</v>
      </c>
      <c r="N42" s="36">
        <f t="shared" si="2"/>
        <v>636.15</v>
      </c>
      <c r="O42" s="36">
        <f t="shared" si="3"/>
        <v>3854.85</v>
      </c>
      <c r="P42" s="74">
        <f>1055</f>
        <v>1055</v>
      </c>
      <c r="Q42" s="78"/>
      <c r="R42" s="78"/>
      <c r="S42" s="78"/>
      <c r="T42" s="78"/>
      <c r="U42" s="78"/>
      <c r="V42" s="78"/>
      <c r="W42" s="79"/>
      <c r="X42" s="79"/>
    </row>
    <row r="43" spans="1:24" s="80" customFormat="1" ht="27" customHeight="1" x14ac:dyDescent="0.2">
      <c r="A43" s="69">
        <v>33</v>
      </c>
      <c r="B43" s="57" t="s">
        <v>499</v>
      </c>
      <c r="C43" s="57" t="s">
        <v>490</v>
      </c>
      <c r="D43" s="70">
        <v>1668</v>
      </c>
      <c r="E43" s="70">
        <v>1000</v>
      </c>
      <c r="F43" s="72">
        <v>0</v>
      </c>
      <c r="G43" s="73">
        <v>250</v>
      </c>
      <c r="H43" s="73">
        <v>0</v>
      </c>
      <c r="I43" s="36">
        <f t="shared" si="0"/>
        <v>2918</v>
      </c>
      <c r="J43" s="36">
        <f t="shared" si="1"/>
        <v>80.040000000000006</v>
      </c>
      <c r="K43" s="36">
        <f>(D43+E43)*11%</f>
        <v>293.48</v>
      </c>
      <c r="L43" s="36">
        <v>0</v>
      </c>
      <c r="M43" s="36">
        <v>0</v>
      </c>
      <c r="N43" s="36">
        <f t="shared" si="2"/>
        <v>373.52</v>
      </c>
      <c r="O43" s="36">
        <f t="shared" si="3"/>
        <v>2544.48</v>
      </c>
      <c r="P43" s="74">
        <v>0</v>
      </c>
      <c r="Q43" s="78"/>
      <c r="R43" s="78"/>
      <c r="S43" s="78"/>
      <c r="T43" s="78"/>
      <c r="U43" s="78"/>
      <c r="V43" s="78"/>
      <c r="W43" s="79"/>
      <c r="X43" s="79"/>
    </row>
    <row r="44" spans="1:24" s="80" customFormat="1" ht="27" customHeight="1" x14ac:dyDescent="0.2">
      <c r="A44" s="69">
        <v>34</v>
      </c>
      <c r="B44" s="33" t="s">
        <v>500</v>
      </c>
      <c r="C44" s="57" t="s">
        <v>481</v>
      </c>
      <c r="D44" s="70">
        <v>2037</v>
      </c>
      <c r="E44" s="71">
        <v>0</v>
      </c>
      <c r="F44" s="72">
        <v>0</v>
      </c>
      <c r="G44" s="73">
        <v>0</v>
      </c>
      <c r="H44" s="73">
        <v>0</v>
      </c>
      <c r="I44" s="36">
        <f t="shared" si="0"/>
        <v>2037</v>
      </c>
      <c r="J44" s="36">
        <f t="shared" si="1"/>
        <v>61.11</v>
      </c>
      <c r="K44" s="36">
        <f>D44*11%</f>
        <v>224.07</v>
      </c>
      <c r="L44" s="36">
        <v>0</v>
      </c>
      <c r="M44" s="36">
        <v>0</v>
      </c>
      <c r="N44" s="36">
        <f t="shared" si="2"/>
        <v>285.18</v>
      </c>
      <c r="O44" s="36">
        <f t="shared" si="3"/>
        <v>1751.82</v>
      </c>
      <c r="P44" s="74">
        <v>0</v>
      </c>
      <c r="Q44" s="78"/>
      <c r="R44" s="78"/>
      <c r="S44" s="78"/>
      <c r="T44" s="78"/>
      <c r="U44" s="78"/>
      <c r="V44" s="78"/>
      <c r="W44" s="79"/>
      <c r="X44" s="79"/>
    </row>
    <row r="45" spans="1:24" s="80" customFormat="1" ht="27" customHeight="1" x14ac:dyDescent="0.2">
      <c r="A45" s="69">
        <v>35</v>
      </c>
      <c r="B45" s="99" t="s">
        <v>501</v>
      </c>
      <c r="C45" s="57" t="s">
        <v>502</v>
      </c>
      <c r="D45" s="100">
        <v>2392</v>
      </c>
      <c r="E45" s="71">
        <v>1900</v>
      </c>
      <c r="F45" s="72">
        <v>0</v>
      </c>
      <c r="G45" s="73">
        <v>250</v>
      </c>
      <c r="H45" s="73">
        <v>0</v>
      </c>
      <c r="I45" s="36">
        <f t="shared" si="0"/>
        <v>4542</v>
      </c>
      <c r="J45" s="36">
        <f t="shared" si="1"/>
        <v>128.76</v>
      </c>
      <c r="K45" s="36">
        <f>(D45+E45+F45)*12%</f>
        <v>515.04</v>
      </c>
      <c r="L45" s="36">
        <v>0</v>
      </c>
      <c r="M45" s="36">
        <v>0</v>
      </c>
      <c r="N45" s="36">
        <f t="shared" si="2"/>
        <v>643.79999999999995</v>
      </c>
      <c r="O45" s="36">
        <f t="shared" si="3"/>
        <v>3898.2</v>
      </c>
      <c r="P45" s="74">
        <v>0</v>
      </c>
      <c r="Q45" s="78"/>
      <c r="R45" s="78"/>
      <c r="S45" s="78"/>
      <c r="T45" s="78"/>
      <c r="U45" s="78"/>
      <c r="V45" s="78"/>
      <c r="W45" s="79"/>
      <c r="X45" s="79"/>
    </row>
    <row r="46" spans="1:24" s="80" customFormat="1" ht="27" customHeight="1" x14ac:dyDescent="0.2">
      <c r="A46" s="69">
        <v>36</v>
      </c>
      <c r="B46" s="33" t="s">
        <v>503</v>
      </c>
      <c r="C46" s="34" t="s">
        <v>504</v>
      </c>
      <c r="D46" s="70">
        <v>1902</v>
      </c>
      <c r="E46" s="71">
        <v>1000</v>
      </c>
      <c r="F46" s="72">
        <v>0</v>
      </c>
      <c r="G46" s="73">
        <v>250</v>
      </c>
      <c r="H46" s="73">
        <v>0</v>
      </c>
      <c r="I46" s="36">
        <f t="shared" si="0"/>
        <v>3152</v>
      </c>
      <c r="J46" s="36">
        <f t="shared" si="1"/>
        <v>87.06</v>
      </c>
      <c r="K46" s="36">
        <f>(D46+E46)*11%</f>
        <v>319.22000000000003</v>
      </c>
      <c r="L46" s="36">
        <v>0</v>
      </c>
      <c r="M46" s="36">
        <v>0</v>
      </c>
      <c r="N46" s="36">
        <f t="shared" si="2"/>
        <v>406.28</v>
      </c>
      <c r="O46" s="36">
        <f t="shared" si="3"/>
        <v>2745.72</v>
      </c>
      <c r="P46" s="74">
        <v>0</v>
      </c>
      <c r="Q46" s="78"/>
      <c r="R46" s="78"/>
      <c r="S46" s="78"/>
      <c r="T46" s="78"/>
      <c r="U46" s="78"/>
      <c r="V46" s="78"/>
      <c r="W46" s="79"/>
      <c r="X46" s="79"/>
    </row>
    <row r="47" spans="1:24" s="80" customFormat="1" ht="27" customHeight="1" x14ac:dyDescent="0.2">
      <c r="A47" s="69">
        <v>37</v>
      </c>
      <c r="B47" s="57" t="s">
        <v>505</v>
      </c>
      <c r="C47" s="57" t="s">
        <v>447</v>
      </c>
      <c r="D47" s="70">
        <v>2425</v>
      </c>
      <c r="E47" s="71">
        <v>0</v>
      </c>
      <c r="F47" s="72">
        <v>0</v>
      </c>
      <c r="G47" s="73">
        <v>0</v>
      </c>
      <c r="H47" s="73">
        <v>0</v>
      </c>
      <c r="I47" s="36">
        <f t="shared" si="0"/>
        <v>2425</v>
      </c>
      <c r="J47" s="36">
        <f t="shared" si="1"/>
        <v>72.75</v>
      </c>
      <c r="K47" s="36">
        <f>D47*11%</f>
        <v>266.75</v>
      </c>
      <c r="L47" s="36">
        <v>0</v>
      </c>
      <c r="M47" s="36">
        <v>0</v>
      </c>
      <c r="N47" s="36">
        <f t="shared" si="2"/>
        <v>339.5</v>
      </c>
      <c r="O47" s="36">
        <f t="shared" si="3"/>
        <v>2085.5</v>
      </c>
      <c r="P47" s="74">
        <v>0</v>
      </c>
      <c r="Q47" s="79"/>
      <c r="R47" s="79"/>
      <c r="S47" s="79"/>
      <c r="T47" s="79"/>
      <c r="U47" s="79"/>
      <c r="V47" s="79"/>
      <c r="W47" s="79"/>
      <c r="X47" s="79"/>
    </row>
    <row r="48" spans="1:24" s="80" customFormat="1" ht="27" customHeight="1" x14ac:dyDescent="0.2">
      <c r="A48" s="69">
        <v>38</v>
      </c>
      <c r="B48" s="57" t="s">
        <v>506</v>
      </c>
      <c r="C48" s="57" t="s">
        <v>449</v>
      </c>
      <c r="D48" s="70">
        <v>1940</v>
      </c>
      <c r="E48" s="71">
        <v>0</v>
      </c>
      <c r="F48" s="72">
        <v>0</v>
      </c>
      <c r="G48" s="73">
        <v>250</v>
      </c>
      <c r="H48" s="73">
        <v>0</v>
      </c>
      <c r="I48" s="36">
        <f t="shared" si="0"/>
        <v>2190</v>
      </c>
      <c r="J48" s="36">
        <f t="shared" si="1"/>
        <v>58.2</v>
      </c>
      <c r="K48" s="36">
        <f>D48*10%</f>
        <v>194</v>
      </c>
      <c r="L48" s="36">
        <v>0</v>
      </c>
      <c r="M48" s="36">
        <v>0</v>
      </c>
      <c r="N48" s="36">
        <f t="shared" si="2"/>
        <v>252.2</v>
      </c>
      <c r="O48" s="36">
        <f t="shared" si="3"/>
        <v>1937.8</v>
      </c>
      <c r="P48" s="74">
        <v>0</v>
      </c>
      <c r="Q48" s="79"/>
      <c r="R48" s="79"/>
      <c r="S48" s="79"/>
      <c r="T48" s="79"/>
      <c r="U48" s="79"/>
      <c r="V48" s="79"/>
      <c r="W48" s="79"/>
      <c r="X48" s="79"/>
    </row>
    <row r="49" spans="1:24" s="80" customFormat="1" ht="27" customHeight="1" x14ac:dyDescent="0.2">
      <c r="A49" s="69">
        <v>39</v>
      </c>
      <c r="B49" s="57" t="s">
        <v>507</v>
      </c>
      <c r="C49" s="57" t="s">
        <v>465</v>
      </c>
      <c r="D49" s="70">
        <v>1902</v>
      </c>
      <c r="E49" s="70">
        <v>1000</v>
      </c>
      <c r="F49" s="72">
        <v>0</v>
      </c>
      <c r="G49" s="73">
        <v>250</v>
      </c>
      <c r="H49" s="73">
        <v>0</v>
      </c>
      <c r="I49" s="36">
        <f t="shared" si="0"/>
        <v>3152</v>
      </c>
      <c r="J49" s="36">
        <f t="shared" si="1"/>
        <v>87.06</v>
      </c>
      <c r="K49" s="36">
        <f>(D49+E49)*11%</f>
        <v>319.22000000000003</v>
      </c>
      <c r="L49" s="36">
        <v>0</v>
      </c>
      <c r="M49" s="36">
        <v>0</v>
      </c>
      <c r="N49" s="36">
        <f t="shared" si="2"/>
        <v>406.28</v>
      </c>
      <c r="O49" s="36">
        <f t="shared" si="3"/>
        <v>2745.72</v>
      </c>
      <c r="P49" s="74">
        <v>0</v>
      </c>
      <c r="Q49" s="79"/>
      <c r="R49" s="79"/>
      <c r="S49" s="79"/>
      <c r="T49" s="79"/>
      <c r="U49" s="79"/>
      <c r="V49" s="79"/>
      <c r="W49" s="79"/>
      <c r="X49" s="79"/>
    </row>
    <row r="50" spans="1:24" s="80" customFormat="1" ht="27" customHeight="1" x14ac:dyDescent="0.2">
      <c r="A50" s="69">
        <v>40</v>
      </c>
      <c r="B50" s="34" t="s">
        <v>508</v>
      </c>
      <c r="C50" s="57" t="s">
        <v>509</v>
      </c>
      <c r="D50" s="36">
        <v>3081</v>
      </c>
      <c r="E50" s="36">
        <v>1000</v>
      </c>
      <c r="F50" s="72">
        <v>0</v>
      </c>
      <c r="G50" s="73">
        <v>250</v>
      </c>
      <c r="H50" s="73">
        <v>0</v>
      </c>
      <c r="I50" s="36">
        <f t="shared" si="0"/>
        <v>4331</v>
      </c>
      <c r="J50" s="36">
        <f t="shared" si="1"/>
        <v>122.43</v>
      </c>
      <c r="K50" s="36">
        <f>(D50+E50)*12%</f>
        <v>489.72</v>
      </c>
      <c r="L50" s="36">
        <v>0</v>
      </c>
      <c r="M50" s="36">
        <v>0</v>
      </c>
      <c r="N50" s="36">
        <f t="shared" si="2"/>
        <v>612.15</v>
      </c>
      <c r="O50" s="36">
        <f t="shared" si="3"/>
        <v>3718.85</v>
      </c>
      <c r="P50" s="74">
        <v>0</v>
      </c>
      <c r="Q50" s="79"/>
      <c r="R50" s="79"/>
      <c r="S50" s="79"/>
      <c r="T50" s="79"/>
      <c r="U50" s="79"/>
      <c r="V50" s="79"/>
      <c r="W50" s="79"/>
      <c r="X50" s="79"/>
    </row>
    <row r="51" spans="1:24" s="80" customFormat="1" ht="27" customHeight="1" x14ac:dyDescent="0.2">
      <c r="A51" s="69">
        <v>41</v>
      </c>
      <c r="B51" s="57" t="s">
        <v>510</v>
      </c>
      <c r="C51" s="57" t="s">
        <v>447</v>
      </c>
      <c r="D51" s="70">
        <v>2425</v>
      </c>
      <c r="E51" s="71">
        <v>0</v>
      </c>
      <c r="F51" s="72">
        <v>0</v>
      </c>
      <c r="G51" s="73">
        <v>0</v>
      </c>
      <c r="H51" s="73">
        <v>0</v>
      </c>
      <c r="I51" s="36">
        <f t="shared" si="0"/>
        <v>2425</v>
      </c>
      <c r="J51" s="36">
        <f t="shared" si="1"/>
        <v>72.75</v>
      </c>
      <c r="K51" s="36">
        <f>D51*11%</f>
        <v>266.75</v>
      </c>
      <c r="L51" s="36">
        <v>0</v>
      </c>
      <c r="M51" s="36">
        <v>0</v>
      </c>
      <c r="N51" s="36">
        <f t="shared" si="2"/>
        <v>339.5</v>
      </c>
      <c r="O51" s="36">
        <f t="shared" si="3"/>
        <v>2085.5</v>
      </c>
      <c r="P51" s="74">
        <v>0</v>
      </c>
      <c r="Q51" s="79"/>
      <c r="R51" s="79"/>
      <c r="S51" s="79"/>
      <c r="T51" s="101"/>
      <c r="U51" s="79"/>
      <c r="V51" s="79"/>
      <c r="W51" s="79"/>
      <c r="X51" s="79"/>
    </row>
    <row r="52" spans="1:24" s="80" customFormat="1" ht="27" customHeight="1" x14ac:dyDescent="0.2">
      <c r="A52" s="69">
        <v>42</v>
      </c>
      <c r="B52" s="57" t="s">
        <v>511</v>
      </c>
      <c r="C52" s="57" t="s">
        <v>449</v>
      </c>
      <c r="D52" s="77">
        <v>1940</v>
      </c>
      <c r="E52" s="71">
        <v>0</v>
      </c>
      <c r="F52" s="72">
        <v>0</v>
      </c>
      <c r="G52" s="73">
        <v>0</v>
      </c>
      <c r="H52" s="73">
        <v>0</v>
      </c>
      <c r="I52" s="36">
        <f t="shared" si="0"/>
        <v>1940</v>
      </c>
      <c r="J52" s="36">
        <f t="shared" si="1"/>
        <v>58.2</v>
      </c>
      <c r="K52" s="36">
        <f>D52*10%</f>
        <v>194</v>
      </c>
      <c r="L52" s="36">
        <v>0</v>
      </c>
      <c r="M52" s="36">
        <v>0</v>
      </c>
      <c r="N52" s="36">
        <f t="shared" si="2"/>
        <v>252.2</v>
      </c>
      <c r="O52" s="36">
        <f t="shared" si="3"/>
        <v>1687.8</v>
      </c>
      <c r="P52" s="74">
        <v>0</v>
      </c>
      <c r="Q52" s="79"/>
      <c r="R52" s="79"/>
      <c r="S52" s="79"/>
      <c r="T52" s="79"/>
      <c r="U52" s="79"/>
      <c r="V52" s="79"/>
      <c r="W52" s="79"/>
      <c r="X52" s="79"/>
    </row>
    <row r="53" spans="1:24" s="80" customFormat="1" ht="27" customHeight="1" x14ac:dyDescent="0.2">
      <c r="A53" s="69">
        <v>43</v>
      </c>
      <c r="B53" s="99" t="s">
        <v>512</v>
      </c>
      <c r="C53" s="57" t="s">
        <v>513</v>
      </c>
      <c r="D53" s="71">
        <v>5095</v>
      </c>
      <c r="E53" s="71">
        <v>1800</v>
      </c>
      <c r="F53" s="72">
        <v>0</v>
      </c>
      <c r="G53" s="102">
        <v>250</v>
      </c>
      <c r="H53" s="73">
        <v>0</v>
      </c>
      <c r="I53" s="36">
        <f t="shared" si="0"/>
        <v>7145</v>
      </c>
      <c r="J53" s="36">
        <f t="shared" si="1"/>
        <v>206.85</v>
      </c>
      <c r="K53" s="103">
        <f>(D53+E53)*13%</f>
        <v>896.35</v>
      </c>
      <c r="L53" s="36">
        <v>102.92</v>
      </c>
      <c r="M53" s="36">
        <v>92.67</v>
      </c>
      <c r="N53" s="36">
        <f t="shared" si="2"/>
        <v>1298.79</v>
      </c>
      <c r="O53" s="103">
        <f t="shared" si="3"/>
        <v>5846.21</v>
      </c>
      <c r="P53" s="74">
        <v>0</v>
      </c>
      <c r="Q53" s="79"/>
      <c r="R53" s="79"/>
      <c r="S53" s="79"/>
      <c r="T53" s="79"/>
      <c r="U53" s="79"/>
      <c r="V53" s="79"/>
      <c r="W53" s="79"/>
      <c r="X53" s="79"/>
    </row>
    <row r="54" spans="1:24" s="80" customFormat="1" ht="27" customHeight="1" x14ac:dyDescent="0.2">
      <c r="A54" s="69">
        <v>44</v>
      </c>
      <c r="B54" s="57" t="s">
        <v>514</v>
      </c>
      <c r="C54" s="57" t="s">
        <v>515</v>
      </c>
      <c r="D54" s="77">
        <v>1668</v>
      </c>
      <c r="E54" s="70">
        <v>1000</v>
      </c>
      <c r="F54" s="72">
        <v>0</v>
      </c>
      <c r="G54" s="73">
        <v>250</v>
      </c>
      <c r="H54" s="73">
        <v>0</v>
      </c>
      <c r="I54" s="36">
        <f t="shared" si="0"/>
        <v>2918</v>
      </c>
      <c r="J54" s="36">
        <f t="shared" si="1"/>
        <v>80.040000000000006</v>
      </c>
      <c r="K54" s="36">
        <f t="shared" ref="K54:K55" si="8">(D54+E54)*11%</f>
        <v>293.48</v>
      </c>
      <c r="L54" s="36">
        <v>0</v>
      </c>
      <c r="M54" s="36">
        <v>0</v>
      </c>
      <c r="N54" s="36">
        <f t="shared" si="2"/>
        <v>373.52</v>
      </c>
      <c r="O54" s="36">
        <f t="shared" si="3"/>
        <v>2544.48</v>
      </c>
      <c r="P54" s="74">
        <v>0</v>
      </c>
      <c r="Q54" s="79"/>
      <c r="R54" s="79"/>
      <c r="S54" s="79"/>
      <c r="T54" s="79"/>
      <c r="U54" s="79"/>
      <c r="V54" s="79"/>
      <c r="W54" s="79"/>
      <c r="X54" s="79"/>
    </row>
    <row r="55" spans="1:24" s="80" customFormat="1" ht="27" customHeight="1" x14ac:dyDescent="0.2">
      <c r="A55" s="69">
        <v>45</v>
      </c>
      <c r="B55" s="57" t="s">
        <v>516</v>
      </c>
      <c r="C55" s="57" t="s">
        <v>465</v>
      </c>
      <c r="D55" s="36">
        <v>1902</v>
      </c>
      <c r="E55" s="36">
        <v>1000</v>
      </c>
      <c r="F55" s="72">
        <v>0</v>
      </c>
      <c r="G55" s="73">
        <v>250</v>
      </c>
      <c r="H55" s="73">
        <v>0</v>
      </c>
      <c r="I55" s="36">
        <f t="shared" si="0"/>
        <v>3152</v>
      </c>
      <c r="J55" s="36">
        <f t="shared" si="1"/>
        <v>87.06</v>
      </c>
      <c r="K55" s="36">
        <f t="shared" si="8"/>
        <v>319.22000000000003</v>
      </c>
      <c r="L55" s="36">
        <v>0</v>
      </c>
      <c r="M55" s="36">
        <v>0</v>
      </c>
      <c r="N55" s="36">
        <f t="shared" si="2"/>
        <v>406.28</v>
      </c>
      <c r="O55" s="36">
        <f t="shared" si="3"/>
        <v>2745.72</v>
      </c>
      <c r="P55" s="74">
        <v>0</v>
      </c>
      <c r="Q55" s="79"/>
      <c r="R55" s="79"/>
      <c r="S55" s="79"/>
      <c r="T55" s="79"/>
      <c r="U55" s="79"/>
      <c r="V55" s="79"/>
      <c r="W55" s="79"/>
      <c r="X55" s="79"/>
    </row>
    <row r="56" spans="1:24" s="80" customFormat="1" ht="27" customHeight="1" x14ac:dyDescent="0.2">
      <c r="A56" s="69">
        <v>46</v>
      </c>
      <c r="B56" s="57" t="s">
        <v>517</v>
      </c>
      <c r="C56" s="104" t="s">
        <v>518</v>
      </c>
      <c r="D56" s="105">
        <v>2134</v>
      </c>
      <c r="E56" s="71">
        <v>0</v>
      </c>
      <c r="F56" s="72">
        <v>0</v>
      </c>
      <c r="G56" s="73">
        <v>0</v>
      </c>
      <c r="H56" s="73">
        <v>0</v>
      </c>
      <c r="I56" s="36">
        <f t="shared" si="0"/>
        <v>2134</v>
      </c>
      <c r="J56" s="36">
        <f t="shared" si="1"/>
        <v>64.02</v>
      </c>
      <c r="K56" s="36">
        <f>D56*11%</f>
        <v>234.74</v>
      </c>
      <c r="L56" s="36">
        <v>0</v>
      </c>
      <c r="M56" s="36">
        <v>0</v>
      </c>
      <c r="N56" s="36">
        <f t="shared" si="2"/>
        <v>298.76</v>
      </c>
      <c r="O56" s="36">
        <f t="shared" si="3"/>
        <v>1835.24</v>
      </c>
      <c r="P56" s="74">
        <v>0</v>
      </c>
      <c r="Q56" s="79"/>
      <c r="R56" s="79"/>
      <c r="S56" s="79"/>
      <c r="T56" s="79"/>
      <c r="U56" s="79"/>
      <c r="V56" s="79"/>
      <c r="W56" s="79"/>
      <c r="X56" s="79"/>
    </row>
    <row r="57" spans="1:24" s="80" customFormat="1" ht="27" customHeight="1" x14ac:dyDescent="0.2">
      <c r="A57" s="69">
        <v>47</v>
      </c>
      <c r="B57" s="82" t="s">
        <v>519</v>
      </c>
      <c r="C57" s="85" t="s">
        <v>520</v>
      </c>
      <c r="D57" s="72">
        <v>2920</v>
      </c>
      <c r="E57" s="72">
        <v>1000</v>
      </c>
      <c r="F57" s="72">
        <v>0</v>
      </c>
      <c r="G57" s="72">
        <v>250</v>
      </c>
      <c r="H57" s="73">
        <v>0</v>
      </c>
      <c r="I57" s="36">
        <f t="shared" si="0"/>
        <v>4170</v>
      </c>
      <c r="J57" s="36">
        <f t="shared" si="1"/>
        <v>117.6</v>
      </c>
      <c r="K57" s="36">
        <f t="shared" ref="K57:K58" si="9">(D57+E57)*11%</f>
        <v>431.2</v>
      </c>
      <c r="L57" s="36">
        <v>0</v>
      </c>
      <c r="M57" s="36">
        <v>52.68</v>
      </c>
      <c r="N57" s="36">
        <f t="shared" si="2"/>
        <v>601.48</v>
      </c>
      <c r="O57" s="36">
        <f t="shared" si="3"/>
        <v>3568.52</v>
      </c>
      <c r="P57" s="74">
        <v>0</v>
      </c>
      <c r="Q57" s="79"/>
      <c r="R57" s="79"/>
      <c r="S57" s="79"/>
      <c r="T57" s="79"/>
      <c r="U57" s="79"/>
      <c r="V57" s="79"/>
      <c r="W57" s="79"/>
      <c r="X57" s="79"/>
    </row>
    <row r="58" spans="1:24" s="80" customFormat="1" ht="27" customHeight="1" x14ac:dyDescent="0.2">
      <c r="A58" s="69">
        <v>48</v>
      </c>
      <c r="B58" s="57" t="s">
        <v>521</v>
      </c>
      <c r="C58" s="83" t="s">
        <v>522</v>
      </c>
      <c r="D58" s="70">
        <v>2920</v>
      </c>
      <c r="E58" s="70">
        <v>1000</v>
      </c>
      <c r="F58" s="72">
        <v>0</v>
      </c>
      <c r="G58" s="73">
        <v>250</v>
      </c>
      <c r="H58" s="73">
        <v>0</v>
      </c>
      <c r="I58" s="36">
        <f t="shared" si="0"/>
        <v>4170</v>
      </c>
      <c r="J58" s="36">
        <f t="shared" si="1"/>
        <v>117.6</v>
      </c>
      <c r="K58" s="36">
        <f t="shared" si="9"/>
        <v>431.2</v>
      </c>
      <c r="L58" s="36">
        <v>0</v>
      </c>
      <c r="M58" s="36">
        <v>52.68</v>
      </c>
      <c r="N58" s="36">
        <f t="shared" si="2"/>
        <v>601.48</v>
      </c>
      <c r="O58" s="36">
        <f t="shared" si="3"/>
        <v>3568.52</v>
      </c>
      <c r="P58" s="74">
        <v>0</v>
      </c>
      <c r="Q58" s="79"/>
      <c r="R58" s="79"/>
      <c r="S58" s="79"/>
      <c r="T58" s="79"/>
      <c r="U58" s="79"/>
      <c r="V58" s="79"/>
      <c r="W58" s="79"/>
      <c r="X58" s="79"/>
    </row>
    <row r="59" spans="1:24" s="80" customFormat="1" ht="27" customHeight="1" x14ac:dyDescent="0.2">
      <c r="A59" s="69">
        <v>49</v>
      </c>
      <c r="B59" s="57" t="s">
        <v>523</v>
      </c>
      <c r="C59" s="57" t="s">
        <v>447</v>
      </c>
      <c r="D59" s="105">
        <v>2425</v>
      </c>
      <c r="E59" s="71">
        <v>0</v>
      </c>
      <c r="F59" s="72">
        <v>0</v>
      </c>
      <c r="G59" s="73">
        <v>0</v>
      </c>
      <c r="H59" s="73">
        <v>0</v>
      </c>
      <c r="I59" s="36">
        <f t="shared" si="0"/>
        <v>2425</v>
      </c>
      <c r="J59" s="36">
        <f t="shared" si="1"/>
        <v>72.75</v>
      </c>
      <c r="K59" s="36">
        <f>D59*11%</f>
        <v>266.75</v>
      </c>
      <c r="L59" s="36">
        <v>0</v>
      </c>
      <c r="M59" s="36">
        <v>0</v>
      </c>
      <c r="N59" s="36">
        <f t="shared" si="2"/>
        <v>339.5</v>
      </c>
      <c r="O59" s="36">
        <f t="shared" si="3"/>
        <v>2085.5</v>
      </c>
      <c r="P59" s="74">
        <v>0</v>
      </c>
      <c r="Q59" s="79"/>
      <c r="R59" s="79"/>
      <c r="S59" s="79"/>
      <c r="T59" s="79"/>
      <c r="U59" s="79"/>
      <c r="V59" s="79"/>
      <c r="W59" s="79"/>
      <c r="X59" s="79"/>
    </row>
    <row r="60" spans="1:24" s="80" customFormat="1" ht="27" customHeight="1" x14ac:dyDescent="0.2">
      <c r="A60" s="69">
        <v>50</v>
      </c>
      <c r="B60" s="32" t="s">
        <v>524</v>
      </c>
      <c r="C60" s="57" t="s">
        <v>525</v>
      </c>
      <c r="D60" s="72">
        <v>2920</v>
      </c>
      <c r="E60" s="72">
        <v>1000</v>
      </c>
      <c r="F60" s="72">
        <v>0</v>
      </c>
      <c r="G60" s="72">
        <v>250</v>
      </c>
      <c r="H60" s="73">
        <v>0</v>
      </c>
      <c r="I60" s="36">
        <f t="shared" si="0"/>
        <v>4170</v>
      </c>
      <c r="J60" s="36">
        <f t="shared" si="1"/>
        <v>117.6</v>
      </c>
      <c r="K60" s="72">
        <v>431.2</v>
      </c>
      <c r="L60" s="72">
        <v>0</v>
      </c>
      <c r="M60" s="72">
        <v>52.68</v>
      </c>
      <c r="N60" s="72">
        <f>SUM(J60:M60)</f>
        <v>601.48</v>
      </c>
      <c r="O60" s="36">
        <f t="shared" si="3"/>
        <v>3568.52</v>
      </c>
      <c r="P60" s="74">
        <v>0</v>
      </c>
      <c r="Q60" s="79"/>
      <c r="R60" s="79"/>
      <c r="S60" s="79"/>
      <c r="T60" s="79"/>
      <c r="U60" s="79"/>
      <c r="V60" s="79"/>
      <c r="W60" s="79"/>
      <c r="X60" s="79"/>
    </row>
    <row r="61" spans="1:24" s="80" customFormat="1" ht="27" customHeight="1" x14ac:dyDescent="0.2">
      <c r="A61" s="69">
        <v>51</v>
      </c>
      <c r="B61" s="57" t="s">
        <v>526</v>
      </c>
      <c r="C61" s="57" t="s">
        <v>449</v>
      </c>
      <c r="D61" s="77">
        <v>1940</v>
      </c>
      <c r="E61" s="71">
        <v>0</v>
      </c>
      <c r="F61" s="72">
        <v>0</v>
      </c>
      <c r="G61" s="73">
        <v>0</v>
      </c>
      <c r="H61" s="73">
        <v>0</v>
      </c>
      <c r="I61" s="36">
        <f t="shared" si="0"/>
        <v>1940</v>
      </c>
      <c r="J61" s="36">
        <f t="shared" si="1"/>
        <v>58.2</v>
      </c>
      <c r="K61" s="36">
        <f t="shared" ref="K61:K62" si="10">D61*10%</f>
        <v>194</v>
      </c>
      <c r="L61" s="36">
        <v>0</v>
      </c>
      <c r="M61" s="36">
        <v>0</v>
      </c>
      <c r="N61" s="36">
        <f t="shared" ref="N61:N68" si="11">J61+K61+L61+M61</f>
        <v>252.2</v>
      </c>
      <c r="O61" s="36">
        <f t="shared" si="3"/>
        <v>1687.8</v>
      </c>
      <c r="P61" s="74">
        <v>0</v>
      </c>
      <c r="Q61" s="79"/>
      <c r="R61" s="79"/>
      <c r="S61" s="79"/>
      <c r="T61" s="79"/>
      <c r="U61" s="79"/>
      <c r="V61" s="79"/>
      <c r="W61" s="79"/>
      <c r="X61" s="79"/>
    </row>
    <row r="62" spans="1:24" s="80" customFormat="1" ht="27" customHeight="1" x14ac:dyDescent="0.2">
      <c r="A62" s="69">
        <v>52</v>
      </c>
      <c r="B62" s="57" t="s">
        <v>527</v>
      </c>
      <c r="C62" s="57" t="s">
        <v>449</v>
      </c>
      <c r="D62" s="70">
        <v>1940</v>
      </c>
      <c r="E62" s="71">
        <v>0</v>
      </c>
      <c r="F62" s="72">
        <v>0</v>
      </c>
      <c r="G62" s="73">
        <v>0</v>
      </c>
      <c r="H62" s="73">
        <v>0</v>
      </c>
      <c r="I62" s="36">
        <f t="shared" si="0"/>
        <v>1940</v>
      </c>
      <c r="J62" s="36">
        <f t="shared" si="1"/>
        <v>58.2</v>
      </c>
      <c r="K62" s="36">
        <f t="shared" si="10"/>
        <v>194</v>
      </c>
      <c r="L62" s="36">
        <v>0</v>
      </c>
      <c r="M62" s="36">
        <v>0</v>
      </c>
      <c r="N62" s="36">
        <f t="shared" si="11"/>
        <v>252.2</v>
      </c>
      <c r="O62" s="36">
        <f t="shared" si="3"/>
        <v>1687.8</v>
      </c>
      <c r="P62" s="74">
        <v>0</v>
      </c>
      <c r="Q62" s="79"/>
      <c r="R62" s="79"/>
      <c r="S62" s="79"/>
      <c r="T62" s="79"/>
      <c r="U62" s="79"/>
      <c r="V62" s="79"/>
      <c r="W62" s="79"/>
      <c r="X62" s="79"/>
    </row>
    <row r="63" spans="1:24" s="80" customFormat="1" ht="27" customHeight="1" x14ac:dyDescent="0.2">
      <c r="A63" s="69">
        <v>53</v>
      </c>
      <c r="B63" s="57" t="s">
        <v>528</v>
      </c>
      <c r="C63" s="57" t="s">
        <v>447</v>
      </c>
      <c r="D63" s="77">
        <v>2425</v>
      </c>
      <c r="E63" s="71">
        <v>0</v>
      </c>
      <c r="F63" s="72">
        <v>0</v>
      </c>
      <c r="G63" s="73">
        <v>0</v>
      </c>
      <c r="H63" s="73">
        <v>0</v>
      </c>
      <c r="I63" s="36">
        <f t="shared" si="0"/>
        <v>2425</v>
      </c>
      <c r="J63" s="36">
        <f t="shared" si="1"/>
        <v>72.75</v>
      </c>
      <c r="K63" s="36">
        <f>D63*11%</f>
        <v>266.75</v>
      </c>
      <c r="L63" s="36">
        <v>0</v>
      </c>
      <c r="M63" s="36">
        <v>0</v>
      </c>
      <c r="N63" s="36">
        <f t="shared" si="11"/>
        <v>339.5</v>
      </c>
      <c r="O63" s="36">
        <f t="shared" si="3"/>
        <v>2085.5</v>
      </c>
      <c r="P63" s="74">
        <v>0</v>
      </c>
      <c r="Q63" s="79"/>
      <c r="R63" s="79"/>
      <c r="S63" s="79"/>
      <c r="T63" s="79"/>
      <c r="U63" s="79"/>
      <c r="V63" s="79"/>
      <c r="W63" s="79"/>
      <c r="X63" s="79"/>
    </row>
    <row r="64" spans="1:24" s="80" customFormat="1" ht="27" customHeight="1" x14ac:dyDescent="0.2">
      <c r="A64" s="69">
        <v>54</v>
      </c>
      <c r="B64" s="57" t="s">
        <v>529</v>
      </c>
      <c r="C64" s="57" t="s">
        <v>449</v>
      </c>
      <c r="D64" s="77">
        <v>1940</v>
      </c>
      <c r="E64" s="71">
        <v>0</v>
      </c>
      <c r="F64" s="72">
        <v>0</v>
      </c>
      <c r="G64" s="73">
        <v>0</v>
      </c>
      <c r="H64" s="73">
        <v>0</v>
      </c>
      <c r="I64" s="36">
        <f t="shared" si="0"/>
        <v>1940</v>
      </c>
      <c r="J64" s="36">
        <f t="shared" si="1"/>
        <v>58.2</v>
      </c>
      <c r="K64" s="36">
        <f>D64*10%</f>
        <v>194</v>
      </c>
      <c r="L64" s="36">
        <v>0</v>
      </c>
      <c r="M64" s="36">
        <v>0</v>
      </c>
      <c r="N64" s="36">
        <f t="shared" si="11"/>
        <v>252.2</v>
      </c>
      <c r="O64" s="36">
        <f t="shared" si="3"/>
        <v>1687.8</v>
      </c>
      <c r="P64" s="74">
        <v>0</v>
      </c>
      <c r="Q64" s="79"/>
      <c r="R64" s="79"/>
      <c r="S64" s="79"/>
      <c r="T64" s="79"/>
      <c r="U64" s="79"/>
      <c r="V64" s="79"/>
      <c r="W64" s="79"/>
      <c r="X64" s="79"/>
    </row>
    <row r="65" spans="1:24" s="80" customFormat="1" ht="27" customHeight="1" x14ac:dyDescent="0.2">
      <c r="A65" s="69">
        <v>55</v>
      </c>
      <c r="B65" s="49" t="s">
        <v>530</v>
      </c>
      <c r="C65" s="57" t="s">
        <v>504</v>
      </c>
      <c r="D65" s="77">
        <v>1902</v>
      </c>
      <c r="E65" s="71">
        <v>1000</v>
      </c>
      <c r="F65" s="72">
        <v>0</v>
      </c>
      <c r="G65" s="73">
        <v>250</v>
      </c>
      <c r="H65" s="73">
        <v>0</v>
      </c>
      <c r="I65" s="36">
        <f t="shared" si="0"/>
        <v>3152</v>
      </c>
      <c r="J65" s="36">
        <f t="shared" si="1"/>
        <v>87.06</v>
      </c>
      <c r="K65" s="36">
        <f>(D65+E65)*11%</f>
        <v>319.22000000000003</v>
      </c>
      <c r="L65" s="36">
        <v>0</v>
      </c>
      <c r="M65" s="36">
        <v>0</v>
      </c>
      <c r="N65" s="36">
        <f t="shared" si="11"/>
        <v>406.28</v>
      </c>
      <c r="O65" s="36">
        <f t="shared" si="3"/>
        <v>2745.72</v>
      </c>
      <c r="P65" s="74">
        <v>0</v>
      </c>
      <c r="Q65" s="79"/>
      <c r="R65" s="79"/>
      <c r="S65" s="79"/>
      <c r="T65" s="79"/>
      <c r="U65" s="79"/>
      <c r="V65" s="79"/>
      <c r="W65" s="79"/>
      <c r="X65" s="79"/>
    </row>
    <row r="66" spans="1:24" s="80" customFormat="1" ht="27" customHeight="1" x14ac:dyDescent="0.2">
      <c r="A66" s="69">
        <v>56</v>
      </c>
      <c r="B66" s="83" t="s">
        <v>531</v>
      </c>
      <c r="C66" s="57" t="s">
        <v>447</v>
      </c>
      <c r="D66" s="70">
        <v>2425</v>
      </c>
      <c r="E66" s="71">
        <v>0</v>
      </c>
      <c r="F66" s="72">
        <v>0</v>
      </c>
      <c r="G66" s="73">
        <v>0</v>
      </c>
      <c r="H66" s="73">
        <v>0</v>
      </c>
      <c r="I66" s="36">
        <f t="shared" si="0"/>
        <v>2425</v>
      </c>
      <c r="J66" s="36">
        <f t="shared" si="1"/>
        <v>72.75</v>
      </c>
      <c r="K66" s="36">
        <f>D66*11%</f>
        <v>266.75</v>
      </c>
      <c r="L66" s="36">
        <v>0</v>
      </c>
      <c r="M66" s="36">
        <v>0</v>
      </c>
      <c r="N66" s="36">
        <f t="shared" si="11"/>
        <v>339.5</v>
      </c>
      <c r="O66" s="36">
        <f t="shared" si="3"/>
        <v>2085.5</v>
      </c>
      <c r="P66" s="74">
        <v>0</v>
      </c>
      <c r="Q66" s="79"/>
      <c r="R66" s="79"/>
      <c r="S66" s="79"/>
      <c r="T66" s="79"/>
      <c r="U66" s="79"/>
      <c r="V66" s="79"/>
      <c r="W66" s="79"/>
      <c r="X66" s="79"/>
    </row>
    <row r="67" spans="1:24" s="80" customFormat="1" ht="27" customHeight="1" x14ac:dyDescent="0.2">
      <c r="A67" s="69">
        <v>57</v>
      </c>
      <c r="B67" s="34" t="s">
        <v>532</v>
      </c>
      <c r="C67" s="57" t="s">
        <v>465</v>
      </c>
      <c r="D67" s="70">
        <v>1902</v>
      </c>
      <c r="E67" s="70">
        <v>1000</v>
      </c>
      <c r="F67" s="72">
        <v>0</v>
      </c>
      <c r="G67" s="73">
        <v>250</v>
      </c>
      <c r="H67" s="73">
        <v>0</v>
      </c>
      <c r="I67" s="36">
        <f t="shared" si="0"/>
        <v>3152</v>
      </c>
      <c r="J67" s="36">
        <f t="shared" si="1"/>
        <v>87.06</v>
      </c>
      <c r="K67" s="36">
        <f>(D67+E67)*11%</f>
        <v>319.22000000000003</v>
      </c>
      <c r="L67" s="36">
        <v>0</v>
      </c>
      <c r="M67" s="36">
        <v>0</v>
      </c>
      <c r="N67" s="36">
        <f t="shared" si="11"/>
        <v>406.28</v>
      </c>
      <c r="O67" s="36">
        <f t="shared" si="3"/>
        <v>2745.72</v>
      </c>
      <c r="P67" s="74">
        <v>0</v>
      </c>
      <c r="Q67" s="79"/>
      <c r="R67" s="79"/>
      <c r="S67" s="79"/>
      <c r="T67" s="79"/>
      <c r="U67" s="79"/>
      <c r="V67" s="79"/>
      <c r="W67" s="79"/>
      <c r="X67" s="79"/>
    </row>
    <row r="68" spans="1:24" s="80" customFormat="1" ht="27" customHeight="1" x14ac:dyDescent="0.2">
      <c r="A68" s="69">
        <v>58</v>
      </c>
      <c r="B68" s="83" t="s">
        <v>533</v>
      </c>
      <c r="C68" s="57" t="s">
        <v>509</v>
      </c>
      <c r="D68" s="70">
        <v>3081</v>
      </c>
      <c r="E68" s="71">
        <v>1000</v>
      </c>
      <c r="F68" s="72">
        <v>0</v>
      </c>
      <c r="G68" s="73">
        <v>250</v>
      </c>
      <c r="H68" s="73">
        <v>0</v>
      </c>
      <c r="I68" s="36">
        <f t="shared" si="0"/>
        <v>4331</v>
      </c>
      <c r="J68" s="36">
        <f t="shared" si="1"/>
        <v>122.43</v>
      </c>
      <c r="K68" s="36">
        <f t="shared" ref="K68:K69" si="12">(D68+E68)*12%</f>
        <v>489.72</v>
      </c>
      <c r="L68" s="36">
        <v>0</v>
      </c>
      <c r="M68" s="36">
        <v>0</v>
      </c>
      <c r="N68" s="36">
        <f t="shared" si="11"/>
        <v>612.15</v>
      </c>
      <c r="O68" s="36">
        <f t="shared" si="3"/>
        <v>3718.85</v>
      </c>
      <c r="P68" s="74">
        <v>0</v>
      </c>
      <c r="Q68" s="79"/>
      <c r="R68" s="79"/>
      <c r="S68" s="79"/>
      <c r="T68" s="79"/>
      <c r="U68" s="79"/>
      <c r="V68" s="79"/>
      <c r="W68" s="79"/>
      <c r="X68" s="79"/>
    </row>
    <row r="69" spans="1:24" s="80" customFormat="1" ht="27" customHeight="1" x14ac:dyDescent="0.2">
      <c r="A69" s="69">
        <v>59</v>
      </c>
      <c r="B69" s="106" t="s">
        <v>534</v>
      </c>
      <c r="C69" s="57" t="s">
        <v>498</v>
      </c>
      <c r="D69" s="72">
        <v>3241</v>
      </c>
      <c r="E69" s="72">
        <v>1000</v>
      </c>
      <c r="F69" s="72">
        <v>0</v>
      </c>
      <c r="G69" s="72">
        <v>250</v>
      </c>
      <c r="H69" s="73">
        <v>0</v>
      </c>
      <c r="I69" s="36">
        <f t="shared" si="0"/>
        <v>4491</v>
      </c>
      <c r="J69" s="36">
        <f t="shared" si="1"/>
        <v>127.23</v>
      </c>
      <c r="K69" s="36">
        <f t="shared" si="12"/>
        <v>508.92</v>
      </c>
      <c r="L69" s="72">
        <v>0</v>
      </c>
      <c r="M69" s="72">
        <v>0</v>
      </c>
      <c r="N69" s="72">
        <f>SUM(J69:M69)</f>
        <v>636.15</v>
      </c>
      <c r="O69" s="36">
        <f t="shared" si="3"/>
        <v>3854.85</v>
      </c>
      <c r="P69" s="74">
        <v>0</v>
      </c>
      <c r="Q69" s="79"/>
      <c r="R69" s="79"/>
      <c r="S69" s="79"/>
      <c r="T69" s="79"/>
      <c r="U69" s="79"/>
      <c r="V69" s="79"/>
      <c r="W69" s="79"/>
      <c r="X69" s="79"/>
    </row>
    <row r="70" spans="1:24" s="80" customFormat="1" ht="27" customHeight="1" x14ac:dyDescent="0.2">
      <c r="A70" s="69">
        <v>60</v>
      </c>
      <c r="B70" s="57" t="s">
        <v>535</v>
      </c>
      <c r="C70" s="57" t="s">
        <v>449</v>
      </c>
      <c r="D70" s="77">
        <v>1940</v>
      </c>
      <c r="E70" s="71">
        <v>0</v>
      </c>
      <c r="F70" s="72">
        <v>0</v>
      </c>
      <c r="G70" s="73">
        <v>0</v>
      </c>
      <c r="H70" s="73">
        <v>0</v>
      </c>
      <c r="I70" s="36">
        <f t="shared" si="0"/>
        <v>1940</v>
      </c>
      <c r="J70" s="36">
        <f t="shared" si="1"/>
        <v>58.2</v>
      </c>
      <c r="K70" s="36">
        <f>D70*10%</f>
        <v>194</v>
      </c>
      <c r="L70" s="36">
        <v>0</v>
      </c>
      <c r="M70" s="36">
        <v>0</v>
      </c>
      <c r="N70" s="36">
        <f t="shared" ref="N70:N82" si="13">J70+K70+L70+M70</f>
        <v>252.2</v>
      </c>
      <c r="O70" s="36">
        <f t="shared" si="3"/>
        <v>1687.8</v>
      </c>
      <c r="P70" s="74">
        <v>0</v>
      </c>
      <c r="Q70" s="79"/>
      <c r="R70" s="79"/>
      <c r="S70" s="79"/>
      <c r="T70" s="79"/>
      <c r="U70" s="79"/>
      <c r="V70" s="79"/>
      <c r="W70" s="79"/>
      <c r="X70" s="79"/>
    </row>
    <row r="71" spans="1:24" s="80" customFormat="1" ht="27" customHeight="1" x14ac:dyDescent="0.2">
      <c r="A71" s="69">
        <v>61</v>
      </c>
      <c r="B71" s="33" t="s">
        <v>536</v>
      </c>
      <c r="C71" s="57" t="s">
        <v>515</v>
      </c>
      <c r="D71" s="105">
        <v>1668</v>
      </c>
      <c r="E71" s="71">
        <v>1000</v>
      </c>
      <c r="F71" s="72">
        <v>0</v>
      </c>
      <c r="G71" s="73">
        <v>250</v>
      </c>
      <c r="H71" s="73">
        <v>0</v>
      </c>
      <c r="I71" s="36">
        <f t="shared" si="0"/>
        <v>2918</v>
      </c>
      <c r="J71" s="36">
        <f t="shared" si="1"/>
        <v>80.040000000000006</v>
      </c>
      <c r="K71" s="36">
        <f>(D71+E71)*11%</f>
        <v>293.48</v>
      </c>
      <c r="L71" s="36">
        <v>0</v>
      </c>
      <c r="M71" s="36">
        <v>0</v>
      </c>
      <c r="N71" s="36">
        <f t="shared" si="13"/>
        <v>373.52</v>
      </c>
      <c r="O71" s="36">
        <f t="shared" si="3"/>
        <v>2544.48</v>
      </c>
      <c r="P71" s="74">
        <v>0</v>
      </c>
      <c r="Q71" s="79"/>
      <c r="R71" s="79"/>
      <c r="S71" s="79"/>
      <c r="T71" s="79"/>
      <c r="U71" s="79"/>
      <c r="V71" s="79"/>
      <c r="W71" s="79"/>
      <c r="X71" s="79"/>
    </row>
    <row r="72" spans="1:24" s="108" customFormat="1" ht="27" customHeight="1" x14ac:dyDescent="0.2">
      <c r="A72" s="69">
        <v>62</v>
      </c>
      <c r="B72" s="57" t="s">
        <v>537</v>
      </c>
      <c r="C72" s="57" t="s">
        <v>449</v>
      </c>
      <c r="D72" s="77">
        <v>1940</v>
      </c>
      <c r="E72" s="71">
        <v>2000</v>
      </c>
      <c r="F72" s="72">
        <v>0</v>
      </c>
      <c r="G72" s="73">
        <v>0</v>
      </c>
      <c r="H72" s="73">
        <v>0</v>
      </c>
      <c r="I72" s="36">
        <f t="shared" si="0"/>
        <v>3940</v>
      </c>
      <c r="J72" s="36">
        <f t="shared" si="1"/>
        <v>118.2</v>
      </c>
      <c r="K72" s="36">
        <f>D72*10%</f>
        <v>194</v>
      </c>
      <c r="L72" s="36">
        <v>0</v>
      </c>
      <c r="M72" s="36">
        <v>0</v>
      </c>
      <c r="N72" s="36">
        <f t="shared" si="13"/>
        <v>312.2</v>
      </c>
      <c r="O72" s="36">
        <f t="shared" si="3"/>
        <v>3627.8</v>
      </c>
      <c r="P72" s="74">
        <v>0</v>
      </c>
      <c r="Q72" s="107"/>
      <c r="R72" s="107"/>
      <c r="S72" s="107"/>
      <c r="T72" s="107"/>
      <c r="U72" s="107"/>
      <c r="V72" s="107"/>
      <c r="W72" s="107"/>
      <c r="X72" s="107"/>
    </row>
    <row r="73" spans="1:24" s="80" customFormat="1" ht="27" customHeight="1" x14ac:dyDescent="0.2">
      <c r="A73" s="69">
        <v>63</v>
      </c>
      <c r="B73" s="33" t="s">
        <v>538</v>
      </c>
      <c r="C73" s="57" t="s">
        <v>498</v>
      </c>
      <c r="D73" s="91">
        <v>3241</v>
      </c>
      <c r="E73" s="70">
        <v>1000</v>
      </c>
      <c r="F73" s="72">
        <v>0</v>
      </c>
      <c r="G73" s="73">
        <v>250</v>
      </c>
      <c r="H73" s="73">
        <v>0</v>
      </c>
      <c r="I73" s="36">
        <f t="shared" si="0"/>
        <v>4491</v>
      </c>
      <c r="J73" s="36">
        <f t="shared" si="1"/>
        <v>127.23</v>
      </c>
      <c r="K73" s="36">
        <f>(D73+E73)*12%</f>
        <v>508.92</v>
      </c>
      <c r="L73" s="36">
        <v>0</v>
      </c>
      <c r="M73" s="36">
        <v>57</v>
      </c>
      <c r="N73" s="36">
        <f t="shared" si="13"/>
        <v>693.15</v>
      </c>
      <c r="O73" s="36">
        <f t="shared" si="3"/>
        <v>3797.85</v>
      </c>
      <c r="P73" s="74">
        <v>0</v>
      </c>
      <c r="Q73" s="79"/>
      <c r="R73" s="79"/>
      <c r="S73" s="79"/>
      <c r="T73" s="79"/>
      <c r="U73" s="79"/>
      <c r="V73" s="79"/>
      <c r="W73" s="79"/>
      <c r="X73" s="79"/>
    </row>
    <row r="74" spans="1:24" s="80" customFormat="1" ht="27" customHeight="1" x14ac:dyDescent="0.2">
      <c r="A74" s="69">
        <v>64</v>
      </c>
      <c r="B74" s="57" t="s">
        <v>539</v>
      </c>
      <c r="C74" s="57" t="s">
        <v>449</v>
      </c>
      <c r="D74" s="77">
        <v>1940</v>
      </c>
      <c r="E74" s="71">
        <v>0</v>
      </c>
      <c r="F74" s="72">
        <v>0</v>
      </c>
      <c r="G74" s="73">
        <v>0</v>
      </c>
      <c r="H74" s="73">
        <v>0</v>
      </c>
      <c r="I74" s="36">
        <f t="shared" si="0"/>
        <v>1940</v>
      </c>
      <c r="J74" s="36">
        <f t="shared" si="1"/>
        <v>58.2</v>
      </c>
      <c r="K74" s="36">
        <f>D74*10%</f>
        <v>194</v>
      </c>
      <c r="L74" s="36">
        <v>0</v>
      </c>
      <c r="M74" s="36">
        <v>0</v>
      </c>
      <c r="N74" s="36">
        <f t="shared" si="13"/>
        <v>252.2</v>
      </c>
      <c r="O74" s="36">
        <f t="shared" si="3"/>
        <v>1687.8</v>
      </c>
      <c r="P74" s="74">
        <v>0</v>
      </c>
      <c r="Q74" s="79"/>
      <c r="R74" s="79"/>
      <c r="S74" s="79"/>
      <c r="T74" s="79"/>
      <c r="U74" s="79"/>
      <c r="V74" s="79"/>
      <c r="W74" s="79"/>
      <c r="X74" s="79"/>
    </row>
    <row r="75" spans="1:24" s="80" customFormat="1" ht="27" customHeight="1" x14ac:dyDescent="0.2">
      <c r="A75" s="69">
        <v>65</v>
      </c>
      <c r="B75" s="34" t="s">
        <v>540</v>
      </c>
      <c r="C75" s="85" t="s">
        <v>520</v>
      </c>
      <c r="D75" s="70">
        <v>2920</v>
      </c>
      <c r="E75" s="71">
        <v>1000</v>
      </c>
      <c r="F75" s="72">
        <v>0</v>
      </c>
      <c r="G75" s="71">
        <v>250</v>
      </c>
      <c r="H75" s="73">
        <v>0</v>
      </c>
      <c r="I75" s="36">
        <f t="shared" si="0"/>
        <v>4170</v>
      </c>
      <c r="J75" s="36">
        <f t="shared" si="1"/>
        <v>117.6</v>
      </c>
      <c r="K75" s="36">
        <f t="shared" ref="K75:K76" si="14">(D75+E75)*11%</f>
        <v>431.2</v>
      </c>
      <c r="L75" s="36">
        <v>0</v>
      </c>
      <c r="M75" s="36">
        <v>52.68</v>
      </c>
      <c r="N75" s="36">
        <f t="shared" si="13"/>
        <v>601.48</v>
      </c>
      <c r="O75" s="36">
        <f t="shared" si="3"/>
        <v>3568.52</v>
      </c>
      <c r="P75" s="74">
        <v>0</v>
      </c>
      <c r="Q75" s="79"/>
      <c r="R75" s="79"/>
      <c r="S75" s="79"/>
      <c r="T75" s="79"/>
      <c r="U75" s="79"/>
      <c r="V75" s="79"/>
      <c r="W75" s="79"/>
      <c r="X75" s="79"/>
    </row>
    <row r="76" spans="1:24" s="80" customFormat="1" ht="27" customHeight="1" x14ac:dyDescent="0.2">
      <c r="A76" s="69">
        <v>66</v>
      </c>
      <c r="B76" s="109" t="s">
        <v>541</v>
      </c>
      <c r="C76" s="57" t="s">
        <v>447</v>
      </c>
      <c r="D76" s="110">
        <v>2425</v>
      </c>
      <c r="E76" s="71">
        <v>0</v>
      </c>
      <c r="F76" s="72">
        <v>0</v>
      </c>
      <c r="G76" s="73">
        <v>0</v>
      </c>
      <c r="H76" s="73">
        <v>0</v>
      </c>
      <c r="I76" s="36">
        <f t="shared" si="0"/>
        <v>2425</v>
      </c>
      <c r="J76" s="36">
        <f t="shared" si="1"/>
        <v>72.75</v>
      </c>
      <c r="K76" s="36">
        <f t="shared" si="14"/>
        <v>266.75</v>
      </c>
      <c r="L76" s="36">
        <v>0</v>
      </c>
      <c r="M76" s="36">
        <v>0</v>
      </c>
      <c r="N76" s="36">
        <f t="shared" si="13"/>
        <v>339.5</v>
      </c>
      <c r="O76" s="36">
        <f t="shared" si="3"/>
        <v>2085.5</v>
      </c>
      <c r="P76" s="74">
        <v>0</v>
      </c>
      <c r="Q76" s="79"/>
      <c r="R76" s="79"/>
      <c r="S76" s="79"/>
      <c r="T76" s="79"/>
      <c r="U76" s="79"/>
      <c r="V76" s="79"/>
      <c r="W76" s="79"/>
      <c r="X76" s="79"/>
    </row>
    <row r="77" spans="1:24" s="80" customFormat="1" ht="27" customHeight="1" x14ac:dyDescent="0.2">
      <c r="A77" s="69">
        <v>67</v>
      </c>
      <c r="B77" s="57" t="s">
        <v>542</v>
      </c>
      <c r="C77" s="57" t="s">
        <v>449</v>
      </c>
      <c r="D77" s="77">
        <v>1940</v>
      </c>
      <c r="E77" s="71">
        <v>0</v>
      </c>
      <c r="F77" s="72">
        <v>0</v>
      </c>
      <c r="G77" s="73">
        <v>0</v>
      </c>
      <c r="H77" s="73">
        <v>0</v>
      </c>
      <c r="I77" s="36">
        <f t="shared" si="0"/>
        <v>1940</v>
      </c>
      <c r="J77" s="36">
        <f t="shared" si="1"/>
        <v>58.2</v>
      </c>
      <c r="K77" s="36">
        <f>D77*10%</f>
        <v>194</v>
      </c>
      <c r="L77" s="36">
        <v>0</v>
      </c>
      <c r="M77" s="36">
        <v>0</v>
      </c>
      <c r="N77" s="36">
        <f t="shared" si="13"/>
        <v>252.2</v>
      </c>
      <c r="O77" s="36">
        <f t="shared" si="3"/>
        <v>1687.8</v>
      </c>
      <c r="P77" s="74">
        <v>0</v>
      </c>
      <c r="Q77" s="79"/>
      <c r="R77" s="79"/>
      <c r="S77" s="79"/>
      <c r="T77" s="79"/>
      <c r="U77" s="79"/>
      <c r="V77" s="79"/>
      <c r="W77" s="79"/>
      <c r="X77" s="79"/>
    </row>
    <row r="78" spans="1:24" s="80" customFormat="1" ht="27" customHeight="1" x14ac:dyDescent="0.2">
      <c r="A78" s="69">
        <v>68</v>
      </c>
      <c r="B78" s="83" t="s">
        <v>543</v>
      </c>
      <c r="C78" s="57" t="s">
        <v>447</v>
      </c>
      <c r="D78" s="70">
        <v>2425</v>
      </c>
      <c r="E78" s="71">
        <v>0</v>
      </c>
      <c r="F78" s="72">
        <v>0</v>
      </c>
      <c r="G78" s="73">
        <v>0</v>
      </c>
      <c r="H78" s="73">
        <v>0</v>
      </c>
      <c r="I78" s="36">
        <f t="shared" si="0"/>
        <v>2425</v>
      </c>
      <c r="J78" s="36">
        <f t="shared" si="1"/>
        <v>72.75</v>
      </c>
      <c r="K78" s="36">
        <f>D78*11%</f>
        <v>266.75</v>
      </c>
      <c r="L78" s="36">
        <v>0</v>
      </c>
      <c r="M78" s="36">
        <v>0</v>
      </c>
      <c r="N78" s="36">
        <f t="shared" si="13"/>
        <v>339.5</v>
      </c>
      <c r="O78" s="36">
        <f t="shared" si="3"/>
        <v>2085.5</v>
      </c>
      <c r="P78" s="74">
        <v>0</v>
      </c>
      <c r="Q78" s="79"/>
      <c r="R78" s="79"/>
      <c r="S78" s="79"/>
      <c r="T78" s="79"/>
      <c r="U78" s="79"/>
      <c r="V78" s="79"/>
      <c r="W78" s="79"/>
      <c r="X78" s="79"/>
    </row>
    <row r="79" spans="1:24" s="80" customFormat="1" ht="27" customHeight="1" x14ac:dyDescent="0.2">
      <c r="A79" s="69">
        <v>69</v>
      </c>
      <c r="B79" s="57" t="s">
        <v>544</v>
      </c>
      <c r="C79" s="57" t="s">
        <v>486</v>
      </c>
      <c r="D79" s="70">
        <v>2234</v>
      </c>
      <c r="E79" s="71">
        <v>1900</v>
      </c>
      <c r="F79" s="72">
        <v>0</v>
      </c>
      <c r="G79" s="73">
        <v>250</v>
      </c>
      <c r="H79" s="73">
        <v>0</v>
      </c>
      <c r="I79" s="36">
        <f t="shared" si="0"/>
        <v>4384</v>
      </c>
      <c r="J79" s="36">
        <f t="shared" si="1"/>
        <v>124.02</v>
      </c>
      <c r="K79" s="36">
        <f>(D79+E79)*12%</f>
        <v>496.08</v>
      </c>
      <c r="L79" s="36">
        <v>0</v>
      </c>
      <c r="M79" s="36">
        <v>0</v>
      </c>
      <c r="N79" s="36">
        <f t="shared" si="13"/>
        <v>620.1</v>
      </c>
      <c r="O79" s="36">
        <f t="shared" si="3"/>
        <v>3763.9</v>
      </c>
      <c r="P79" s="74">
        <v>0</v>
      </c>
      <c r="Q79" s="79"/>
      <c r="R79" s="79"/>
      <c r="S79" s="79"/>
      <c r="T79" s="79"/>
      <c r="U79" s="79"/>
      <c r="V79" s="79"/>
      <c r="W79" s="79"/>
      <c r="X79" s="79"/>
    </row>
    <row r="80" spans="1:24" s="80" customFormat="1" ht="27" customHeight="1" x14ac:dyDescent="0.2">
      <c r="A80" s="69">
        <v>70</v>
      </c>
      <c r="B80" s="57" t="s">
        <v>545</v>
      </c>
      <c r="C80" s="34" t="s">
        <v>478</v>
      </c>
      <c r="D80" s="77">
        <v>2328</v>
      </c>
      <c r="E80" s="71">
        <v>0</v>
      </c>
      <c r="F80" s="72">
        <v>0</v>
      </c>
      <c r="G80" s="73">
        <v>0</v>
      </c>
      <c r="H80" s="73">
        <v>0</v>
      </c>
      <c r="I80" s="36">
        <f t="shared" si="0"/>
        <v>2328</v>
      </c>
      <c r="J80" s="36">
        <f t="shared" si="1"/>
        <v>69.84</v>
      </c>
      <c r="K80" s="36">
        <f>D80*11%</f>
        <v>256.08</v>
      </c>
      <c r="L80" s="36">
        <v>0</v>
      </c>
      <c r="M80" s="36">
        <v>0</v>
      </c>
      <c r="N80" s="36">
        <f t="shared" si="13"/>
        <v>325.92</v>
      </c>
      <c r="O80" s="36">
        <f t="shared" si="3"/>
        <v>2002.08</v>
      </c>
      <c r="P80" s="74">
        <v>0</v>
      </c>
      <c r="Q80" s="79"/>
      <c r="R80" s="79"/>
      <c r="S80" s="79"/>
      <c r="T80" s="79"/>
      <c r="U80" s="79"/>
      <c r="V80" s="79"/>
      <c r="W80" s="79"/>
      <c r="X80" s="79"/>
    </row>
    <row r="81" spans="1:24" s="80" customFormat="1" ht="27" customHeight="1" x14ac:dyDescent="0.2">
      <c r="A81" s="69">
        <v>71</v>
      </c>
      <c r="B81" s="34" t="s">
        <v>546</v>
      </c>
      <c r="C81" s="57" t="s">
        <v>509</v>
      </c>
      <c r="D81" s="36">
        <v>3081</v>
      </c>
      <c r="E81" s="36">
        <v>1000</v>
      </c>
      <c r="F81" s="72">
        <v>0</v>
      </c>
      <c r="G81" s="73">
        <v>250</v>
      </c>
      <c r="H81" s="73">
        <v>0</v>
      </c>
      <c r="I81" s="36">
        <f t="shared" si="0"/>
        <v>4331</v>
      </c>
      <c r="J81" s="36">
        <f t="shared" si="1"/>
        <v>122.43</v>
      </c>
      <c r="K81" s="36">
        <f>(D81+E81)*12%</f>
        <v>489.72</v>
      </c>
      <c r="L81" s="36">
        <v>0</v>
      </c>
      <c r="M81" s="36">
        <v>52.68</v>
      </c>
      <c r="N81" s="36">
        <f t="shared" si="13"/>
        <v>664.83</v>
      </c>
      <c r="O81" s="36">
        <f t="shared" si="3"/>
        <v>3666.17</v>
      </c>
      <c r="P81" s="74">
        <v>0</v>
      </c>
      <c r="Q81" s="79"/>
      <c r="R81" s="79"/>
      <c r="S81" s="79"/>
      <c r="T81" s="79"/>
      <c r="U81" s="79"/>
      <c r="V81" s="79"/>
      <c r="W81" s="79"/>
      <c r="X81" s="79"/>
    </row>
    <row r="82" spans="1:24" s="80" customFormat="1" ht="27" customHeight="1" x14ac:dyDescent="0.2">
      <c r="A82" s="69">
        <v>72</v>
      </c>
      <c r="B82" s="57" t="s">
        <v>547</v>
      </c>
      <c r="C82" s="57" t="s">
        <v>449</v>
      </c>
      <c r="D82" s="70">
        <v>1940</v>
      </c>
      <c r="E82" s="71">
        <v>0</v>
      </c>
      <c r="F82" s="72">
        <v>0</v>
      </c>
      <c r="G82" s="73">
        <v>0</v>
      </c>
      <c r="H82" s="73">
        <v>0</v>
      </c>
      <c r="I82" s="36">
        <f t="shared" si="0"/>
        <v>1940</v>
      </c>
      <c r="J82" s="36">
        <f t="shared" si="1"/>
        <v>58.2</v>
      </c>
      <c r="K82" s="36">
        <f>D82*10%</f>
        <v>194</v>
      </c>
      <c r="L82" s="36">
        <v>0</v>
      </c>
      <c r="M82" s="36">
        <v>0</v>
      </c>
      <c r="N82" s="36">
        <f t="shared" si="13"/>
        <v>252.2</v>
      </c>
      <c r="O82" s="36">
        <f t="shared" si="3"/>
        <v>1687.8</v>
      </c>
      <c r="P82" s="74">
        <v>0</v>
      </c>
      <c r="Q82" s="79"/>
      <c r="R82" s="79"/>
      <c r="S82" s="79"/>
      <c r="T82" s="79"/>
      <c r="U82" s="79"/>
      <c r="V82" s="79"/>
      <c r="W82" s="79"/>
      <c r="X82" s="79"/>
    </row>
    <row r="83" spans="1:24" s="80" customFormat="1" ht="27" customHeight="1" x14ac:dyDescent="0.2">
      <c r="A83" s="69">
        <v>73</v>
      </c>
      <c r="B83" s="111" t="s">
        <v>548</v>
      </c>
      <c r="C83" s="96" t="s">
        <v>549</v>
      </c>
      <c r="D83" s="29">
        <v>2920</v>
      </c>
      <c r="E83" s="71">
        <v>1000</v>
      </c>
      <c r="F83" s="72">
        <v>0</v>
      </c>
      <c r="G83" s="73">
        <v>250</v>
      </c>
      <c r="H83" s="73">
        <v>0</v>
      </c>
      <c r="I83" s="36">
        <f t="shared" si="0"/>
        <v>4170</v>
      </c>
      <c r="J83" s="36">
        <f t="shared" si="1"/>
        <v>117.6</v>
      </c>
      <c r="K83" s="36">
        <f t="shared" ref="K83:K85" si="15">(D83+E83)*11%</f>
        <v>431.2</v>
      </c>
      <c r="L83" s="36"/>
      <c r="M83" s="36"/>
      <c r="N83" s="36"/>
      <c r="O83" s="36"/>
      <c r="P83" s="74">
        <v>0</v>
      </c>
      <c r="Q83" s="79"/>
      <c r="R83" s="79"/>
      <c r="S83" s="79"/>
      <c r="T83" s="79"/>
      <c r="U83" s="79"/>
      <c r="V83" s="79"/>
      <c r="W83" s="79"/>
      <c r="X83" s="79"/>
    </row>
    <row r="84" spans="1:24" s="80" customFormat="1" ht="27" customHeight="1" x14ac:dyDescent="0.2">
      <c r="A84" s="69">
        <v>74</v>
      </c>
      <c r="B84" s="33" t="s">
        <v>550</v>
      </c>
      <c r="C84" s="57" t="s">
        <v>509</v>
      </c>
      <c r="D84" s="97">
        <v>3081</v>
      </c>
      <c r="E84" s="98">
        <v>1000</v>
      </c>
      <c r="F84" s="72">
        <v>0</v>
      </c>
      <c r="G84" s="73">
        <v>250</v>
      </c>
      <c r="H84" s="73">
        <v>0</v>
      </c>
      <c r="I84" s="36">
        <f t="shared" si="0"/>
        <v>4331</v>
      </c>
      <c r="J84" s="36">
        <f t="shared" si="1"/>
        <v>122.43</v>
      </c>
      <c r="K84" s="36">
        <f t="shared" si="15"/>
        <v>448.91</v>
      </c>
      <c r="L84" s="36">
        <v>0</v>
      </c>
      <c r="M84" s="36">
        <v>0</v>
      </c>
      <c r="N84" s="36">
        <f t="shared" ref="N84:N135" si="16">J84+K84+L84+M84</f>
        <v>571.34</v>
      </c>
      <c r="O84" s="36">
        <f t="shared" ref="O84:O119" si="17">I84-N84</f>
        <v>3759.66</v>
      </c>
      <c r="P84" s="74">
        <v>0</v>
      </c>
      <c r="Q84" s="79"/>
      <c r="R84" s="79"/>
      <c r="S84" s="79"/>
      <c r="T84" s="79"/>
      <c r="U84" s="79"/>
      <c r="V84" s="79"/>
      <c r="W84" s="79"/>
      <c r="X84" s="79"/>
    </row>
    <row r="85" spans="1:24" s="80" customFormat="1" ht="27" customHeight="1" x14ac:dyDescent="0.2">
      <c r="A85" s="69">
        <v>75</v>
      </c>
      <c r="B85" s="83" t="s">
        <v>551</v>
      </c>
      <c r="C85" s="85" t="s">
        <v>552</v>
      </c>
      <c r="D85" s="70">
        <v>2076</v>
      </c>
      <c r="E85" s="71">
        <v>1000</v>
      </c>
      <c r="F85" s="72">
        <v>0</v>
      </c>
      <c r="G85" s="73">
        <v>250</v>
      </c>
      <c r="H85" s="73">
        <v>0</v>
      </c>
      <c r="I85" s="36">
        <f t="shared" si="0"/>
        <v>3326</v>
      </c>
      <c r="J85" s="36">
        <f t="shared" si="1"/>
        <v>92.28</v>
      </c>
      <c r="K85" s="36">
        <f t="shared" si="15"/>
        <v>338.36</v>
      </c>
      <c r="L85" s="36">
        <v>0</v>
      </c>
      <c r="M85" s="36">
        <v>0</v>
      </c>
      <c r="N85" s="36">
        <f t="shared" si="16"/>
        <v>430.64</v>
      </c>
      <c r="O85" s="36">
        <f t="shared" si="17"/>
        <v>2895.36</v>
      </c>
      <c r="P85" s="74">
        <v>0</v>
      </c>
      <c r="Q85" s="79"/>
      <c r="R85" s="79"/>
      <c r="S85" s="79"/>
      <c r="T85" s="79"/>
      <c r="U85" s="79"/>
      <c r="V85" s="79"/>
      <c r="W85" s="79"/>
      <c r="X85" s="79"/>
    </row>
    <row r="86" spans="1:24" s="80" customFormat="1" ht="27" customHeight="1" x14ac:dyDescent="0.2">
      <c r="A86" s="69">
        <v>76</v>
      </c>
      <c r="B86" s="57" t="s">
        <v>553</v>
      </c>
      <c r="C86" s="57" t="s">
        <v>449</v>
      </c>
      <c r="D86" s="77">
        <v>1940</v>
      </c>
      <c r="E86" s="71">
        <v>0</v>
      </c>
      <c r="F86" s="72">
        <v>0</v>
      </c>
      <c r="G86" s="73">
        <v>0</v>
      </c>
      <c r="H86" s="73">
        <v>0</v>
      </c>
      <c r="I86" s="36">
        <f t="shared" si="0"/>
        <v>1940</v>
      </c>
      <c r="J86" s="36">
        <f t="shared" si="1"/>
        <v>58.2</v>
      </c>
      <c r="K86" s="36">
        <f t="shared" ref="K86:K88" si="18">D86*10%</f>
        <v>194</v>
      </c>
      <c r="L86" s="36">
        <v>0</v>
      </c>
      <c r="M86" s="36">
        <v>0</v>
      </c>
      <c r="N86" s="36">
        <f t="shared" si="16"/>
        <v>252.2</v>
      </c>
      <c r="O86" s="36">
        <f t="shared" si="17"/>
        <v>1687.8</v>
      </c>
      <c r="P86" s="74">
        <v>0</v>
      </c>
      <c r="Q86" s="79"/>
      <c r="R86" s="79"/>
      <c r="S86" s="79"/>
      <c r="T86" s="79"/>
      <c r="U86" s="79"/>
      <c r="V86" s="79"/>
      <c r="W86" s="79"/>
      <c r="X86" s="79"/>
    </row>
    <row r="87" spans="1:24" s="80" customFormat="1" ht="27" customHeight="1" x14ac:dyDescent="0.2">
      <c r="A87" s="69">
        <v>77</v>
      </c>
      <c r="B87" s="57" t="s">
        <v>554</v>
      </c>
      <c r="C87" s="57" t="s">
        <v>449</v>
      </c>
      <c r="D87" s="70">
        <v>1940</v>
      </c>
      <c r="E87" s="71">
        <v>0</v>
      </c>
      <c r="F87" s="72">
        <v>0</v>
      </c>
      <c r="G87" s="73">
        <v>0</v>
      </c>
      <c r="H87" s="73">
        <v>0</v>
      </c>
      <c r="I87" s="36">
        <f t="shared" si="0"/>
        <v>1940</v>
      </c>
      <c r="J87" s="36">
        <f t="shared" si="1"/>
        <v>58.2</v>
      </c>
      <c r="K87" s="36">
        <f t="shared" si="18"/>
        <v>194</v>
      </c>
      <c r="L87" s="36">
        <v>0</v>
      </c>
      <c r="M87" s="36">
        <v>0</v>
      </c>
      <c r="N87" s="36">
        <f t="shared" si="16"/>
        <v>252.2</v>
      </c>
      <c r="O87" s="36">
        <f t="shared" si="17"/>
        <v>1687.8</v>
      </c>
      <c r="P87" s="74">
        <v>0</v>
      </c>
      <c r="Q87" s="79"/>
      <c r="R87" s="79"/>
      <c r="S87" s="79"/>
      <c r="T87" s="79"/>
      <c r="U87" s="79"/>
      <c r="V87" s="79"/>
      <c r="W87" s="79"/>
      <c r="X87" s="79"/>
    </row>
    <row r="88" spans="1:24" s="80" customFormat="1" ht="27" customHeight="1" x14ac:dyDescent="0.2">
      <c r="A88" s="69">
        <v>78</v>
      </c>
      <c r="B88" s="83" t="s">
        <v>555</v>
      </c>
      <c r="C88" s="57" t="s">
        <v>449</v>
      </c>
      <c r="D88" s="70">
        <v>1940</v>
      </c>
      <c r="E88" s="71">
        <v>0</v>
      </c>
      <c r="F88" s="72">
        <v>0</v>
      </c>
      <c r="G88" s="73">
        <v>0</v>
      </c>
      <c r="H88" s="73">
        <v>0</v>
      </c>
      <c r="I88" s="36">
        <f t="shared" si="0"/>
        <v>1940</v>
      </c>
      <c r="J88" s="36">
        <f t="shared" si="1"/>
        <v>58.2</v>
      </c>
      <c r="K88" s="36">
        <f t="shared" si="18"/>
        <v>194</v>
      </c>
      <c r="L88" s="36">
        <v>0</v>
      </c>
      <c r="M88" s="36">
        <v>0</v>
      </c>
      <c r="N88" s="36">
        <f t="shared" si="16"/>
        <v>252.2</v>
      </c>
      <c r="O88" s="36">
        <f t="shared" si="17"/>
        <v>1687.8</v>
      </c>
      <c r="P88" s="74">
        <v>0</v>
      </c>
      <c r="Q88" s="79"/>
      <c r="R88" s="79"/>
      <c r="S88" s="79"/>
      <c r="T88" s="79"/>
      <c r="U88" s="79"/>
      <c r="V88" s="79"/>
      <c r="W88" s="79"/>
      <c r="X88" s="79"/>
    </row>
    <row r="89" spans="1:24" s="80" customFormat="1" ht="27" customHeight="1" x14ac:dyDescent="0.2">
      <c r="A89" s="69">
        <v>79</v>
      </c>
      <c r="B89" s="57" t="s">
        <v>556</v>
      </c>
      <c r="C89" s="57" t="s">
        <v>490</v>
      </c>
      <c r="D89" s="70">
        <v>1668</v>
      </c>
      <c r="E89" s="71">
        <v>1000</v>
      </c>
      <c r="F89" s="72">
        <v>0</v>
      </c>
      <c r="G89" s="73">
        <v>250</v>
      </c>
      <c r="H89" s="73">
        <v>0</v>
      </c>
      <c r="I89" s="36">
        <f t="shared" si="0"/>
        <v>2918</v>
      </c>
      <c r="J89" s="36">
        <f t="shared" si="1"/>
        <v>80.040000000000006</v>
      </c>
      <c r="K89" s="36">
        <f>(D89+E89)*11%</f>
        <v>293.48</v>
      </c>
      <c r="L89" s="36">
        <v>0</v>
      </c>
      <c r="M89" s="36">
        <v>0</v>
      </c>
      <c r="N89" s="36">
        <f t="shared" si="16"/>
        <v>373.52</v>
      </c>
      <c r="O89" s="36">
        <f t="shared" si="17"/>
        <v>2544.48</v>
      </c>
      <c r="P89" s="74">
        <v>0</v>
      </c>
      <c r="Q89" s="79"/>
      <c r="R89" s="79"/>
      <c r="S89" s="79"/>
      <c r="T89" s="79"/>
      <c r="U89" s="79"/>
      <c r="V89" s="79"/>
      <c r="W89" s="79"/>
      <c r="X89" s="79"/>
    </row>
    <row r="90" spans="1:24" s="80" customFormat="1" ht="27" customHeight="1" x14ac:dyDescent="0.2">
      <c r="A90" s="69">
        <v>80</v>
      </c>
      <c r="B90" s="57" t="s">
        <v>557</v>
      </c>
      <c r="C90" s="34" t="s">
        <v>478</v>
      </c>
      <c r="D90" s="77">
        <v>2328</v>
      </c>
      <c r="E90" s="71">
        <v>0</v>
      </c>
      <c r="F90" s="72">
        <v>0</v>
      </c>
      <c r="G90" s="73">
        <v>0</v>
      </c>
      <c r="H90" s="73">
        <v>0</v>
      </c>
      <c r="I90" s="36">
        <f t="shared" si="0"/>
        <v>2328</v>
      </c>
      <c r="J90" s="36">
        <f t="shared" si="1"/>
        <v>69.84</v>
      </c>
      <c r="K90" s="36">
        <f t="shared" ref="K90:K91" si="19">D90*11%</f>
        <v>256.08</v>
      </c>
      <c r="L90" s="36">
        <v>0</v>
      </c>
      <c r="M90" s="36">
        <v>0</v>
      </c>
      <c r="N90" s="36">
        <f t="shared" si="16"/>
        <v>325.92</v>
      </c>
      <c r="O90" s="36">
        <f t="shared" si="17"/>
        <v>2002.08</v>
      </c>
      <c r="P90" s="74">
        <v>0</v>
      </c>
      <c r="Q90" s="79"/>
      <c r="R90" s="79"/>
      <c r="S90" s="79"/>
      <c r="T90" s="79"/>
      <c r="U90" s="79"/>
      <c r="V90" s="79"/>
      <c r="W90" s="79"/>
      <c r="X90" s="79"/>
    </row>
    <row r="91" spans="1:24" s="80" customFormat="1" ht="27" customHeight="1" x14ac:dyDescent="0.2">
      <c r="A91" s="69">
        <v>81</v>
      </c>
      <c r="B91" s="57" t="s">
        <v>558</v>
      </c>
      <c r="C91" s="57" t="s">
        <v>447</v>
      </c>
      <c r="D91" s="77">
        <v>2425</v>
      </c>
      <c r="E91" s="71">
        <v>0</v>
      </c>
      <c r="F91" s="72">
        <v>0</v>
      </c>
      <c r="G91" s="73">
        <v>0</v>
      </c>
      <c r="H91" s="73">
        <v>0</v>
      </c>
      <c r="I91" s="36">
        <f t="shared" si="0"/>
        <v>2425</v>
      </c>
      <c r="J91" s="36">
        <f t="shared" si="1"/>
        <v>72.75</v>
      </c>
      <c r="K91" s="36">
        <f t="shared" si="19"/>
        <v>266.75</v>
      </c>
      <c r="L91" s="36">
        <v>0</v>
      </c>
      <c r="M91" s="36">
        <v>0</v>
      </c>
      <c r="N91" s="36">
        <f t="shared" si="16"/>
        <v>339.5</v>
      </c>
      <c r="O91" s="36">
        <f t="shared" si="17"/>
        <v>2085.5</v>
      </c>
      <c r="P91" s="74">
        <v>0</v>
      </c>
      <c r="Q91" s="79"/>
      <c r="R91" s="79"/>
      <c r="S91" s="79"/>
      <c r="T91" s="79"/>
      <c r="U91" s="79"/>
      <c r="V91" s="79"/>
      <c r="W91" s="79"/>
      <c r="X91" s="79"/>
    </row>
    <row r="92" spans="1:24" s="80" customFormat="1" ht="27" customHeight="1" x14ac:dyDescent="0.2">
      <c r="A92" s="69">
        <v>82</v>
      </c>
      <c r="B92" s="57" t="s">
        <v>559</v>
      </c>
      <c r="C92" s="57" t="s">
        <v>449</v>
      </c>
      <c r="D92" s="70">
        <v>1940</v>
      </c>
      <c r="E92" s="71">
        <v>0</v>
      </c>
      <c r="F92" s="72">
        <v>0</v>
      </c>
      <c r="G92" s="73">
        <v>0</v>
      </c>
      <c r="H92" s="73">
        <v>0</v>
      </c>
      <c r="I92" s="36">
        <f t="shared" si="0"/>
        <v>1940</v>
      </c>
      <c r="J92" s="36">
        <f t="shared" si="1"/>
        <v>58.2</v>
      </c>
      <c r="K92" s="36">
        <f>D92*10%</f>
        <v>194</v>
      </c>
      <c r="L92" s="36">
        <v>0</v>
      </c>
      <c r="M92" s="36">
        <v>0</v>
      </c>
      <c r="N92" s="36">
        <f t="shared" si="16"/>
        <v>252.2</v>
      </c>
      <c r="O92" s="36">
        <f t="shared" si="17"/>
        <v>1687.8</v>
      </c>
      <c r="P92" s="74">
        <v>0</v>
      </c>
      <c r="Q92" s="79"/>
      <c r="R92" s="79"/>
      <c r="S92" s="79"/>
      <c r="T92" s="79"/>
      <c r="U92" s="79"/>
      <c r="V92" s="79"/>
      <c r="W92" s="79"/>
      <c r="X92" s="79"/>
    </row>
    <row r="93" spans="1:24" s="80" customFormat="1" ht="27" customHeight="1" x14ac:dyDescent="0.2">
      <c r="A93" s="69">
        <v>83</v>
      </c>
      <c r="B93" s="82" t="s">
        <v>560</v>
      </c>
      <c r="C93" s="85" t="s">
        <v>561</v>
      </c>
      <c r="D93" s="72">
        <v>2920</v>
      </c>
      <c r="E93" s="72">
        <v>1000</v>
      </c>
      <c r="F93" s="72">
        <v>0</v>
      </c>
      <c r="G93" s="72">
        <v>250</v>
      </c>
      <c r="H93" s="73">
        <v>0</v>
      </c>
      <c r="I93" s="36">
        <f t="shared" si="0"/>
        <v>4170</v>
      </c>
      <c r="J93" s="36">
        <f t="shared" si="1"/>
        <v>117.6</v>
      </c>
      <c r="K93" s="36">
        <f>(D93+E93)*11%</f>
        <v>431.2</v>
      </c>
      <c r="L93" s="36">
        <v>131.99</v>
      </c>
      <c r="M93" s="36">
        <v>101.97</v>
      </c>
      <c r="N93" s="36">
        <f t="shared" si="16"/>
        <v>782.76</v>
      </c>
      <c r="O93" s="36">
        <f t="shared" si="17"/>
        <v>3387.24</v>
      </c>
      <c r="P93" s="74">
        <v>0</v>
      </c>
      <c r="Q93" s="79"/>
      <c r="R93" s="79"/>
      <c r="S93" s="79"/>
      <c r="T93" s="79"/>
      <c r="U93" s="79"/>
      <c r="V93" s="79"/>
      <c r="W93" s="79"/>
      <c r="X93" s="79"/>
    </row>
    <row r="94" spans="1:24" s="80" customFormat="1" ht="27" customHeight="1" x14ac:dyDescent="0.2">
      <c r="A94" s="69">
        <v>84</v>
      </c>
      <c r="B94" s="57" t="s">
        <v>562</v>
      </c>
      <c r="C94" s="57" t="s">
        <v>447</v>
      </c>
      <c r="D94" s="77">
        <v>2425</v>
      </c>
      <c r="E94" s="71">
        <v>0</v>
      </c>
      <c r="F94" s="72">
        <v>0</v>
      </c>
      <c r="G94" s="73">
        <v>0</v>
      </c>
      <c r="H94" s="73">
        <v>0</v>
      </c>
      <c r="I94" s="36">
        <f t="shared" si="0"/>
        <v>2425</v>
      </c>
      <c r="J94" s="36">
        <f t="shared" si="1"/>
        <v>72.75</v>
      </c>
      <c r="K94" s="36">
        <f>D94*11%</f>
        <v>266.75</v>
      </c>
      <c r="L94" s="36">
        <v>0</v>
      </c>
      <c r="M94" s="36">
        <v>0</v>
      </c>
      <c r="N94" s="36">
        <f t="shared" si="16"/>
        <v>339.5</v>
      </c>
      <c r="O94" s="36">
        <f t="shared" si="17"/>
        <v>2085.5</v>
      </c>
      <c r="P94" s="74">
        <v>0</v>
      </c>
      <c r="Q94" s="79"/>
      <c r="R94" s="79"/>
      <c r="S94" s="79"/>
      <c r="T94" s="79"/>
      <c r="U94" s="79"/>
      <c r="V94" s="79"/>
      <c r="W94" s="79"/>
      <c r="X94" s="79"/>
    </row>
    <row r="95" spans="1:24" s="80" customFormat="1" ht="27" customHeight="1" x14ac:dyDescent="0.2">
      <c r="A95" s="69">
        <v>85</v>
      </c>
      <c r="B95" s="112" t="s">
        <v>563</v>
      </c>
      <c r="C95" s="85" t="s">
        <v>564</v>
      </c>
      <c r="D95" s="72">
        <v>5787</v>
      </c>
      <c r="E95" s="72">
        <v>1800</v>
      </c>
      <c r="F95" s="72">
        <v>0</v>
      </c>
      <c r="G95" s="72">
        <v>250</v>
      </c>
      <c r="H95" s="73">
        <v>0</v>
      </c>
      <c r="I95" s="36">
        <f t="shared" si="0"/>
        <v>7837</v>
      </c>
      <c r="J95" s="36">
        <f t="shared" si="1"/>
        <v>227.61</v>
      </c>
      <c r="K95" s="36">
        <f>(D95+E95)*13%</f>
        <v>986.31</v>
      </c>
      <c r="L95" s="36">
        <v>131.99</v>
      </c>
      <c r="M95" s="36">
        <v>101.97</v>
      </c>
      <c r="N95" s="36">
        <f t="shared" si="16"/>
        <v>1447.88</v>
      </c>
      <c r="O95" s="36">
        <f t="shared" si="17"/>
        <v>6389.12</v>
      </c>
      <c r="P95" s="74">
        <f>1019.5</f>
        <v>1019.5</v>
      </c>
      <c r="Q95" s="79"/>
      <c r="R95" s="79"/>
      <c r="S95" s="79"/>
      <c r="T95" s="79"/>
      <c r="U95" s="79"/>
      <c r="V95" s="79"/>
      <c r="W95" s="79"/>
      <c r="X95" s="79"/>
    </row>
    <row r="96" spans="1:24" s="80" customFormat="1" ht="25.5" x14ac:dyDescent="0.2">
      <c r="A96" s="69">
        <v>86</v>
      </c>
      <c r="B96" s="113" t="s">
        <v>565</v>
      </c>
      <c r="C96" s="57" t="s">
        <v>454</v>
      </c>
      <c r="D96" s="114">
        <v>2249</v>
      </c>
      <c r="E96" s="71">
        <v>1000</v>
      </c>
      <c r="F96" s="72">
        <v>0</v>
      </c>
      <c r="G96" s="73">
        <v>250</v>
      </c>
      <c r="H96" s="73">
        <v>0</v>
      </c>
      <c r="I96" s="36">
        <f t="shared" si="0"/>
        <v>3499</v>
      </c>
      <c r="J96" s="36">
        <f t="shared" si="1"/>
        <v>97.47</v>
      </c>
      <c r="K96" s="36">
        <f>(D96+E96)*11%</f>
        <v>357.39</v>
      </c>
      <c r="L96" s="36">
        <v>0</v>
      </c>
      <c r="M96" s="36">
        <v>0</v>
      </c>
      <c r="N96" s="36">
        <f t="shared" si="16"/>
        <v>454.86</v>
      </c>
      <c r="O96" s="36">
        <f t="shared" si="17"/>
        <v>3044.14</v>
      </c>
      <c r="P96" s="74">
        <v>0</v>
      </c>
      <c r="Q96" s="79"/>
      <c r="R96" s="79"/>
      <c r="S96" s="79"/>
      <c r="T96" s="79"/>
      <c r="U96" s="79"/>
      <c r="V96" s="79"/>
      <c r="W96" s="79"/>
      <c r="X96" s="79"/>
    </row>
    <row r="97" spans="1:24" s="80" customFormat="1" ht="25.5" x14ac:dyDescent="0.2">
      <c r="A97" s="69">
        <v>87</v>
      </c>
      <c r="B97" s="57" t="s">
        <v>566</v>
      </c>
      <c r="C97" s="57" t="s">
        <v>447</v>
      </c>
      <c r="D97" s="77">
        <v>2425</v>
      </c>
      <c r="E97" s="71">
        <v>0</v>
      </c>
      <c r="F97" s="72">
        <v>0</v>
      </c>
      <c r="G97" s="73">
        <v>0</v>
      </c>
      <c r="H97" s="73">
        <v>0</v>
      </c>
      <c r="I97" s="36">
        <f t="shared" si="0"/>
        <v>2425</v>
      </c>
      <c r="J97" s="36">
        <f t="shared" si="1"/>
        <v>72.75</v>
      </c>
      <c r="K97" s="36">
        <f>D97*11%</f>
        <v>266.75</v>
      </c>
      <c r="L97" s="36">
        <v>0</v>
      </c>
      <c r="M97" s="36">
        <v>0</v>
      </c>
      <c r="N97" s="36">
        <f t="shared" si="16"/>
        <v>339.5</v>
      </c>
      <c r="O97" s="36">
        <f t="shared" si="17"/>
        <v>2085.5</v>
      </c>
      <c r="P97" s="74">
        <v>0</v>
      </c>
      <c r="Q97" s="79"/>
      <c r="R97" s="79"/>
      <c r="S97" s="79"/>
      <c r="T97" s="79"/>
      <c r="U97" s="79"/>
      <c r="V97" s="79"/>
      <c r="W97" s="79"/>
      <c r="X97" s="79"/>
    </row>
    <row r="98" spans="1:24" s="80" customFormat="1" ht="25.5" x14ac:dyDescent="0.2">
      <c r="A98" s="69">
        <v>88</v>
      </c>
      <c r="B98" s="57" t="s">
        <v>567</v>
      </c>
      <c r="C98" s="57" t="s">
        <v>509</v>
      </c>
      <c r="D98" s="70">
        <v>3081</v>
      </c>
      <c r="E98" s="70">
        <v>1000</v>
      </c>
      <c r="F98" s="72">
        <v>0</v>
      </c>
      <c r="G98" s="73">
        <v>250</v>
      </c>
      <c r="H98" s="73">
        <v>0</v>
      </c>
      <c r="I98" s="36">
        <f t="shared" si="0"/>
        <v>4331</v>
      </c>
      <c r="J98" s="36">
        <f t="shared" si="1"/>
        <v>122.43</v>
      </c>
      <c r="K98" s="36">
        <f>(D98+E98)*12%</f>
        <v>489.72</v>
      </c>
      <c r="L98" s="36">
        <v>0</v>
      </c>
      <c r="M98" s="36">
        <v>52.68</v>
      </c>
      <c r="N98" s="36">
        <f t="shared" si="16"/>
        <v>664.83</v>
      </c>
      <c r="O98" s="36">
        <f t="shared" si="17"/>
        <v>3666.17</v>
      </c>
      <c r="P98" s="74">
        <v>0</v>
      </c>
      <c r="Q98" s="79"/>
      <c r="R98" s="79"/>
      <c r="S98" s="79"/>
      <c r="T98" s="79"/>
      <c r="U98" s="79"/>
      <c r="V98" s="79"/>
      <c r="W98" s="79"/>
      <c r="X98" s="79"/>
    </row>
    <row r="99" spans="1:24" s="80" customFormat="1" ht="25.5" x14ac:dyDescent="0.2">
      <c r="A99" s="69">
        <v>89</v>
      </c>
      <c r="B99" s="57" t="s">
        <v>568</v>
      </c>
      <c r="C99" s="34" t="s">
        <v>478</v>
      </c>
      <c r="D99" s="77">
        <v>2328</v>
      </c>
      <c r="E99" s="71">
        <v>0</v>
      </c>
      <c r="F99" s="72">
        <v>0</v>
      </c>
      <c r="G99" s="73">
        <v>0</v>
      </c>
      <c r="H99" s="73">
        <v>0</v>
      </c>
      <c r="I99" s="36">
        <f t="shared" si="0"/>
        <v>2328</v>
      </c>
      <c r="J99" s="36">
        <f t="shared" si="1"/>
        <v>69.84</v>
      </c>
      <c r="K99" s="36">
        <f>D99*11%</f>
        <v>256.08</v>
      </c>
      <c r="L99" s="36">
        <v>0</v>
      </c>
      <c r="M99" s="36">
        <v>0</v>
      </c>
      <c r="N99" s="36">
        <f t="shared" si="16"/>
        <v>325.92</v>
      </c>
      <c r="O99" s="36">
        <f t="shared" si="17"/>
        <v>2002.08</v>
      </c>
      <c r="P99" s="74">
        <v>0</v>
      </c>
      <c r="Q99" s="79"/>
      <c r="R99" s="79"/>
      <c r="S99" s="79"/>
      <c r="T99" s="79"/>
      <c r="U99" s="79"/>
      <c r="V99" s="79"/>
      <c r="W99" s="79"/>
      <c r="X99" s="79"/>
    </row>
    <row r="100" spans="1:24" s="80" customFormat="1" ht="25.5" x14ac:dyDescent="0.2">
      <c r="A100" s="69">
        <v>90</v>
      </c>
      <c r="B100" s="57" t="s">
        <v>569</v>
      </c>
      <c r="C100" s="85" t="s">
        <v>463</v>
      </c>
      <c r="D100" s="72">
        <v>0</v>
      </c>
      <c r="E100" s="72">
        <v>0</v>
      </c>
      <c r="F100" s="72">
        <v>0</v>
      </c>
      <c r="G100" s="72">
        <v>0</v>
      </c>
      <c r="H100" s="73">
        <v>0</v>
      </c>
      <c r="I100" s="36">
        <f t="shared" si="0"/>
        <v>0</v>
      </c>
      <c r="J100" s="36">
        <f t="shared" si="1"/>
        <v>0</v>
      </c>
      <c r="K100" s="36">
        <f>(D100+E100)*15%</f>
        <v>0</v>
      </c>
      <c r="L100" s="36">
        <v>0</v>
      </c>
      <c r="M100" s="36">
        <v>0</v>
      </c>
      <c r="N100" s="36">
        <f t="shared" si="16"/>
        <v>0</v>
      </c>
      <c r="O100" s="36">
        <f t="shared" si="17"/>
        <v>0</v>
      </c>
      <c r="P100" s="74">
        <v>0</v>
      </c>
      <c r="Q100" s="79"/>
      <c r="R100" s="79"/>
      <c r="S100" s="79"/>
      <c r="T100" s="79"/>
      <c r="U100" s="79"/>
      <c r="V100" s="79"/>
      <c r="W100" s="79"/>
      <c r="X100" s="79"/>
    </row>
    <row r="101" spans="1:24" s="80" customFormat="1" ht="25.5" x14ac:dyDescent="0.2">
      <c r="A101" s="69">
        <v>91</v>
      </c>
      <c r="B101" s="82" t="s">
        <v>570</v>
      </c>
      <c r="C101" s="57" t="s">
        <v>525</v>
      </c>
      <c r="D101" s="72">
        <v>2920</v>
      </c>
      <c r="E101" s="72">
        <v>1000</v>
      </c>
      <c r="F101" s="72">
        <v>0</v>
      </c>
      <c r="G101" s="72">
        <v>250</v>
      </c>
      <c r="H101" s="73">
        <v>0</v>
      </c>
      <c r="I101" s="36">
        <f t="shared" si="0"/>
        <v>4170</v>
      </c>
      <c r="J101" s="36">
        <f t="shared" si="1"/>
        <v>117.6</v>
      </c>
      <c r="K101" s="36">
        <f t="shared" ref="K101:K102" si="20">(D101+E101)*11%</f>
        <v>431.2</v>
      </c>
      <c r="L101" s="36">
        <v>0</v>
      </c>
      <c r="M101" s="36">
        <v>52.68</v>
      </c>
      <c r="N101" s="36">
        <f t="shared" si="16"/>
        <v>601.48</v>
      </c>
      <c r="O101" s="36">
        <f t="shared" si="17"/>
        <v>3568.52</v>
      </c>
      <c r="P101" s="74">
        <v>0</v>
      </c>
      <c r="Q101" s="79"/>
      <c r="R101" s="79"/>
      <c r="S101" s="79"/>
      <c r="T101" s="79"/>
      <c r="U101" s="79"/>
      <c r="V101" s="79"/>
      <c r="W101" s="79"/>
      <c r="X101" s="79"/>
    </row>
    <row r="102" spans="1:24" s="80" customFormat="1" ht="25.5" x14ac:dyDescent="0.2">
      <c r="A102" s="69">
        <v>92</v>
      </c>
      <c r="B102" s="82" t="s">
        <v>571</v>
      </c>
      <c r="C102" s="57" t="s">
        <v>493</v>
      </c>
      <c r="D102" s="72">
        <v>1831</v>
      </c>
      <c r="E102" s="72">
        <v>1000</v>
      </c>
      <c r="F102" s="72">
        <v>0</v>
      </c>
      <c r="G102" s="72">
        <v>250</v>
      </c>
      <c r="H102" s="73">
        <v>0</v>
      </c>
      <c r="I102" s="36">
        <f t="shared" si="0"/>
        <v>3081</v>
      </c>
      <c r="J102" s="36">
        <f t="shared" si="1"/>
        <v>84.93</v>
      </c>
      <c r="K102" s="36">
        <f t="shared" si="20"/>
        <v>311.41000000000003</v>
      </c>
      <c r="L102" s="36">
        <v>0</v>
      </c>
      <c r="M102" s="36">
        <v>38.049999999999997</v>
      </c>
      <c r="N102" s="36">
        <f t="shared" si="16"/>
        <v>434.39</v>
      </c>
      <c r="O102" s="36">
        <f t="shared" si="17"/>
        <v>2646.61</v>
      </c>
      <c r="P102" s="74">
        <v>0</v>
      </c>
      <c r="Q102" s="79"/>
      <c r="R102" s="79"/>
      <c r="S102" s="79"/>
      <c r="T102" s="79"/>
      <c r="U102" s="79"/>
      <c r="V102" s="79"/>
      <c r="W102" s="79"/>
      <c r="X102" s="79"/>
    </row>
    <row r="103" spans="1:24" s="80" customFormat="1" ht="25.5" x14ac:dyDescent="0.2">
      <c r="A103" s="69">
        <v>93</v>
      </c>
      <c r="B103" s="57" t="s">
        <v>572</v>
      </c>
      <c r="C103" s="57" t="s">
        <v>449</v>
      </c>
      <c r="D103" s="77">
        <v>1940</v>
      </c>
      <c r="E103" s="71">
        <v>0</v>
      </c>
      <c r="F103" s="72">
        <v>0</v>
      </c>
      <c r="G103" s="73">
        <v>0</v>
      </c>
      <c r="H103" s="73">
        <v>0</v>
      </c>
      <c r="I103" s="36">
        <f t="shared" si="0"/>
        <v>1940</v>
      </c>
      <c r="J103" s="36">
        <f t="shared" si="1"/>
        <v>58.2</v>
      </c>
      <c r="K103" s="36">
        <f>D103*10%</f>
        <v>194</v>
      </c>
      <c r="L103" s="36">
        <v>0</v>
      </c>
      <c r="M103" s="36">
        <v>0</v>
      </c>
      <c r="N103" s="36">
        <f t="shared" si="16"/>
        <v>252.2</v>
      </c>
      <c r="O103" s="36">
        <f t="shared" si="17"/>
        <v>1687.8</v>
      </c>
      <c r="P103" s="74">
        <v>0</v>
      </c>
      <c r="Q103" s="79"/>
      <c r="R103" s="79"/>
      <c r="S103" s="79"/>
      <c r="T103" s="79"/>
      <c r="U103" s="79"/>
      <c r="V103" s="79"/>
      <c r="W103" s="79"/>
      <c r="X103" s="79"/>
    </row>
    <row r="104" spans="1:24" s="80" customFormat="1" ht="25.5" x14ac:dyDescent="0.2">
      <c r="A104" s="69">
        <v>94</v>
      </c>
      <c r="B104" s="83" t="s">
        <v>573</v>
      </c>
      <c r="C104" s="57" t="s">
        <v>509</v>
      </c>
      <c r="D104" s="115">
        <v>3081</v>
      </c>
      <c r="E104" s="98">
        <v>1000</v>
      </c>
      <c r="F104" s="72">
        <v>0</v>
      </c>
      <c r="G104" s="73">
        <v>250</v>
      </c>
      <c r="H104" s="73">
        <v>0</v>
      </c>
      <c r="I104" s="36">
        <f t="shared" si="0"/>
        <v>4331</v>
      </c>
      <c r="J104" s="36">
        <f t="shared" si="1"/>
        <v>122.43</v>
      </c>
      <c r="K104" s="36">
        <f>(D104+E104)*12%</f>
        <v>489.72</v>
      </c>
      <c r="L104" s="36">
        <v>0</v>
      </c>
      <c r="M104" s="36">
        <v>0</v>
      </c>
      <c r="N104" s="36">
        <f t="shared" si="16"/>
        <v>612.15</v>
      </c>
      <c r="O104" s="36">
        <f t="shared" si="17"/>
        <v>3718.85</v>
      </c>
      <c r="P104" s="74">
        <v>0</v>
      </c>
      <c r="Q104" s="79"/>
      <c r="R104" s="79"/>
      <c r="S104" s="79"/>
      <c r="T104" s="79"/>
      <c r="U104" s="79"/>
      <c r="V104" s="79"/>
      <c r="W104" s="79"/>
      <c r="X104" s="79"/>
    </row>
    <row r="105" spans="1:24" s="80" customFormat="1" ht="25.5" x14ac:dyDescent="0.2">
      <c r="A105" s="69">
        <v>95</v>
      </c>
      <c r="B105" s="57" t="s">
        <v>574</v>
      </c>
      <c r="C105" s="57" t="s">
        <v>449</v>
      </c>
      <c r="D105" s="77">
        <v>1940</v>
      </c>
      <c r="E105" s="71">
        <v>0</v>
      </c>
      <c r="F105" s="72">
        <v>0</v>
      </c>
      <c r="G105" s="73">
        <v>0</v>
      </c>
      <c r="H105" s="73">
        <v>0</v>
      </c>
      <c r="I105" s="36">
        <f t="shared" si="0"/>
        <v>1940</v>
      </c>
      <c r="J105" s="36">
        <f t="shared" si="1"/>
        <v>58.2</v>
      </c>
      <c r="K105" s="36">
        <f>D105*10%</f>
        <v>194</v>
      </c>
      <c r="L105" s="36">
        <v>0</v>
      </c>
      <c r="M105" s="36">
        <v>0</v>
      </c>
      <c r="N105" s="36">
        <f t="shared" si="16"/>
        <v>252.2</v>
      </c>
      <c r="O105" s="36">
        <f t="shared" si="17"/>
        <v>1687.8</v>
      </c>
      <c r="P105" s="74">
        <v>0</v>
      </c>
      <c r="Q105" s="79"/>
      <c r="R105" s="79"/>
      <c r="S105" s="79"/>
      <c r="T105" s="79"/>
      <c r="U105" s="79"/>
      <c r="V105" s="79"/>
      <c r="W105" s="79"/>
      <c r="X105" s="79"/>
    </row>
    <row r="106" spans="1:24" s="80" customFormat="1" ht="25.5" x14ac:dyDescent="0.2">
      <c r="A106" s="69">
        <v>96</v>
      </c>
      <c r="B106" s="83" t="s">
        <v>575</v>
      </c>
      <c r="C106" s="83" t="s">
        <v>460</v>
      </c>
      <c r="D106" s="70">
        <v>2760</v>
      </c>
      <c r="E106" s="71">
        <v>1000</v>
      </c>
      <c r="F106" s="72">
        <v>0</v>
      </c>
      <c r="G106" s="73">
        <v>250</v>
      </c>
      <c r="H106" s="73">
        <v>0</v>
      </c>
      <c r="I106" s="36">
        <f t="shared" si="0"/>
        <v>4010</v>
      </c>
      <c r="J106" s="36">
        <f t="shared" si="1"/>
        <v>112.8</v>
      </c>
      <c r="K106" s="36">
        <f>(D106+E106)*11%</f>
        <v>413.6</v>
      </c>
      <c r="L106" s="36">
        <v>0</v>
      </c>
      <c r="M106" s="36">
        <v>0</v>
      </c>
      <c r="N106" s="36">
        <f t="shared" si="16"/>
        <v>526.4</v>
      </c>
      <c r="O106" s="36">
        <f t="shared" si="17"/>
        <v>3483.6</v>
      </c>
      <c r="P106" s="74">
        <v>0</v>
      </c>
      <c r="Q106" s="79"/>
      <c r="R106" s="79"/>
      <c r="S106" s="79"/>
      <c r="T106" s="79"/>
      <c r="U106" s="79"/>
      <c r="V106" s="79"/>
      <c r="W106" s="79"/>
      <c r="X106" s="79"/>
    </row>
    <row r="107" spans="1:24" s="80" customFormat="1" ht="25.5" x14ac:dyDescent="0.2">
      <c r="A107" s="69">
        <v>97</v>
      </c>
      <c r="B107" s="116" t="s">
        <v>576</v>
      </c>
      <c r="C107" s="57" t="s">
        <v>577</v>
      </c>
      <c r="D107" s="72">
        <v>5095</v>
      </c>
      <c r="E107" s="72">
        <v>1800</v>
      </c>
      <c r="F107" s="72">
        <v>0</v>
      </c>
      <c r="G107" s="72">
        <v>250</v>
      </c>
      <c r="H107" s="73">
        <v>0</v>
      </c>
      <c r="I107" s="36">
        <f t="shared" si="0"/>
        <v>7145</v>
      </c>
      <c r="J107" s="36">
        <f t="shared" si="1"/>
        <v>206.85</v>
      </c>
      <c r="K107" s="36">
        <f>(D107+E107)*13%</f>
        <v>896.35</v>
      </c>
      <c r="L107" s="36">
        <v>102.92</v>
      </c>
      <c r="M107" s="36">
        <v>92.67</v>
      </c>
      <c r="N107" s="36">
        <f t="shared" si="16"/>
        <v>1298.79</v>
      </c>
      <c r="O107" s="36">
        <f t="shared" si="17"/>
        <v>5846.21</v>
      </c>
      <c r="P107" s="74">
        <v>0</v>
      </c>
      <c r="Q107" s="79"/>
      <c r="R107" s="79"/>
      <c r="S107" s="79"/>
      <c r="T107" s="79"/>
      <c r="U107" s="79"/>
      <c r="V107" s="79"/>
      <c r="W107" s="79"/>
      <c r="X107" s="79"/>
    </row>
    <row r="108" spans="1:24" s="80" customFormat="1" x14ac:dyDescent="0.2">
      <c r="A108" s="69">
        <v>98</v>
      </c>
      <c r="B108" s="96" t="s">
        <v>578</v>
      </c>
      <c r="C108" s="33" t="s">
        <v>579</v>
      </c>
      <c r="D108" s="72">
        <v>1902</v>
      </c>
      <c r="E108" s="72">
        <v>1000</v>
      </c>
      <c r="F108" s="72">
        <v>0</v>
      </c>
      <c r="G108" s="72">
        <v>250</v>
      </c>
      <c r="H108" s="73">
        <v>0</v>
      </c>
      <c r="I108" s="36">
        <f t="shared" si="0"/>
        <v>3152</v>
      </c>
      <c r="J108" s="36">
        <f t="shared" si="1"/>
        <v>87.06</v>
      </c>
      <c r="K108" s="36">
        <f>(D108+E108)*11%</f>
        <v>319.22000000000003</v>
      </c>
      <c r="L108" s="36">
        <v>0</v>
      </c>
      <c r="M108" s="36">
        <v>0</v>
      </c>
      <c r="N108" s="36">
        <f t="shared" si="16"/>
        <v>406.28</v>
      </c>
      <c r="O108" s="36">
        <f t="shared" si="17"/>
        <v>2745.72</v>
      </c>
      <c r="P108" s="74">
        <v>0</v>
      </c>
      <c r="Q108" s="79"/>
      <c r="R108" s="79"/>
      <c r="S108" s="79"/>
      <c r="T108" s="79"/>
      <c r="U108" s="79"/>
      <c r="V108" s="79"/>
      <c r="W108" s="79"/>
      <c r="X108" s="79"/>
    </row>
    <row r="109" spans="1:24" s="80" customFormat="1" ht="25.5" x14ac:dyDescent="0.2">
      <c r="A109" s="69">
        <v>99</v>
      </c>
      <c r="B109" s="57" t="s">
        <v>580</v>
      </c>
      <c r="C109" s="57" t="s">
        <v>449</v>
      </c>
      <c r="D109" s="77">
        <v>1940</v>
      </c>
      <c r="E109" s="71">
        <v>0</v>
      </c>
      <c r="F109" s="72">
        <v>0</v>
      </c>
      <c r="G109" s="73">
        <v>0</v>
      </c>
      <c r="H109" s="73">
        <v>0</v>
      </c>
      <c r="I109" s="36">
        <f t="shared" si="0"/>
        <v>1940</v>
      </c>
      <c r="J109" s="36">
        <f t="shared" si="1"/>
        <v>58.2</v>
      </c>
      <c r="K109" s="36">
        <f>D109*10%</f>
        <v>194</v>
      </c>
      <c r="L109" s="36">
        <v>0</v>
      </c>
      <c r="M109" s="36">
        <v>0</v>
      </c>
      <c r="N109" s="36">
        <f t="shared" si="16"/>
        <v>252.2</v>
      </c>
      <c r="O109" s="36">
        <f t="shared" si="17"/>
        <v>1687.8</v>
      </c>
      <c r="P109" s="74">
        <v>0</v>
      </c>
      <c r="Q109" s="79"/>
      <c r="R109" s="79"/>
      <c r="S109" s="79"/>
      <c r="T109" s="79"/>
      <c r="U109" s="79"/>
      <c r="V109" s="79"/>
      <c r="W109" s="79"/>
      <c r="X109" s="79"/>
    </row>
    <row r="110" spans="1:24" s="80" customFormat="1" ht="25.5" x14ac:dyDescent="0.2">
      <c r="A110" s="69">
        <v>100</v>
      </c>
      <c r="B110" s="57" t="s">
        <v>581</v>
      </c>
      <c r="C110" s="57" t="s">
        <v>447</v>
      </c>
      <c r="D110" s="77">
        <v>2425</v>
      </c>
      <c r="E110" s="71">
        <v>0</v>
      </c>
      <c r="F110" s="72">
        <v>0</v>
      </c>
      <c r="G110" s="73">
        <v>0</v>
      </c>
      <c r="H110" s="73">
        <v>0</v>
      </c>
      <c r="I110" s="36">
        <f t="shared" si="0"/>
        <v>2425</v>
      </c>
      <c r="J110" s="36">
        <f t="shared" si="1"/>
        <v>72.75</v>
      </c>
      <c r="K110" s="36">
        <f>D110*11%</f>
        <v>266.75</v>
      </c>
      <c r="L110" s="36">
        <v>0</v>
      </c>
      <c r="M110" s="36">
        <v>0</v>
      </c>
      <c r="N110" s="36">
        <f t="shared" si="16"/>
        <v>339.5</v>
      </c>
      <c r="O110" s="36">
        <f t="shared" si="17"/>
        <v>2085.5</v>
      </c>
      <c r="P110" s="74">
        <v>0</v>
      </c>
      <c r="Q110" s="79"/>
      <c r="R110" s="79"/>
      <c r="S110" s="79"/>
      <c r="T110" s="79"/>
      <c r="U110" s="79"/>
      <c r="V110" s="79"/>
      <c r="W110" s="79"/>
      <c r="X110" s="79"/>
    </row>
    <row r="111" spans="1:24" s="80" customFormat="1" ht="25.5" x14ac:dyDescent="0.2">
      <c r="A111" s="69">
        <v>101</v>
      </c>
      <c r="B111" s="57" t="s">
        <v>582</v>
      </c>
      <c r="C111" s="57" t="s">
        <v>454</v>
      </c>
      <c r="D111" s="70">
        <v>2249</v>
      </c>
      <c r="E111" s="70">
        <v>1000</v>
      </c>
      <c r="F111" s="72">
        <v>0</v>
      </c>
      <c r="G111" s="73">
        <v>250</v>
      </c>
      <c r="H111" s="73">
        <v>0</v>
      </c>
      <c r="I111" s="36">
        <f t="shared" si="0"/>
        <v>3499</v>
      </c>
      <c r="J111" s="36">
        <f t="shared" si="1"/>
        <v>97.47</v>
      </c>
      <c r="K111" s="36">
        <f t="shared" ref="K111:K113" si="21">(D111+E111)*11%</f>
        <v>357.39</v>
      </c>
      <c r="L111" s="36">
        <v>0</v>
      </c>
      <c r="M111" s="36">
        <v>0</v>
      </c>
      <c r="N111" s="36">
        <f t="shared" si="16"/>
        <v>454.86</v>
      </c>
      <c r="O111" s="36">
        <f t="shared" si="17"/>
        <v>3044.14</v>
      </c>
      <c r="P111" s="74">
        <v>0</v>
      </c>
      <c r="Q111" s="79"/>
      <c r="R111" s="79"/>
      <c r="S111" s="79"/>
      <c r="T111" s="79"/>
      <c r="U111" s="79"/>
      <c r="V111" s="79"/>
      <c r="W111" s="79"/>
      <c r="X111" s="79"/>
    </row>
    <row r="112" spans="1:24" s="80" customFormat="1" ht="25.5" x14ac:dyDescent="0.2">
      <c r="A112" s="69">
        <v>102</v>
      </c>
      <c r="B112" s="34" t="s">
        <v>583</v>
      </c>
      <c r="C112" s="57" t="s">
        <v>525</v>
      </c>
      <c r="D112" s="36">
        <v>2920</v>
      </c>
      <c r="E112" s="36">
        <v>1000</v>
      </c>
      <c r="F112" s="72">
        <v>0</v>
      </c>
      <c r="G112" s="73">
        <v>250</v>
      </c>
      <c r="H112" s="73">
        <v>0</v>
      </c>
      <c r="I112" s="36">
        <f t="shared" si="0"/>
        <v>4170</v>
      </c>
      <c r="J112" s="36">
        <f t="shared" si="1"/>
        <v>117.6</v>
      </c>
      <c r="K112" s="36">
        <f t="shared" si="21"/>
        <v>431.2</v>
      </c>
      <c r="L112" s="36">
        <v>0</v>
      </c>
      <c r="M112" s="36">
        <v>0</v>
      </c>
      <c r="N112" s="36">
        <f t="shared" si="16"/>
        <v>548.79999999999995</v>
      </c>
      <c r="O112" s="36">
        <f t="shared" si="17"/>
        <v>3621.2</v>
      </c>
      <c r="P112" s="74">
        <v>0</v>
      </c>
      <c r="Q112" s="79"/>
      <c r="R112" s="79"/>
      <c r="S112" s="79"/>
      <c r="T112" s="79"/>
      <c r="U112" s="79"/>
      <c r="V112" s="79"/>
      <c r="W112" s="79"/>
      <c r="X112" s="79"/>
    </row>
    <row r="113" spans="1:24" s="80" customFormat="1" ht="25.5" x14ac:dyDescent="0.2">
      <c r="A113" s="69">
        <v>103</v>
      </c>
      <c r="B113" s="57" t="s">
        <v>584</v>
      </c>
      <c r="C113" s="57" t="s">
        <v>447</v>
      </c>
      <c r="D113" s="77">
        <v>2425</v>
      </c>
      <c r="E113" s="70">
        <v>0</v>
      </c>
      <c r="F113" s="72">
        <v>0</v>
      </c>
      <c r="G113" s="73">
        <v>0</v>
      </c>
      <c r="H113" s="73">
        <v>0</v>
      </c>
      <c r="I113" s="36">
        <f t="shared" si="0"/>
        <v>2425</v>
      </c>
      <c r="J113" s="36">
        <f t="shared" si="1"/>
        <v>72.75</v>
      </c>
      <c r="K113" s="36">
        <f t="shared" si="21"/>
        <v>266.75</v>
      </c>
      <c r="L113" s="36">
        <v>0</v>
      </c>
      <c r="M113" s="36">
        <v>0</v>
      </c>
      <c r="N113" s="36">
        <f t="shared" si="16"/>
        <v>339.5</v>
      </c>
      <c r="O113" s="36">
        <f t="shared" si="17"/>
        <v>2085.5</v>
      </c>
      <c r="P113" s="74">
        <v>0</v>
      </c>
      <c r="Q113" s="79"/>
      <c r="R113" s="79"/>
      <c r="S113" s="79"/>
      <c r="T113" s="79"/>
      <c r="U113" s="79"/>
      <c r="V113" s="79"/>
      <c r="W113" s="79"/>
      <c r="X113" s="79"/>
    </row>
    <row r="114" spans="1:24" s="80" customFormat="1" ht="25.5" x14ac:dyDescent="0.2">
      <c r="A114" s="69">
        <v>104</v>
      </c>
      <c r="B114" s="57" t="s">
        <v>585</v>
      </c>
      <c r="C114" s="57" t="s">
        <v>449</v>
      </c>
      <c r="D114" s="77">
        <v>1940</v>
      </c>
      <c r="E114" s="70">
        <v>0</v>
      </c>
      <c r="F114" s="72">
        <v>0</v>
      </c>
      <c r="G114" s="73">
        <v>0</v>
      </c>
      <c r="H114" s="73">
        <v>0</v>
      </c>
      <c r="I114" s="36">
        <f t="shared" si="0"/>
        <v>1940</v>
      </c>
      <c r="J114" s="36">
        <f t="shared" si="1"/>
        <v>58.2</v>
      </c>
      <c r="K114" s="36">
        <f>D114*10%</f>
        <v>194</v>
      </c>
      <c r="L114" s="36">
        <v>0</v>
      </c>
      <c r="M114" s="36">
        <v>0</v>
      </c>
      <c r="N114" s="36">
        <f t="shared" si="16"/>
        <v>252.2</v>
      </c>
      <c r="O114" s="36">
        <f t="shared" si="17"/>
        <v>1687.8</v>
      </c>
      <c r="P114" s="74">
        <v>0</v>
      </c>
      <c r="Q114" s="79"/>
      <c r="R114" s="79"/>
      <c r="S114" s="79"/>
      <c r="T114" s="79"/>
      <c r="U114" s="79"/>
      <c r="V114" s="79"/>
      <c r="W114" s="79"/>
      <c r="X114" s="79"/>
    </row>
    <row r="115" spans="1:24" s="80" customFormat="1" ht="25.5" x14ac:dyDescent="0.2">
      <c r="A115" s="69">
        <v>105</v>
      </c>
      <c r="B115" s="57" t="s">
        <v>586</v>
      </c>
      <c r="C115" s="57" t="s">
        <v>447</v>
      </c>
      <c r="D115" s="77">
        <v>2425</v>
      </c>
      <c r="E115" s="70">
        <v>0</v>
      </c>
      <c r="F115" s="72">
        <v>0</v>
      </c>
      <c r="G115" s="73">
        <v>0</v>
      </c>
      <c r="H115" s="73">
        <v>0</v>
      </c>
      <c r="I115" s="36">
        <f t="shared" si="0"/>
        <v>2425</v>
      </c>
      <c r="J115" s="36">
        <f t="shared" si="1"/>
        <v>72.75</v>
      </c>
      <c r="K115" s="36">
        <f>D115*11%</f>
        <v>266.75</v>
      </c>
      <c r="L115" s="36">
        <v>0</v>
      </c>
      <c r="M115" s="36">
        <v>0</v>
      </c>
      <c r="N115" s="36">
        <f t="shared" si="16"/>
        <v>339.5</v>
      </c>
      <c r="O115" s="36">
        <f t="shared" si="17"/>
        <v>2085.5</v>
      </c>
      <c r="P115" s="74">
        <v>0</v>
      </c>
      <c r="Q115" s="79"/>
      <c r="R115" s="79"/>
      <c r="S115" s="79"/>
      <c r="T115" s="79"/>
      <c r="U115" s="79"/>
      <c r="V115" s="79"/>
      <c r="W115" s="79"/>
      <c r="X115" s="79"/>
    </row>
    <row r="116" spans="1:24" s="80" customFormat="1" ht="25.5" x14ac:dyDescent="0.2">
      <c r="A116" s="69">
        <v>106</v>
      </c>
      <c r="B116" s="57" t="s">
        <v>587</v>
      </c>
      <c r="C116" s="57" t="s">
        <v>449</v>
      </c>
      <c r="D116" s="77">
        <v>1940</v>
      </c>
      <c r="E116" s="70">
        <v>0</v>
      </c>
      <c r="F116" s="72">
        <v>0</v>
      </c>
      <c r="G116" s="73">
        <v>0</v>
      </c>
      <c r="H116" s="73">
        <v>0</v>
      </c>
      <c r="I116" s="36">
        <f t="shared" si="0"/>
        <v>1940</v>
      </c>
      <c r="J116" s="36">
        <f t="shared" si="1"/>
        <v>58.2</v>
      </c>
      <c r="K116" s="36">
        <f>D116*10%</f>
        <v>194</v>
      </c>
      <c r="L116" s="36">
        <v>0</v>
      </c>
      <c r="M116" s="36">
        <v>0</v>
      </c>
      <c r="N116" s="36">
        <f t="shared" si="16"/>
        <v>252.2</v>
      </c>
      <c r="O116" s="36">
        <f t="shared" si="17"/>
        <v>1687.8</v>
      </c>
      <c r="P116" s="74">
        <v>0</v>
      </c>
      <c r="Q116" s="79"/>
      <c r="R116" s="79"/>
      <c r="S116" s="79"/>
      <c r="T116" s="79"/>
      <c r="U116" s="79"/>
      <c r="V116" s="79"/>
      <c r="W116" s="79"/>
      <c r="X116" s="79"/>
    </row>
    <row r="117" spans="1:24" s="80" customFormat="1" ht="25.5" x14ac:dyDescent="0.2">
      <c r="A117" s="69">
        <v>107</v>
      </c>
      <c r="B117" s="57" t="s">
        <v>588</v>
      </c>
      <c r="C117" s="57" t="s">
        <v>447</v>
      </c>
      <c r="D117" s="77">
        <v>2425</v>
      </c>
      <c r="E117" s="70">
        <v>0</v>
      </c>
      <c r="F117" s="72">
        <v>0</v>
      </c>
      <c r="G117" s="73">
        <v>0</v>
      </c>
      <c r="H117" s="73">
        <v>0</v>
      </c>
      <c r="I117" s="36">
        <f t="shared" si="0"/>
        <v>2425</v>
      </c>
      <c r="J117" s="36">
        <f t="shared" si="1"/>
        <v>72.75</v>
      </c>
      <c r="K117" s="36">
        <f>D117*11%</f>
        <v>266.75</v>
      </c>
      <c r="L117" s="36">
        <v>0</v>
      </c>
      <c r="M117" s="36">
        <v>0</v>
      </c>
      <c r="N117" s="36">
        <f t="shared" si="16"/>
        <v>339.5</v>
      </c>
      <c r="O117" s="36">
        <f t="shared" si="17"/>
        <v>2085.5</v>
      </c>
      <c r="P117" s="74">
        <v>0</v>
      </c>
      <c r="Q117" s="79"/>
      <c r="R117" s="79"/>
      <c r="S117" s="79"/>
      <c r="T117" s="79"/>
      <c r="U117" s="79"/>
      <c r="V117" s="79"/>
      <c r="W117" s="79"/>
      <c r="X117" s="79"/>
    </row>
    <row r="118" spans="1:24" s="80" customFormat="1" ht="25.5" x14ac:dyDescent="0.2">
      <c r="A118" s="69">
        <v>108</v>
      </c>
      <c r="B118" s="57" t="s">
        <v>589</v>
      </c>
      <c r="C118" s="57" t="s">
        <v>449</v>
      </c>
      <c r="D118" s="77">
        <v>1940</v>
      </c>
      <c r="E118" s="70">
        <v>0</v>
      </c>
      <c r="F118" s="72">
        <v>0</v>
      </c>
      <c r="G118" s="73">
        <v>0</v>
      </c>
      <c r="H118" s="73">
        <v>0</v>
      </c>
      <c r="I118" s="36">
        <f t="shared" si="0"/>
        <v>1940</v>
      </c>
      <c r="J118" s="36">
        <f t="shared" si="1"/>
        <v>58.2</v>
      </c>
      <c r="K118" s="36">
        <f>D118*10%</f>
        <v>194</v>
      </c>
      <c r="L118" s="36">
        <v>0</v>
      </c>
      <c r="M118" s="36">
        <v>0</v>
      </c>
      <c r="N118" s="36">
        <f t="shared" si="16"/>
        <v>252.2</v>
      </c>
      <c r="O118" s="36">
        <f t="shared" si="17"/>
        <v>1687.8</v>
      </c>
      <c r="P118" s="74">
        <v>0</v>
      </c>
      <c r="Q118" s="79"/>
      <c r="R118" s="79"/>
      <c r="S118" s="79"/>
      <c r="T118" s="79"/>
      <c r="U118" s="79"/>
      <c r="V118" s="79"/>
      <c r="W118" s="79"/>
      <c r="X118" s="79"/>
    </row>
    <row r="119" spans="1:24" s="80" customFormat="1" ht="25.5" x14ac:dyDescent="0.2">
      <c r="A119" s="69">
        <v>109</v>
      </c>
      <c r="B119" s="34" t="s">
        <v>590</v>
      </c>
      <c r="C119" s="34" t="s">
        <v>504</v>
      </c>
      <c r="D119" s="36">
        <v>1902</v>
      </c>
      <c r="E119" s="36">
        <v>1000</v>
      </c>
      <c r="F119" s="72">
        <v>0</v>
      </c>
      <c r="G119" s="73">
        <v>250</v>
      </c>
      <c r="H119" s="73">
        <v>0</v>
      </c>
      <c r="I119" s="36">
        <f t="shared" si="0"/>
        <v>3152</v>
      </c>
      <c r="J119" s="36">
        <f t="shared" si="1"/>
        <v>87.06</v>
      </c>
      <c r="K119" s="36">
        <f t="shared" ref="K119:K120" si="22">(D119+E119)*11%</f>
        <v>319.22000000000003</v>
      </c>
      <c r="L119" s="36">
        <v>0</v>
      </c>
      <c r="M119" s="36">
        <v>0</v>
      </c>
      <c r="N119" s="36">
        <f t="shared" si="16"/>
        <v>406.28</v>
      </c>
      <c r="O119" s="36">
        <f t="shared" si="17"/>
        <v>2745.72</v>
      </c>
      <c r="P119" s="74">
        <f>2198.76+202</f>
        <v>2400.7600000000002</v>
      </c>
      <c r="Q119" s="79"/>
      <c r="R119" s="79"/>
      <c r="S119" s="79"/>
      <c r="T119" s="79"/>
      <c r="U119" s="79"/>
      <c r="V119" s="79"/>
      <c r="W119" s="79"/>
      <c r="X119" s="79"/>
    </row>
    <row r="120" spans="1:24" s="80" customFormat="1" x14ac:dyDescent="0.2">
      <c r="A120" s="69">
        <v>110</v>
      </c>
      <c r="B120" s="57" t="s">
        <v>591</v>
      </c>
      <c r="C120" s="57" t="s">
        <v>465</v>
      </c>
      <c r="D120" s="70">
        <v>1902</v>
      </c>
      <c r="E120" s="70">
        <v>1000</v>
      </c>
      <c r="F120" s="72">
        <v>0</v>
      </c>
      <c r="G120" s="73">
        <v>250</v>
      </c>
      <c r="H120" s="73">
        <v>0</v>
      </c>
      <c r="I120" s="36">
        <f t="shared" si="0"/>
        <v>3152</v>
      </c>
      <c r="J120" s="36">
        <f t="shared" si="1"/>
        <v>87.06</v>
      </c>
      <c r="K120" s="36">
        <f t="shared" si="22"/>
        <v>319.22000000000003</v>
      </c>
      <c r="L120" s="36">
        <v>0</v>
      </c>
      <c r="M120" s="36">
        <v>0</v>
      </c>
      <c r="N120" s="36">
        <f t="shared" si="16"/>
        <v>406.28</v>
      </c>
      <c r="O120" s="36">
        <f t="shared" ref="O120:O121" si="23">SUM(D120:M120)</f>
        <v>6710.28</v>
      </c>
      <c r="P120" s="74">
        <v>0</v>
      </c>
      <c r="Q120" s="79"/>
      <c r="R120" s="79"/>
      <c r="S120" s="79"/>
      <c r="T120" s="79"/>
      <c r="U120" s="79"/>
      <c r="V120" s="79"/>
      <c r="W120" s="79"/>
      <c r="X120" s="79"/>
    </row>
    <row r="121" spans="1:24" s="80" customFormat="1" ht="25.5" x14ac:dyDescent="0.2">
      <c r="A121" s="69">
        <v>111</v>
      </c>
      <c r="B121" s="57" t="s">
        <v>592</v>
      </c>
      <c r="C121" s="57" t="s">
        <v>447</v>
      </c>
      <c r="D121" s="70">
        <v>2425</v>
      </c>
      <c r="E121" s="70">
        <v>0</v>
      </c>
      <c r="F121" s="72">
        <v>0</v>
      </c>
      <c r="G121" s="73">
        <v>0</v>
      </c>
      <c r="H121" s="73">
        <v>0</v>
      </c>
      <c r="I121" s="36">
        <f t="shared" si="0"/>
        <v>2425</v>
      </c>
      <c r="J121" s="36">
        <f t="shared" si="1"/>
        <v>72.75</v>
      </c>
      <c r="K121" s="36">
        <f>D121*11%</f>
        <v>266.75</v>
      </c>
      <c r="L121" s="36">
        <v>0</v>
      </c>
      <c r="M121" s="36">
        <v>0</v>
      </c>
      <c r="N121" s="36">
        <f t="shared" si="16"/>
        <v>339.5</v>
      </c>
      <c r="O121" s="36">
        <f t="shared" si="23"/>
        <v>5189.5</v>
      </c>
      <c r="P121" s="74">
        <v>0</v>
      </c>
      <c r="Q121" s="79"/>
      <c r="R121" s="79"/>
      <c r="S121" s="79"/>
      <c r="T121" s="79"/>
      <c r="U121" s="79"/>
      <c r="V121" s="79"/>
      <c r="W121" s="79"/>
      <c r="X121" s="79"/>
    </row>
    <row r="122" spans="1:24" s="80" customFormat="1" ht="25.5" x14ac:dyDescent="0.2">
      <c r="A122" s="69">
        <v>112</v>
      </c>
      <c r="B122" s="82" t="s">
        <v>593</v>
      </c>
      <c r="C122" s="85" t="s">
        <v>594</v>
      </c>
      <c r="D122" s="72">
        <v>2375</v>
      </c>
      <c r="E122" s="72">
        <v>1000</v>
      </c>
      <c r="F122" s="72">
        <v>0</v>
      </c>
      <c r="G122" s="72">
        <v>250</v>
      </c>
      <c r="H122" s="73">
        <v>0</v>
      </c>
      <c r="I122" s="36">
        <f t="shared" si="0"/>
        <v>3625</v>
      </c>
      <c r="J122" s="36">
        <f t="shared" si="1"/>
        <v>101.25</v>
      </c>
      <c r="K122" s="36">
        <f>(D122+E122)*11%</f>
        <v>371.25</v>
      </c>
      <c r="L122" s="36">
        <v>0</v>
      </c>
      <c r="M122" s="36">
        <v>45.36</v>
      </c>
      <c r="N122" s="36">
        <f t="shared" si="16"/>
        <v>517.86</v>
      </c>
      <c r="O122" s="36">
        <f t="shared" ref="O122:O264" si="24">I122-N122</f>
        <v>3107.14</v>
      </c>
      <c r="P122" s="74">
        <v>0</v>
      </c>
      <c r="Q122" s="79"/>
      <c r="R122" s="79"/>
      <c r="S122" s="79"/>
      <c r="T122" s="79"/>
      <c r="U122" s="79"/>
      <c r="V122" s="79"/>
      <c r="W122" s="79"/>
      <c r="X122" s="79"/>
    </row>
    <row r="123" spans="1:24" s="80" customFormat="1" ht="25.5" x14ac:dyDescent="0.2">
      <c r="A123" s="69">
        <v>113</v>
      </c>
      <c r="B123" s="57" t="s">
        <v>595</v>
      </c>
      <c r="C123" s="57" t="s">
        <v>596</v>
      </c>
      <c r="D123" s="72">
        <v>3241</v>
      </c>
      <c r="E123" s="72">
        <v>1000</v>
      </c>
      <c r="F123" s="72">
        <v>0</v>
      </c>
      <c r="G123" s="72">
        <v>250</v>
      </c>
      <c r="H123" s="73">
        <v>0</v>
      </c>
      <c r="I123" s="36">
        <f t="shared" si="0"/>
        <v>4491</v>
      </c>
      <c r="J123" s="36">
        <f t="shared" si="1"/>
        <v>127.23</v>
      </c>
      <c r="K123" s="36">
        <f>(D123+E123)*12%</f>
        <v>508.92</v>
      </c>
      <c r="L123" s="36">
        <v>0</v>
      </c>
      <c r="M123" s="36">
        <v>45.36</v>
      </c>
      <c r="N123" s="36">
        <f t="shared" si="16"/>
        <v>681.51</v>
      </c>
      <c r="O123" s="36">
        <f t="shared" si="24"/>
        <v>3809.49</v>
      </c>
      <c r="P123" s="74">
        <f>629</f>
        <v>629</v>
      </c>
      <c r="Q123" s="79"/>
      <c r="R123" s="79"/>
      <c r="S123" s="79"/>
      <c r="T123" s="79"/>
      <c r="U123" s="79"/>
      <c r="V123" s="79"/>
      <c r="W123" s="79"/>
      <c r="X123" s="79"/>
    </row>
    <row r="124" spans="1:24" s="80" customFormat="1" ht="25.5" x14ac:dyDescent="0.2">
      <c r="A124" s="69">
        <v>114</v>
      </c>
      <c r="B124" s="57" t="s">
        <v>597</v>
      </c>
      <c r="C124" s="57" t="s">
        <v>447</v>
      </c>
      <c r="D124" s="105">
        <v>2425</v>
      </c>
      <c r="E124" s="70">
        <v>0</v>
      </c>
      <c r="F124" s="72">
        <v>0</v>
      </c>
      <c r="G124" s="73">
        <v>0</v>
      </c>
      <c r="H124" s="73">
        <v>0</v>
      </c>
      <c r="I124" s="36">
        <f t="shared" si="0"/>
        <v>2425</v>
      </c>
      <c r="J124" s="36">
        <f t="shared" si="1"/>
        <v>72.75</v>
      </c>
      <c r="K124" s="36">
        <f>D124*11%</f>
        <v>266.75</v>
      </c>
      <c r="L124" s="36">
        <v>0</v>
      </c>
      <c r="M124" s="36">
        <v>0</v>
      </c>
      <c r="N124" s="36">
        <f t="shared" si="16"/>
        <v>339.5</v>
      </c>
      <c r="O124" s="36">
        <f t="shared" si="24"/>
        <v>2085.5</v>
      </c>
      <c r="P124" s="74">
        <v>0</v>
      </c>
      <c r="Q124" s="79"/>
      <c r="R124" s="79"/>
      <c r="S124" s="79"/>
      <c r="T124" s="79"/>
      <c r="U124" s="79"/>
      <c r="V124" s="79"/>
      <c r="W124" s="79"/>
      <c r="X124" s="79"/>
    </row>
    <row r="125" spans="1:24" s="80" customFormat="1" ht="25.5" x14ac:dyDescent="0.2">
      <c r="A125" s="69">
        <v>115</v>
      </c>
      <c r="B125" s="116" t="s">
        <v>598</v>
      </c>
      <c r="C125" s="85" t="s">
        <v>599</v>
      </c>
      <c r="D125" s="72">
        <v>2920</v>
      </c>
      <c r="E125" s="72">
        <v>1000</v>
      </c>
      <c r="F125" s="72">
        <v>0</v>
      </c>
      <c r="G125" s="72">
        <v>250</v>
      </c>
      <c r="H125" s="73">
        <v>0</v>
      </c>
      <c r="I125" s="36">
        <f t="shared" si="0"/>
        <v>4170</v>
      </c>
      <c r="J125" s="36">
        <f t="shared" si="1"/>
        <v>117.6</v>
      </c>
      <c r="K125" s="36">
        <f>(D125+E125)*11%</f>
        <v>431.2</v>
      </c>
      <c r="L125" s="36">
        <v>0</v>
      </c>
      <c r="M125" s="36">
        <v>52.68</v>
      </c>
      <c r="N125" s="36">
        <f t="shared" si="16"/>
        <v>601.48</v>
      </c>
      <c r="O125" s="36">
        <f t="shared" si="24"/>
        <v>3568.52</v>
      </c>
      <c r="P125" s="74">
        <v>0</v>
      </c>
      <c r="Q125" s="79"/>
      <c r="R125" s="79"/>
      <c r="S125" s="79"/>
      <c r="T125" s="79"/>
      <c r="U125" s="79"/>
      <c r="V125" s="79"/>
      <c r="W125" s="79"/>
      <c r="X125" s="79"/>
    </row>
    <row r="126" spans="1:24" s="80" customFormat="1" ht="25.5" x14ac:dyDescent="0.2">
      <c r="A126" s="69">
        <v>116</v>
      </c>
      <c r="B126" s="57" t="s">
        <v>600</v>
      </c>
      <c r="C126" s="57" t="s">
        <v>447</v>
      </c>
      <c r="D126" s="105">
        <v>2425</v>
      </c>
      <c r="E126" s="70">
        <v>0</v>
      </c>
      <c r="F126" s="72">
        <v>0</v>
      </c>
      <c r="G126" s="73">
        <v>0</v>
      </c>
      <c r="H126" s="73">
        <v>0</v>
      </c>
      <c r="I126" s="36">
        <f t="shared" si="0"/>
        <v>2425</v>
      </c>
      <c r="J126" s="36">
        <f t="shared" si="1"/>
        <v>72.75</v>
      </c>
      <c r="K126" s="36">
        <f>D126*11%</f>
        <v>266.75</v>
      </c>
      <c r="L126" s="36">
        <v>0</v>
      </c>
      <c r="M126" s="36">
        <v>0</v>
      </c>
      <c r="N126" s="36">
        <f t="shared" si="16"/>
        <v>339.5</v>
      </c>
      <c r="O126" s="36">
        <f t="shared" si="24"/>
        <v>2085.5</v>
      </c>
      <c r="P126" s="74">
        <v>0</v>
      </c>
      <c r="Q126" s="79"/>
      <c r="R126" s="79"/>
      <c r="S126" s="79"/>
      <c r="T126" s="79"/>
      <c r="U126" s="79"/>
      <c r="V126" s="79"/>
      <c r="W126" s="79"/>
      <c r="X126" s="79"/>
    </row>
    <row r="127" spans="1:24" s="80" customFormat="1" x14ac:dyDescent="0.2">
      <c r="A127" s="69">
        <v>117</v>
      </c>
      <c r="B127" s="109" t="s">
        <v>601</v>
      </c>
      <c r="C127" s="57" t="s">
        <v>515</v>
      </c>
      <c r="D127" s="70">
        <v>1668</v>
      </c>
      <c r="E127" s="71">
        <v>1000</v>
      </c>
      <c r="F127" s="72">
        <v>0</v>
      </c>
      <c r="G127" s="73">
        <v>250</v>
      </c>
      <c r="H127" s="73">
        <v>0</v>
      </c>
      <c r="I127" s="36">
        <f t="shared" si="0"/>
        <v>2918</v>
      </c>
      <c r="J127" s="36">
        <f t="shared" si="1"/>
        <v>80.040000000000006</v>
      </c>
      <c r="K127" s="36">
        <v>293.48</v>
      </c>
      <c r="L127" s="36">
        <v>0</v>
      </c>
      <c r="M127" s="36">
        <v>0</v>
      </c>
      <c r="N127" s="36">
        <f t="shared" si="16"/>
        <v>373.52</v>
      </c>
      <c r="O127" s="36">
        <f t="shared" si="24"/>
        <v>2544.48</v>
      </c>
      <c r="P127" s="74">
        <v>0</v>
      </c>
      <c r="Q127" s="79"/>
      <c r="R127" s="79"/>
      <c r="S127" s="79"/>
      <c r="T127" s="79"/>
      <c r="U127" s="79"/>
      <c r="V127" s="79"/>
      <c r="W127" s="79"/>
      <c r="X127" s="79"/>
    </row>
    <row r="128" spans="1:24" s="80" customFormat="1" ht="25.5" x14ac:dyDescent="0.2">
      <c r="A128" s="69">
        <v>118</v>
      </c>
      <c r="B128" s="117" t="s">
        <v>602</v>
      </c>
      <c r="C128" s="57" t="s">
        <v>447</v>
      </c>
      <c r="D128" s="90">
        <v>2425</v>
      </c>
      <c r="E128" s="70">
        <v>0</v>
      </c>
      <c r="F128" s="72">
        <v>0</v>
      </c>
      <c r="G128" s="73">
        <v>0</v>
      </c>
      <c r="H128" s="73">
        <v>0</v>
      </c>
      <c r="I128" s="36">
        <f t="shared" si="0"/>
        <v>2425</v>
      </c>
      <c r="J128" s="36">
        <f t="shared" si="1"/>
        <v>72.75</v>
      </c>
      <c r="K128" s="36">
        <v>266.75</v>
      </c>
      <c r="L128" s="36">
        <v>0</v>
      </c>
      <c r="M128" s="36">
        <v>0</v>
      </c>
      <c r="N128" s="36">
        <f t="shared" si="16"/>
        <v>339.5</v>
      </c>
      <c r="O128" s="36">
        <f t="shared" si="24"/>
        <v>2085.5</v>
      </c>
      <c r="P128" s="74">
        <v>0</v>
      </c>
      <c r="Q128" s="79"/>
      <c r="R128" s="79"/>
      <c r="S128" s="79"/>
      <c r="T128" s="79"/>
      <c r="U128" s="79"/>
      <c r="V128" s="79"/>
      <c r="W128" s="79"/>
      <c r="X128" s="79"/>
    </row>
    <row r="129" spans="1:24" s="80" customFormat="1" ht="25.5" x14ac:dyDescent="0.2">
      <c r="A129" s="69">
        <v>119</v>
      </c>
      <c r="B129" s="82" t="s">
        <v>603</v>
      </c>
      <c r="C129" s="85" t="s">
        <v>463</v>
      </c>
      <c r="D129" s="72">
        <v>6759</v>
      </c>
      <c r="E129" s="72">
        <v>4000</v>
      </c>
      <c r="F129" s="72">
        <v>0</v>
      </c>
      <c r="G129" s="72">
        <v>250</v>
      </c>
      <c r="H129" s="73">
        <v>0</v>
      </c>
      <c r="I129" s="36">
        <f t="shared" si="0"/>
        <v>11009</v>
      </c>
      <c r="J129" s="36">
        <f t="shared" si="1"/>
        <v>322.77</v>
      </c>
      <c r="K129" s="36">
        <f>(D129+E129)*15%</f>
        <v>1613.85</v>
      </c>
      <c r="L129" s="36">
        <v>254.45</v>
      </c>
      <c r="M129" s="36">
        <v>144.6</v>
      </c>
      <c r="N129" s="36">
        <f t="shared" si="16"/>
        <v>2335.67</v>
      </c>
      <c r="O129" s="36">
        <f t="shared" si="24"/>
        <v>8673.33</v>
      </c>
      <c r="P129" s="74">
        <v>0</v>
      </c>
      <c r="Q129" s="79"/>
      <c r="R129" s="79"/>
      <c r="S129" s="79"/>
      <c r="T129" s="79"/>
      <c r="U129" s="79"/>
      <c r="V129" s="79"/>
      <c r="W129" s="79"/>
      <c r="X129" s="79"/>
    </row>
    <row r="130" spans="1:24" s="80" customFormat="1" ht="25.5" x14ac:dyDescent="0.2">
      <c r="A130" s="69">
        <v>120</v>
      </c>
      <c r="B130" s="109" t="s">
        <v>604</v>
      </c>
      <c r="C130" s="34" t="s">
        <v>504</v>
      </c>
      <c r="D130" s="70">
        <v>1902</v>
      </c>
      <c r="E130" s="71">
        <v>1000</v>
      </c>
      <c r="F130" s="72">
        <v>0</v>
      </c>
      <c r="G130" s="73">
        <v>250</v>
      </c>
      <c r="H130" s="73">
        <v>0</v>
      </c>
      <c r="I130" s="36">
        <f t="shared" si="0"/>
        <v>3152</v>
      </c>
      <c r="J130" s="36">
        <f t="shared" si="1"/>
        <v>87.06</v>
      </c>
      <c r="K130" s="36">
        <f>(D130+E130)*11%</f>
        <v>319.22000000000003</v>
      </c>
      <c r="L130" s="36">
        <v>0</v>
      </c>
      <c r="M130" s="36">
        <v>0</v>
      </c>
      <c r="N130" s="36">
        <f t="shared" si="16"/>
        <v>406.28</v>
      </c>
      <c r="O130" s="36">
        <f t="shared" si="24"/>
        <v>2745.72</v>
      </c>
      <c r="P130" s="74">
        <f>547</f>
        <v>547</v>
      </c>
      <c r="Q130" s="79"/>
      <c r="R130" s="79"/>
      <c r="S130" s="79"/>
      <c r="T130" s="79"/>
      <c r="U130" s="79"/>
      <c r="V130" s="79"/>
      <c r="W130" s="79"/>
      <c r="X130" s="79"/>
    </row>
    <row r="131" spans="1:24" s="80" customFormat="1" ht="25.5" x14ac:dyDescent="0.2">
      <c r="A131" s="69">
        <v>121</v>
      </c>
      <c r="B131" s="109" t="s">
        <v>605</v>
      </c>
      <c r="C131" s="57" t="s">
        <v>606</v>
      </c>
      <c r="D131" s="70">
        <v>1746</v>
      </c>
      <c r="E131" s="70">
        <v>0</v>
      </c>
      <c r="F131" s="72">
        <v>0</v>
      </c>
      <c r="G131" s="73">
        <v>0</v>
      </c>
      <c r="H131" s="73">
        <v>0</v>
      </c>
      <c r="I131" s="36">
        <f t="shared" si="0"/>
        <v>1746</v>
      </c>
      <c r="J131" s="36">
        <f t="shared" si="1"/>
        <v>52.38</v>
      </c>
      <c r="K131" s="36">
        <f>D131*10%</f>
        <v>174.6</v>
      </c>
      <c r="L131" s="36">
        <v>0</v>
      </c>
      <c r="M131" s="36">
        <v>0</v>
      </c>
      <c r="N131" s="36">
        <f t="shared" si="16"/>
        <v>226.98</v>
      </c>
      <c r="O131" s="36">
        <f t="shared" si="24"/>
        <v>1519.02</v>
      </c>
      <c r="P131" s="74">
        <v>0</v>
      </c>
      <c r="Q131" s="79"/>
      <c r="R131" s="79"/>
      <c r="S131" s="79"/>
      <c r="T131" s="79"/>
      <c r="U131" s="79"/>
      <c r="V131" s="79"/>
      <c r="W131" s="79"/>
      <c r="X131" s="79"/>
    </row>
    <row r="132" spans="1:24" s="80" customFormat="1" ht="25.5" x14ac:dyDescent="0.2">
      <c r="A132" s="69">
        <v>122</v>
      </c>
      <c r="B132" s="57" t="s">
        <v>607</v>
      </c>
      <c r="C132" s="57" t="s">
        <v>481</v>
      </c>
      <c r="D132" s="105">
        <v>2037</v>
      </c>
      <c r="E132" s="70">
        <v>0</v>
      </c>
      <c r="F132" s="72">
        <v>0</v>
      </c>
      <c r="G132" s="73">
        <v>0</v>
      </c>
      <c r="H132" s="73">
        <v>0</v>
      </c>
      <c r="I132" s="36">
        <f t="shared" si="0"/>
        <v>2037</v>
      </c>
      <c r="J132" s="36">
        <f t="shared" si="1"/>
        <v>61.11</v>
      </c>
      <c r="K132" s="36">
        <f>D132*11%</f>
        <v>224.07</v>
      </c>
      <c r="L132" s="36">
        <v>0</v>
      </c>
      <c r="M132" s="36">
        <v>0</v>
      </c>
      <c r="N132" s="36">
        <f t="shared" si="16"/>
        <v>285.18</v>
      </c>
      <c r="O132" s="36">
        <f t="shared" si="24"/>
        <v>1751.82</v>
      </c>
      <c r="P132" s="74">
        <v>0</v>
      </c>
      <c r="Q132" s="79"/>
      <c r="R132" s="79"/>
      <c r="S132" s="79"/>
      <c r="T132" s="79"/>
      <c r="U132" s="79"/>
      <c r="V132" s="79"/>
      <c r="W132" s="79"/>
      <c r="X132" s="79"/>
    </row>
    <row r="133" spans="1:24" s="80" customFormat="1" x14ac:dyDescent="0.2">
      <c r="A133" s="69">
        <v>123</v>
      </c>
      <c r="B133" s="57" t="s">
        <v>608</v>
      </c>
      <c r="C133" s="57" t="s">
        <v>465</v>
      </c>
      <c r="D133" s="70">
        <v>1902</v>
      </c>
      <c r="E133" s="70">
        <v>1000</v>
      </c>
      <c r="F133" s="72">
        <v>0</v>
      </c>
      <c r="G133" s="73">
        <v>250</v>
      </c>
      <c r="H133" s="73">
        <v>0</v>
      </c>
      <c r="I133" s="36">
        <f t="shared" si="0"/>
        <v>3152</v>
      </c>
      <c r="J133" s="36">
        <f t="shared" si="1"/>
        <v>87.06</v>
      </c>
      <c r="K133" s="36">
        <f>(D133+E133)*11%</f>
        <v>319.22000000000003</v>
      </c>
      <c r="L133" s="36">
        <v>0</v>
      </c>
      <c r="M133" s="36">
        <v>0</v>
      </c>
      <c r="N133" s="36">
        <f t="shared" si="16"/>
        <v>406.28</v>
      </c>
      <c r="O133" s="36">
        <f t="shared" si="24"/>
        <v>2745.72</v>
      </c>
      <c r="P133" s="74">
        <v>0</v>
      </c>
      <c r="Q133" s="79"/>
      <c r="R133" s="79"/>
      <c r="S133" s="79"/>
      <c r="T133" s="79"/>
      <c r="U133" s="79"/>
      <c r="V133" s="79"/>
      <c r="W133" s="79"/>
      <c r="X133" s="79"/>
    </row>
    <row r="134" spans="1:24" s="80" customFormat="1" ht="25.5" x14ac:dyDescent="0.2">
      <c r="A134" s="69">
        <v>124</v>
      </c>
      <c r="B134" s="57" t="s">
        <v>609</v>
      </c>
      <c r="C134" s="57" t="s">
        <v>610</v>
      </c>
      <c r="D134" s="70">
        <v>6249</v>
      </c>
      <c r="E134" s="70">
        <v>1800</v>
      </c>
      <c r="F134" s="72">
        <v>0</v>
      </c>
      <c r="G134" s="73">
        <v>250</v>
      </c>
      <c r="H134" s="73">
        <v>0</v>
      </c>
      <c r="I134" s="36">
        <f t="shared" si="0"/>
        <v>8299</v>
      </c>
      <c r="J134" s="36">
        <f t="shared" si="1"/>
        <v>241.47</v>
      </c>
      <c r="K134" s="36">
        <f>(D134+E134)*14%</f>
        <v>1126.8599999999999</v>
      </c>
      <c r="L134" s="36">
        <v>147.37</v>
      </c>
      <c r="M134" s="36">
        <v>108.18</v>
      </c>
      <c r="N134" s="36">
        <f t="shared" si="16"/>
        <v>1623.88</v>
      </c>
      <c r="O134" s="36">
        <f t="shared" si="24"/>
        <v>6675.12</v>
      </c>
      <c r="P134" s="74">
        <v>0</v>
      </c>
      <c r="Q134" s="79"/>
      <c r="R134" s="79"/>
      <c r="S134" s="79"/>
      <c r="T134" s="79"/>
      <c r="U134" s="79"/>
      <c r="V134" s="79"/>
      <c r="W134" s="79"/>
      <c r="X134" s="79"/>
    </row>
    <row r="135" spans="1:24" s="80" customFormat="1" ht="25.5" x14ac:dyDescent="0.2">
      <c r="A135" s="69">
        <v>125</v>
      </c>
      <c r="B135" s="83" t="s">
        <v>611</v>
      </c>
      <c r="C135" s="57" t="s">
        <v>509</v>
      </c>
      <c r="D135" s="36">
        <v>3081</v>
      </c>
      <c r="E135" s="70">
        <v>1000</v>
      </c>
      <c r="F135" s="72">
        <v>0</v>
      </c>
      <c r="G135" s="73">
        <v>250</v>
      </c>
      <c r="H135" s="73">
        <v>0</v>
      </c>
      <c r="I135" s="36">
        <f t="shared" si="0"/>
        <v>4331</v>
      </c>
      <c r="J135" s="36">
        <f t="shared" si="1"/>
        <v>122.43</v>
      </c>
      <c r="K135" s="36">
        <f t="shared" ref="K135:K136" si="25">(D135+E135)*12%</f>
        <v>489.72</v>
      </c>
      <c r="L135" s="36">
        <v>0</v>
      </c>
      <c r="M135" s="36">
        <v>40.06</v>
      </c>
      <c r="N135" s="36">
        <f t="shared" si="16"/>
        <v>652.21</v>
      </c>
      <c r="O135" s="36">
        <f t="shared" si="24"/>
        <v>3678.79</v>
      </c>
      <c r="P135" s="74">
        <v>0</v>
      </c>
      <c r="Q135" s="79"/>
      <c r="R135" s="79"/>
      <c r="S135" s="79"/>
      <c r="T135" s="79"/>
      <c r="U135" s="79"/>
      <c r="V135" s="79"/>
      <c r="W135" s="79"/>
      <c r="X135" s="79"/>
    </row>
    <row r="136" spans="1:24" s="80" customFormat="1" ht="25.5" x14ac:dyDescent="0.2">
      <c r="A136" s="69">
        <v>126</v>
      </c>
      <c r="B136" s="106" t="s">
        <v>612</v>
      </c>
      <c r="C136" s="57" t="s">
        <v>509</v>
      </c>
      <c r="D136" s="36">
        <v>3081</v>
      </c>
      <c r="E136" s="70">
        <v>1000</v>
      </c>
      <c r="F136" s="72">
        <v>0</v>
      </c>
      <c r="G136" s="73">
        <v>250</v>
      </c>
      <c r="H136" s="73">
        <v>0</v>
      </c>
      <c r="I136" s="36">
        <f t="shared" si="0"/>
        <v>4331</v>
      </c>
      <c r="J136" s="36">
        <f t="shared" si="1"/>
        <v>122.43</v>
      </c>
      <c r="K136" s="36">
        <f t="shared" si="25"/>
        <v>489.72</v>
      </c>
      <c r="L136" s="72">
        <v>0</v>
      </c>
      <c r="M136" s="72">
        <v>0</v>
      </c>
      <c r="N136" s="72">
        <f>SUM(J136:M136)</f>
        <v>612.15</v>
      </c>
      <c r="O136" s="36">
        <f t="shared" si="24"/>
        <v>3718.85</v>
      </c>
      <c r="P136" s="74">
        <v>0</v>
      </c>
      <c r="Q136" s="79"/>
      <c r="R136" s="79"/>
      <c r="S136" s="79"/>
      <c r="T136" s="79"/>
      <c r="U136" s="79"/>
      <c r="V136" s="79"/>
      <c r="W136" s="79"/>
      <c r="X136" s="79"/>
    </row>
    <row r="137" spans="1:24" s="80" customFormat="1" ht="25.5" x14ac:dyDescent="0.2">
      <c r="A137" s="69">
        <v>127</v>
      </c>
      <c r="B137" s="84" t="s">
        <v>613</v>
      </c>
      <c r="C137" s="57" t="s">
        <v>447</v>
      </c>
      <c r="D137" s="70">
        <v>2425</v>
      </c>
      <c r="E137" s="70">
        <v>0</v>
      </c>
      <c r="F137" s="72">
        <v>0</v>
      </c>
      <c r="G137" s="73">
        <v>0</v>
      </c>
      <c r="H137" s="73">
        <v>0</v>
      </c>
      <c r="I137" s="36">
        <f t="shared" si="0"/>
        <v>2425</v>
      </c>
      <c r="J137" s="36">
        <f t="shared" si="1"/>
        <v>72.75</v>
      </c>
      <c r="K137" s="36">
        <f t="shared" ref="K137:K138" si="26">D137*11%</f>
        <v>266.75</v>
      </c>
      <c r="L137" s="36">
        <v>0</v>
      </c>
      <c r="M137" s="36">
        <v>0</v>
      </c>
      <c r="N137" s="36">
        <f t="shared" ref="N137:N178" si="27">J137+K137+L137+M137</f>
        <v>339.5</v>
      </c>
      <c r="O137" s="36">
        <f t="shared" si="24"/>
        <v>2085.5</v>
      </c>
      <c r="P137" s="74">
        <v>0</v>
      </c>
      <c r="Q137" s="79"/>
      <c r="R137" s="79"/>
      <c r="S137" s="79"/>
      <c r="T137" s="79"/>
      <c r="U137" s="79"/>
      <c r="V137" s="79"/>
      <c r="W137" s="79"/>
      <c r="X137" s="79"/>
    </row>
    <row r="138" spans="1:24" s="80" customFormat="1" ht="25.5" x14ac:dyDescent="0.2">
      <c r="A138" s="69">
        <v>128</v>
      </c>
      <c r="B138" s="57" t="s">
        <v>614</v>
      </c>
      <c r="C138" s="57" t="s">
        <v>449</v>
      </c>
      <c r="D138" s="77">
        <v>1940</v>
      </c>
      <c r="E138" s="70">
        <v>0</v>
      </c>
      <c r="F138" s="72">
        <v>0</v>
      </c>
      <c r="G138" s="73">
        <v>0</v>
      </c>
      <c r="H138" s="73">
        <v>0</v>
      </c>
      <c r="I138" s="36">
        <f t="shared" si="0"/>
        <v>1940</v>
      </c>
      <c r="J138" s="36">
        <f t="shared" si="1"/>
        <v>58.2</v>
      </c>
      <c r="K138" s="36">
        <f t="shared" si="26"/>
        <v>213.4</v>
      </c>
      <c r="L138" s="36">
        <v>0</v>
      </c>
      <c r="M138" s="36">
        <v>0</v>
      </c>
      <c r="N138" s="36">
        <f t="shared" si="27"/>
        <v>271.60000000000002</v>
      </c>
      <c r="O138" s="36">
        <f t="shared" si="24"/>
        <v>1668.4</v>
      </c>
      <c r="P138" s="74">
        <v>0</v>
      </c>
      <c r="Q138" s="79"/>
      <c r="R138" s="79"/>
      <c r="S138" s="79"/>
      <c r="T138" s="79"/>
      <c r="U138" s="79"/>
      <c r="V138" s="79"/>
      <c r="W138" s="79"/>
      <c r="X138" s="79"/>
    </row>
    <row r="139" spans="1:24" s="80" customFormat="1" ht="25.5" x14ac:dyDescent="0.2">
      <c r="A139" s="69">
        <v>129</v>
      </c>
      <c r="B139" s="57" t="s">
        <v>615</v>
      </c>
      <c r="C139" s="85" t="s">
        <v>520</v>
      </c>
      <c r="D139" s="70">
        <v>2920</v>
      </c>
      <c r="E139" s="70">
        <v>1000</v>
      </c>
      <c r="F139" s="72">
        <v>0</v>
      </c>
      <c r="G139" s="73">
        <v>250</v>
      </c>
      <c r="H139" s="73">
        <v>0</v>
      </c>
      <c r="I139" s="36">
        <f t="shared" si="0"/>
        <v>4170</v>
      </c>
      <c r="J139" s="36">
        <f t="shared" si="1"/>
        <v>117.6</v>
      </c>
      <c r="K139" s="36">
        <f>(D139+E139)*11%</f>
        <v>431.2</v>
      </c>
      <c r="L139" s="36">
        <v>0</v>
      </c>
      <c r="M139" s="36">
        <v>52.68</v>
      </c>
      <c r="N139" s="36">
        <f t="shared" si="27"/>
        <v>601.48</v>
      </c>
      <c r="O139" s="36">
        <f t="shared" si="24"/>
        <v>3568.52</v>
      </c>
      <c r="P139" s="74">
        <v>0</v>
      </c>
      <c r="Q139" s="79"/>
      <c r="R139" s="79"/>
      <c r="S139" s="79"/>
      <c r="T139" s="79"/>
      <c r="U139" s="79"/>
      <c r="V139" s="79"/>
      <c r="W139" s="79"/>
      <c r="X139" s="79"/>
    </row>
    <row r="140" spans="1:24" s="80" customFormat="1" ht="25.5" x14ac:dyDescent="0.2">
      <c r="A140" s="69">
        <v>130</v>
      </c>
      <c r="B140" s="82" t="s">
        <v>616</v>
      </c>
      <c r="C140" s="57" t="s">
        <v>486</v>
      </c>
      <c r="D140" s="72">
        <v>2234</v>
      </c>
      <c r="E140" s="72">
        <v>1900</v>
      </c>
      <c r="F140" s="72">
        <v>0</v>
      </c>
      <c r="G140" s="72">
        <v>250</v>
      </c>
      <c r="H140" s="73">
        <v>0</v>
      </c>
      <c r="I140" s="36">
        <f t="shared" si="0"/>
        <v>4384</v>
      </c>
      <c r="J140" s="36">
        <f t="shared" si="1"/>
        <v>124.02</v>
      </c>
      <c r="K140" s="36">
        <f>(D140+E140)*12%</f>
        <v>496.08</v>
      </c>
      <c r="L140" s="36">
        <v>0</v>
      </c>
      <c r="M140" s="36">
        <v>55.56</v>
      </c>
      <c r="N140" s="36">
        <f t="shared" si="27"/>
        <v>675.66</v>
      </c>
      <c r="O140" s="36">
        <f t="shared" si="24"/>
        <v>3708.34</v>
      </c>
      <c r="P140" s="74">
        <v>0</v>
      </c>
      <c r="Q140" s="79"/>
      <c r="R140" s="79"/>
      <c r="S140" s="79"/>
      <c r="T140" s="79"/>
      <c r="U140" s="79"/>
      <c r="V140" s="79"/>
      <c r="W140" s="79"/>
      <c r="X140" s="79"/>
    </row>
    <row r="141" spans="1:24" s="80" customFormat="1" ht="25.5" x14ac:dyDescent="0.2">
      <c r="A141" s="69">
        <v>131</v>
      </c>
      <c r="B141" s="57" t="s">
        <v>617</v>
      </c>
      <c r="C141" s="57" t="s">
        <v>449</v>
      </c>
      <c r="D141" s="70">
        <v>1940</v>
      </c>
      <c r="E141" s="70">
        <v>0</v>
      </c>
      <c r="F141" s="72">
        <v>0</v>
      </c>
      <c r="G141" s="73">
        <v>0</v>
      </c>
      <c r="H141" s="73">
        <v>0</v>
      </c>
      <c r="I141" s="36">
        <f t="shared" si="0"/>
        <v>1940</v>
      </c>
      <c r="J141" s="36">
        <f t="shared" si="1"/>
        <v>58.2</v>
      </c>
      <c r="K141" s="36">
        <f t="shared" ref="K141:K143" si="28">D141*11%</f>
        <v>213.4</v>
      </c>
      <c r="L141" s="36">
        <v>0</v>
      </c>
      <c r="M141" s="36">
        <v>0</v>
      </c>
      <c r="N141" s="36">
        <f t="shared" si="27"/>
        <v>271.60000000000002</v>
      </c>
      <c r="O141" s="36">
        <f t="shared" si="24"/>
        <v>1668.4</v>
      </c>
      <c r="P141" s="74">
        <v>0</v>
      </c>
      <c r="Q141" s="79"/>
      <c r="R141" s="79"/>
      <c r="S141" s="79"/>
      <c r="T141" s="79"/>
      <c r="U141" s="79"/>
      <c r="V141" s="79"/>
      <c r="W141" s="79"/>
      <c r="X141" s="79"/>
    </row>
    <row r="142" spans="1:24" s="80" customFormat="1" ht="25.5" x14ac:dyDescent="0.2">
      <c r="A142" s="69">
        <v>132</v>
      </c>
      <c r="B142" s="57" t="s">
        <v>618</v>
      </c>
      <c r="C142" s="57" t="s">
        <v>447</v>
      </c>
      <c r="D142" s="77">
        <v>2425</v>
      </c>
      <c r="E142" s="70">
        <v>0</v>
      </c>
      <c r="F142" s="72">
        <v>0</v>
      </c>
      <c r="G142" s="73">
        <v>0</v>
      </c>
      <c r="H142" s="73">
        <v>0</v>
      </c>
      <c r="I142" s="36">
        <f t="shared" si="0"/>
        <v>2425</v>
      </c>
      <c r="J142" s="36">
        <f t="shared" si="1"/>
        <v>72.75</v>
      </c>
      <c r="K142" s="36">
        <f t="shared" si="28"/>
        <v>266.75</v>
      </c>
      <c r="L142" s="36">
        <v>0</v>
      </c>
      <c r="M142" s="36">
        <v>0</v>
      </c>
      <c r="N142" s="36">
        <f t="shared" si="27"/>
        <v>339.5</v>
      </c>
      <c r="O142" s="36">
        <f t="shared" si="24"/>
        <v>2085.5</v>
      </c>
      <c r="P142" s="74">
        <v>0</v>
      </c>
      <c r="Q142" s="79"/>
      <c r="R142" s="79"/>
      <c r="S142" s="79"/>
      <c r="T142" s="79"/>
      <c r="U142" s="79"/>
      <c r="V142" s="79"/>
      <c r="W142" s="79"/>
      <c r="X142" s="79"/>
    </row>
    <row r="143" spans="1:24" s="80" customFormat="1" ht="25.5" x14ac:dyDescent="0.2">
      <c r="A143" s="69">
        <v>133</v>
      </c>
      <c r="B143" s="57" t="s">
        <v>619</v>
      </c>
      <c r="C143" s="57" t="s">
        <v>449</v>
      </c>
      <c r="D143" s="70">
        <v>1940</v>
      </c>
      <c r="E143" s="70">
        <v>0</v>
      </c>
      <c r="F143" s="72">
        <v>0</v>
      </c>
      <c r="G143" s="73">
        <v>0</v>
      </c>
      <c r="H143" s="73">
        <v>0</v>
      </c>
      <c r="I143" s="36">
        <f t="shared" si="0"/>
        <v>1940</v>
      </c>
      <c r="J143" s="36">
        <f t="shared" si="1"/>
        <v>58.2</v>
      </c>
      <c r="K143" s="36">
        <f t="shared" si="28"/>
        <v>213.4</v>
      </c>
      <c r="L143" s="36">
        <v>0</v>
      </c>
      <c r="M143" s="36">
        <v>0</v>
      </c>
      <c r="N143" s="36">
        <f t="shared" si="27"/>
        <v>271.60000000000002</v>
      </c>
      <c r="O143" s="36">
        <f t="shared" si="24"/>
        <v>1668.4</v>
      </c>
      <c r="P143" s="74">
        <v>0</v>
      </c>
      <c r="Q143" s="79"/>
      <c r="R143" s="79"/>
      <c r="S143" s="79"/>
      <c r="T143" s="79"/>
      <c r="U143" s="79"/>
      <c r="V143" s="79"/>
      <c r="W143" s="79"/>
      <c r="X143" s="79"/>
    </row>
    <row r="144" spans="1:24" s="80" customFormat="1" x14ac:dyDescent="0.2">
      <c r="A144" s="69">
        <v>134</v>
      </c>
      <c r="B144" s="57" t="s">
        <v>620</v>
      </c>
      <c r="C144" s="57" t="s">
        <v>465</v>
      </c>
      <c r="D144" s="70">
        <v>1902</v>
      </c>
      <c r="E144" s="70">
        <v>1000</v>
      </c>
      <c r="F144" s="72">
        <v>0</v>
      </c>
      <c r="G144" s="73">
        <v>250</v>
      </c>
      <c r="H144" s="73">
        <v>0</v>
      </c>
      <c r="I144" s="36">
        <f t="shared" si="0"/>
        <v>3152</v>
      </c>
      <c r="J144" s="36">
        <f t="shared" si="1"/>
        <v>87.06</v>
      </c>
      <c r="K144" s="36">
        <f>(D144+E144)*11%</f>
        <v>319.22000000000003</v>
      </c>
      <c r="L144" s="70">
        <v>0</v>
      </c>
      <c r="M144" s="70">
        <v>0</v>
      </c>
      <c r="N144" s="36">
        <f t="shared" si="27"/>
        <v>406.28</v>
      </c>
      <c r="O144" s="36">
        <f t="shared" si="24"/>
        <v>2745.72</v>
      </c>
      <c r="P144" s="74">
        <v>0</v>
      </c>
      <c r="Q144" s="79"/>
      <c r="R144" s="79"/>
      <c r="S144" s="79"/>
      <c r="T144" s="79"/>
      <c r="U144" s="79"/>
      <c r="V144" s="79"/>
      <c r="W144" s="79"/>
      <c r="X144" s="79"/>
    </row>
    <row r="145" spans="1:24" s="80" customFormat="1" ht="25.5" x14ac:dyDescent="0.2">
      <c r="A145" s="69">
        <v>135</v>
      </c>
      <c r="B145" s="118" t="s">
        <v>621</v>
      </c>
      <c r="C145" s="57" t="s">
        <v>449</v>
      </c>
      <c r="D145" s="77">
        <v>1940</v>
      </c>
      <c r="E145" s="70">
        <v>0</v>
      </c>
      <c r="F145" s="72">
        <v>0</v>
      </c>
      <c r="G145" s="73">
        <v>0</v>
      </c>
      <c r="H145" s="73">
        <v>0</v>
      </c>
      <c r="I145" s="36">
        <f t="shared" si="0"/>
        <v>1940</v>
      </c>
      <c r="J145" s="36">
        <f t="shared" si="1"/>
        <v>58.2</v>
      </c>
      <c r="K145" s="36">
        <f>D145*10%</f>
        <v>194</v>
      </c>
      <c r="L145" s="36">
        <v>0</v>
      </c>
      <c r="M145" s="36">
        <v>0</v>
      </c>
      <c r="N145" s="36">
        <f t="shared" si="27"/>
        <v>252.2</v>
      </c>
      <c r="O145" s="36">
        <f t="shared" si="24"/>
        <v>1687.8</v>
      </c>
      <c r="P145" s="74">
        <v>0</v>
      </c>
      <c r="Q145" s="79"/>
      <c r="R145" s="79"/>
      <c r="S145" s="79"/>
      <c r="T145" s="79"/>
      <c r="U145" s="79"/>
      <c r="V145" s="79"/>
      <c r="W145" s="79"/>
      <c r="X145" s="79"/>
    </row>
    <row r="146" spans="1:24" s="80" customFormat="1" ht="25.5" x14ac:dyDescent="0.2">
      <c r="A146" s="69">
        <v>136</v>
      </c>
      <c r="B146" s="118" t="s">
        <v>622</v>
      </c>
      <c r="C146" s="57" t="s">
        <v>454</v>
      </c>
      <c r="D146" s="77">
        <v>2249</v>
      </c>
      <c r="E146" s="70">
        <v>1000</v>
      </c>
      <c r="F146" s="72">
        <v>0</v>
      </c>
      <c r="G146" s="73">
        <v>250</v>
      </c>
      <c r="H146" s="73">
        <v>0</v>
      </c>
      <c r="I146" s="36">
        <f t="shared" si="0"/>
        <v>3499</v>
      </c>
      <c r="J146" s="36">
        <f t="shared" si="1"/>
        <v>97.47</v>
      </c>
      <c r="K146" s="36">
        <f t="shared" ref="K146:K149" si="29">(D146+E146)*11%</f>
        <v>357.39</v>
      </c>
      <c r="L146" s="70">
        <v>0</v>
      </c>
      <c r="M146" s="70">
        <v>0</v>
      </c>
      <c r="N146" s="36">
        <f t="shared" si="27"/>
        <v>454.86</v>
      </c>
      <c r="O146" s="36">
        <f t="shared" si="24"/>
        <v>3044.14</v>
      </c>
      <c r="P146" s="74">
        <v>0</v>
      </c>
      <c r="Q146" s="79"/>
      <c r="R146" s="79"/>
      <c r="S146" s="79"/>
      <c r="T146" s="79"/>
      <c r="U146" s="79"/>
      <c r="V146" s="79"/>
      <c r="W146" s="79"/>
      <c r="X146" s="79"/>
    </row>
    <row r="147" spans="1:24" s="80" customFormat="1" ht="25.5" x14ac:dyDescent="0.2">
      <c r="A147" s="69">
        <v>137</v>
      </c>
      <c r="B147" s="89" t="s">
        <v>623</v>
      </c>
      <c r="C147" s="57" t="s">
        <v>624</v>
      </c>
      <c r="D147" s="105">
        <v>1668</v>
      </c>
      <c r="E147" s="71">
        <v>1000</v>
      </c>
      <c r="F147" s="72">
        <v>0</v>
      </c>
      <c r="G147" s="73">
        <v>250</v>
      </c>
      <c r="H147" s="73">
        <v>0</v>
      </c>
      <c r="I147" s="36">
        <f t="shared" si="0"/>
        <v>2918</v>
      </c>
      <c r="J147" s="36">
        <f t="shared" si="1"/>
        <v>80.040000000000006</v>
      </c>
      <c r="K147" s="36">
        <f t="shared" si="29"/>
        <v>293.48</v>
      </c>
      <c r="L147" s="36">
        <v>0</v>
      </c>
      <c r="M147" s="36">
        <v>0</v>
      </c>
      <c r="N147" s="36">
        <f t="shared" si="27"/>
        <v>373.52</v>
      </c>
      <c r="O147" s="36">
        <f t="shared" si="24"/>
        <v>2544.48</v>
      </c>
      <c r="P147" s="74">
        <v>0</v>
      </c>
      <c r="Q147" s="79"/>
      <c r="R147" s="79"/>
      <c r="S147" s="79"/>
      <c r="T147" s="79"/>
      <c r="U147" s="79"/>
      <c r="V147" s="79"/>
      <c r="W147" s="79"/>
      <c r="X147" s="79"/>
    </row>
    <row r="148" spans="1:24" s="80" customFormat="1" ht="25.5" x14ac:dyDescent="0.2">
      <c r="A148" s="69">
        <v>138</v>
      </c>
      <c r="B148" s="82" t="s">
        <v>625</v>
      </c>
      <c r="C148" s="57" t="s">
        <v>458</v>
      </c>
      <c r="D148" s="72">
        <v>2375</v>
      </c>
      <c r="E148" s="72">
        <v>1000</v>
      </c>
      <c r="F148" s="72">
        <v>0</v>
      </c>
      <c r="G148" s="72">
        <v>250</v>
      </c>
      <c r="H148" s="73">
        <v>0</v>
      </c>
      <c r="I148" s="36">
        <f t="shared" si="0"/>
        <v>3625</v>
      </c>
      <c r="J148" s="36">
        <f t="shared" si="1"/>
        <v>101.25</v>
      </c>
      <c r="K148" s="36">
        <f t="shared" si="29"/>
        <v>371.25</v>
      </c>
      <c r="L148" s="70">
        <v>0</v>
      </c>
      <c r="M148" s="70">
        <v>0</v>
      </c>
      <c r="N148" s="36">
        <f t="shared" si="27"/>
        <v>472.5</v>
      </c>
      <c r="O148" s="36">
        <f t="shared" si="24"/>
        <v>3152.5</v>
      </c>
      <c r="P148" s="74">
        <v>0</v>
      </c>
      <c r="Q148" s="79"/>
      <c r="R148" s="79"/>
      <c r="S148" s="79"/>
      <c r="T148" s="79"/>
      <c r="U148" s="79"/>
      <c r="V148" s="79"/>
      <c r="W148" s="79"/>
      <c r="X148" s="79"/>
    </row>
    <row r="149" spans="1:24" s="80" customFormat="1" x14ac:dyDescent="0.2">
      <c r="A149" s="69">
        <v>139</v>
      </c>
      <c r="B149" s="119" t="s">
        <v>626</v>
      </c>
      <c r="C149" s="33" t="s">
        <v>627</v>
      </c>
      <c r="D149" s="72">
        <v>2920</v>
      </c>
      <c r="E149" s="72">
        <v>1000</v>
      </c>
      <c r="F149" s="72">
        <v>0</v>
      </c>
      <c r="G149" s="72">
        <v>250</v>
      </c>
      <c r="H149" s="73">
        <v>0</v>
      </c>
      <c r="I149" s="36">
        <f t="shared" si="0"/>
        <v>4170</v>
      </c>
      <c r="J149" s="36">
        <f t="shared" si="1"/>
        <v>117.6</v>
      </c>
      <c r="K149" s="36">
        <f t="shared" si="29"/>
        <v>431.2</v>
      </c>
      <c r="L149" s="70">
        <v>0</v>
      </c>
      <c r="M149" s="70">
        <v>52.68</v>
      </c>
      <c r="N149" s="36">
        <f t="shared" si="27"/>
        <v>601.48</v>
      </c>
      <c r="O149" s="36">
        <f t="shared" si="24"/>
        <v>3568.52</v>
      </c>
      <c r="P149" s="74">
        <v>0</v>
      </c>
      <c r="Q149" s="79"/>
      <c r="R149" s="79"/>
      <c r="S149" s="79"/>
      <c r="T149" s="79"/>
      <c r="U149" s="79"/>
      <c r="V149" s="79"/>
      <c r="W149" s="79"/>
      <c r="X149" s="79"/>
    </row>
    <row r="150" spans="1:24" s="80" customFormat="1" ht="25.5" x14ac:dyDescent="0.2">
      <c r="A150" s="69">
        <v>140</v>
      </c>
      <c r="B150" s="57" t="s">
        <v>628</v>
      </c>
      <c r="C150" s="57" t="s">
        <v>449</v>
      </c>
      <c r="D150" s="77">
        <v>1940</v>
      </c>
      <c r="E150" s="70">
        <v>0</v>
      </c>
      <c r="F150" s="72">
        <v>0</v>
      </c>
      <c r="G150" s="73">
        <v>0</v>
      </c>
      <c r="H150" s="73">
        <v>0</v>
      </c>
      <c r="I150" s="36">
        <f t="shared" si="0"/>
        <v>1940</v>
      </c>
      <c r="J150" s="36">
        <f t="shared" si="1"/>
        <v>58.2</v>
      </c>
      <c r="K150" s="36">
        <f t="shared" ref="K150:K151" si="30">D150*10%</f>
        <v>194</v>
      </c>
      <c r="L150" s="36">
        <v>0</v>
      </c>
      <c r="M150" s="36">
        <v>0</v>
      </c>
      <c r="N150" s="36">
        <f t="shared" si="27"/>
        <v>252.2</v>
      </c>
      <c r="O150" s="36">
        <f t="shared" si="24"/>
        <v>1687.8</v>
      </c>
      <c r="P150" s="74">
        <v>0</v>
      </c>
      <c r="Q150" s="79"/>
      <c r="R150" s="79"/>
      <c r="S150" s="79"/>
      <c r="T150" s="79"/>
      <c r="U150" s="79"/>
      <c r="V150" s="79"/>
      <c r="W150" s="79"/>
      <c r="X150" s="79"/>
    </row>
    <row r="151" spans="1:24" s="80" customFormat="1" ht="25.5" x14ac:dyDescent="0.2">
      <c r="A151" s="69">
        <v>141</v>
      </c>
      <c r="B151" s="57" t="s">
        <v>629</v>
      </c>
      <c r="C151" s="57" t="s">
        <v>449</v>
      </c>
      <c r="D151" s="77">
        <v>1940</v>
      </c>
      <c r="E151" s="70">
        <v>0</v>
      </c>
      <c r="F151" s="72">
        <v>0</v>
      </c>
      <c r="G151" s="73">
        <v>0</v>
      </c>
      <c r="H151" s="73">
        <v>0</v>
      </c>
      <c r="I151" s="36">
        <f t="shared" si="0"/>
        <v>1940</v>
      </c>
      <c r="J151" s="36">
        <f t="shared" si="1"/>
        <v>58.2</v>
      </c>
      <c r="K151" s="36">
        <f t="shared" si="30"/>
        <v>194</v>
      </c>
      <c r="L151" s="36">
        <v>0</v>
      </c>
      <c r="M151" s="36">
        <v>0</v>
      </c>
      <c r="N151" s="36">
        <f t="shared" si="27"/>
        <v>252.2</v>
      </c>
      <c r="O151" s="36">
        <f t="shared" si="24"/>
        <v>1687.8</v>
      </c>
      <c r="P151" s="74">
        <v>0</v>
      </c>
      <c r="Q151" s="79"/>
      <c r="R151" s="79"/>
      <c r="S151" s="79"/>
      <c r="T151" s="79"/>
      <c r="U151" s="79"/>
      <c r="V151" s="79"/>
      <c r="W151" s="79"/>
      <c r="X151" s="79"/>
    </row>
    <row r="152" spans="1:24" s="80" customFormat="1" ht="25.5" x14ac:dyDescent="0.2">
      <c r="A152" s="69">
        <v>142</v>
      </c>
      <c r="B152" s="57" t="s">
        <v>630</v>
      </c>
      <c r="C152" s="34" t="s">
        <v>478</v>
      </c>
      <c r="D152" s="77">
        <v>2328</v>
      </c>
      <c r="E152" s="70">
        <v>0</v>
      </c>
      <c r="F152" s="72">
        <v>0</v>
      </c>
      <c r="G152" s="73">
        <v>0</v>
      </c>
      <c r="H152" s="73">
        <v>0</v>
      </c>
      <c r="I152" s="36">
        <f t="shared" si="0"/>
        <v>2328</v>
      </c>
      <c r="J152" s="36">
        <f t="shared" si="1"/>
        <v>69.84</v>
      </c>
      <c r="K152" s="36">
        <f>D152*11%</f>
        <v>256.08</v>
      </c>
      <c r="L152" s="36">
        <v>0</v>
      </c>
      <c r="M152" s="36">
        <v>0</v>
      </c>
      <c r="N152" s="36">
        <f t="shared" si="27"/>
        <v>325.92</v>
      </c>
      <c r="O152" s="36">
        <f t="shared" si="24"/>
        <v>2002.08</v>
      </c>
      <c r="P152" s="74">
        <v>0</v>
      </c>
      <c r="Q152" s="79"/>
      <c r="R152" s="79"/>
      <c r="S152" s="79"/>
      <c r="T152" s="79"/>
      <c r="U152" s="79"/>
      <c r="V152" s="79"/>
      <c r="W152" s="79"/>
      <c r="X152" s="79"/>
    </row>
    <row r="153" spans="1:24" s="80" customFormat="1" ht="25.5" x14ac:dyDescent="0.2">
      <c r="A153" s="69">
        <v>143</v>
      </c>
      <c r="B153" s="118" t="s">
        <v>631</v>
      </c>
      <c r="C153" s="57" t="s">
        <v>493</v>
      </c>
      <c r="D153" s="77">
        <v>1831</v>
      </c>
      <c r="E153" s="70">
        <v>1000</v>
      </c>
      <c r="F153" s="72">
        <v>0</v>
      </c>
      <c r="G153" s="73">
        <v>250</v>
      </c>
      <c r="H153" s="73">
        <v>0</v>
      </c>
      <c r="I153" s="36">
        <f t="shared" si="0"/>
        <v>3081</v>
      </c>
      <c r="J153" s="36">
        <f t="shared" si="1"/>
        <v>84.93</v>
      </c>
      <c r="K153" s="36">
        <v>311.41000000000003</v>
      </c>
      <c r="L153" s="70">
        <v>0</v>
      </c>
      <c r="M153" s="70">
        <v>0</v>
      </c>
      <c r="N153" s="36">
        <f t="shared" si="27"/>
        <v>396.34</v>
      </c>
      <c r="O153" s="36">
        <f t="shared" si="24"/>
        <v>2684.66</v>
      </c>
      <c r="P153" s="74">
        <v>0</v>
      </c>
      <c r="Q153" s="79"/>
      <c r="R153" s="79"/>
      <c r="S153" s="79"/>
      <c r="T153" s="79"/>
      <c r="U153" s="79"/>
      <c r="V153" s="79"/>
      <c r="W153" s="79"/>
      <c r="X153" s="79"/>
    </row>
    <row r="154" spans="1:24" s="80" customFormat="1" ht="25.5" x14ac:dyDescent="0.2">
      <c r="A154" s="69">
        <v>144</v>
      </c>
      <c r="B154" s="83" t="s">
        <v>632</v>
      </c>
      <c r="C154" s="57" t="s">
        <v>481</v>
      </c>
      <c r="D154" s="70">
        <v>2037</v>
      </c>
      <c r="E154" s="70">
        <v>0</v>
      </c>
      <c r="F154" s="72">
        <v>0</v>
      </c>
      <c r="G154" s="73">
        <v>0</v>
      </c>
      <c r="H154" s="73">
        <v>0</v>
      </c>
      <c r="I154" s="36">
        <f t="shared" si="0"/>
        <v>2037</v>
      </c>
      <c r="J154" s="36">
        <f t="shared" si="1"/>
        <v>61.11</v>
      </c>
      <c r="K154" s="36">
        <f t="shared" ref="K154:K155" si="31">D154*11%</f>
        <v>224.07</v>
      </c>
      <c r="L154" s="36">
        <v>0</v>
      </c>
      <c r="M154" s="36">
        <v>0</v>
      </c>
      <c r="N154" s="36">
        <f t="shared" si="27"/>
        <v>285.18</v>
      </c>
      <c r="O154" s="36">
        <f t="shared" si="24"/>
        <v>1751.82</v>
      </c>
      <c r="P154" s="74">
        <v>0</v>
      </c>
      <c r="Q154" s="79"/>
      <c r="R154" s="79"/>
      <c r="S154" s="79"/>
      <c r="T154" s="79"/>
      <c r="U154" s="79"/>
      <c r="V154" s="79"/>
      <c r="W154" s="79"/>
      <c r="X154" s="79"/>
    </row>
    <row r="155" spans="1:24" s="80" customFormat="1" ht="25.5" x14ac:dyDescent="0.2">
      <c r="A155" s="69">
        <v>145</v>
      </c>
      <c r="B155" s="57" t="s">
        <v>633</v>
      </c>
      <c r="C155" s="57" t="s">
        <v>447</v>
      </c>
      <c r="D155" s="77">
        <v>2425</v>
      </c>
      <c r="E155" s="70">
        <v>0</v>
      </c>
      <c r="F155" s="72">
        <v>0</v>
      </c>
      <c r="G155" s="73">
        <v>0</v>
      </c>
      <c r="H155" s="73">
        <v>0</v>
      </c>
      <c r="I155" s="36">
        <f t="shared" si="0"/>
        <v>2425</v>
      </c>
      <c r="J155" s="36">
        <f t="shared" si="1"/>
        <v>72.75</v>
      </c>
      <c r="K155" s="36">
        <f t="shared" si="31"/>
        <v>266.75</v>
      </c>
      <c r="L155" s="36">
        <v>0</v>
      </c>
      <c r="M155" s="36">
        <v>0</v>
      </c>
      <c r="N155" s="36">
        <f t="shared" si="27"/>
        <v>339.5</v>
      </c>
      <c r="O155" s="36">
        <f t="shared" si="24"/>
        <v>2085.5</v>
      </c>
      <c r="P155" s="74">
        <v>0</v>
      </c>
      <c r="Q155" s="79"/>
      <c r="R155" s="79"/>
      <c r="S155" s="79"/>
      <c r="T155" s="79"/>
      <c r="U155" s="79"/>
      <c r="V155" s="79"/>
      <c r="W155" s="79"/>
      <c r="X155" s="79"/>
    </row>
    <row r="156" spans="1:24" s="80" customFormat="1" ht="25.5" x14ac:dyDescent="0.2">
      <c r="A156" s="69">
        <v>146</v>
      </c>
      <c r="B156" s="120" t="s">
        <v>634</v>
      </c>
      <c r="C156" s="85" t="s">
        <v>496</v>
      </c>
      <c r="D156" s="72">
        <v>3081</v>
      </c>
      <c r="E156" s="72">
        <v>1000</v>
      </c>
      <c r="F156" s="72">
        <v>0</v>
      </c>
      <c r="G156" s="72">
        <v>250</v>
      </c>
      <c r="H156" s="73">
        <v>0</v>
      </c>
      <c r="I156" s="36">
        <f t="shared" si="0"/>
        <v>4331</v>
      </c>
      <c r="J156" s="36">
        <f t="shared" si="1"/>
        <v>122.43</v>
      </c>
      <c r="K156" s="36">
        <f>(D156+E156)*12%</f>
        <v>489.72</v>
      </c>
      <c r="L156" s="36">
        <v>0</v>
      </c>
      <c r="M156" s="36">
        <v>0</v>
      </c>
      <c r="N156" s="36">
        <f t="shared" si="27"/>
        <v>612.15</v>
      </c>
      <c r="O156" s="36">
        <f t="shared" si="24"/>
        <v>3718.85</v>
      </c>
      <c r="P156" s="74">
        <v>0</v>
      </c>
      <c r="Q156" s="79"/>
      <c r="R156" s="79"/>
      <c r="S156" s="79"/>
      <c r="T156" s="79"/>
      <c r="U156" s="79"/>
      <c r="V156" s="79"/>
      <c r="W156" s="79"/>
      <c r="X156" s="79"/>
    </row>
    <row r="157" spans="1:24" s="80" customFormat="1" ht="25.5" x14ac:dyDescent="0.2">
      <c r="A157" s="69">
        <v>147</v>
      </c>
      <c r="B157" s="32" t="s">
        <v>635</v>
      </c>
      <c r="C157" s="85" t="s">
        <v>463</v>
      </c>
      <c r="D157" s="72">
        <v>6759</v>
      </c>
      <c r="E157" s="72">
        <v>4000</v>
      </c>
      <c r="F157" s="72">
        <v>0</v>
      </c>
      <c r="G157" s="72">
        <v>250</v>
      </c>
      <c r="H157" s="73">
        <v>0</v>
      </c>
      <c r="I157" s="36">
        <f t="shared" si="0"/>
        <v>11009</v>
      </c>
      <c r="J157" s="36">
        <f t="shared" si="1"/>
        <v>322.77</v>
      </c>
      <c r="K157" s="36">
        <f>(D157+E157)*15%</f>
        <v>1613.85</v>
      </c>
      <c r="L157" s="36">
        <v>254.45</v>
      </c>
      <c r="M157" s="36">
        <v>144.6</v>
      </c>
      <c r="N157" s="36">
        <f t="shared" si="27"/>
        <v>2335.67</v>
      </c>
      <c r="O157" s="36">
        <f t="shared" si="24"/>
        <v>8673.33</v>
      </c>
      <c r="P157" s="74">
        <v>0</v>
      </c>
      <c r="Q157" s="79"/>
      <c r="R157" s="79"/>
      <c r="S157" s="79"/>
      <c r="T157" s="79"/>
      <c r="U157" s="79"/>
      <c r="V157" s="79"/>
      <c r="W157" s="79"/>
      <c r="X157" s="79"/>
    </row>
    <row r="158" spans="1:24" s="80" customFormat="1" ht="25.5" x14ac:dyDescent="0.2">
      <c r="A158" s="69">
        <v>148</v>
      </c>
      <c r="B158" s="83" t="s">
        <v>636</v>
      </c>
      <c r="C158" s="57" t="s">
        <v>637</v>
      </c>
      <c r="D158" s="121">
        <v>5787</v>
      </c>
      <c r="E158" s="71">
        <v>1800</v>
      </c>
      <c r="F158" s="72">
        <v>0</v>
      </c>
      <c r="G158" s="73">
        <v>250</v>
      </c>
      <c r="H158" s="73">
        <v>0</v>
      </c>
      <c r="I158" s="36">
        <f t="shared" si="0"/>
        <v>7837</v>
      </c>
      <c r="J158" s="36">
        <f t="shared" si="1"/>
        <v>227.61</v>
      </c>
      <c r="K158" s="36">
        <f>(D158+E158+F158)*13%</f>
        <v>986.31</v>
      </c>
      <c r="L158" s="36">
        <v>131.99</v>
      </c>
      <c r="M158" s="36">
        <v>101.97</v>
      </c>
      <c r="N158" s="36">
        <f t="shared" si="27"/>
        <v>1447.88</v>
      </c>
      <c r="O158" s="36">
        <f t="shared" si="24"/>
        <v>6389.12</v>
      </c>
      <c r="P158" s="74">
        <v>0</v>
      </c>
      <c r="Q158" s="79"/>
      <c r="R158" s="79"/>
      <c r="S158" s="79"/>
      <c r="T158" s="79"/>
      <c r="U158" s="79"/>
      <c r="V158" s="79"/>
      <c r="W158" s="79"/>
      <c r="X158" s="79"/>
    </row>
    <row r="159" spans="1:24" s="80" customFormat="1" ht="25.5" x14ac:dyDescent="0.2">
      <c r="A159" s="69">
        <v>149</v>
      </c>
      <c r="B159" s="57" t="s">
        <v>638</v>
      </c>
      <c r="C159" s="57" t="s">
        <v>447</v>
      </c>
      <c r="D159" s="77">
        <v>2425</v>
      </c>
      <c r="E159" s="70">
        <v>0</v>
      </c>
      <c r="F159" s="72">
        <v>0</v>
      </c>
      <c r="G159" s="73">
        <v>0</v>
      </c>
      <c r="H159" s="73">
        <v>0</v>
      </c>
      <c r="I159" s="36">
        <f t="shared" si="0"/>
        <v>2425</v>
      </c>
      <c r="J159" s="36">
        <f t="shared" si="1"/>
        <v>72.75</v>
      </c>
      <c r="K159" s="36">
        <f>D159*11%</f>
        <v>266.75</v>
      </c>
      <c r="L159" s="36">
        <v>0</v>
      </c>
      <c r="M159" s="36">
        <v>0</v>
      </c>
      <c r="N159" s="36">
        <f t="shared" si="27"/>
        <v>339.5</v>
      </c>
      <c r="O159" s="36">
        <f t="shared" si="24"/>
        <v>2085.5</v>
      </c>
      <c r="P159" s="74">
        <v>0</v>
      </c>
      <c r="Q159" s="79"/>
      <c r="R159" s="79"/>
      <c r="S159" s="79"/>
      <c r="T159" s="79"/>
      <c r="U159" s="79"/>
      <c r="V159" s="79"/>
      <c r="W159" s="79"/>
      <c r="X159" s="79"/>
    </row>
    <row r="160" spans="1:24" s="80" customFormat="1" ht="25.5" x14ac:dyDescent="0.2">
      <c r="A160" s="69">
        <v>150</v>
      </c>
      <c r="B160" s="57" t="s">
        <v>639</v>
      </c>
      <c r="C160" s="57" t="s">
        <v>509</v>
      </c>
      <c r="D160" s="36">
        <v>3081</v>
      </c>
      <c r="E160" s="36">
        <v>1000</v>
      </c>
      <c r="F160" s="72">
        <v>0</v>
      </c>
      <c r="G160" s="73">
        <v>250</v>
      </c>
      <c r="H160" s="73">
        <v>0</v>
      </c>
      <c r="I160" s="36">
        <f t="shared" si="0"/>
        <v>4331</v>
      </c>
      <c r="J160" s="36">
        <f t="shared" si="1"/>
        <v>122.43</v>
      </c>
      <c r="K160" s="36">
        <f t="shared" ref="K160:K161" si="32">(D160+E160)*12%</f>
        <v>489.72</v>
      </c>
      <c r="L160" s="36">
        <v>0</v>
      </c>
      <c r="M160" s="36">
        <v>0</v>
      </c>
      <c r="N160" s="36">
        <f t="shared" si="27"/>
        <v>612.15</v>
      </c>
      <c r="O160" s="36">
        <f t="shared" si="24"/>
        <v>3718.85</v>
      </c>
      <c r="P160" s="74">
        <v>0</v>
      </c>
      <c r="Q160" s="79"/>
      <c r="R160" s="79"/>
      <c r="S160" s="79"/>
      <c r="T160" s="79"/>
      <c r="U160" s="79"/>
      <c r="V160" s="79"/>
      <c r="W160" s="79"/>
      <c r="X160" s="79"/>
    </row>
    <row r="161" spans="1:24" s="80" customFormat="1" ht="25.5" x14ac:dyDescent="0.2">
      <c r="A161" s="69">
        <v>151</v>
      </c>
      <c r="B161" s="33" t="s">
        <v>640</v>
      </c>
      <c r="C161" s="57" t="s">
        <v>509</v>
      </c>
      <c r="D161" s="70">
        <v>3081</v>
      </c>
      <c r="E161" s="71">
        <v>1000</v>
      </c>
      <c r="F161" s="72">
        <v>0</v>
      </c>
      <c r="G161" s="73">
        <v>250</v>
      </c>
      <c r="H161" s="73">
        <v>0</v>
      </c>
      <c r="I161" s="36">
        <f t="shared" si="0"/>
        <v>4331</v>
      </c>
      <c r="J161" s="36">
        <f t="shared" si="1"/>
        <v>122.43</v>
      </c>
      <c r="K161" s="36">
        <f t="shared" si="32"/>
        <v>489.72</v>
      </c>
      <c r="L161" s="36">
        <v>0</v>
      </c>
      <c r="M161" s="36">
        <v>0</v>
      </c>
      <c r="N161" s="36">
        <f t="shared" si="27"/>
        <v>612.15</v>
      </c>
      <c r="O161" s="36">
        <f t="shared" si="24"/>
        <v>3718.85</v>
      </c>
      <c r="P161" s="74">
        <v>0</v>
      </c>
      <c r="Q161" s="79"/>
      <c r="R161" s="79"/>
      <c r="S161" s="79"/>
      <c r="T161" s="79"/>
      <c r="U161" s="79"/>
      <c r="V161" s="79"/>
      <c r="W161" s="79"/>
      <c r="X161" s="79"/>
    </row>
    <row r="162" spans="1:24" s="80" customFormat="1" ht="25.5" x14ac:dyDescent="0.2">
      <c r="A162" s="69">
        <v>152</v>
      </c>
      <c r="B162" s="57" t="s">
        <v>641</v>
      </c>
      <c r="C162" s="57" t="s">
        <v>449</v>
      </c>
      <c r="D162" s="77">
        <v>1940</v>
      </c>
      <c r="E162" s="70">
        <v>0</v>
      </c>
      <c r="F162" s="72">
        <v>0</v>
      </c>
      <c r="G162" s="73">
        <v>0</v>
      </c>
      <c r="H162" s="73">
        <v>0</v>
      </c>
      <c r="I162" s="36">
        <f t="shared" si="0"/>
        <v>1940</v>
      </c>
      <c r="J162" s="36">
        <f t="shared" si="1"/>
        <v>58.2</v>
      </c>
      <c r="K162" s="36">
        <f>D162*10%</f>
        <v>194</v>
      </c>
      <c r="L162" s="36">
        <v>0</v>
      </c>
      <c r="M162" s="36">
        <v>0</v>
      </c>
      <c r="N162" s="36">
        <f t="shared" si="27"/>
        <v>252.2</v>
      </c>
      <c r="O162" s="36">
        <f t="shared" si="24"/>
        <v>1687.8</v>
      </c>
      <c r="P162" s="74">
        <v>0</v>
      </c>
      <c r="Q162" s="79"/>
      <c r="R162" s="79"/>
      <c r="S162" s="79"/>
      <c r="T162" s="79"/>
      <c r="U162" s="79"/>
      <c r="V162" s="79"/>
      <c r="W162" s="79"/>
      <c r="X162" s="79"/>
    </row>
    <row r="163" spans="1:24" s="80" customFormat="1" ht="25.5" x14ac:dyDescent="0.2">
      <c r="A163" s="69">
        <v>153</v>
      </c>
      <c r="B163" s="82" t="s">
        <v>642</v>
      </c>
      <c r="C163" s="85" t="s">
        <v>594</v>
      </c>
      <c r="D163" s="72">
        <v>2375</v>
      </c>
      <c r="E163" s="72">
        <v>1000</v>
      </c>
      <c r="F163" s="72">
        <v>0</v>
      </c>
      <c r="G163" s="72">
        <v>250</v>
      </c>
      <c r="H163" s="73">
        <v>0</v>
      </c>
      <c r="I163" s="36">
        <f t="shared" si="0"/>
        <v>3625</v>
      </c>
      <c r="J163" s="36">
        <f t="shared" si="1"/>
        <v>101.25</v>
      </c>
      <c r="K163" s="36">
        <f t="shared" ref="K163:K164" si="33">(D163+E163)*11%</f>
        <v>371.25</v>
      </c>
      <c r="L163" s="36">
        <v>0</v>
      </c>
      <c r="M163" s="36">
        <v>45.36</v>
      </c>
      <c r="N163" s="36">
        <f t="shared" si="27"/>
        <v>517.86</v>
      </c>
      <c r="O163" s="36">
        <f t="shared" si="24"/>
        <v>3107.14</v>
      </c>
      <c r="P163" s="74">
        <v>0</v>
      </c>
      <c r="Q163" s="79"/>
      <c r="R163" s="79"/>
      <c r="S163" s="79"/>
      <c r="T163" s="79"/>
      <c r="U163" s="79"/>
      <c r="V163" s="79"/>
      <c r="W163" s="79"/>
      <c r="X163" s="79"/>
    </row>
    <row r="164" spans="1:24" s="80" customFormat="1" x14ac:dyDescent="0.2">
      <c r="A164" s="69">
        <v>154</v>
      </c>
      <c r="B164" s="57" t="s">
        <v>643</v>
      </c>
      <c r="C164" s="57" t="s">
        <v>490</v>
      </c>
      <c r="D164" s="70">
        <v>1668</v>
      </c>
      <c r="E164" s="70">
        <v>1000</v>
      </c>
      <c r="F164" s="72">
        <v>0</v>
      </c>
      <c r="G164" s="73">
        <v>250</v>
      </c>
      <c r="H164" s="73">
        <v>0</v>
      </c>
      <c r="I164" s="36">
        <f t="shared" si="0"/>
        <v>2918</v>
      </c>
      <c r="J164" s="36">
        <f t="shared" si="1"/>
        <v>80.040000000000006</v>
      </c>
      <c r="K164" s="36">
        <f t="shared" si="33"/>
        <v>293.48</v>
      </c>
      <c r="L164" s="36">
        <v>0</v>
      </c>
      <c r="M164" s="36">
        <v>0</v>
      </c>
      <c r="N164" s="36">
        <f t="shared" si="27"/>
        <v>373.52</v>
      </c>
      <c r="O164" s="36">
        <f t="shared" si="24"/>
        <v>2544.48</v>
      </c>
      <c r="P164" s="74">
        <v>0</v>
      </c>
      <c r="Q164" s="79"/>
      <c r="R164" s="79"/>
      <c r="S164" s="79"/>
      <c r="T164" s="79"/>
      <c r="U164" s="79"/>
      <c r="V164" s="79"/>
      <c r="W164" s="79"/>
      <c r="X164" s="79"/>
    </row>
    <row r="165" spans="1:24" s="80" customFormat="1" ht="25.5" x14ac:dyDescent="0.2">
      <c r="A165" s="69">
        <v>155</v>
      </c>
      <c r="B165" s="112" t="s">
        <v>644</v>
      </c>
      <c r="C165" s="85" t="s">
        <v>645</v>
      </c>
      <c r="D165" s="72">
        <v>5787</v>
      </c>
      <c r="E165" s="72">
        <v>1800</v>
      </c>
      <c r="F165" s="72">
        <v>0</v>
      </c>
      <c r="G165" s="72">
        <v>250</v>
      </c>
      <c r="H165" s="73">
        <v>0</v>
      </c>
      <c r="I165" s="36">
        <f t="shared" si="0"/>
        <v>7837</v>
      </c>
      <c r="J165" s="36">
        <f t="shared" si="1"/>
        <v>227.61</v>
      </c>
      <c r="K165" s="36">
        <f>(D165+E165)*12%</f>
        <v>910.44</v>
      </c>
      <c r="L165" s="36">
        <v>131.99</v>
      </c>
      <c r="M165" s="36">
        <v>101.97</v>
      </c>
      <c r="N165" s="36">
        <f t="shared" si="27"/>
        <v>1372.01</v>
      </c>
      <c r="O165" s="36">
        <f t="shared" si="24"/>
        <v>6464.99</v>
      </c>
      <c r="P165" s="74">
        <v>0</v>
      </c>
      <c r="Q165" s="79"/>
      <c r="R165" s="79"/>
      <c r="S165" s="79"/>
      <c r="T165" s="79"/>
      <c r="U165" s="79"/>
      <c r="V165" s="79"/>
      <c r="W165" s="79"/>
      <c r="X165" s="79"/>
    </row>
    <row r="166" spans="1:24" s="80" customFormat="1" ht="25.5" x14ac:dyDescent="0.2">
      <c r="A166" s="69">
        <v>156</v>
      </c>
      <c r="B166" s="57" t="s">
        <v>646</v>
      </c>
      <c r="C166" s="57" t="s">
        <v>481</v>
      </c>
      <c r="D166" s="105">
        <v>2037</v>
      </c>
      <c r="E166" s="70">
        <v>0</v>
      </c>
      <c r="F166" s="72">
        <v>0</v>
      </c>
      <c r="G166" s="73">
        <v>0</v>
      </c>
      <c r="H166" s="73">
        <v>0</v>
      </c>
      <c r="I166" s="36">
        <f t="shared" si="0"/>
        <v>2037</v>
      </c>
      <c r="J166" s="36">
        <f t="shared" si="1"/>
        <v>61.11</v>
      </c>
      <c r="K166" s="36">
        <f>D166*11%</f>
        <v>224.07</v>
      </c>
      <c r="L166" s="36">
        <v>0</v>
      </c>
      <c r="M166" s="36">
        <v>0</v>
      </c>
      <c r="N166" s="36">
        <f t="shared" si="27"/>
        <v>285.18</v>
      </c>
      <c r="O166" s="36">
        <f t="shared" si="24"/>
        <v>1751.82</v>
      </c>
      <c r="P166" s="74">
        <v>0</v>
      </c>
      <c r="Q166" s="79"/>
      <c r="R166" s="79"/>
      <c r="S166" s="79"/>
      <c r="T166" s="79"/>
      <c r="U166" s="79"/>
      <c r="V166" s="79"/>
      <c r="W166" s="79"/>
      <c r="X166" s="79"/>
    </row>
    <row r="167" spans="1:24" s="80" customFormat="1" ht="25.5" x14ac:dyDescent="0.2">
      <c r="A167" s="69">
        <v>157</v>
      </c>
      <c r="B167" s="84" t="s">
        <v>647</v>
      </c>
      <c r="C167" s="57" t="s">
        <v>498</v>
      </c>
      <c r="D167" s="90">
        <v>3241</v>
      </c>
      <c r="E167" s="71">
        <v>1000</v>
      </c>
      <c r="F167" s="72">
        <v>0</v>
      </c>
      <c r="G167" s="73">
        <v>250</v>
      </c>
      <c r="H167" s="73">
        <v>0</v>
      </c>
      <c r="I167" s="36">
        <f t="shared" si="0"/>
        <v>4491</v>
      </c>
      <c r="J167" s="36">
        <f t="shared" si="1"/>
        <v>127.23</v>
      </c>
      <c r="K167" s="36">
        <f>(D167+E167+F167)*12%</f>
        <v>508.92</v>
      </c>
      <c r="L167" s="36">
        <v>0</v>
      </c>
      <c r="M167" s="36">
        <v>57</v>
      </c>
      <c r="N167" s="36">
        <f t="shared" si="27"/>
        <v>693.15</v>
      </c>
      <c r="O167" s="36">
        <f t="shared" si="24"/>
        <v>3797.85</v>
      </c>
      <c r="P167" s="74">
        <v>0</v>
      </c>
      <c r="Q167" s="79"/>
      <c r="R167" s="79"/>
      <c r="S167" s="79"/>
      <c r="T167" s="79"/>
      <c r="U167" s="79"/>
      <c r="V167" s="79"/>
      <c r="W167" s="79"/>
      <c r="X167" s="79"/>
    </row>
    <row r="168" spans="1:24" s="80" customFormat="1" ht="25.5" x14ac:dyDescent="0.2">
      <c r="A168" s="69">
        <v>158</v>
      </c>
      <c r="B168" s="84" t="s">
        <v>648</v>
      </c>
      <c r="C168" s="85" t="s">
        <v>496</v>
      </c>
      <c r="D168" s="122">
        <v>3081</v>
      </c>
      <c r="E168" s="70">
        <v>1000</v>
      </c>
      <c r="F168" s="72">
        <v>0</v>
      </c>
      <c r="G168" s="73">
        <v>250</v>
      </c>
      <c r="H168" s="73">
        <v>0</v>
      </c>
      <c r="I168" s="36">
        <f t="shared" si="0"/>
        <v>4331</v>
      </c>
      <c r="J168" s="36">
        <f t="shared" si="1"/>
        <v>122.43</v>
      </c>
      <c r="K168" s="36">
        <f>(D168+E168)*12%</f>
        <v>489.72</v>
      </c>
      <c r="L168" s="36">
        <v>0</v>
      </c>
      <c r="M168" s="36">
        <v>54.85</v>
      </c>
      <c r="N168" s="36">
        <f t="shared" si="27"/>
        <v>667</v>
      </c>
      <c r="O168" s="36">
        <f t="shared" si="24"/>
        <v>3664</v>
      </c>
      <c r="P168" s="74">
        <v>0</v>
      </c>
      <c r="Q168" s="79"/>
      <c r="R168" s="79"/>
      <c r="S168" s="79"/>
      <c r="T168" s="79"/>
      <c r="U168" s="79"/>
      <c r="V168" s="79"/>
      <c r="W168" s="79"/>
      <c r="X168" s="79"/>
    </row>
    <row r="169" spans="1:24" s="80" customFormat="1" ht="25.5" x14ac:dyDescent="0.2">
      <c r="A169" s="69">
        <v>159</v>
      </c>
      <c r="B169" s="123" t="s">
        <v>649</v>
      </c>
      <c r="C169" s="96" t="s">
        <v>520</v>
      </c>
      <c r="D169" s="94">
        <v>2920</v>
      </c>
      <c r="E169" s="70">
        <v>1000</v>
      </c>
      <c r="F169" s="72">
        <v>0</v>
      </c>
      <c r="G169" s="73">
        <v>250</v>
      </c>
      <c r="H169" s="73">
        <v>0</v>
      </c>
      <c r="I169" s="36">
        <f t="shared" si="0"/>
        <v>4170</v>
      </c>
      <c r="J169" s="36">
        <f t="shared" si="1"/>
        <v>117.6</v>
      </c>
      <c r="K169" s="36">
        <f>(D169+E169)*11%</f>
        <v>431.2</v>
      </c>
      <c r="L169" s="36">
        <v>0</v>
      </c>
      <c r="M169" s="36">
        <v>52.68</v>
      </c>
      <c r="N169" s="36">
        <f t="shared" si="27"/>
        <v>601.48</v>
      </c>
      <c r="O169" s="36">
        <f t="shared" si="24"/>
        <v>3568.52</v>
      </c>
      <c r="P169" s="74">
        <v>0</v>
      </c>
      <c r="Q169" s="79"/>
      <c r="R169" s="79"/>
      <c r="S169" s="79"/>
      <c r="T169" s="79"/>
      <c r="U169" s="79"/>
      <c r="V169" s="79"/>
      <c r="W169" s="79"/>
      <c r="X169" s="79"/>
    </row>
    <row r="170" spans="1:24" s="80" customFormat="1" ht="25.5" x14ac:dyDescent="0.2">
      <c r="A170" s="69">
        <v>160</v>
      </c>
      <c r="B170" s="57" t="s">
        <v>650</v>
      </c>
      <c r="C170" s="57" t="s">
        <v>447</v>
      </c>
      <c r="D170" s="77">
        <v>2425</v>
      </c>
      <c r="E170" s="70">
        <v>0</v>
      </c>
      <c r="F170" s="72">
        <v>0</v>
      </c>
      <c r="G170" s="73">
        <v>0</v>
      </c>
      <c r="H170" s="73">
        <v>0</v>
      </c>
      <c r="I170" s="36">
        <f t="shared" si="0"/>
        <v>2425</v>
      </c>
      <c r="J170" s="36">
        <f t="shared" si="1"/>
        <v>72.75</v>
      </c>
      <c r="K170" s="36">
        <f>D170*11%</f>
        <v>266.75</v>
      </c>
      <c r="L170" s="36">
        <v>0</v>
      </c>
      <c r="M170" s="36">
        <v>0</v>
      </c>
      <c r="N170" s="36">
        <f t="shared" si="27"/>
        <v>339.5</v>
      </c>
      <c r="O170" s="36">
        <f t="shared" si="24"/>
        <v>2085.5</v>
      </c>
      <c r="P170" s="74">
        <v>0</v>
      </c>
      <c r="Q170" s="79"/>
      <c r="R170" s="79"/>
      <c r="S170" s="79"/>
      <c r="T170" s="79"/>
      <c r="U170" s="79"/>
      <c r="V170" s="79"/>
      <c r="W170" s="79"/>
      <c r="X170" s="79"/>
    </row>
    <row r="171" spans="1:24" s="80" customFormat="1" ht="25.5" x14ac:dyDescent="0.2">
      <c r="A171" s="69">
        <v>161</v>
      </c>
      <c r="B171" s="57" t="s">
        <v>651</v>
      </c>
      <c r="C171" s="57" t="s">
        <v>449</v>
      </c>
      <c r="D171" s="77">
        <v>1940</v>
      </c>
      <c r="E171" s="70">
        <v>0</v>
      </c>
      <c r="F171" s="72">
        <v>0</v>
      </c>
      <c r="G171" s="73">
        <v>0</v>
      </c>
      <c r="H171" s="73">
        <v>0</v>
      </c>
      <c r="I171" s="36">
        <f t="shared" si="0"/>
        <v>1940</v>
      </c>
      <c r="J171" s="36">
        <f t="shared" si="1"/>
        <v>58.2</v>
      </c>
      <c r="K171" s="36">
        <f>D171*10%</f>
        <v>194</v>
      </c>
      <c r="L171" s="36">
        <v>0</v>
      </c>
      <c r="M171" s="36">
        <v>0</v>
      </c>
      <c r="N171" s="36">
        <f t="shared" si="27"/>
        <v>252.2</v>
      </c>
      <c r="O171" s="36">
        <f t="shared" si="24"/>
        <v>1687.8</v>
      </c>
      <c r="P171" s="74">
        <v>0</v>
      </c>
      <c r="Q171" s="79"/>
      <c r="R171" s="79"/>
      <c r="S171" s="79"/>
      <c r="T171" s="79"/>
      <c r="U171" s="79"/>
      <c r="V171" s="79"/>
      <c r="W171" s="79"/>
      <c r="X171" s="79"/>
    </row>
    <row r="172" spans="1:24" s="80" customFormat="1" ht="25.5" x14ac:dyDescent="0.2">
      <c r="A172" s="69">
        <v>162</v>
      </c>
      <c r="B172" s="116" t="s">
        <v>652</v>
      </c>
      <c r="C172" s="57" t="s">
        <v>596</v>
      </c>
      <c r="D172" s="72">
        <v>3241</v>
      </c>
      <c r="E172" s="72">
        <v>1000</v>
      </c>
      <c r="F172" s="72">
        <v>0</v>
      </c>
      <c r="G172" s="72">
        <v>250</v>
      </c>
      <c r="H172" s="73">
        <v>0</v>
      </c>
      <c r="I172" s="36">
        <f t="shared" si="0"/>
        <v>4491</v>
      </c>
      <c r="J172" s="36">
        <f t="shared" si="1"/>
        <v>127.23</v>
      </c>
      <c r="K172" s="36">
        <f>(D172+E172)*12%</f>
        <v>508.92</v>
      </c>
      <c r="L172" s="36">
        <v>0</v>
      </c>
      <c r="M172" s="36">
        <v>0</v>
      </c>
      <c r="N172" s="36">
        <f t="shared" si="27"/>
        <v>636.15</v>
      </c>
      <c r="O172" s="36">
        <f t="shared" si="24"/>
        <v>3854.85</v>
      </c>
      <c r="P172" s="74">
        <f>1050</f>
        <v>1050</v>
      </c>
      <c r="Q172" s="79"/>
      <c r="R172" s="79"/>
      <c r="S172" s="79"/>
      <c r="T172" s="79"/>
      <c r="U172" s="79"/>
      <c r="V172" s="79"/>
      <c r="W172" s="79"/>
      <c r="X172" s="79"/>
    </row>
    <row r="173" spans="1:24" s="80" customFormat="1" x14ac:dyDescent="0.2">
      <c r="A173" s="69">
        <v>163</v>
      </c>
      <c r="B173" s="57" t="s">
        <v>653</v>
      </c>
      <c r="C173" s="57" t="s">
        <v>465</v>
      </c>
      <c r="D173" s="70">
        <v>1902</v>
      </c>
      <c r="E173" s="70">
        <v>1000</v>
      </c>
      <c r="F173" s="72">
        <v>0</v>
      </c>
      <c r="G173" s="73">
        <v>250</v>
      </c>
      <c r="H173" s="73">
        <v>0</v>
      </c>
      <c r="I173" s="36">
        <f t="shared" si="0"/>
        <v>3152</v>
      </c>
      <c r="J173" s="36">
        <f t="shared" si="1"/>
        <v>87.06</v>
      </c>
      <c r="K173" s="36">
        <f>(D173+E173)*11%</f>
        <v>319.22000000000003</v>
      </c>
      <c r="L173" s="36">
        <v>0</v>
      </c>
      <c r="M173" s="36">
        <v>0</v>
      </c>
      <c r="N173" s="36">
        <f t="shared" si="27"/>
        <v>406.28</v>
      </c>
      <c r="O173" s="36">
        <f t="shared" si="24"/>
        <v>2745.72</v>
      </c>
      <c r="P173" s="74">
        <v>0</v>
      </c>
      <c r="Q173" s="79"/>
      <c r="R173" s="79"/>
      <c r="S173" s="79"/>
      <c r="T173" s="79"/>
      <c r="U173" s="79"/>
      <c r="V173" s="79"/>
      <c r="W173" s="79"/>
      <c r="X173" s="79"/>
    </row>
    <row r="174" spans="1:24" s="80" customFormat="1" ht="25.5" x14ac:dyDescent="0.2">
      <c r="A174" s="69">
        <v>164</v>
      </c>
      <c r="B174" s="57" t="s">
        <v>654</v>
      </c>
      <c r="C174" s="57" t="s">
        <v>449</v>
      </c>
      <c r="D174" s="70">
        <v>1940</v>
      </c>
      <c r="E174" s="70">
        <v>0</v>
      </c>
      <c r="F174" s="72">
        <v>0</v>
      </c>
      <c r="G174" s="73">
        <v>0</v>
      </c>
      <c r="H174" s="73">
        <v>0</v>
      </c>
      <c r="I174" s="36">
        <f t="shared" si="0"/>
        <v>1940</v>
      </c>
      <c r="J174" s="36">
        <f t="shared" si="1"/>
        <v>58.2</v>
      </c>
      <c r="K174" s="36">
        <f>D174*10%</f>
        <v>194</v>
      </c>
      <c r="L174" s="36">
        <v>0</v>
      </c>
      <c r="M174" s="36">
        <v>0</v>
      </c>
      <c r="N174" s="36">
        <f t="shared" si="27"/>
        <v>252.2</v>
      </c>
      <c r="O174" s="36">
        <f t="shared" si="24"/>
        <v>1687.8</v>
      </c>
      <c r="P174" s="74">
        <v>0</v>
      </c>
      <c r="Q174" s="79"/>
      <c r="R174" s="79"/>
      <c r="S174" s="79"/>
      <c r="T174" s="79"/>
      <c r="U174" s="79"/>
      <c r="V174" s="79"/>
      <c r="W174" s="79"/>
      <c r="X174" s="79"/>
    </row>
    <row r="175" spans="1:24" s="80" customFormat="1" x14ac:dyDescent="0.2">
      <c r="A175" s="69">
        <v>165</v>
      </c>
      <c r="B175" s="57" t="s">
        <v>655</v>
      </c>
      <c r="C175" s="57" t="s">
        <v>465</v>
      </c>
      <c r="D175" s="70">
        <v>1902</v>
      </c>
      <c r="E175" s="70">
        <v>1000</v>
      </c>
      <c r="F175" s="72">
        <v>0</v>
      </c>
      <c r="G175" s="73">
        <v>250</v>
      </c>
      <c r="H175" s="73">
        <v>0</v>
      </c>
      <c r="I175" s="36">
        <f t="shared" si="0"/>
        <v>3152</v>
      </c>
      <c r="J175" s="36">
        <f t="shared" si="1"/>
        <v>87.06</v>
      </c>
      <c r="K175" s="36">
        <f>(D175+E175)*11%</f>
        <v>319.22000000000003</v>
      </c>
      <c r="L175" s="36">
        <v>0</v>
      </c>
      <c r="M175" s="36">
        <v>0</v>
      </c>
      <c r="N175" s="36">
        <f t="shared" si="27"/>
        <v>406.28</v>
      </c>
      <c r="O175" s="36">
        <f t="shared" si="24"/>
        <v>2745.72</v>
      </c>
      <c r="P175" s="74">
        <v>0</v>
      </c>
      <c r="Q175" s="79"/>
      <c r="R175" s="79"/>
      <c r="S175" s="79"/>
      <c r="T175" s="79"/>
      <c r="U175" s="79"/>
      <c r="V175" s="79"/>
      <c r="W175" s="79"/>
      <c r="X175" s="79"/>
    </row>
    <row r="176" spans="1:24" s="80" customFormat="1" ht="25.5" x14ac:dyDescent="0.2">
      <c r="A176" s="69">
        <v>166</v>
      </c>
      <c r="B176" s="57" t="s">
        <v>656</v>
      </c>
      <c r="C176" s="57" t="s">
        <v>472</v>
      </c>
      <c r="D176" s="70">
        <v>5373</v>
      </c>
      <c r="E176" s="70">
        <v>3000</v>
      </c>
      <c r="F176" s="72">
        <v>0</v>
      </c>
      <c r="G176" s="73">
        <v>250</v>
      </c>
      <c r="H176" s="73">
        <v>0</v>
      </c>
      <c r="I176" s="36">
        <f t="shared" si="0"/>
        <v>8623</v>
      </c>
      <c r="J176" s="36">
        <f t="shared" si="1"/>
        <v>251.19</v>
      </c>
      <c r="K176" s="36">
        <f>(D176+E176)*14%</f>
        <v>1172.22</v>
      </c>
      <c r="L176" s="36">
        <v>160.81</v>
      </c>
      <c r="M176" s="36">
        <v>112.53</v>
      </c>
      <c r="N176" s="36">
        <f t="shared" si="27"/>
        <v>1696.75</v>
      </c>
      <c r="O176" s="36">
        <f t="shared" si="24"/>
        <v>6926.25</v>
      </c>
      <c r="P176" s="74">
        <v>0</v>
      </c>
      <c r="Q176" s="79"/>
      <c r="R176" s="79"/>
      <c r="S176" s="79"/>
      <c r="T176" s="79"/>
      <c r="U176" s="79"/>
      <c r="V176" s="79"/>
      <c r="W176" s="79"/>
      <c r="X176" s="79"/>
    </row>
    <row r="177" spans="1:24" s="80" customFormat="1" ht="25.5" x14ac:dyDescent="0.2">
      <c r="A177" s="69">
        <v>167</v>
      </c>
      <c r="B177" s="33" t="s">
        <v>657</v>
      </c>
      <c r="C177" s="57" t="s">
        <v>447</v>
      </c>
      <c r="D177" s="70">
        <v>2425</v>
      </c>
      <c r="E177" s="70">
        <v>0</v>
      </c>
      <c r="F177" s="72">
        <v>0</v>
      </c>
      <c r="G177" s="73">
        <v>0</v>
      </c>
      <c r="H177" s="73">
        <v>0</v>
      </c>
      <c r="I177" s="36">
        <f t="shared" si="0"/>
        <v>2425</v>
      </c>
      <c r="J177" s="36">
        <f t="shared" si="1"/>
        <v>72.75</v>
      </c>
      <c r="K177" s="36">
        <f>D177*11%</f>
        <v>266.75</v>
      </c>
      <c r="L177" s="36">
        <v>0</v>
      </c>
      <c r="M177" s="36">
        <v>0</v>
      </c>
      <c r="N177" s="36">
        <f t="shared" si="27"/>
        <v>339.5</v>
      </c>
      <c r="O177" s="36">
        <f t="shared" si="24"/>
        <v>2085.5</v>
      </c>
      <c r="P177" s="74">
        <v>0</v>
      </c>
      <c r="Q177" s="79"/>
      <c r="R177" s="79"/>
      <c r="S177" s="79"/>
      <c r="T177" s="79"/>
      <c r="U177" s="79"/>
      <c r="V177" s="79"/>
      <c r="W177" s="79"/>
      <c r="X177" s="79"/>
    </row>
    <row r="178" spans="1:24" s="80" customFormat="1" ht="25.5" x14ac:dyDescent="0.2">
      <c r="A178" s="69">
        <v>168</v>
      </c>
      <c r="B178" s="57" t="s">
        <v>658</v>
      </c>
      <c r="C178" s="57" t="s">
        <v>449</v>
      </c>
      <c r="D178" s="70">
        <v>1940</v>
      </c>
      <c r="E178" s="70">
        <f>2000</f>
        <v>2000</v>
      </c>
      <c r="F178" s="72">
        <v>0</v>
      </c>
      <c r="G178" s="73">
        <v>250</v>
      </c>
      <c r="H178" s="73">
        <v>0</v>
      </c>
      <c r="I178" s="36">
        <f t="shared" si="0"/>
        <v>4190</v>
      </c>
      <c r="J178" s="36">
        <f t="shared" si="1"/>
        <v>118.2</v>
      </c>
      <c r="K178" s="36">
        <f>(D178+E178)*11%</f>
        <v>433.4</v>
      </c>
      <c r="L178" s="36">
        <v>0</v>
      </c>
      <c r="M178" s="36">
        <v>0</v>
      </c>
      <c r="N178" s="36">
        <f t="shared" si="27"/>
        <v>551.6</v>
      </c>
      <c r="O178" s="36">
        <f t="shared" si="24"/>
        <v>3638.4</v>
      </c>
      <c r="P178" s="74">
        <v>0</v>
      </c>
      <c r="Q178" s="79"/>
      <c r="R178" s="79"/>
      <c r="S178" s="79"/>
      <c r="T178" s="79"/>
      <c r="U178" s="79"/>
      <c r="V178" s="79"/>
      <c r="W178" s="79"/>
      <c r="X178" s="79"/>
    </row>
    <row r="179" spans="1:24" s="80" customFormat="1" ht="25.5" x14ac:dyDescent="0.2">
      <c r="A179" s="69">
        <v>169</v>
      </c>
      <c r="B179" s="82" t="s">
        <v>659</v>
      </c>
      <c r="C179" s="57" t="s">
        <v>498</v>
      </c>
      <c r="D179" s="72">
        <v>3241</v>
      </c>
      <c r="E179" s="72">
        <v>1000</v>
      </c>
      <c r="F179" s="72">
        <v>0</v>
      </c>
      <c r="G179" s="72">
        <v>250</v>
      </c>
      <c r="H179" s="73">
        <v>0</v>
      </c>
      <c r="I179" s="36">
        <f t="shared" si="0"/>
        <v>4491</v>
      </c>
      <c r="J179" s="36">
        <f t="shared" si="1"/>
        <v>127.23</v>
      </c>
      <c r="K179" s="36">
        <v>508.92</v>
      </c>
      <c r="L179" s="72">
        <v>0</v>
      </c>
      <c r="M179" s="72">
        <v>57</v>
      </c>
      <c r="N179" s="72">
        <f>SUM(J179:M179)</f>
        <v>693.15</v>
      </c>
      <c r="O179" s="36">
        <f t="shared" si="24"/>
        <v>3797.85</v>
      </c>
      <c r="P179" s="74">
        <v>0</v>
      </c>
      <c r="Q179" s="79"/>
      <c r="R179" s="79"/>
      <c r="S179" s="79"/>
      <c r="T179" s="79"/>
      <c r="U179" s="79"/>
      <c r="V179" s="79"/>
      <c r="W179" s="79"/>
      <c r="X179" s="79"/>
    </row>
    <row r="180" spans="1:24" s="80" customFormat="1" ht="25.5" x14ac:dyDescent="0.2">
      <c r="A180" s="69">
        <v>170</v>
      </c>
      <c r="B180" s="57" t="s">
        <v>660</v>
      </c>
      <c r="C180" s="85" t="s">
        <v>661</v>
      </c>
      <c r="D180" s="72">
        <v>2920</v>
      </c>
      <c r="E180" s="124">
        <v>1000</v>
      </c>
      <c r="F180" s="71">
        <v>0</v>
      </c>
      <c r="G180" s="71">
        <v>250</v>
      </c>
      <c r="H180" s="73">
        <v>0</v>
      </c>
      <c r="I180" s="36">
        <f t="shared" si="0"/>
        <v>4170</v>
      </c>
      <c r="J180" s="36">
        <f t="shared" si="1"/>
        <v>117.6</v>
      </c>
      <c r="K180" s="36">
        <f>(D180+E180)*11%</f>
        <v>431.2</v>
      </c>
      <c r="L180" s="36">
        <v>0</v>
      </c>
      <c r="M180" s="36">
        <v>0</v>
      </c>
      <c r="N180" s="36">
        <f t="shared" ref="N180:N205" si="34">J180+K180+L180+M180</f>
        <v>548.79999999999995</v>
      </c>
      <c r="O180" s="36">
        <f t="shared" si="24"/>
        <v>3621.2</v>
      </c>
      <c r="P180" s="74">
        <v>0</v>
      </c>
      <c r="Q180" s="79"/>
      <c r="R180" s="79"/>
      <c r="S180" s="79"/>
      <c r="T180" s="79"/>
      <c r="U180" s="79"/>
      <c r="V180" s="79"/>
      <c r="W180" s="79"/>
      <c r="X180" s="79"/>
    </row>
    <row r="181" spans="1:24" s="80" customFormat="1" ht="25.5" x14ac:dyDescent="0.2">
      <c r="A181" s="69">
        <v>171</v>
      </c>
      <c r="B181" s="57" t="s">
        <v>662</v>
      </c>
      <c r="C181" s="85" t="s">
        <v>496</v>
      </c>
      <c r="D181" s="70">
        <v>3081</v>
      </c>
      <c r="E181" s="70">
        <v>1000</v>
      </c>
      <c r="F181" s="72">
        <v>0</v>
      </c>
      <c r="G181" s="73">
        <v>250</v>
      </c>
      <c r="H181" s="73">
        <v>0</v>
      </c>
      <c r="I181" s="36">
        <f t="shared" si="0"/>
        <v>4331</v>
      </c>
      <c r="J181" s="36">
        <f t="shared" si="1"/>
        <v>122.43</v>
      </c>
      <c r="K181" s="36">
        <f>(D181+E181)*12%</f>
        <v>489.72</v>
      </c>
      <c r="L181" s="36">
        <v>0</v>
      </c>
      <c r="M181" s="36">
        <v>54.85</v>
      </c>
      <c r="N181" s="36">
        <f t="shared" si="34"/>
        <v>667</v>
      </c>
      <c r="O181" s="36">
        <f t="shared" si="24"/>
        <v>3664</v>
      </c>
      <c r="P181" s="74">
        <v>0</v>
      </c>
      <c r="Q181" s="79"/>
      <c r="R181" s="79"/>
      <c r="S181" s="79"/>
      <c r="T181" s="79"/>
      <c r="U181" s="79"/>
      <c r="V181" s="79"/>
      <c r="W181" s="79"/>
      <c r="X181" s="79"/>
    </row>
    <row r="182" spans="1:24" s="80" customFormat="1" ht="25.5" x14ac:dyDescent="0.2">
      <c r="A182" s="69">
        <v>172</v>
      </c>
      <c r="B182" s="116" t="s">
        <v>663</v>
      </c>
      <c r="C182" s="85" t="s">
        <v>664</v>
      </c>
      <c r="D182" s="72">
        <v>2631</v>
      </c>
      <c r="E182" s="72">
        <v>1000</v>
      </c>
      <c r="F182" s="72">
        <v>0</v>
      </c>
      <c r="G182" s="72">
        <v>250</v>
      </c>
      <c r="H182" s="73">
        <v>0</v>
      </c>
      <c r="I182" s="36">
        <f t="shared" si="0"/>
        <v>3881</v>
      </c>
      <c r="J182" s="36">
        <f t="shared" si="1"/>
        <v>108.93</v>
      </c>
      <c r="K182" s="36">
        <f>(D182+E182)*11%</f>
        <v>399.41</v>
      </c>
      <c r="L182" s="36">
        <v>0</v>
      </c>
      <c r="M182" s="36">
        <v>48.8</v>
      </c>
      <c r="N182" s="36">
        <f t="shared" si="34"/>
        <v>557.14</v>
      </c>
      <c r="O182" s="36">
        <f t="shared" si="24"/>
        <v>3323.86</v>
      </c>
      <c r="P182" s="74">
        <v>0</v>
      </c>
      <c r="Q182" s="79"/>
      <c r="R182" s="79"/>
      <c r="S182" s="79"/>
      <c r="T182" s="79"/>
      <c r="U182" s="79"/>
      <c r="V182" s="79"/>
      <c r="W182" s="79"/>
      <c r="X182" s="79"/>
    </row>
    <row r="183" spans="1:24" s="80" customFormat="1" ht="25.5" x14ac:dyDescent="0.2">
      <c r="A183" s="69">
        <v>173</v>
      </c>
      <c r="B183" s="82" t="s">
        <v>665</v>
      </c>
      <c r="C183" s="85" t="s">
        <v>666</v>
      </c>
      <c r="D183" s="72">
        <v>3241</v>
      </c>
      <c r="E183" s="72">
        <v>1000</v>
      </c>
      <c r="F183" s="72">
        <v>0</v>
      </c>
      <c r="G183" s="72">
        <v>250</v>
      </c>
      <c r="H183" s="73">
        <v>0</v>
      </c>
      <c r="I183" s="36">
        <f t="shared" si="0"/>
        <v>4491</v>
      </c>
      <c r="J183" s="36">
        <f t="shared" si="1"/>
        <v>127.23</v>
      </c>
      <c r="K183" s="36">
        <f>(D183+E183)*12%</f>
        <v>508.92</v>
      </c>
      <c r="L183" s="36">
        <v>0</v>
      </c>
      <c r="M183" s="36">
        <v>0</v>
      </c>
      <c r="N183" s="36">
        <f t="shared" si="34"/>
        <v>636.15</v>
      </c>
      <c r="O183" s="36">
        <f t="shared" si="24"/>
        <v>3854.85</v>
      </c>
      <c r="P183" s="74">
        <v>0</v>
      </c>
      <c r="Q183" s="79"/>
      <c r="R183" s="79"/>
      <c r="S183" s="79"/>
      <c r="T183" s="79"/>
      <c r="U183" s="79"/>
      <c r="V183" s="79"/>
      <c r="W183" s="79"/>
      <c r="X183" s="79"/>
    </row>
    <row r="184" spans="1:24" s="80" customFormat="1" ht="25.5" x14ac:dyDescent="0.2">
      <c r="A184" s="69">
        <v>174</v>
      </c>
      <c r="B184" s="83" t="s">
        <v>667</v>
      </c>
      <c r="C184" s="57" t="s">
        <v>454</v>
      </c>
      <c r="D184" s="70">
        <v>2249</v>
      </c>
      <c r="E184" s="71">
        <v>1000</v>
      </c>
      <c r="F184" s="72">
        <v>0</v>
      </c>
      <c r="G184" s="73">
        <v>250</v>
      </c>
      <c r="H184" s="73">
        <v>0</v>
      </c>
      <c r="I184" s="36">
        <f t="shared" si="0"/>
        <v>3499</v>
      </c>
      <c r="J184" s="36">
        <f t="shared" si="1"/>
        <v>97.47</v>
      </c>
      <c r="K184" s="36">
        <f>(D184+E184)*11%</f>
        <v>357.39</v>
      </c>
      <c r="L184" s="36">
        <v>0</v>
      </c>
      <c r="M184" s="36">
        <v>0</v>
      </c>
      <c r="N184" s="36">
        <f t="shared" si="34"/>
        <v>454.86</v>
      </c>
      <c r="O184" s="36">
        <f t="shared" si="24"/>
        <v>3044.14</v>
      </c>
      <c r="P184" s="74">
        <v>0</v>
      </c>
      <c r="Q184" s="79"/>
      <c r="R184" s="79"/>
      <c r="S184" s="79"/>
      <c r="T184" s="79"/>
      <c r="U184" s="79"/>
      <c r="V184" s="79"/>
      <c r="W184" s="79"/>
      <c r="X184" s="79"/>
    </row>
    <row r="185" spans="1:24" s="80" customFormat="1" ht="25.5" x14ac:dyDescent="0.2">
      <c r="A185" s="69">
        <v>175</v>
      </c>
      <c r="B185" s="57" t="s">
        <v>668</v>
      </c>
      <c r="C185" s="57" t="s">
        <v>449</v>
      </c>
      <c r="D185" s="70">
        <v>2425</v>
      </c>
      <c r="E185" s="70">
        <v>0</v>
      </c>
      <c r="F185" s="72">
        <v>0</v>
      </c>
      <c r="G185" s="73">
        <v>0</v>
      </c>
      <c r="H185" s="73">
        <v>0</v>
      </c>
      <c r="I185" s="36">
        <f t="shared" si="0"/>
        <v>2425</v>
      </c>
      <c r="J185" s="36">
        <f t="shared" si="1"/>
        <v>72.75</v>
      </c>
      <c r="K185" s="36">
        <f t="shared" ref="K185:K186" si="35">D185*11%</f>
        <v>266.75</v>
      </c>
      <c r="L185" s="36">
        <v>0</v>
      </c>
      <c r="M185" s="36">
        <v>0</v>
      </c>
      <c r="N185" s="36">
        <f t="shared" si="34"/>
        <v>339.5</v>
      </c>
      <c r="O185" s="36">
        <f t="shared" si="24"/>
        <v>2085.5</v>
      </c>
      <c r="P185" s="74">
        <v>0</v>
      </c>
      <c r="Q185" s="79"/>
      <c r="R185" s="79"/>
      <c r="S185" s="79"/>
      <c r="T185" s="79"/>
      <c r="U185" s="79"/>
      <c r="V185" s="79"/>
      <c r="W185" s="79"/>
      <c r="X185" s="79"/>
    </row>
    <row r="186" spans="1:24" s="80" customFormat="1" x14ac:dyDescent="0.2">
      <c r="A186" s="69">
        <v>176</v>
      </c>
      <c r="B186" s="57" t="s">
        <v>669</v>
      </c>
      <c r="C186" s="57" t="s">
        <v>670</v>
      </c>
      <c r="D186" s="70">
        <v>1902</v>
      </c>
      <c r="E186" s="70">
        <v>1000</v>
      </c>
      <c r="F186" s="72">
        <v>0</v>
      </c>
      <c r="G186" s="73">
        <v>250</v>
      </c>
      <c r="H186" s="73">
        <v>0</v>
      </c>
      <c r="I186" s="36">
        <f t="shared" si="0"/>
        <v>3152</v>
      </c>
      <c r="J186" s="36">
        <f t="shared" si="1"/>
        <v>87.06</v>
      </c>
      <c r="K186" s="36">
        <f t="shared" si="35"/>
        <v>209.22</v>
      </c>
      <c r="L186" s="36">
        <v>0</v>
      </c>
      <c r="M186" s="36">
        <v>39</v>
      </c>
      <c r="N186" s="36">
        <f t="shared" si="34"/>
        <v>335.28</v>
      </c>
      <c r="O186" s="36">
        <f t="shared" si="24"/>
        <v>2816.72</v>
      </c>
      <c r="P186" s="74">
        <v>0</v>
      </c>
      <c r="Q186" s="79"/>
      <c r="R186" s="79"/>
      <c r="S186" s="79"/>
      <c r="T186" s="79"/>
      <c r="U186" s="79"/>
      <c r="V186" s="79"/>
      <c r="W186" s="79"/>
      <c r="X186" s="79"/>
    </row>
    <row r="187" spans="1:24" s="80" customFormat="1" ht="25.5" x14ac:dyDescent="0.2">
      <c r="A187" s="69">
        <v>177</v>
      </c>
      <c r="B187" s="82" t="s">
        <v>671</v>
      </c>
      <c r="C187" s="57" t="s">
        <v>493</v>
      </c>
      <c r="D187" s="72">
        <v>1831</v>
      </c>
      <c r="E187" s="72">
        <v>1000</v>
      </c>
      <c r="F187" s="72">
        <v>0</v>
      </c>
      <c r="G187" s="72">
        <v>250</v>
      </c>
      <c r="H187" s="73">
        <v>0</v>
      </c>
      <c r="I187" s="36">
        <f t="shared" si="0"/>
        <v>3081</v>
      </c>
      <c r="J187" s="36">
        <f t="shared" si="1"/>
        <v>84.93</v>
      </c>
      <c r="K187" s="36">
        <f t="shared" ref="K187:K188" si="36">(D187+E187)*12%</f>
        <v>339.72</v>
      </c>
      <c r="L187" s="36">
        <v>0</v>
      </c>
      <c r="M187" s="36">
        <v>38.049999999999997</v>
      </c>
      <c r="N187" s="36">
        <f t="shared" si="34"/>
        <v>462.7</v>
      </c>
      <c r="O187" s="36">
        <f t="shared" si="24"/>
        <v>2618.3000000000002</v>
      </c>
      <c r="P187" s="74">
        <v>0</v>
      </c>
      <c r="Q187" s="79"/>
      <c r="R187" s="79"/>
      <c r="S187" s="79"/>
      <c r="T187" s="79"/>
      <c r="U187" s="79"/>
      <c r="V187" s="79"/>
      <c r="W187" s="79"/>
      <c r="X187" s="79"/>
    </row>
    <row r="188" spans="1:24" s="80" customFormat="1" ht="25.5" x14ac:dyDescent="0.2">
      <c r="A188" s="69">
        <v>178</v>
      </c>
      <c r="B188" s="82" t="s">
        <v>672</v>
      </c>
      <c r="C188" s="57" t="s">
        <v>673</v>
      </c>
      <c r="D188" s="72">
        <v>3081</v>
      </c>
      <c r="E188" s="72">
        <v>1000</v>
      </c>
      <c r="F188" s="72">
        <v>0</v>
      </c>
      <c r="G188" s="72">
        <v>250</v>
      </c>
      <c r="H188" s="73">
        <v>0</v>
      </c>
      <c r="I188" s="36">
        <f>SUM(D188:H188)</f>
        <v>4331</v>
      </c>
      <c r="J188" s="36">
        <f t="shared" si="1"/>
        <v>122.43</v>
      </c>
      <c r="K188" s="36">
        <f t="shared" si="36"/>
        <v>489.72</v>
      </c>
      <c r="L188" s="36">
        <v>0</v>
      </c>
      <c r="M188" s="36">
        <v>0</v>
      </c>
      <c r="N188" s="36">
        <f t="shared" si="34"/>
        <v>612.15</v>
      </c>
      <c r="O188" s="36">
        <f t="shared" si="24"/>
        <v>3718.85</v>
      </c>
      <c r="P188" s="74">
        <v>0</v>
      </c>
      <c r="Q188" s="79"/>
      <c r="R188" s="79"/>
      <c r="S188" s="79"/>
      <c r="T188" s="79"/>
      <c r="U188" s="79"/>
      <c r="V188" s="79"/>
      <c r="W188" s="79"/>
      <c r="X188" s="79"/>
    </row>
    <row r="189" spans="1:24" s="80" customFormat="1" ht="25.5" x14ac:dyDescent="0.2">
      <c r="A189" s="69">
        <v>179</v>
      </c>
      <c r="B189" s="118" t="s">
        <v>674</v>
      </c>
      <c r="C189" s="57" t="s">
        <v>447</v>
      </c>
      <c r="D189" s="77">
        <v>2425</v>
      </c>
      <c r="E189" s="70">
        <v>0</v>
      </c>
      <c r="F189" s="72">
        <v>0</v>
      </c>
      <c r="G189" s="73">
        <v>0</v>
      </c>
      <c r="H189" s="73">
        <v>0</v>
      </c>
      <c r="I189" s="36">
        <f t="shared" ref="I189:I261" si="37">SUM(D189:G189)</f>
        <v>2425</v>
      </c>
      <c r="J189" s="36">
        <f t="shared" si="1"/>
        <v>72.75</v>
      </c>
      <c r="K189" s="36">
        <f>D189*11%</f>
        <v>266.75</v>
      </c>
      <c r="L189" s="36">
        <v>0</v>
      </c>
      <c r="M189" s="36">
        <v>0</v>
      </c>
      <c r="N189" s="36">
        <f t="shared" si="34"/>
        <v>339.5</v>
      </c>
      <c r="O189" s="36">
        <f t="shared" si="24"/>
        <v>2085.5</v>
      </c>
      <c r="P189" s="74">
        <v>0</v>
      </c>
      <c r="Q189" s="79"/>
      <c r="R189" s="79"/>
      <c r="S189" s="79"/>
      <c r="T189" s="79"/>
      <c r="U189" s="79"/>
      <c r="V189" s="79"/>
      <c r="W189" s="79"/>
      <c r="X189" s="79"/>
    </row>
    <row r="190" spans="1:24" s="80" customFormat="1" ht="25.5" x14ac:dyDescent="0.2">
      <c r="A190" s="69">
        <v>180</v>
      </c>
      <c r="B190" s="57" t="s">
        <v>675</v>
      </c>
      <c r="C190" s="57" t="s">
        <v>449</v>
      </c>
      <c r="D190" s="77">
        <v>1940</v>
      </c>
      <c r="E190" s="70">
        <v>0</v>
      </c>
      <c r="F190" s="72">
        <v>0</v>
      </c>
      <c r="G190" s="73">
        <v>0</v>
      </c>
      <c r="H190" s="73">
        <v>0</v>
      </c>
      <c r="I190" s="36">
        <f t="shared" si="37"/>
        <v>1940</v>
      </c>
      <c r="J190" s="36">
        <f t="shared" si="1"/>
        <v>58.2</v>
      </c>
      <c r="K190" s="36">
        <f>D190*10%</f>
        <v>194</v>
      </c>
      <c r="L190" s="36">
        <v>0</v>
      </c>
      <c r="M190" s="36">
        <v>0</v>
      </c>
      <c r="N190" s="36">
        <f t="shared" si="34"/>
        <v>252.2</v>
      </c>
      <c r="O190" s="36">
        <f t="shared" si="24"/>
        <v>1687.8</v>
      </c>
      <c r="P190" s="74">
        <v>0</v>
      </c>
      <c r="Q190" s="79"/>
      <c r="R190" s="79"/>
      <c r="S190" s="79"/>
      <c r="T190" s="79"/>
      <c r="U190" s="79"/>
      <c r="V190" s="79"/>
      <c r="W190" s="79"/>
      <c r="X190" s="79"/>
    </row>
    <row r="191" spans="1:24" s="80" customFormat="1" ht="25.5" x14ac:dyDescent="0.2">
      <c r="A191" s="69">
        <v>181</v>
      </c>
      <c r="B191" s="33" t="s">
        <v>676</v>
      </c>
      <c r="C191" s="57" t="s">
        <v>509</v>
      </c>
      <c r="D191" s="70">
        <v>3081</v>
      </c>
      <c r="E191" s="71">
        <v>1000</v>
      </c>
      <c r="F191" s="72">
        <v>0</v>
      </c>
      <c r="G191" s="73">
        <v>250</v>
      </c>
      <c r="H191" s="73">
        <v>0</v>
      </c>
      <c r="I191" s="36">
        <f t="shared" si="37"/>
        <v>4331</v>
      </c>
      <c r="J191" s="36">
        <f t="shared" si="1"/>
        <v>122.43</v>
      </c>
      <c r="K191" s="36">
        <f>(D191+E191)*12%</f>
        <v>489.72</v>
      </c>
      <c r="L191" s="36">
        <v>0</v>
      </c>
      <c r="M191" s="36">
        <v>0</v>
      </c>
      <c r="N191" s="36">
        <f t="shared" si="34"/>
        <v>612.15</v>
      </c>
      <c r="O191" s="36">
        <f t="shared" si="24"/>
        <v>3718.85</v>
      </c>
      <c r="P191" s="74">
        <v>0</v>
      </c>
      <c r="Q191" s="79"/>
      <c r="R191" s="79"/>
      <c r="S191" s="79"/>
      <c r="T191" s="79"/>
      <c r="U191" s="79"/>
      <c r="V191" s="79"/>
      <c r="W191" s="79"/>
      <c r="X191" s="79"/>
    </row>
    <row r="192" spans="1:24" s="80" customFormat="1" ht="25.5" x14ac:dyDescent="0.2">
      <c r="A192" s="69">
        <v>182</v>
      </c>
      <c r="B192" s="33" t="s">
        <v>677</v>
      </c>
      <c r="C192" s="57" t="s">
        <v>509</v>
      </c>
      <c r="D192" s="97">
        <v>3081</v>
      </c>
      <c r="E192" s="98">
        <v>1000</v>
      </c>
      <c r="F192" s="72">
        <v>0</v>
      </c>
      <c r="G192" s="72">
        <v>250</v>
      </c>
      <c r="H192" s="73">
        <v>0</v>
      </c>
      <c r="I192" s="36">
        <f t="shared" si="37"/>
        <v>4331</v>
      </c>
      <c r="J192" s="36">
        <f t="shared" si="1"/>
        <v>122.43</v>
      </c>
      <c r="K192" s="36">
        <f>(D192+E192)*14%</f>
        <v>571.34</v>
      </c>
      <c r="L192" s="36">
        <v>0</v>
      </c>
      <c r="M192" s="36">
        <v>0</v>
      </c>
      <c r="N192" s="36">
        <f t="shared" si="34"/>
        <v>693.77</v>
      </c>
      <c r="O192" s="36">
        <f t="shared" si="24"/>
        <v>3637.23</v>
      </c>
      <c r="P192" s="74">
        <v>0</v>
      </c>
      <c r="Q192" s="79"/>
      <c r="R192" s="79"/>
      <c r="S192" s="79"/>
      <c r="T192" s="79"/>
      <c r="U192" s="79"/>
      <c r="V192" s="79"/>
      <c r="W192" s="79"/>
      <c r="X192" s="79"/>
    </row>
    <row r="193" spans="1:24" s="80" customFormat="1" ht="25.5" x14ac:dyDescent="0.2">
      <c r="A193" s="69">
        <v>183</v>
      </c>
      <c r="B193" s="57" t="s">
        <v>678</v>
      </c>
      <c r="C193" s="57" t="s">
        <v>447</v>
      </c>
      <c r="D193" s="77">
        <v>2425</v>
      </c>
      <c r="E193" s="70">
        <v>0</v>
      </c>
      <c r="F193" s="72">
        <v>0</v>
      </c>
      <c r="G193" s="73">
        <v>0</v>
      </c>
      <c r="H193" s="73">
        <v>0</v>
      </c>
      <c r="I193" s="36">
        <f t="shared" si="37"/>
        <v>2425</v>
      </c>
      <c r="J193" s="36">
        <f t="shared" si="1"/>
        <v>72.75</v>
      </c>
      <c r="K193" s="36">
        <f>D193*11%</f>
        <v>266.75</v>
      </c>
      <c r="L193" s="36">
        <v>0</v>
      </c>
      <c r="M193" s="36">
        <v>0</v>
      </c>
      <c r="N193" s="36">
        <f t="shared" si="34"/>
        <v>339.5</v>
      </c>
      <c r="O193" s="36">
        <f t="shared" si="24"/>
        <v>2085.5</v>
      </c>
      <c r="P193" s="74">
        <v>0</v>
      </c>
      <c r="Q193" s="79"/>
      <c r="R193" s="79"/>
      <c r="S193" s="79"/>
      <c r="T193" s="79"/>
      <c r="U193" s="79"/>
      <c r="V193" s="79"/>
      <c r="W193" s="79"/>
      <c r="X193" s="79"/>
    </row>
    <row r="194" spans="1:24" s="80" customFormat="1" ht="25.5" x14ac:dyDescent="0.2">
      <c r="A194" s="69">
        <v>184</v>
      </c>
      <c r="B194" s="57" t="s">
        <v>679</v>
      </c>
      <c r="C194" s="57" t="s">
        <v>449</v>
      </c>
      <c r="D194" s="77">
        <v>1940</v>
      </c>
      <c r="E194" s="70">
        <v>0</v>
      </c>
      <c r="F194" s="72">
        <v>0</v>
      </c>
      <c r="G194" s="73">
        <v>0</v>
      </c>
      <c r="H194" s="73">
        <v>0</v>
      </c>
      <c r="I194" s="36">
        <f t="shared" si="37"/>
        <v>1940</v>
      </c>
      <c r="J194" s="36">
        <f t="shared" si="1"/>
        <v>58.2</v>
      </c>
      <c r="K194" s="36">
        <f>D194*10%</f>
        <v>194</v>
      </c>
      <c r="L194" s="36">
        <v>0</v>
      </c>
      <c r="M194" s="36">
        <v>0</v>
      </c>
      <c r="N194" s="36">
        <f t="shared" si="34"/>
        <v>252.2</v>
      </c>
      <c r="O194" s="36">
        <f t="shared" si="24"/>
        <v>1687.8</v>
      </c>
      <c r="P194" s="74">
        <v>0</v>
      </c>
      <c r="Q194" s="79"/>
      <c r="R194" s="79"/>
      <c r="S194" s="79"/>
      <c r="T194" s="79"/>
      <c r="U194" s="79"/>
      <c r="V194" s="79"/>
      <c r="W194" s="79"/>
      <c r="X194" s="79"/>
    </row>
    <row r="195" spans="1:24" s="80" customFormat="1" ht="25.5" x14ac:dyDescent="0.2">
      <c r="A195" s="69">
        <v>185</v>
      </c>
      <c r="B195" s="83" t="s">
        <v>680</v>
      </c>
      <c r="C195" s="57" t="s">
        <v>596</v>
      </c>
      <c r="D195" s="91">
        <v>3241</v>
      </c>
      <c r="E195" s="70">
        <v>1000</v>
      </c>
      <c r="F195" s="72">
        <v>0</v>
      </c>
      <c r="G195" s="73">
        <v>250</v>
      </c>
      <c r="H195" s="73">
        <v>0</v>
      </c>
      <c r="I195" s="36">
        <f t="shared" si="37"/>
        <v>4491</v>
      </c>
      <c r="J195" s="36">
        <f t="shared" si="1"/>
        <v>127.23</v>
      </c>
      <c r="K195" s="36">
        <f>(D195+E195)*12%</f>
        <v>508.92</v>
      </c>
      <c r="L195" s="36">
        <v>0</v>
      </c>
      <c r="M195" s="36">
        <v>0</v>
      </c>
      <c r="N195" s="36">
        <f t="shared" si="34"/>
        <v>636.15</v>
      </c>
      <c r="O195" s="36">
        <f t="shared" si="24"/>
        <v>3854.85</v>
      </c>
      <c r="P195" s="74">
        <f>630</f>
        <v>630</v>
      </c>
      <c r="Q195" s="79"/>
      <c r="R195" s="79"/>
      <c r="S195" s="79"/>
      <c r="T195" s="79"/>
      <c r="U195" s="79"/>
      <c r="V195" s="79"/>
      <c r="W195" s="79"/>
      <c r="X195" s="79"/>
    </row>
    <row r="196" spans="1:24" s="80" customFormat="1" ht="25.5" x14ac:dyDescent="0.2">
      <c r="A196" s="69">
        <v>186</v>
      </c>
      <c r="B196" s="82" t="s">
        <v>681</v>
      </c>
      <c r="C196" s="85" t="s">
        <v>520</v>
      </c>
      <c r="D196" s="72">
        <v>2920</v>
      </c>
      <c r="E196" s="72">
        <v>1000</v>
      </c>
      <c r="F196" s="72">
        <v>0</v>
      </c>
      <c r="G196" s="72">
        <v>250</v>
      </c>
      <c r="H196" s="73">
        <v>0</v>
      </c>
      <c r="I196" s="36">
        <f t="shared" si="37"/>
        <v>4170</v>
      </c>
      <c r="J196" s="36">
        <f t="shared" si="1"/>
        <v>117.6</v>
      </c>
      <c r="K196" s="36">
        <f t="shared" ref="K196:K197" si="38">(D196+E196)*11%</f>
        <v>431.2</v>
      </c>
      <c r="L196" s="36">
        <v>0</v>
      </c>
      <c r="M196" s="36">
        <v>52.68</v>
      </c>
      <c r="N196" s="36">
        <f t="shared" si="34"/>
        <v>601.48</v>
      </c>
      <c r="O196" s="36">
        <f t="shared" si="24"/>
        <v>3568.52</v>
      </c>
      <c r="P196" s="74">
        <v>0</v>
      </c>
      <c r="Q196" s="79"/>
      <c r="R196" s="79"/>
      <c r="S196" s="79"/>
      <c r="T196" s="79"/>
      <c r="U196" s="79"/>
      <c r="V196" s="79"/>
      <c r="W196" s="79"/>
      <c r="X196" s="79"/>
    </row>
    <row r="197" spans="1:24" s="80" customFormat="1" x14ac:dyDescent="0.2">
      <c r="A197" s="69">
        <v>187</v>
      </c>
      <c r="B197" s="34" t="s">
        <v>682</v>
      </c>
      <c r="C197" s="57" t="s">
        <v>465</v>
      </c>
      <c r="D197" s="72">
        <v>1902</v>
      </c>
      <c r="E197" s="72">
        <v>1000</v>
      </c>
      <c r="F197" s="72">
        <v>0</v>
      </c>
      <c r="G197" s="72">
        <v>250</v>
      </c>
      <c r="H197" s="73">
        <v>0</v>
      </c>
      <c r="I197" s="36">
        <f t="shared" si="37"/>
        <v>3152</v>
      </c>
      <c r="J197" s="36">
        <f t="shared" si="1"/>
        <v>87.06</v>
      </c>
      <c r="K197" s="36">
        <f t="shared" si="38"/>
        <v>319.22000000000003</v>
      </c>
      <c r="L197" s="36">
        <v>0</v>
      </c>
      <c r="M197" s="36">
        <v>39</v>
      </c>
      <c r="N197" s="36">
        <f t="shared" si="34"/>
        <v>445.28</v>
      </c>
      <c r="O197" s="36">
        <f t="shared" si="24"/>
        <v>2706.72</v>
      </c>
      <c r="P197" s="74">
        <v>0</v>
      </c>
      <c r="Q197" s="79"/>
      <c r="R197" s="79"/>
      <c r="S197" s="79"/>
      <c r="T197" s="79"/>
      <c r="U197" s="79"/>
      <c r="V197" s="79"/>
      <c r="W197" s="79"/>
      <c r="X197" s="79"/>
    </row>
    <row r="198" spans="1:24" s="80" customFormat="1" ht="25.5" x14ac:dyDescent="0.2">
      <c r="A198" s="69">
        <v>188</v>
      </c>
      <c r="B198" s="57" t="s">
        <v>683</v>
      </c>
      <c r="C198" s="57" t="s">
        <v>447</v>
      </c>
      <c r="D198" s="70">
        <v>2425</v>
      </c>
      <c r="E198" s="70">
        <f>2000</f>
        <v>2000</v>
      </c>
      <c r="F198" s="72">
        <v>0</v>
      </c>
      <c r="G198" s="73">
        <v>0</v>
      </c>
      <c r="H198" s="73">
        <v>0</v>
      </c>
      <c r="I198" s="36">
        <f t="shared" si="37"/>
        <v>4425</v>
      </c>
      <c r="J198" s="36">
        <f t="shared" si="1"/>
        <v>132.75</v>
      </c>
      <c r="K198" s="36">
        <f t="shared" ref="K198:K199" si="39">D198*11%</f>
        <v>266.75</v>
      </c>
      <c r="L198" s="36">
        <v>0</v>
      </c>
      <c r="M198" s="36">
        <v>0</v>
      </c>
      <c r="N198" s="36">
        <f t="shared" si="34"/>
        <v>399.5</v>
      </c>
      <c r="O198" s="36">
        <f t="shared" si="24"/>
        <v>4025.5</v>
      </c>
      <c r="P198" s="74">
        <v>0</v>
      </c>
      <c r="Q198" s="79"/>
      <c r="R198" s="79"/>
      <c r="S198" s="79"/>
      <c r="T198" s="79"/>
      <c r="U198" s="79"/>
      <c r="V198" s="79"/>
      <c r="W198" s="79"/>
      <c r="X198" s="79"/>
    </row>
    <row r="199" spans="1:24" s="80" customFormat="1" x14ac:dyDescent="0.2">
      <c r="A199" s="69">
        <v>189</v>
      </c>
      <c r="B199" s="119" t="s">
        <v>684</v>
      </c>
      <c r="C199" s="96" t="s">
        <v>685</v>
      </c>
      <c r="D199" s="125">
        <v>1981</v>
      </c>
      <c r="E199" s="70">
        <v>1000</v>
      </c>
      <c r="F199" s="72">
        <v>0</v>
      </c>
      <c r="G199" s="73">
        <v>250</v>
      </c>
      <c r="H199" s="73">
        <v>0</v>
      </c>
      <c r="I199" s="36">
        <f t="shared" si="37"/>
        <v>3231</v>
      </c>
      <c r="J199" s="36">
        <f t="shared" si="1"/>
        <v>89.43</v>
      </c>
      <c r="K199" s="36">
        <f t="shared" si="39"/>
        <v>217.91</v>
      </c>
      <c r="L199" s="36">
        <v>0</v>
      </c>
      <c r="M199" s="36">
        <v>0</v>
      </c>
      <c r="N199" s="36">
        <f t="shared" si="34"/>
        <v>307.33999999999997</v>
      </c>
      <c r="O199" s="36">
        <f t="shared" si="24"/>
        <v>2923.66</v>
      </c>
      <c r="P199" s="74">
        <v>0</v>
      </c>
      <c r="Q199" s="79"/>
      <c r="R199" s="79"/>
      <c r="S199" s="79"/>
      <c r="T199" s="79"/>
      <c r="U199" s="79"/>
      <c r="V199" s="79"/>
      <c r="W199" s="79"/>
      <c r="X199" s="79"/>
    </row>
    <row r="200" spans="1:24" s="80" customFormat="1" ht="25.5" x14ac:dyDescent="0.2">
      <c r="A200" s="69">
        <v>190</v>
      </c>
      <c r="B200" s="57" t="s">
        <v>686</v>
      </c>
      <c r="C200" s="104" t="s">
        <v>687</v>
      </c>
      <c r="D200" s="105">
        <v>1649</v>
      </c>
      <c r="E200" s="70">
        <v>0</v>
      </c>
      <c r="F200" s="72">
        <v>0</v>
      </c>
      <c r="G200" s="73">
        <v>0</v>
      </c>
      <c r="H200" s="73">
        <v>0</v>
      </c>
      <c r="I200" s="36">
        <f t="shared" si="37"/>
        <v>1649</v>
      </c>
      <c r="J200" s="36">
        <f t="shared" si="1"/>
        <v>49.47</v>
      </c>
      <c r="K200" s="36">
        <f t="shared" ref="K200:K201" si="40">D200*10%</f>
        <v>164.9</v>
      </c>
      <c r="L200" s="36">
        <v>0</v>
      </c>
      <c r="M200" s="36">
        <v>22.16</v>
      </c>
      <c r="N200" s="36">
        <f t="shared" si="34"/>
        <v>236.53</v>
      </c>
      <c r="O200" s="36">
        <f t="shared" si="24"/>
        <v>1412.47</v>
      </c>
      <c r="P200" s="74">
        <v>0</v>
      </c>
      <c r="Q200" s="79"/>
      <c r="R200" s="79"/>
      <c r="S200" s="79"/>
      <c r="T200" s="79"/>
      <c r="U200" s="79"/>
      <c r="V200" s="79"/>
      <c r="W200" s="79"/>
      <c r="X200" s="79"/>
    </row>
    <row r="201" spans="1:24" s="80" customFormat="1" x14ac:dyDescent="0.2">
      <c r="A201" s="69">
        <v>191</v>
      </c>
      <c r="B201" s="24" t="s">
        <v>688</v>
      </c>
      <c r="C201" s="24" t="s">
        <v>689</v>
      </c>
      <c r="D201" s="105">
        <v>5787</v>
      </c>
      <c r="E201" s="70">
        <v>1800</v>
      </c>
      <c r="F201" s="72"/>
      <c r="G201" s="73">
        <v>250</v>
      </c>
      <c r="H201" s="73"/>
      <c r="I201" s="36">
        <f t="shared" si="37"/>
        <v>7837</v>
      </c>
      <c r="J201" s="36">
        <f t="shared" si="1"/>
        <v>227.61</v>
      </c>
      <c r="K201" s="36">
        <f t="shared" si="40"/>
        <v>578.70000000000005</v>
      </c>
      <c r="L201" s="36">
        <v>131.99</v>
      </c>
      <c r="M201" s="36">
        <v>101.97</v>
      </c>
      <c r="N201" s="36">
        <f t="shared" si="34"/>
        <v>1040.27</v>
      </c>
      <c r="O201" s="36">
        <f t="shared" si="24"/>
        <v>6796.73</v>
      </c>
      <c r="P201" s="74">
        <v>0</v>
      </c>
      <c r="Q201" s="79"/>
      <c r="R201" s="79"/>
      <c r="S201" s="79"/>
      <c r="T201" s="79"/>
      <c r="U201" s="79"/>
      <c r="V201" s="79"/>
      <c r="W201" s="79"/>
      <c r="X201" s="79"/>
    </row>
    <row r="202" spans="1:24" s="80" customFormat="1" ht="25.5" x14ac:dyDescent="0.2">
      <c r="A202" s="69">
        <v>192</v>
      </c>
      <c r="B202" s="126" t="s">
        <v>690</v>
      </c>
      <c r="C202" s="57" t="s">
        <v>509</v>
      </c>
      <c r="D202" s="36">
        <v>3081</v>
      </c>
      <c r="E202" s="36">
        <v>1000</v>
      </c>
      <c r="F202" s="72">
        <v>0</v>
      </c>
      <c r="G202" s="73">
        <v>250</v>
      </c>
      <c r="H202" s="73">
        <v>0</v>
      </c>
      <c r="I202" s="36">
        <f t="shared" si="37"/>
        <v>4331</v>
      </c>
      <c r="J202" s="36">
        <f t="shared" si="1"/>
        <v>122.43</v>
      </c>
      <c r="K202" s="36">
        <f>(D202+E202)*12%</f>
        <v>489.72</v>
      </c>
      <c r="L202" s="36">
        <v>0</v>
      </c>
      <c r="M202" s="36">
        <v>52.68</v>
      </c>
      <c r="N202" s="36">
        <f t="shared" si="34"/>
        <v>664.83</v>
      </c>
      <c r="O202" s="36">
        <f t="shared" si="24"/>
        <v>3666.17</v>
      </c>
      <c r="P202" s="74">
        <v>0</v>
      </c>
      <c r="Q202" s="79"/>
      <c r="R202" s="79"/>
      <c r="S202" s="79"/>
      <c r="T202" s="79"/>
      <c r="U202" s="79"/>
      <c r="V202" s="79"/>
      <c r="W202" s="79"/>
      <c r="X202" s="79"/>
    </row>
    <row r="203" spans="1:24" s="80" customFormat="1" ht="25.5" x14ac:dyDescent="0.2">
      <c r="A203" s="69">
        <v>193</v>
      </c>
      <c r="B203" s="84" t="s">
        <v>691</v>
      </c>
      <c r="C203" s="85" t="s">
        <v>484</v>
      </c>
      <c r="D203" s="36">
        <v>2375</v>
      </c>
      <c r="E203" s="127">
        <v>1000</v>
      </c>
      <c r="F203" s="72">
        <v>0</v>
      </c>
      <c r="G203" s="73">
        <v>250</v>
      </c>
      <c r="H203" s="73">
        <v>0</v>
      </c>
      <c r="I203" s="36">
        <f t="shared" si="37"/>
        <v>3625</v>
      </c>
      <c r="J203" s="36">
        <f t="shared" si="1"/>
        <v>101.25</v>
      </c>
      <c r="K203" s="36">
        <f t="shared" ref="K203:K205" si="41">(D203+E203)*11%</f>
        <v>371.25</v>
      </c>
      <c r="L203" s="36">
        <v>0</v>
      </c>
      <c r="M203" s="36">
        <v>45.36</v>
      </c>
      <c r="N203" s="36">
        <f t="shared" si="34"/>
        <v>517.86</v>
      </c>
      <c r="O203" s="36">
        <f t="shared" si="24"/>
        <v>3107.14</v>
      </c>
      <c r="P203" s="74">
        <v>0</v>
      </c>
      <c r="Q203" s="79"/>
      <c r="R203" s="79"/>
      <c r="S203" s="79"/>
      <c r="T203" s="79"/>
      <c r="U203" s="79"/>
      <c r="V203" s="79"/>
      <c r="W203" s="79"/>
      <c r="X203" s="79"/>
    </row>
    <row r="204" spans="1:24" s="80" customFormat="1" ht="25.5" x14ac:dyDescent="0.2">
      <c r="A204" s="69">
        <v>194</v>
      </c>
      <c r="B204" s="34" t="s">
        <v>692</v>
      </c>
      <c r="C204" s="57" t="s">
        <v>458</v>
      </c>
      <c r="D204" s="36">
        <v>2375</v>
      </c>
      <c r="E204" s="36">
        <v>1000</v>
      </c>
      <c r="F204" s="72">
        <v>0</v>
      </c>
      <c r="G204" s="73">
        <v>250</v>
      </c>
      <c r="H204" s="73">
        <v>0</v>
      </c>
      <c r="I204" s="36">
        <f t="shared" si="37"/>
        <v>3625</v>
      </c>
      <c r="J204" s="36">
        <f t="shared" si="1"/>
        <v>101.25</v>
      </c>
      <c r="K204" s="36">
        <f t="shared" si="41"/>
        <v>371.25</v>
      </c>
      <c r="L204" s="36">
        <v>0</v>
      </c>
      <c r="M204" s="36">
        <v>0</v>
      </c>
      <c r="N204" s="36">
        <f t="shared" si="34"/>
        <v>472.5</v>
      </c>
      <c r="O204" s="36">
        <f t="shared" si="24"/>
        <v>3152.5</v>
      </c>
      <c r="P204" s="74">
        <v>0</v>
      </c>
      <c r="Q204" s="79"/>
      <c r="R204" s="79"/>
      <c r="S204" s="79"/>
      <c r="T204" s="79"/>
      <c r="U204" s="79"/>
      <c r="V204" s="79"/>
      <c r="W204" s="79"/>
      <c r="X204" s="79"/>
    </row>
    <row r="205" spans="1:24" s="80" customFormat="1" x14ac:dyDescent="0.2">
      <c r="A205" s="69">
        <v>195</v>
      </c>
      <c r="B205" s="57" t="s">
        <v>693</v>
      </c>
      <c r="C205" s="57" t="s">
        <v>490</v>
      </c>
      <c r="D205" s="70">
        <v>1668</v>
      </c>
      <c r="E205" s="70">
        <v>1000</v>
      </c>
      <c r="F205" s="72">
        <v>0</v>
      </c>
      <c r="G205" s="73">
        <v>250</v>
      </c>
      <c r="H205" s="73">
        <v>0</v>
      </c>
      <c r="I205" s="36">
        <f t="shared" si="37"/>
        <v>2918</v>
      </c>
      <c r="J205" s="36">
        <f t="shared" si="1"/>
        <v>80.040000000000006</v>
      </c>
      <c r="K205" s="36">
        <f t="shared" si="41"/>
        <v>293.48</v>
      </c>
      <c r="L205" s="36">
        <v>0</v>
      </c>
      <c r="M205" s="36">
        <v>0</v>
      </c>
      <c r="N205" s="36">
        <f t="shared" si="34"/>
        <v>373.52</v>
      </c>
      <c r="O205" s="36">
        <f t="shared" si="24"/>
        <v>2544.48</v>
      </c>
      <c r="P205" s="74">
        <v>0</v>
      </c>
      <c r="Q205" s="79"/>
      <c r="R205" s="79"/>
      <c r="S205" s="79"/>
      <c r="T205" s="79"/>
      <c r="U205" s="79"/>
      <c r="V205" s="79"/>
      <c r="W205" s="79"/>
      <c r="X205" s="79"/>
    </row>
    <row r="206" spans="1:24" ht="25.5" x14ac:dyDescent="0.2">
      <c r="A206" s="69">
        <v>196</v>
      </c>
      <c r="B206" s="57" t="s">
        <v>694</v>
      </c>
      <c r="C206" s="83" t="s">
        <v>695</v>
      </c>
      <c r="D206" s="72">
        <v>3404</v>
      </c>
      <c r="E206" s="72">
        <v>1000</v>
      </c>
      <c r="F206" s="72">
        <v>0</v>
      </c>
      <c r="G206" s="72">
        <v>250</v>
      </c>
      <c r="H206" s="73">
        <v>0</v>
      </c>
      <c r="I206" s="36">
        <f t="shared" si="37"/>
        <v>4654</v>
      </c>
      <c r="J206" s="36">
        <f t="shared" si="1"/>
        <v>132.12</v>
      </c>
      <c r="K206" s="72">
        <f>(D206+E206)*12%</f>
        <v>528.48</v>
      </c>
      <c r="L206" s="72">
        <v>0</v>
      </c>
      <c r="M206" s="72">
        <v>59.19</v>
      </c>
      <c r="N206" s="72">
        <f>SUM(J206:M206)</f>
        <v>719.79</v>
      </c>
      <c r="O206" s="72">
        <f t="shared" si="24"/>
        <v>3934.21</v>
      </c>
      <c r="P206" s="74">
        <f>643.5+540</f>
        <v>1183.5</v>
      </c>
      <c r="Q206" s="76"/>
      <c r="R206" s="76"/>
      <c r="S206" s="76"/>
      <c r="T206" s="76"/>
      <c r="U206" s="76"/>
      <c r="V206" s="76"/>
      <c r="W206" s="76"/>
      <c r="X206" s="76"/>
    </row>
    <row r="207" spans="1:24" ht="25.5" x14ac:dyDescent="0.2">
      <c r="A207" s="69">
        <v>197</v>
      </c>
      <c r="B207" s="57" t="s">
        <v>696</v>
      </c>
      <c r="C207" s="57" t="s">
        <v>449</v>
      </c>
      <c r="D207" s="77">
        <v>1940</v>
      </c>
      <c r="E207" s="70">
        <v>0</v>
      </c>
      <c r="F207" s="72">
        <v>0</v>
      </c>
      <c r="G207" s="73">
        <v>0</v>
      </c>
      <c r="H207" s="73">
        <v>0</v>
      </c>
      <c r="I207" s="36">
        <f t="shared" si="37"/>
        <v>1940</v>
      </c>
      <c r="J207" s="36">
        <f t="shared" si="1"/>
        <v>58.2</v>
      </c>
      <c r="K207" s="36">
        <f>D207*10%</f>
        <v>194</v>
      </c>
      <c r="L207" s="36">
        <v>0</v>
      </c>
      <c r="M207" s="36">
        <v>0</v>
      </c>
      <c r="N207" s="36">
        <f t="shared" ref="N207:N223" si="42">J207+K207+L207+M207</f>
        <v>252.2</v>
      </c>
      <c r="O207" s="36">
        <f t="shared" si="24"/>
        <v>1687.8</v>
      </c>
      <c r="P207" s="74">
        <v>0</v>
      </c>
      <c r="Q207" s="76"/>
      <c r="R207" s="76"/>
      <c r="S207" s="76"/>
      <c r="T207" s="76"/>
      <c r="U207" s="76"/>
      <c r="V207" s="76"/>
      <c r="W207" s="76"/>
      <c r="X207" s="76"/>
    </row>
    <row r="208" spans="1:24" ht="25.5" x14ac:dyDescent="0.2">
      <c r="A208" s="69">
        <v>198</v>
      </c>
      <c r="B208" s="83" t="s">
        <v>697</v>
      </c>
      <c r="C208" s="83" t="s">
        <v>513</v>
      </c>
      <c r="D208" s="70">
        <v>5095</v>
      </c>
      <c r="E208" s="71">
        <v>1800</v>
      </c>
      <c r="F208" s="72">
        <v>0</v>
      </c>
      <c r="G208" s="73">
        <v>250</v>
      </c>
      <c r="H208" s="73">
        <v>0</v>
      </c>
      <c r="I208" s="36">
        <f t="shared" si="37"/>
        <v>7145</v>
      </c>
      <c r="J208" s="36">
        <f t="shared" si="1"/>
        <v>206.85</v>
      </c>
      <c r="K208" s="36">
        <f>(D208+E208)*13%</f>
        <v>896.35</v>
      </c>
      <c r="L208" s="36">
        <v>102.92</v>
      </c>
      <c r="M208" s="36">
        <v>92.67</v>
      </c>
      <c r="N208" s="36">
        <f t="shared" si="42"/>
        <v>1298.79</v>
      </c>
      <c r="O208" s="36">
        <f t="shared" si="24"/>
        <v>5846.21</v>
      </c>
      <c r="P208" s="74">
        <v>0</v>
      </c>
      <c r="Q208" s="76"/>
      <c r="R208" s="76"/>
      <c r="S208" s="76"/>
      <c r="T208" s="76"/>
      <c r="U208" s="76"/>
      <c r="V208" s="76"/>
      <c r="W208" s="76"/>
      <c r="X208" s="76"/>
    </row>
    <row r="209" spans="1:24" ht="25.5" x14ac:dyDescent="0.2">
      <c r="A209" s="69">
        <v>199</v>
      </c>
      <c r="B209" s="128" t="s">
        <v>698</v>
      </c>
      <c r="C209" s="85" t="s">
        <v>552</v>
      </c>
      <c r="D209" s="72">
        <v>2076</v>
      </c>
      <c r="E209" s="72">
        <v>1000</v>
      </c>
      <c r="F209" s="72">
        <v>0</v>
      </c>
      <c r="G209" s="72">
        <v>250</v>
      </c>
      <c r="H209" s="73">
        <v>0</v>
      </c>
      <c r="I209" s="36">
        <f t="shared" si="37"/>
        <v>3326</v>
      </c>
      <c r="J209" s="36">
        <f t="shared" si="1"/>
        <v>92.28</v>
      </c>
      <c r="K209" s="36">
        <f>(D209+E209)*11%</f>
        <v>338.36</v>
      </c>
      <c r="L209" s="36">
        <v>0</v>
      </c>
      <c r="M209" s="36">
        <v>0</v>
      </c>
      <c r="N209" s="36">
        <f t="shared" si="42"/>
        <v>430.64</v>
      </c>
      <c r="O209" s="36">
        <f t="shared" si="24"/>
        <v>2895.36</v>
      </c>
      <c r="P209" s="74">
        <v>0</v>
      </c>
      <c r="Q209" s="76"/>
      <c r="R209" s="76"/>
      <c r="S209" s="76"/>
      <c r="T209" s="76"/>
      <c r="U209" s="76"/>
      <c r="V209" s="76"/>
      <c r="W209" s="76"/>
      <c r="X209" s="76"/>
    </row>
    <row r="210" spans="1:24" ht="25.5" x14ac:dyDescent="0.2">
      <c r="A210" s="69">
        <v>200</v>
      </c>
      <c r="B210" s="57" t="s">
        <v>699</v>
      </c>
      <c r="C210" s="57" t="s">
        <v>447</v>
      </c>
      <c r="D210" s="70">
        <v>2425</v>
      </c>
      <c r="E210" s="70">
        <v>0</v>
      </c>
      <c r="F210" s="72">
        <v>0</v>
      </c>
      <c r="G210" s="73">
        <v>0</v>
      </c>
      <c r="H210" s="73">
        <v>0</v>
      </c>
      <c r="I210" s="36">
        <f t="shared" si="37"/>
        <v>2425</v>
      </c>
      <c r="J210" s="36">
        <f t="shared" si="1"/>
        <v>72.75</v>
      </c>
      <c r="K210" s="36">
        <f>D210*11%</f>
        <v>266.75</v>
      </c>
      <c r="L210" s="36">
        <v>0</v>
      </c>
      <c r="M210" s="36">
        <v>0</v>
      </c>
      <c r="N210" s="36">
        <f t="shared" si="42"/>
        <v>339.5</v>
      </c>
      <c r="O210" s="36">
        <f t="shared" si="24"/>
        <v>2085.5</v>
      </c>
      <c r="P210" s="74">
        <v>0</v>
      </c>
      <c r="Q210" s="76"/>
      <c r="R210" s="76"/>
      <c r="S210" s="76"/>
      <c r="T210" s="76"/>
      <c r="U210" s="76"/>
      <c r="V210" s="76"/>
      <c r="W210" s="76"/>
      <c r="X210" s="76"/>
    </row>
    <row r="211" spans="1:24" ht="25.5" x14ac:dyDescent="0.2">
      <c r="A211" s="69">
        <v>201</v>
      </c>
      <c r="B211" s="57" t="s">
        <v>700</v>
      </c>
      <c r="C211" s="57" t="s">
        <v>449</v>
      </c>
      <c r="D211" s="77">
        <v>1940</v>
      </c>
      <c r="E211" s="70">
        <f>2000</f>
        <v>2000</v>
      </c>
      <c r="F211" s="73">
        <v>0</v>
      </c>
      <c r="G211" s="73">
        <v>0</v>
      </c>
      <c r="H211" s="73">
        <v>0</v>
      </c>
      <c r="I211" s="36">
        <f t="shared" si="37"/>
        <v>3940</v>
      </c>
      <c r="J211" s="36">
        <f t="shared" si="1"/>
        <v>118.2</v>
      </c>
      <c r="K211" s="36">
        <f>D211*10%</f>
        <v>194</v>
      </c>
      <c r="L211" s="36">
        <v>0</v>
      </c>
      <c r="M211" s="36">
        <v>0</v>
      </c>
      <c r="N211" s="36">
        <f t="shared" si="42"/>
        <v>312.2</v>
      </c>
      <c r="O211" s="36">
        <f t="shared" si="24"/>
        <v>3627.8</v>
      </c>
      <c r="P211" s="74">
        <v>0</v>
      </c>
      <c r="Q211" s="76"/>
      <c r="R211" s="76"/>
      <c r="S211" s="76"/>
      <c r="T211" s="76"/>
      <c r="U211" s="76"/>
      <c r="V211" s="76"/>
      <c r="W211" s="76"/>
      <c r="X211" s="76"/>
    </row>
    <row r="212" spans="1:24" x14ac:dyDescent="0.2">
      <c r="A212" s="69">
        <v>202</v>
      </c>
      <c r="B212" s="57" t="s">
        <v>701</v>
      </c>
      <c r="C212" s="57" t="s">
        <v>465</v>
      </c>
      <c r="D212" s="70">
        <v>1902</v>
      </c>
      <c r="E212" s="70">
        <v>1000</v>
      </c>
      <c r="F212" s="72">
        <v>0</v>
      </c>
      <c r="G212" s="73">
        <v>250</v>
      </c>
      <c r="H212" s="73">
        <v>0</v>
      </c>
      <c r="I212" s="36">
        <f t="shared" si="37"/>
        <v>3152</v>
      </c>
      <c r="J212" s="36">
        <f t="shared" si="1"/>
        <v>87.06</v>
      </c>
      <c r="K212" s="36">
        <f t="shared" ref="K212:K213" si="43">(D212+E212)*11%</f>
        <v>319.22000000000003</v>
      </c>
      <c r="L212" s="36">
        <v>0</v>
      </c>
      <c r="M212" s="36">
        <v>0</v>
      </c>
      <c r="N212" s="36">
        <f t="shared" si="42"/>
        <v>406.28</v>
      </c>
      <c r="O212" s="36">
        <f t="shared" si="24"/>
        <v>2745.72</v>
      </c>
      <c r="P212" s="74">
        <v>0</v>
      </c>
      <c r="Q212" s="76"/>
      <c r="R212" s="76"/>
      <c r="S212" s="76"/>
      <c r="T212" s="76"/>
      <c r="U212" s="76"/>
      <c r="V212" s="76"/>
      <c r="W212" s="76"/>
      <c r="X212" s="76"/>
    </row>
    <row r="213" spans="1:24" ht="25.5" x14ac:dyDescent="0.2">
      <c r="A213" s="69">
        <v>203</v>
      </c>
      <c r="B213" s="120" t="s">
        <v>702</v>
      </c>
      <c r="C213" s="85" t="s">
        <v>474</v>
      </c>
      <c r="D213" s="72">
        <v>2760</v>
      </c>
      <c r="E213" s="72">
        <v>1000</v>
      </c>
      <c r="F213" s="72">
        <v>0</v>
      </c>
      <c r="G213" s="72">
        <v>250</v>
      </c>
      <c r="H213" s="73">
        <v>0</v>
      </c>
      <c r="I213" s="36">
        <f t="shared" si="37"/>
        <v>4010</v>
      </c>
      <c r="J213" s="36">
        <f t="shared" si="1"/>
        <v>112.8</v>
      </c>
      <c r="K213" s="36">
        <f t="shared" si="43"/>
        <v>413.6</v>
      </c>
      <c r="L213" s="36">
        <v>0</v>
      </c>
      <c r="M213" s="36">
        <v>0</v>
      </c>
      <c r="N213" s="36">
        <f t="shared" si="42"/>
        <v>526.4</v>
      </c>
      <c r="O213" s="36">
        <f t="shared" si="24"/>
        <v>3483.6</v>
      </c>
      <c r="P213" s="74">
        <v>0</v>
      </c>
      <c r="Q213" s="76"/>
      <c r="R213" s="76"/>
      <c r="S213" s="76"/>
      <c r="T213" s="76"/>
      <c r="U213" s="76"/>
      <c r="V213" s="76"/>
      <c r="W213" s="76"/>
      <c r="X213" s="76"/>
    </row>
    <row r="214" spans="1:24" ht="25.5" x14ac:dyDescent="0.2">
      <c r="A214" s="69">
        <v>204</v>
      </c>
      <c r="B214" s="83" t="s">
        <v>703</v>
      </c>
      <c r="C214" s="129" t="s">
        <v>704</v>
      </c>
      <c r="D214" s="70">
        <v>1358</v>
      </c>
      <c r="E214" s="70">
        <v>0</v>
      </c>
      <c r="F214" s="72">
        <v>0</v>
      </c>
      <c r="G214" s="73">
        <v>0</v>
      </c>
      <c r="H214" s="73">
        <v>0</v>
      </c>
      <c r="I214" s="36">
        <f t="shared" si="37"/>
        <v>1358</v>
      </c>
      <c r="J214" s="36">
        <f t="shared" si="1"/>
        <v>40.74</v>
      </c>
      <c r="K214" s="36">
        <f t="shared" ref="K214:K215" si="44">D214*10%</f>
        <v>135.80000000000001</v>
      </c>
      <c r="L214" s="36">
        <v>0</v>
      </c>
      <c r="M214" s="36">
        <v>0</v>
      </c>
      <c r="N214" s="36">
        <f t="shared" si="42"/>
        <v>176.54</v>
      </c>
      <c r="O214" s="36">
        <f t="shared" si="24"/>
        <v>1181.46</v>
      </c>
      <c r="P214" s="74">
        <v>0</v>
      </c>
      <c r="Q214" s="76"/>
      <c r="R214" s="76"/>
      <c r="S214" s="76"/>
      <c r="T214" s="76"/>
      <c r="U214" s="76"/>
      <c r="V214" s="76"/>
      <c r="W214" s="76"/>
      <c r="X214" s="76"/>
    </row>
    <row r="215" spans="1:24" ht="25.5" x14ac:dyDescent="0.2">
      <c r="A215" s="69">
        <v>205</v>
      </c>
      <c r="B215" s="57" t="s">
        <v>705</v>
      </c>
      <c r="C215" s="57" t="s">
        <v>449</v>
      </c>
      <c r="D215" s="77">
        <v>1940</v>
      </c>
      <c r="E215" s="70">
        <v>0</v>
      </c>
      <c r="F215" s="72">
        <v>0</v>
      </c>
      <c r="G215" s="73">
        <v>0</v>
      </c>
      <c r="H215" s="73">
        <v>0</v>
      </c>
      <c r="I215" s="36">
        <f t="shared" si="37"/>
        <v>1940</v>
      </c>
      <c r="J215" s="36">
        <f t="shared" si="1"/>
        <v>58.2</v>
      </c>
      <c r="K215" s="36">
        <f t="shared" si="44"/>
        <v>194</v>
      </c>
      <c r="L215" s="36">
        <v>0</v>
      </c>
      <c r="M215" s="36">
        <v>0</v>
      </c>
      <c r="N215" s="36">
        <f t="shared" si="42"/>
        <v>252.2</v>
      </c>
      <c r="O215" s="36">
        <f t="shared" si="24"/>
        <v>1687.8</v>
      </c>
      <c r="P215" s="74">
        <v>0</v>
      </c>
      <c r="Q215" s="76"/>
      <c r="R215" s="76"/>
      <c r="S215" s="76"/>
      <c r="T215" s="76"/>
      <c r="U215" s="76"/>
      <c r="V215" s="76"/>
      <c r="W215" s="76"/>
      <c r="X215" s="76"/>
    </row>
    <row r="216" spans="1:24" ht="25.5" x14ac:dyDescent="0.2">
      <c r="A216" s="69">
        <v>206</v>
      </c>
      <c r="B216" s="82" t="s">
        <v>706</v>
      </c>
      <c r="C216" s="57" t="s">
        <v>525</v>
      </c>
      <c r="D216" s="72">
        <v>2920</v>
      </c>
      <c r="E216" s="72">
        <v>1000</v>
      </c>
      <c r="F216" s="72">
        <v>0</v>
      </c>
      <c r="G216" s="72">
        <v>250</v>
      </c>
      <c r="H216" s="73">
        <v>0</v>
      </c>
      <c r="I216" s="36">
        <f t="shared" si="37"/>
        <v>4170</v>
      </c>
      <c r="J216" s="36">
        <f t="shared" si="1"/>
        <v>117.6</v>
      </c>
      <c r="K216" s="36">
        <f t="shared" ref="K216:K217" si="45">(D216+E216)*11%</f>
        <v>431.2</v>
      </c>
      <c r="L216" s="36">
        <v>0</v>
      </c>
      <c r="M216" s="36">
        <v>52.68</v>
      </c>
      <c r="N216" s="36">
        <f t="shared" si="42"/>
        <v>601.48</v>
      </c>
      <c r="O216" s="36">
        <f t="shared" si="24"/>
        <v>3568.52</v>
      </c>
      <c r="P216" s="74">
        <v>0</v>
      </c>
      <c r="Q216" s="76"/>
      <c r="R216" s="76"/>
      <c r="S216" s="76"/>
      <c r="T216" s="130"/>
      <c r="U216" s="76"/>
      <c r="V216" s="76"/>
      <c r="W216" s="76"/>
      <c r="X216" s="76"/>
    </row>
    <row r="217" spans="1:24" ht="25.5" x14ac:dyDescent="0.2">
      <c r="A217" s="69">
        <v>207</v>
      </c>
      <c r="B217" s="57" t="s">
        <v>707</v>
      </c>
      <c r="C217" s="57" t="s">
        <v>458</v>
      </c>
      <c r="D217" s="70">
        <v>2375</v>
      </c>
      <c r="E217" s="70">
        <v>1000</v>
      </c>
      <c r="F217" s="72">
        <v>0</v>
      </c>
      <c r="G217" s="73">
        <v>250</v>
      </c>
      <c r="H217" s="73">
        <v>0</v>
      </c>
      <c r="I217" s="36">
        <f t="shared" si="37"/>
        <v>3625</v>
      </c>
      <c r="J217" s="36">
        <f t="shared" si="1"/>
        <v>101.25</v>
      </c>
      <c r="K217" s="36">
        <f t="shared" si="45"/>
        <v>371.25</v>
      </c>
      <c r="L217" s="36">
        <v>0</v>
      </c>
      <c r="M217" s="36">
        <v>0</v>
      </c>
      <c r="N217" s="36">
        <f t="shared" si="42"/>
        <v>472.5</v>
      </c>
      <c r="O217" s="36">
        <f t="shared" si="24"/>
        <v>3152.5</v>
      </c>
      <c r="P217" s="74">
        <v>0</v>
      </c>
      <c r="Q217" s="76"/>
      <c r="R217" s="76"/>
      <c r="S217" s="76"/>
      <c r="T217" s="76"/>
      <c r="U217" s="76"/>
      <c r="V217" s="76"/>
      <c r="W217" s="76"/>
      <c r="X217" s="76"/>
    </row>
    <row r="218" spans="1:24" ht="25.5" x14ac:dyDescent="0.2">
      <c r="A218" s="69">
        <v>208</v>
      </c>
      <c r="B218" s="33" t="s">
        <v>708</v>
      </c>
      <c r="C218" s="34" t="s">
        <v>504</v>
      </c>
      <c r="D218" s="97">
        <v>1902</v>
      </c>
      <c r="E218" s="98">
        <v>1000</v>
      </c>
      <c r="F218" s="72">
        <v>0</v>
      </c>
      <c r="G218" s="73">
        <v>250</v>
      </c>
      <c r="H218" s="73">
        <v>0</v>
      </c>
      <c r="I218" s="36">
        <f t="shared" si="37"/>
        <v>3152</v>
      </c>
      <c r="J218" s="36">
        <f t="shared" si="1"/>
        <v>87.06</v>
      </c>
      <c r="K218" s="36">
        <f>(D218+E218+F218)*11%</f>
        <v>319.22000000000003</v>
      </c>
      <c r="L218" s="36">
        <v>0</v>
      </c>
      <c r="M218" s="36">
        <v>0</v>
      </c>
      <c r="N218" s="36">
        <f t="shared" si="42"/>
        <v>406.28</v>
      </c>
      <c r="O218" s="36">
        <f t="shared" si="24"/>
        <v>2745.72</v>
      </c>
      <c r="P218" s="74">
        <v>0</v>
      </c>
      <c r="Q218" s="76"/>
      <c r="R218" s="76"/>
      <c r="S218" s="76"/>
      <c r="T218" s="76"/>
      <c r="U218" s="76"/>
      <c r="V218" s="76"/>
      <c r="W218" s="76"/>
      <c r="X218" s="76"/>
    </row>
    <row r="219" spans="1:24" ht="25.5" x14ac:dyDescent="0.2">
      <c r="A219" s="69">
        <v>209</v>
      </c>
      <c r="B219" s="57" t="s">
        <v>709</v>
      </c>
      <c r="C219" s="57" t="s">
        <v>449</v>
      </c>
      <c r="D219" s="77">
        <v>1940</v>
      </c>
      <c r="E219" s="70">
        <v>0</v>
      </c>
      <c r="F219" s="72">
        <v>0</v>
      </c>
      <c r="G219" s="73">
        <v>0</v>
      </c>
      <c r="H219" s="73">
        <v>0</v>
      </c>
      <c r="I219" s="36">
        <f t="shared" si="37"/>
        <v>1940</v>
      </c>
      <c r="J219" s="36">
        <f t="shared" si="1"/>
        <v>58.2</v>
      </c>
      <c r="K219" s="36">
        <f>D219*10%</f>
        <v>194</v>
      </c>
      <c r="L219" s="36">
        <v>0</v>
      </c>
      <c r="M219" s="36">
        <v>0</v>
      </c>
      <c r="N219" s="36">
        <f t="shared" si="42"/>
        <v>252.2</v>
      </c>
      <c r="O219" s="36">
        <f t="shared" si="24"/>
        <v>1687.8</v>
      </c>
      <c r="P219" s="74">
        <v>0</v>
      </c>
      <c r="Q219" s="76"/>
      <c r="R219" s="76"/>
      <c r="S219" s="76"/>
      <c r="T219" s="76"/>
      <c r="U219" s="76"/>
      <c r="V219" s="76"/>
      <c r="W219" s="76"/>
      <c r="X219" s="76"/>
    </row>
    <row r="220" spans="1:24" ht="25.5" x14ac:dyDescent="0.2">
      <c r="A220" s="69">
        <v>210</v>
      </c>
      <c r="B220" s="57" t="s">
        <v>710</v>
      </c>
      <c r="C220" s="57" t="s">
        <v>509</v>
      </c>
      <c r="D220" s="70">
        <v>3081</v>
      </c>
      <c r="E220" s="70">
        <v>1000</v>
      </c>
      <c r="F220" s="72">
        <v>0</v>
      </c>
      <c r="G220" s="73">
        <v>250</v>
      </c>
      <c r="H220" s="73">
        <v>0</v>
      </c>
      <c r="I220" s="36">
        <f t="shared" si="37"/>
        <v>4331</v>
      </c>
      <c r="J220" s="36">
        <f t="shared" si="1"/>
        <v>122.43</v>
      </c>
      <c r="K220" s="36">
        <f>(D220+E220)*12%</f>
        <v>489.72</v>
      </c>
      <c r="L220" s="36">
        <v>0</v>
      </c>
      <c r="M220" s="36">
        <v>0</v>
      </c>
      <c r="N220" s="36">
        <f t="shared" si="42"/>
        <v>612.15</v>
      </c>
      <c r="O220" s="36">
        <f t="shared" si="24"/>
        <v>3718.85</v>
      </c>
      <c r="P220" s="74">
        <v>0</v>
      </c>
      <c r="Q220" s="76"/>
      <c r="R220" s="76"/>
      <c r="S220" s="76"/>
      <c r="T220" s="76"/>
      <c r="U220" s="76"/>
      <c r="V220" s="76"/>
      <c r="W220" s="76"/>
      <c r="X220" s="76"/>
    </row>
    <row r="221" spans="1:24" ht="25.5" x14ac:dyDescent="0.2">
      <c r="A221" s="69">
        <v>211</v>
      </c>
      <c r="B221" s="57" t="s">
        <v>711</v>
      </c>
      <c r="C221" s="85" t="s">
        <v>712</v>
      </c>
      <c r="D221" s="70">
        <v>1981</v>
      </c>
      <c r="E221" s="70">
        <v>1000</v>
      </c>
      <c r="F221" s="72">
        <v>0</v>
      </c>
      <c r="G221" s="73">
        <v>250</v>
      </c>
      <c r="H221" s="73">
        <v>0</v>
      </c>
      <c r="I221" s="36">
        <f t="shared" si="37"/>
        <v>3231</v>
      </c>
      <c r="J221" s="36">
        <f t="shared" si="1"/>
        <v>89.43</v>
      </c>
      <c r="K221" s="36">
        <f t="shared" ref="K221:K222" si="46">(D221+E221)*11%</f>
        <v>327.91</v>
      </c>
      <c r="L221" s="36">
        <v>0</v>
      </c>
      <c r="M221" s="36">
        <v>40.06</v>
      </c>
      <c r="N221" s="36">
        <f t="shared" si="42"/>
        <v>457.4</v>
      </c>
      <c r="O221" s="36">
        <f t="shared" si="24"/>
        <v>2773.6</v>
      </c>
      <c r="P221" s="74">
        <v>0</v>
      </c>
      <c r="Q221" s="76"/>
      <c r="R221" s="76"/>
      <c r="S221" s="76"/>
      <c r="T221" s="76"/>
      <c r="U221" s="76"/>
      <c r="V221" s="76"/>
      <c r="W221" s="76"/>
      <c r="X221" s="76"/>
    </row>
    <row r="222" spans="1:24" ht="25.5" x14ac:dyDescent="0.2">
      <c r="A222" s="69">
        <v>212</v>
      </c>
      <c r="B222" s="106" t="s">
        <v>713</v>
      </c>
      <c r="C222" s="85" t="s">
        <v>552</v>
      </c>
      <c r="D222" s="72">
        <v>2076</v>
      </c>
      <c r="E222" s="72">
        <v>1000</v>
      </c>
      <c r="F222" s="72">
        <v>0</v>
      </c>
      <c r="G222" s="72">
        <v>250</v>
      </c>
      <c r="H222" s="73">
        <v>0</v>
      </c>
      <c r="I222" s="36">
        <f t="shared" si="37"/>
        <v>3326</v>
      </c>
      <c r="J222" s="36">
        <f t="shared" si="1"/>
        <v>92.28</v>
      </c>
      <c r="K222" s="36">
        <f t="shared" si="46"/>
        <v>338.36</v>
      </c>
      <c r="L222" s="36">
        <v>0</v>
      </c>
      <c r="M222" s="36">
        <v>55.56</v>
      </c>
      <c r="N222" s="36">
        <f t="shared" si="42"/>
        <v>486.2</v>
      </c>
      <c r="O222" s="36">
        <f t="shared" si="24"/>
        <v>2839.8</v>
      </c>
      <c r="P222" s="74">
        <v>0</v>
      </c>
      <c r="Q222" s="76"/>
      <c r="R222" s="76"/>
      <c r="S222" s="76"/>
      <c r="T222" s="76"/>
      <c r="U222" s="76"/>
      <c r="V222" s="76"/>
      <c r="W222" s="76"/>
      <c r="X222" s="76"/>
    </row>
    <row r="223" spans="1:24" ht="25.5" x14ac:dyDescent="0.2">
      <c r="A223" s="69">
        <v>213</v>
      </c>
      <c r="B223" s="57" t="s">
        <v>714</v>
      </c>
      <c r="C223" s="57" t="s">
        <v>449</v>
      </c>
      <c r="D223" s="77">
        <v>1940</v>
      </c>
      <c r="E223" s="70">
        <v>0</v>
      </c>
      <c r="F223" s="72">
        <v>0</v>
      </c>
      <c r="G223" s="73">
        <v>0</v>
      </c>
      <c r="H223" s="73">
        <v>0</v>
      </c>
      <c r="I223" s="36">
        <f t="shared" si="37"/>
        <v>1940</v>
      </c>
      <c r="J223" s="36">
        <f t="shared" si="1"/>
        <v>58.2</v>
      </c>
      <c r="K223" s="36">
        <f>D223*10%</f>
        <v>194</v>
      </c>
      <c r="L223" s="36">
        <v>0</v>
      </c>
      <c r="M223" s="36">
        <v>0</v>
      </c>
      <c r="N223" s="36">
        <f t="shared" si="42"/>
        <v>252.2</v>
      </c>
      <c r="O223" s="36">
        <f t="shared" si="24"/>
        <v>1687.8</v>
      </c>
      <c r="P223" s="74">
        <v>0</v>
      </c>
      <c r="Q223" s="76"/>
      <c r="R223" s="76"/>
      <c r="S223" s="76"/>
      <c r="T223" s="76"/>
      <c r="U223" s="76"/>
      <c r="V223" s="76"/>
      <c r="W223" s="76"/>
      <c r="X223" s="76"/>
    </row>
    <row r="224" spans="1:24" ht="25.5" x14ac:dyDescent="0.2">
      <c r="A224" s="69">
        <v>214</v>
      </c>
      <c r="B224" s="119" t="s">
        <v>715</v>
      </c>
      <c r="C224" s="57" t="s">
        <v>509</v>
      </c>
      <c r="D224" s="72">
        <v>3081</v>
      </c>
      <c r="E224" s="72">
        <v>1000</v>
      </c>
      <c r="F224" s="72">
        <v>0</v>
      </c>
      <c r="G224" s="72">
        <v>250</v>
      </c>
      <c r="H224" s="73">
        <v>0</v>
      </c>
      <c r="I224" s="36">
        <f t="shared" si="37"/>
        <v>4331</v>
      </c>
      <c r="J224" s="36">
        <f t="shared" si="1"/>
        <v>122.43</v>
      </c>
      <c r="K224" s="72">
        <f>(D224+E224)*12%</f>
        <v>489.72</v>
      </c>
      <c r="L224" s="72">
        <v>0</v>
      </c>
      <c r="M224" s="72">
        <v>0</v>
      </c>
      <c r="N224" s="72">
        <f>SUM(J224:M224)</f>
        <v>612.15</v>
      </c>
      <c r="O224" s="72">
        <f t="shared" si="24"/>
        <v>3718.85</v>
      </c>
      <c r="P224" s="74">
        <v>0</v>
      </c>
      <c r="Q224" s="76"/>
      <c r="R224" s="76"/>
      <c r="S224" s="76"/>
      <c r="T224" s="76"/>
      <c r="U224" s="76"/>
      <c r="V224" s="76"/>
      <c r="W224" s="76"/>
      <c r="X224" s="76"/>
    </row>
    <row r="225" spans="1:24" ht="25.5" x14ac:dyDescent="0.2">
      <c r="A225" s="69">
        <v>215</v>
      </c>
      <c r="B225" s="111" t="s">
        <v>716</v>
      </c>
      <c r="C225" s="57" t="s">
        <v>520</v>
      </c>
      <c r="D225" s="77">
        <v>2910</v>
      </c>
      <c r="E225" s="70">
        <v>1000</v>
      </c>
      <c r="F225" s="72">
        <v>0</v>
      </c>
      <c r="G225" s="73">
        <v>250</v>
      </c>
      <c r="H225" s="73">
        <v>0</v>
      </c>
      <c r="I225" s="36">
        <f t="shared" si="37"/>
        <v>4160</v>
      </c>
      <c r="J225" s="36">
        <f t="shared" si="1"/>
        <v>117.3</v>
      </c>
      <c r="K225" s="36">
        <f>(D225+E225+F225)*11%</f>
        <v>430.1</v>
      </c>
      <c r="L225" s="36">
        <v>0</v>
      </c>
      <c r="M225" s="36">
        <v>52.68</v>
      </c>
      <c r="N225" s="36">
        <f t="shared" ref="N225:N255" si="47">J225+K225+L225+M225</f>
        <v>600.08000000000004</v>
      </c>
      <c r="O225" s="36">
        <f t="shared" si="24"/>
        <v>3559.92</v>
      </c>
      <c r="P225" s="74">
        <v>0</v>
      </c>
      <c r="Q225" s="76"/>
      <c r="R225" s="76"/>
      <c r="S225" s="76"/>
      <c r="T225" s="76"/>
      <c r="U225" s="76"/>
      <c r="V225" s="76"/>
      <c r="W225" s="76"/>
      <c r="X225" s="76"/>
    </row>
    <row r="226" spans="1:24" ht="25.5" x14ac:dyDescent="0.2">
      <c r="A226" s="69">
        <v>216</v>
      </c>
      <c r="B226" s="33" t="s">
        <v>717</v>
      </c>
      <c r="C226" s="57" t="s">
        <v>718</v>
      </c>
      <c r="D226" s="77">
        <v>2920</v>
      </c>
      <c r="E226" s="70">
        <v>1000</v>
      </c>
      <c r="F226" s="72">
        <v>0</v>
      </c>
      <c r="G226" s="73">
        <v>250</v>
      </c>
      <c r="H226" s="73">
        <v>0</v>
      </c>
      <c r="I226" s="36">
        <f t="shared" si="37"/>
        <v>4170</v>
      </c>
      <c r="J226" s="36">
        <f t="shared" si="1"/>
        <v>117.6</v>
      </c>
      <c r="K226" s="36">
        <f>D226*12%</f>
        <v>350.4</v>
      </c>
      <c r="L226" s="36">
        <v>0</v>
      </c>
      <c r="M226" s="36">
        <v>0</v>
      </c>
      <c r="N226" s="36">
        <f t="shared" si="47"/>
        <v>468</v>
      </c>
      <c r="O226" s="36">
        <f t="shared" si="24"/>
        <v>3702</v>
      </c>
      <c r="P226" s="74">
        <v>0</v>
      </c>
      <c r="Q226" s="76"/>
      <c r="R226" s="76"/>
      <c r="S226" s="76"/>
      <c r="T226" s="76"/>
      <c r="U226" s="76"/>
      <c r="V226" s="76"/>
      <c r="W226" s="76"/>
      <c r="X226" s="76"/>
    </row>
    <row r="227" spans="1:24" ht="25.5" x14ac:dyDescent="0.2">
      <c r="A227" s="69">
        <v>217</v>
      </c>
      <c r="B227" s="82" t="s">
        <v>719</v>
      </c>
      <c r="C227" s="85" t="s">
        <v>720</v>
      </c>
      <c r="D227" s="72">
        <v>5787</v>
      </c>
      <c r="E227" s="72">
        <v>1800</v>
      </c>
      <c r="F227" s="72">
        <v>0</v>
      </c>
      <c r="G227" s="72">
        <v>250</v>
      </c>
      <c r="H227" s="73">
        <v>0</v>
      </c>
      <c r="I227" s="36">
        <f t="shared" si="37"/>
        <v>7837</v>
      </c>
      <c r="J227" s="36">
        <f t="shared" si="1"/>
        <v>227.61</v>
      </c>
      <c r="K227" s="36">
        <f>(D227+E227)*13%</f>
        <v>986.31</v>
      </c>
      <c r="L227" s="36">
        <v>131.99</v>
      </c>
      <c r="M227" s="36">
        <v>101.97</v>
      </c>
      <c r="N227" s="36">
        <f t="shared" si="47"/>
        <v>1447.88</v>
      </c>
      <c r="O227" s="36">
        <f t="shared" si="24"/>
        <v>6389.12</v>
      </c>
      <c r="P227" s="74">
        <v>0</v>
      </c>
      <c r="Q227" s="76"/>
      <c r="R227" s="76"/>
      <c r="S227" s="76"/>
      <c r="T227" s="76"/>
      <c r="U227" s="76"/>
      <c r="V227" s="76"/>
      <c r="W227" s="76"/>
      <c r="X227" s="76"/>
    </row>
    <row r="228" spans="1:24" ht="25.5" x14ac:dyDescent="0.2">
      <c r="A228" s="69">
        <v>218</v>
      </c>
      <c r="B228" s="57" t="s">
        <v>721</v>
      </c>
      <c r="C228" s="57" t="s">
        <v>509</v>
      </c>
      <c r="D228" s="36">
        <v>3081</v>
      </c>
      <c r="E228" s="70">
        <v>1000</v>
      </c>
      <c r="F228" s="72">
        <v>0</v>
      </c>
      <c r="G228" s="73">
        <v>250</v>
      </c>
      <c r="H228" s="73">
        <v>0</v>
      </c>
      <c r="I228" s="36">
        <f t="shared" si="37"/>
        <v>4331</v>
      </c>
      <c r="J228" s="36">
        <f t="shared" si="1"/>
        <v>122.43</v>
      </c>
      <c r="K228" s="36">
        <f>(D228+E228)*12%</f>
        <v>489.72</v>
      </c>
      <c r="L228" s="36">
        <v>131.99</v>
      </c>
      <c r="M228" s="36">
        <v>101.97</v>
      </c>
      <c r="N228" s="36">
        <f t="shared" si="47"/>
        <v>846.11</v>
      </c>
      <c r="O228" s="36">
        <f t="shared" si="24"/>
        <v>3484.89</v>
      </c>
      <c r="P228" s="74">
        <v>0</v>
      </c>
      <c r="Q228" s="76"/>
      <c r="R228" s="76"/>
      <c r="S228" s="76"/>
      <c r="T228" s="76"/>
      <c r="U228" s="76"/>
      <c r="V228" s="76"/>
      <c r="W228" s="76"/>
      <c r="X228" s="76"/>
    </row>
    <row r="229" spans="1:24" ht="25.5" x14ac:dyDescent="0.2">
      <c r="A229" s="69">
        <v>219</v>
      </c>
      <c r="B229" s="33" t="s">
        <v>722</v>
      </c>
      <c r="C229" s="57" t="s">
        <v>449</v>
      </c>
      <c r="D229" s="70">
        <v>2910</v>
      </c>
      <c r="E229" s="70">
        <v>0</v>
      </c>
      <c r="F229" s="72">
        <v>0</v>
      </c>
      <c r="G229" s="73">
        <v>0</v>
      </c>
      <c r="H229" s="73">
        <v>0</v>
      </c>
      <c r="I229" s="36">
        <f t="shared" si="37"/>
        <v>2910</v>
      </c>
      <c r="J229" s="36">
        <f t="shared" si="1"/>
        <v>87.3</v>
      </c>
      <c r="K229" s="36">
        <f>D229*10%</f>
        <v>291</v>
      </c>
      <c r="L229" s="36">
        <v>0</v>
      </c>
      <c r="M229" s="36">
        <v>0</v>
      </c>
      <c r="N229" s="36">
        <f t="shared" si="47"/>
        <v>378.3</v>
      </c>
      <c r="O229" s="36">
        <f t="shared" si="24"/>
        <v>2531.6999999999998</v>
      </c>
      <c r="P229" s="74">
        <v>0</v>
      </c>
      <c r="Q229" s="76"/>
      <c r="R229" s="76"/>
      <c r="S229" s="76"/>
      <c r="T229" s="76"/>
      <c r="U229" s="76"/>
      <c r="V229" s="76"/>
      <c r="W229" s="76"/>
      <c r="X229" s="76"/>
    </row>
    <row r="230" spans="1:24" ht="25.5" x14ac:dyDescent="0.2">
      <c r="A230" s="69">
        <v>220</v>
      </c>
      <c r="B230" s="57" t="s">
        <v>723</v>
      </c>
      <c r="C230" s="57" t="s">
        <v>447</v>
      </c>
      <c r="D230" s="77">
        <v>2425</v>
      </c>
      <c r="E230" s="70">
        <v>0</v>
      </c>
      <c r="F230" s="72">
        <v>0</v>
      </c>
      <c r="G230" s="73">
        <v>0</v>
      </c>
      <c r="H230" s="73">
        <v>0</v>
      </c>
      <c r="I230" s="36">
        <f t="shared" si="37"/>
        <v>2425</v>
      </c>
      <c r="J230" s="36">
        <f t="shared" si="1"/>
        <v>72.75</v>
      </c>
      <c r="K230" s="36">
        <f>D230*11%</f>
        <v>266.75</v>
      </c>
      <c r="L230" s="36">
        <v>0</v>
      </c>
      <c r="M230" s="36">
        <v>0</v>
      </c>
      <c r="N230" s="36">
        <f t="shared" si="47"/>
        <v>339.5</v>
      </c>
      <c r="O230" s="36">
        <f t="shared" si="24"/>
        <v>2085.5</v>
      </c>
      <c r="P230" s="74">
        <v>0</v>
      </c>
      <c r="Q230" s="76"/>
      <c r="R230" s="76"/>
      <c r="S230" s="76"/>
      <c r="T230" s="76"/>
      <c r="U230" s="76"/>
      <c r="V230" s="76"/>
      <c r="W230" s="76"/>
      <c r="X230" s="76"/>
    </row>
    <row r="231" spans="1:24" x14ac:dyDescent="0.2">
      <c r="A231" s="69">
        <v>221</v>
      </c>
      <c r="B231" s="118" t="s">
        <v>724</v>
      </c>
      <c r="C231" s="57" t="s">
        <v>515</v>
      </c>
      <c r="D231" s="70">
        <v>1668</v>
      </c>
      <c r="E231" s="70">
        <v>1000</v>
      </c>
      <c r="F231" s="72">
        <v>0</v>
      </c>
      <c r="G231" s="73">
        <v>250</v>
      </c>
      <c r="H231" s="73">
        <v>0</v>
      </c>
      <c r="I231" s="36">
        <f t="shared" si="37"/>
        <v>2918</v>
      </c>
      <c r="J231" s="36">
        <f t="shared" si="1"/>
        <v>80.040000000000006</v>
      </c>
      <c r="K231" s="36">
        <f>(D231+E231)*11%</f>
        <v>293.48</v>
      </c>
      <c r="L231" s="36">
        <v>0</v>
      </c>
      <c r="M231" s="36">
        <v>0</v>
      </c>
      <c r="N231" s="36">
        <f t="shared" si="47"/>
        <v>373.52</v>
      </c>
      <c r="O231" s="36">
        <f t="shared" si="24"/>
        <v>2544.48</v>
      </c>
      <c r="P231" s="74">
        <v>0</v>
      </c>
      <c r="Q231" s="76"/>
      <c r="R231" s="76"/>
      <c r="S231" s="76"/>
      <c r="T231" s="76"/>
      <c r="U231" s="76"/>
      <c r="V231" s="76"/>
      <c r="W231" s="76"/>
      <c r="X231" s="76"/>
    </row>
    <row r="232" spans="1:24" ht="25.5" x14ac:dyDescent="0.2">
      <c r="A232" s="69">
        <v>222</v>
      </c>
      <c r="B232" s="118" t="s">
        <v>725</v>
      </c>
      <c r="C232" s="57" t="s">
        <v>449</v>
      </c>
      <c r="D232" s="70">
        <v>1940</v>
      </c>
      <c r="E232" s="70">
        <v>0</v>
      </c>
      <c r="F232" s="72">
        <v>0</v>
      </c>
      <c r="G232" s="73">
        <v>0</v>
      </c>
      <c r="H232" s="73">
        <v>0</v>
      </c>
      <c r="I232" s="36">
        <f t="shared" si="37"/>
        <v>1940</v>
      </c>
      <c r="J232" s="36">
        <f t="shared" si="1"/>
        <v>58.2</v>
      </c>
      <c r="K232" s="36">
        <f>D232*10%</f>
        <v>194</v>
      </c>
      <c r="L232" s="36">
        <v>0</v>
      </c>
      <c r="M232" s="36">
        <v>0</v>
      </c>
      <c r="N232" s="36">
        <f t="shared" si="47"/>
        <v>252.2</v>
      </c>
      <c r="O232" s="36">
        <f t="shared" si="24"/>
        <v>1687.8</v>
      </c>
      <c r="P232" s="74">
        <v>0</v>
      </c>
      <c r="Q232" s="76"/>
      <c r="R232" s="76"/>
      <c r="S232" s="76"/>
      <c r="T232" s="76"/>
      <c r="U232" s="76"/>
      <c r="V232" s="76"/>
      <c r="W232" s="76"/>
      <c r="X232" s="76"/>
    </row>
    <row r="233" spans="1:24" ht="25.5" x14ac:dyDescent="0.2">
      <c r="A233" s="69">
        <v>223</v>
      </c>
      <c r="B233" s="57" t="s">
        <v>726</v>
      </c>
      <c r="C233" s="85" t="s">
        <v>520</v>
      </c>
      <c r="D233" s="70">
        <v>2920</v>
      </c>
      <c r="E233" s="70">
        <v>1000</v>
      </c>
      <c r="F233" s="72">
        <v>0</v>
      </c>
      <c r="G233" s="73">
        <v>250</v>
      </c>
      <c r="H233" s="73">
        <v>0</v>
      </c>
      <c r="I233" s="36">
        <f t="shared" si="37"/>
        <v>4170</v>
      </c>
      <c r="J233" s="36">
        <f t="shared" si="1"/>
        <v>117.6</v>
      </c>
      <c r="K233" s="36">
        <f>(D233+E233)*12%</f>
        <v>470.4</v>
      </c>
      <c r="L233" s="36">
        <v>0</v>
      </c>
      <c r="M233" s="36">
        <v>52.68</v>
      </c>
      <c r="N233" s="36">
        <f t="shared" si="47"/>
        <v>640.67999999999995</v>
      </c>
      <c r="O233" s="36">
        <f t="shared" si="24"/>
        <v>3529.32</v>
      </c>
      <c r="P233" s="74">
        <v>0</v>
      </c>
      <c r="Q233" s="76"/>
      <c r="R233" s="76"/>
      <c r="S233" s="76"/>
      <c r="T233" s="76"/>
      <c r="U233" s="76"/>
      <c r="V233" s="76"/>
      <c r="W233" s="76"/>
      <c r="X233" s="76"/>
    </row>
    <row r="234" spans="1:24" ht="25.5" x14ac:dyDescent="0.2">
      <c r="A234" s="69">
        <v>224</v>
      </c>
      <c r="B234" s="34" t="s">
        <v>727</v>
      </c>
      <c r="C234" s="34" t="s">
        <v>728</v>
      </c>
      <c r="D234" s="71">
        <v>5787</v>
      </c>
      <c r="E234" s="71">
        <v>1800</v>
      </c>
      <c r="F234" s="72">
        <v>0</v>
      </c>
      <c r="G234" s="102">
        <v>250</v>
      </c>
      <c r="H234" s="73">
        <v>0</v>
      </c>
      <c r="I234" s="36">
        <f t="shared" si="37"/>
        <v>7837</v>
      </c>
      <c r="J234" s="36">
        <f t="shared" si="1"/>
        <v>227.61</v>
      </c>
      <c r="K234" s="103">
        <f t="shared" ref="K234:K235" si="48">(D234+E234)*13%</f>
        <v>986.31</v>
      </c>
      <c r="L234" s="103">
        <v>131.99</v>
      </c>
      <c r="M234" s="103">
        <v>101.97</v>
      </c>
      <c r="N234" s="36">
        <f t="shared" si="47"/>
        <v>1447.88</v>
      </c>
      <c r="O234" s="103">
        <f t="shared" si="24"/>
        <v>6389.12</v>
      </c>
      <c r="P234" s="74">
        <v>0</v>
      </c>
      <c r="Q234" s="76"/>
      <c r="R234" s="76"/>
      <c r="S234" s="76"/>
      <c r="T234" s="76"/>
      <c r="U234" s="76"/>
      <c r="V234" s="76"/>
      <c r="W234" s="76"/>
      <c r="X234" s="76"/>
    </row>
    <row r="235" spans="1:24" ht="25.5" x14ac:dyDescent="0.2">
      <c r="A235" s="69">
        <v>225</v>
      </c>
      <c r="B235" s="89" t="s">
        <v>729</v>
      </c>
      <c r="C235" s="57" t="s">
        <v>577</v>
      </c>
      <c r="D235" s="71">
        <v>5095</v>
      </c>
      <c r="E235" s="71">
        <v>1800</v>
      </c>
      <c r="F235" s="72">
        <v>0</v>
      </c>
      <c r="G235" s="102">
        <v>250</v>
      </c>
      <c r="H235" s="73">
        <v>0</v>
      </c>
      <c r="I235" s="36">
        <f t="shared" si="37"/>
        <v>7145</v>
      </c>
      <c r="J235" s="36">
        <f t="shared" si="1"/>
        <v>206.85</v>
      </c>
      <c r="K235" s="103">
        <f t="shared" si="48"/>
        <v>896.35</v>
      </c>
      <c r="L235" s="103">
        <v>102.92</v>
      </c>
      <c r="M235" s="103">
        <v>92.67</v>
      </c>
      <c r="N235" s="36">
        <f t="shared" si="47"/>
        <v>1298.79</v>
      </c>
      <c r="O235" s="103">
        <f t="shared" si="24"/>
        <v>5846.21</v>
      </c>
      <c r="P235" s="74">
        <v>0</v>
      </c>
      <c r="Q235" s="76"/>
      <c r="R235" s="76"/>
      <c r="S235" s="76"/>
      <c r="T235" s="76"/>
      <c r="U235" s="76"/>
      <c r="V235" s="76"/>
      <c r="W235" s="76"/>
      <c r="X235" s="76"/>
    </row>
    <row r="236" spans="1:24" ht="25.5" x14ac:dyDescent="0.2">
      <c r="A236" s="69">
        <v>226</v>
      </c>
      <c r="B236" s="57" t="s">
        <v>730</v>
      </c>
      <c r="C236" s="57" t="s">
        <v>447</v>
      </c>
      <c r="D236" s="105">
        <v>2425</v>
      </c>
      <c r="E236" s="70">
        <v>0</v>
      </c>
      <c r="F236" s="72">
        <v>0</v>
      </c>
      <c r="G236" s="73">
        <v>0</v>
      </c>
      <c r="H236" s="73">
        <v>0</v>
      </c>
      <c r="I236" s="36">
        <f t="shared" si="37"/>
        <v>2425</v>
      </c>
      <c r="J236" s="36">
        <f t="shared" si="1"/>
        <v>72.75</v>
      </c>
      <c r="K236" s="36">
        <f>D236*11%</f>
        <v>266.75</v>
      </c>
      <c r="L236" s="36">
        <v>0</v>
      </c>
      <c r="M236" s="36">
        <v>32.590000000000003</v>
      </c>
      <c r="N236" s="36">
        <f t="shared" si="47"/>
        <v>372.09</v>
      </c>
      <c r="O236" s="36">
        <f t="shared" si="24"/>
        <v>2052.91</v>
      </c>
      <c r="P236" s="74">
        <v>0</v>
      </c>
      <c r="Q236" s="76"/>
      <c r="R236" s="76"/>
      <c r="S236" s="76"/>
      <c r="T236" s="76"/>
      <c r="U236" s="76"/>
      <c r="V236" s="76"/>
      <c r="W236" s="76"/>
      <c r="X236" s="76"/>
    </row>
    <row r="237" spans="1:24" ht="25.5" x14ac:dyDescent="0.2">
      <c r="A237" s="69">
        <v>227</v>
      </c>
      <c r="B237" s="57" t="s">
        <v>731</v>
      </c>
      <c r="C237" s="57" t="s">
        <v>449</v>
      </c>
      <c r="D237" s="77">
        <v>1940</v>
      </c>
      <c r="E237" s="70">
        <v>0</v>
      </c>
      <c r="F237" s="72">
        <v>0</v>
      </c>
      <c r="G237" s="73">
        <v>0</v>
      </c>
      <c r="H237" s="73">
        <v>0</v>
      </c>
      <c r="I237" s="36">
        <f t="shared" si="37"/>
        <v>1940</v>
      </c>
      <c r="J237" s="36">
        <f t="shared" si="1"/>
        <v>58.2</v>
      </c>
      <c r="K237" s="36">
        <f>D237*10%</f>
        <v>194</v>
      </c>
      <c r="L237" s="36">
        <v>0</v>
      </c>
      <c r="M237" s="36">
        <v>0</v>
      </c>
      <c r="N237" s="36">
        <f t="shared" si="47"/>
        <v>252.2</v>
      </c>
      <c r="O237" s="36">
        <f t="shared" si="24"/>
        <v>1687.8</v>
      </c>
      <c r="P237" s="74">
        <v>0</v>
      </c>
      <c r="Q237" s="76"/>
      <c r="R237" s="76"/>
      <c r="S237" s="76"/>
      <c r="T237" s="76"/>
      <c r="U237" s="76"/>
      <c r="V237" s="76"/>
      <c r="W237" s="76"/>
      <c r="X237" s="76"/>
    </row>
    <row r="238" spans="1:24" ht="25.5" x14ac:dyDescent="0.2">
      <c r="A238" s="69">
        <v>228</v>
      </c>
      <c r="B238" s="57" t="s">
        <v>732</v>
      </c>
      <c r="C238" s="57" t="s">
        <v>447</v>
      </c>
      <c r="D238" s="77">
        <v>2425</v>
      </c>
      <c r="E238" s="70">
        <v>0</v>
      </c>
      <c r="F238" s="72">
        <v>0</v>
      </c>
      <c r="G238" s="73">
        <v>0</v>
      </c>
      <c r="H238" s="73">
        <v>0</v>
      </c>
      <c r="I238" s="36">
        <f t="shared" si="37"/>
        <v>2425</v>
      </c>
      <c r="J238" s="36">
        <f t="shared" si="1"/>
        <v>72.75</v>
      </c>
      <c r="K238" s="36">
        <f t="shared" ref="K238:K240" si="49">D238*11%</f>
        <v>266.75</v>
      </c>
      <c r="L238" s="36">
        <v>0</v>
      </c>
      <c r="M238" s="36">
        <v>0</v>
      </c>
      <c r="N238" s="36">
        <f t="shared" si="47"/>
        <v>339.5</v>
      </c>
      <c r="O238" s="36">
        <f t="shared" si="24"/>
        <v>2085.5</v>
      </c>
      <c r="P238" s="74">
        <v>0</v>
      </c>
      <c r="Q238" s="76"/>
      <c r="R238" s="76"/>
      <c r="S238" s="76"/>
      <c r="T238" s="76"/>
      <c r="U238" s="76"/>
      <c r="V238" s="76"/>
      <c r="W238" s="76"/>
      <c r="X238" s="76"/>
    </row>
    <row r="239" spans="1:24" ht="25.5" x14ac:dyDescent="0.2">
      <c r="A239" s="69">
        <v>229</v>
      </c>
      <c r="B239" s="57" t="s">
        <v>733</v>
      </c>
      <c r="C239" s="57" t="s">
        <v>447</v>
      </c>
      <c r="D239" s="77">
        <v>2425</v>
      </c>
      <c r="E239" s="70">
        <v>0</v>
      </c>
      <c r="F239" s="72">
        <v>0</v>
      </c>
      <c r="G239" s="73">
        <v>0</v>
      </c>
      <c r="H239" s="73">
        <v>0</v>
      </c>
      <c r="I239" s="36">
        <f t="shared" si="37"/>
        <v>2425</v>
      </c>
      <c r="J239" s="36">
        <f t="shared" si="1"/>
        <v>72.75</v>
      </c>
      <c r="K239" s="36">
        <f t="shared" si="49"/>
        <v>266.75</v>
      </c>
      <c r="L239" s="36">
        <v>0</v>
      </c>
      <c r="M239" s="36">
        <v>0</v>
      </c>
      <c r="N239" s="36">
        <f t="shared" si="47"/>
        <v>339.5</v>
      </c>
      <c r="O239" s="36">
        <f t="shared" si="24"/>
        <v>2085.5</v>
      </c>
      <c r="P239" s="74">
        <v>0</v>
      </c>
      <c r="Q239" s="76"/>
      <c r="R239" s="76"/>
      <c r="S239" s="76"/>
      <c r="T239" s="76"/>
      <c r="U239" s="76"/>
      <c r="V239" s="76"/>
      <c r="W239" s="76"/>
      <c r="X239" s="76"/>
    </row>
    <row r="240" spans="1:24" ht="25.5" x14ac:dyDescent="0.2">
      <c r="A240" s="69">
        <v>230</v>
      </c>
      <c r="B240" s="57" t="s">
        <v>734</v>
      </c>
      <c r="C240" s="57" t="s">
        <v>447</v>
      </c>
      <c r="D240" s="77">
        <v>2425</v>
      </c>
      <c r="E240" s="70">
        <v>0</v>
      </c>
      <c r="F240" s="72">
        <v>0</v>
      </c>
      <c r="G240" s="73">
        <v>0</v>
      </c>
      <c r="H240" s="73">
        <v>0</v>
      </c>
      <c r="I240" s="36">
        <f t="shared" si="37"/>
        <v>2425</v>
      </c>
      <c r="J240" s="36">
        <f t="shared" si="1"/>
        <v>72.75</v>
      </c>
      <c r="K240" s="36">
        <f t="shared" si="49"/>
        <v>266.75</v>
      </c>
      <c r="L240" s="36">
        <v>0</v>
      </c>
      <c r="M240" s="36">
        <v>0</v>
      </c>
      <c r="N240" s="36">
        <f t="shared" si="47"/>
        <v>339.5</v>
      </c>
      <c r="O240" s="36">
        <f t="shared" si="24"/>
        <v>2085.5</v>
      </c>
      <c r="P240" s="74">
        <v>0</v>
      </c>
    </row>
    <row r="241" spans="1:16" ht="25.5" x14ac:dyDescent="0.2">
      <c r="A241" s="69">
        <v>231</v>
      </c>
      <c r="B241" s="34" t="s">
        <v>735</v>
      </c>
      <c r="C241" s="57" t="s">
        <v>509</v>
      </c>
      <c r="D241" s="36">
        <v>3081</v>
      </c>
      <c r="E241" s="36">
        <v>1000</v>
      </c>
      <c r="F241" s="72">
        <v>0</v>
      </c>
      <c r="G241" s="73">
        <v>250</v>
      </c>
      <c r="H241" s="73">
        <v>0</v>
      </c>
      <c r="I241" s="36">
        <f t="shared" si="37"/>
        <v>4331</v>
      </c>
      <c r="J241" s="36">
        <f t="shared" si="1"/>
        <v>122.43</v>
      </c>
      <c r="K241" s="36">
        <f>(D241+E241)*12%</f>
        <v>489.72</v>
      </c>
      <c r="L241" s="36">
        <v>0</v>
      </c>
      <c r="M241" s="36">
        <v>0</v>
      </c>
      <c r="N241" s="36">
        <f t="shared" si="47"/>
        <v>612.15</v>
      </c>
      <c r="O241" s="36">
        <f t="shared" si="24"/>
        <v>3718.85</v>
      </c>
      <c r="P241" s="74">
        <v>0</v>
      </c>
    </row>
    <row r="242" spans="1:16" ht="25.5" x14ac:dyDescent="0.2">
      <c r="A242" s="69">
        <v>232</v>
      </c>
      <c r="B242" s="57" t="s">
        <v>736</v>
      </c>
      <c r="C242" s="85" t="s">
        <v>552</v>
      </c>
      <c r="D242" s="72">
        <v>2076</v>
      </c>
      <c r="E242" s="72">
        <v>1000</v>
      </c>
      <c r="F242" s="72">
        <v>0</v>
      </c>
      <c r="G242" s="72">
        <v>250</v>
      </c>
      <c r="H242" s="73">
        <v>0</v>
      </c>
      <c r="I242" s="36">
        <f t="shared" si="37"/>
        <v>3326</v>
      </c>
      <c r="J242" s="36">
        <f t="shared" si="1"/>
        <v>92.28</v>
      </c>
      <c r="K242" s="36">
        <f t="shared" ref="K242:K247" si="50">(D242+E242)*11%</f>
        <v>338.36</v>
      </c>
      <c r="L242" s="36">
        <v>0</v>
      </c>
      <c r="M242" s="36">
        <v>52.68</v>
      </c>
      <c r="N242" s="36">
        <f t="shared" si="47"/>
        <v>483.32</v>
      </c>
      <c r="O242" s="36">
        <f t="shared" si="24"/>
        <v>2842.68</v>
      </c>
      <c r="P242" s="74">
        <v>0</v>
      </c>
    </row>
    <row r="243" spans="1:16" ht="25.5" x14ac:dyDescent="0.2">
      <c r="A243" s="69">
        <v>233</v>
      </c>
      <c r="B243" s="106" t="s">
        <v>737</v>
      </c>
      <c r="C243" s="85" t="s">
        <v>738</v>
      </c>
      <c r="D243" s="72">
        <v>1981</v>
      </c>
      <c r="E243" s="72">
        <v>1000</v>
      </c>
      <c r="F243" s="72">
        <v>0</v>
      </c>
      <c r="G243" s="72">
        <v>250</v>
      </c>
      <c r="H243" s="73">
        <v>0</v>
      </c>
      <c r="I243" s="36">
        <f t="shared" si="37"/>
        <v>3231</v>
      </c>
      <c r="J243" s="36">
        <f t="shared" si="1"/>
        <v>89.43</v>
      </c>
      <c r="K243" s="36">
        <f t="shared" si="50"/>
        <v>327.91</v>
      </c>
      <c r="L243" s="36">
        <v>0</v>
      </c>
      <c r="M243" s="36">
        <v>0</v>
      </c>
      <c r="N243" s="36">
        <f t="shared" si="47"/>
        <v>417.34</v>
      </c>
      <c r="O243" s="36">
        <f t="shared" si="24"/>
        <v>2813.66</v>
      </c>
      <c r="P243" s="74">
        <v>0</v>
      </c>
    </row>
    <row r="244" spans="1:16" ht="25.5" x14ac:dyDescent="0.2">
      <c r="A244" s="69">
        <v>234</v>
      </c>
      <c r="B244" s="57" t="s">
        <v>739</v>
      </c>
      <c r="C244" s="34" t="s">
        <v>504</v>
      </c>
      <c r="D244" s="36">
        <v>1902</v>
      </c>
      <c r="E244" s="36">
        <v>1000</v>
      </c>
      <c r="F244" s="72">
        <v>0</v>
      </c>
      <c r="G244" s="73">
        <v>250</v>
      </c>
      <c r="H244" s="73">
        <v>0</v>
      </c>
      <c r="I244" s="36">
        <f t="shared" si="37"/>
        <v>3152</v>
      </c>
      <c r="J244" s="36">
        <f t="shared" si="1"/>
        <v>87.06</v>
      </c>
      <c r="K244" s="36">
        <f t="shared" si="50"/>
        <v>319.22000000000003</v>
      </c>
      <c r="L244" s="36">
        <v>0</v>
      </c>
      <c r="M244" s="36">
        <v>0</v>
      </c>
      <c r="N244" s="36">
        <f t="shared" si="47"/>
        <v>406.28</v>
      </c>
      <c r="O244" s="36">
        <f t="shared" si="24"/>
        <v>2745.72</v>
      </c>
      <c r="P244" s="74">
        <v>0</v>
      </c>
    </row>
    <row r="245" spans="1:16" ht="25.5" x14ac:dyDescent="0.2">
      <c r="A245" s="69">
        <v>235</v>
      </c>
      <c r="B245" s="57" t="s">
        <v>740</v>
      </c>
      <c r="C245" s="57" t="s">
        <v>741</v>
      </c>
      <c r="D245" s="70">
        <v>1668</v>
      </c>
      <c r="E245" s="71">
        <v>1000</v>
      </c>
      <c r="F245" s="72">
        <v>0</v>
      </c>
      <c r="G245" s="73">
        <v>250</v>
      </c>
      <c r="H245" s="73">
        <v>0</v>
      </c>
      <c r="I245" s="36">
        <f t="shared" si="37"/>
        <v>2918</v>
      </c>
      <c r="J245" s="36">
        <f t="shared" si="1"/>
        <v>80.040000000000006</v>
      </c>
      <c r="K245" s="36">
        <f t="shared" si="50"/>
        <v>293.48</v>
      </c>
      <c r="L245" s="36">
        <v>0</v>
      </c>
      <c r="M245" s="36">
        <v>0</v>
      </c>
      <c r="N245" s="36">
        <f t="shared" si="47"/>
        <v>373.52</v>
      </c>
      <c r="O245" s="36">
        <f t="shared" si="24"/>
        <v>2544.48</v>
      </c>
      <c r="P245" s="74">
        <f>792+557.25+476.25</f>
        <v>1825.5</v>
      </c>
    </row>
    <row r="246" spans="1:16" ht="25.5" x14ac:dyDescent="0.2">
      <c r="A246" s="69">
        <v>236</v>
      </c>
      <c r="B246" s="34" t="s">
        <v>742</v>
      </c>
      <c r="C246" s="34" t="s">
        <v>474</v>
      </c>
      <c r="D246" s="70">
        <v>2760</v>
      </c>
      <c r="E246" s="71">
        <v>1000</v>
      </c>
      <c r="F246" s="72">
        <v>0</v>
      </c>
      <c r="G246" s="73">
        <v>250</v>
      </c>
      <c r="H246" s="73">
        <v>0</v>
      </c>
      <c r="I246" s="36">
        <f t="shared" si="37"/>
        <v>4010</v>
      </c>
      <c r="J246" s="36">
        <f t="shared" si="1"/>
        <v>112.8</v>
      </c>
      <c r="K246" s="36">
        <f t="shared" si="50"/>
        <v>413.6</v>
      </c>
      <c r="L246" s="36">
        <v>0</v>
      </c>
      <c r="M246" s="36">
        <v>0</v>
      </c>
      <c r="N246" s="36">
        <f t="shared" si="47"/>
        <v>526.4</v>
      </c>
      <c r="O246" s="36">
        <f t="shared" si="24"/>
        <v>3483.6</v>
      </c>
      <c r="P246" s="74">
        <f>1134+1014.5</f>
        <v>2148.5</v>
      </c>
    </row>
    <row r="247" spans="1:16" ht="25.5" x14ac:dyDescent="0.2">
      <c r="A247" s="69">
        <v>237</v>
      </c>
      <c r="B247" s="82" t="s">
        <v>743</v>
      </c>
      <c r="C247" s="57" t="s">
        <v>486</v>
      </c>
      <c r="D247" s="72">
        <v>2234</v>
      </c>
      <c r="E247" s="72">
        <v>1900</v>
      </c>
      <c r="F247" s="72">
        <v>0</v>
      </c>
      <c r="G247" s="72">
        <v>250</v>
      </c>
      <c r="H247" s="73">
        <v>0</v>
      </c>
      <c r="I247" s="36">
        <f t="shared" si="37"/>
        <v>4384</v>
      </c>
      <c r="J247" s="36">
        <f t="shared" si="1"/>
        <v>124.02</v>
      </c>
      <c r="K247" s="36">
        <f t="shared" si="50"/>
        <v>454.74</v>
      </c>
      <c r="L247" s="36">
        <v>0</v>
      </c>
      <c r="M247" s="36">
        <v>55.56</v>
      </c>
      <c r="N247" s="36">
        <f t="shared" si="47"/>
        <v>634.32000000000005</v>
      </c>
      <c r="O247" s="36">
        <f t="shared" si="24"/>
        <v>3749.68</v>
      </c>
      <c r="P247" s="74">
        <v>0</v>
      </c>
    </row>
    <row r="248" spans="1:16" ht="25.5" x14ac:dyDescent="0.2">
      <c r="A248" s="69">
        <v>238</v>
      </c>
      <c r="B248" s="82" t="s">
        <v>744</v>
      </c>
      <c r="C248" s="85" t="s">
        <v>496</v>
      </c>
      <c r="D248" s="72">
        <v>3241</v>
      </c>
      <c r="E248" s="72">
        <v>1000</v>
      </c>
      <c r="F248" s="72">
        <v>0</v>
      </c>
      <c r="G248" s="72">
        <v>250</v>
      </c>
      <c r="H248" s="73">
        <v>0</v>
      </c>
      <c r="I248" s="36">
        <f t="shared" si="37"/>
        <v>4491</v>
      </c>
      <c r="J248" s="36">
        <f t="shared" si="1"/>
        <v>127.23</v>
      </c>
      <c r="K248" s="36">
        <f>(D248+E248)*12%</f>
        <v>508.92</v>
      </c>
      <c r="L248" s="36">
        <v>0</v>
      </c>
      <c r="M248" s="36">
        <v>0</v>
      </c>
      <c r="N248" s="36">
        <f t="shared" si="47"/>
        <v>636.15</v>
      </c>
      <c r="O248" s="36">
        <f t="shared" si="24"/>
        <v>3854.85</v>
      </c>
      <c r="P248" s="74">
        <v>0</v>
      </c>
    </row>
    <row r="249" spans="1:16" ht="25.5" x14ac:dyDescent="0.2">
      <c r="A249" s="69">
        <v>239</v>
      </c>
      <c r="B249" s="57" t="s">
        <v>745</v>
      </c>
      <c r="C249" s="57" t="s">
        <v>449</v>
      </c>
      <c r="D249" s="77">
        <v>1940</v>
      </c>
      <c r="E249" s="70">
        <v>0</v>
      </c>
      <c r="F249" s="72">
        <v>0</v>
      </c>
      <c r="G249" s="73">
        <v>0</v>
      </c>
      <c r="H249" s="73">
        <v>0</v>
      </c>
      <c r="I249" s="36">
        <f t="shared" si="37"/>
        <v>1940</v>
      </c>
      <c r="J249" s="36">
        <f t="shared" si="1"/>
        <v>58.2</v>
      </c>
      <c r="K249" s="36">
        <f>D249*11%</f>
        <v>213.4</v>
      </c>
      <c r="L249" s="36">
        <v>0</v>
      </c>
      <c r="M249" s="36">
        <v>0</v>
      </c>
      <c r="N249" s="36">
        <f t="shared" si="47"/>
        <v>271.60000000000002</v>
      </c>
      <c r="O249" s="36">
        <f t="shared" si="24"/>
        <v>1668.4</v>
      </c>
      <c r="P249" s="74">
        <v>0</v>
      </c>
    </row>
    <row r="250" spans="1:16" ht="25.5" x14ac:dyDescent="0.2">
      <c r="A250" s="69">
        <v>240</v>
      </c>
      <c r="B250" s="57" t="s">
        <v>746</v>
      </c>
      <c r="C250" s="57" t="s">
        <v>509</v>
      </c>
      <c r="D250" s="77">
        <v>3081</v>
      </c>
      <c r="E250" s="70">
        <v>1000</v>
      </c>
      <c r="F250" s="72">
        <v>0</v>
      </c>
      <c r="G250" s="73">
        <v>250</v>
      </c>
      <c r="H250" s="73">
        <v>0</v>
      </c>
      <c r="I250" s="36">
        <f t="shared" si="37"/>
        <v>4331</v>
      </c>
      <c r="J250" s="36">
        <f t="shared" si="1"/>
        <v>122.43</v>
      </c>
      <c r="K250" s="36">
        <f>SUM(D250:E250)*12%</f>
        <v>489.72</v>
      </c>
      <c r="L250" s="36">
        <v>0</v>
      </c>
      <c r="M250" s="36">
        <v>0</v>
      </c>
      <c r="N250" s="36">
        <f t="shared" si="47"/>
        <v>612.15</v>
      </c>
      <c r="O250" s="36">
        <f t="shared" si="24"/>
        <v>3718.85</v>
      </c>
      <c r="P250" s="74">
        <v>0</v>
      </c>
    </row>
    <row r="251" spans="1:16" ht="25.5" x14ac:dyDescent="0.2">
      <c r="A251" s="69">
        <v>241</v>
      </c>
      <c r="B251" s="83" t="s">
        <v>747</v>
      </c>
      <c r="C251" s="57" t="s">
        <v>596</v>
      </c>
      <c r="D251" s="70">
        <v>3241</v>
      </c>
      <c r="E251" s="71">
        <v>1000</v>
      </c>
      <c r="F251" s="72">
        <v>0</v>
      </c>
      <c r="G251" s="73">
        <v>250</v>
      </c>
      <c r="H251" s="73">
        <v>0</v>
      </c>
      <c r="I251" s="36">
        <f t="shared" si="37"/>
        <v>4491</v>
      </c>
      <c r="J251" s="36">
        <f t="shared" si="1"/>
        <v>127.23</v>
      </c>
      <c r="K251" s="36">
        <f>(D251+E251)*12%</f>
        <v>508.92</v>
      </c>
      <c r="L251" s="36">
        <v>0</v>
      </c>
      <c r="M251" s="36">
        <v>0</v>
      </c>
      <c r="N251" s="36">
        <f t="shared" si="47"/>
        <v>636.15</v>
      </c>
      <c r="O251" s="36">
        <f t="shared" si="24"/>
        <v>3854.85</v>
      </c>
      <c r="P251" s="74">
        <f>1050+630</f>
        <v>1680</v>
      </c>
    </row>
    <row r="252" spans="1:16" ht="25.5" x14ac:dyDescent="0.2">
      <c r="A252" s="69">
        <v>242</v>
      </c>
      <c r="B252" s="57" t="s">
        <v>748</v>
      </c>
      <c r="C252" s="34" t="s">
        <v>504</v>
      </c>
      <c r="D252" s="70">
        <v>1902</v>
      </c>
      <c r="E252" s="71">
        <v>1000</v>
      </c>
      <c r="F252" s="72">
        <v>0</v>
      </c>
      <c r="G252" s="73">
        <v>250</v>
      </c>
      <c r="H252" s="73">
        <v>0</v>
      </c>
      <c r="I252" s="36">
        <f t="shared" si="37"/>
        <v>3152</v>
      </c>
      <c r="J252" s="36">
        <f t="shared" si="1"/>
        <v>87.06</v>
      </c>
      <c r="K252" s="36">
        <f t="shared" ref="K252:K253" si="51">(D252+E252)*11%</f>
        <v>319.22000000000003</v>
      </c>
      <c r="L252" s="36">
        <v>0</v>
      </c>
      <c r="M252" s="36">
        <v>0</v>
      </c>
      <c r="N252" s="36">
        <f t="shared" si="47"/>
        <v>406.28</v>
      </c>
      <c r="O252" s="36">
        <f t="shared" si="24"/>
        <v>2745.72</v>
      </c>
      <c r="P252" s="74">
        <v>0</v>
      </c>
    </row>
    <row r="253" spans="1:16" ht="25.5" x14ac:dyDescent="0.2">
      <c r="A253" s="69">
        <v>243</v>
      </c>
      <c r="B253" s="83" t="s">
        <v>749</v>
      </c>
      <c r="C253" s="85" t="s">
        <v>712</v>
      </c>
      <c r="D253" s="70">
        <v>1981</v>
      </c>
      <c r="E253" s="71">
        <v>1000</v>
      </c>
      <c r="F253" s="72">
        <v>0</v>
      </c>
      <c r="G253" s="73">
        <v>250</v>
      </c>
      <c r="H253" s="73">
        <v>0</v>
      </c>
      <c r="I253" s="36">
        <f t="shared" si="37"/>
        <v>3231</v>
      </c>
      <c r="J253" s="36">
        <f t="shared" si="1"/>
        <v>89.43</v>
      </c>
      <c r="K253" s="36">
        <f t="shared" si="51"/>
        <v>327.91</v>
      </c>
      <c r="L253" s="36">
        <v>0</v>
      </c>
      <c r="M253" s="36">
        <v>40.06</v>
      </c>
      <c r="N253" s="36">
        <f t="shared" si="47"/>
        <v>457.4</v>
      </c>
      <c r="O253" s="36">
        <f t="shared" si="24"/>
        <v>2773.6</v>
      </c>
      <c r="P253" s="74">
        <v>0</v>
      </c>
    </row>
    <row r="254" spans="1:16" ht="25.5" x14ac:dyDescent="0.2">
      <c r="A254" s="69">
        <v>244</v>
      </c>
      <c r="B254" s="57" t="s">
        <v>750</v>
      </c>
      <c r="C254" s="57" t="s">
        <v>447</v>
      </c>
      <c r="D254" s="77">
        <v>2425</v>
      </c>
      <c r="E254" s="70">
        <v>0</v>
      </c>
      <c r="F254" s="72">
        <v>0</v>
      </c>
      <c r="G254" s="73">
        <v>0</v>
      </c>
      <c r="H254" s="73">
        <v>0</v>
      </c>
      <c r="I254" s="36">
        <f t="shared" si="37"/>
        <v>2425</v>
      </c>
      <c r="J254" s="36">
        <f t="shared" si="1"/>
        <v>72.75</v>
      </c>
      <c r="K254" s="36">
        <f>D254*11%</f>
        <v>266.75</v>
      </c>
      <c r="L254" s="36">
        <v>0</v>
      </c>
      <c r="M254" s="36">
        <v>0</v>
      </c>
      <c r="N254" s="36">
        <f t="shared" si="47"/>
        <v>339.5</v>
      </c>
      <c r="O254" s="36">
        <f t="shared" si="24"/>
        <v>2085.5</v>
      </c>
      <c r="P254" s="74">
        <v>0</v>
      </c>
    </row>
    <row r="255" spans="1:16" ht="25.5" x14ac:dyDescent="0.2">
      <c r="A255" s="69">
        <v>245</v>
      </c>
      <c r="B255" s="57" t="s">
        <v>751</v>
      </c>
      <c r="C255" s="57" t="s">
        <v>509</v>
      </c>
      <c r="D255" s="36">
        <v>3081</v>
      </c>
      <c r="E255" s="36">
        <v>1000</v>
      </c>
      <c r="F255" s="72">
        <v>0</v>
      </c>
      <c r="G255" s="73">
        <v>250</v>
      </c>
      <c r="H255" s="73">
        <v>0</v>
      </c>
      <c r="I255" s="36">
        <f t="shared" si="37"/>
        <v>4331</v>
      </c>
      <c r="J255" s="36">
        <f t="shared" si="1"/>
        <v>122.43</v>
      </c>
      <c r="K255" s="36">
        <f>(D255+E255)*12%</f>
        <v>489.72</v>
      </c>
      <c r="L255" s="36">
        <v>0</v>
      </c>
      <c r="M255" s="36">
        <v>0</v>
      </c>
      <c r="N255" s="36">
        <f t="shared" si="47"/>
        <v>612.15</v>
      </c>
      <c r="O255" s="36">
        <f t="shared" si="24"/>
        <v>3718.85</v>
      </c>
      <c r="P255" s="74">
        <v>0</v>
      </c>
    </row>
    <row r="256" spans="1:16" ht="25.5" x14ac:dyDescent="0.2">
      <c r="A256" s="69">
        <v>246</v>
      </c>
      <c r="B256" s="131" t="s">
        <v>752</v>
      </c>
      <c r="C256" s="57" t="s">
        <v>449</v>
      </c>
      <c r="D256" s="127">
        <v>1940</v>
      </c>
      <c r="E256" s="127">
        <v>0</v>
      </c>
      <c r="F256" s="127">
        <v>0</v>
      </c>
      <c r="G256" s="127">
        <v>0</v>
      </c>
      <c r="H256" s="73">
        <v>0</v>
      </c>
      <c r="I256" s="36">
        <f t="shared" si="37"/>
        <v>1940</v>
      </c>
      <c r="J256" s="36">
        <f>D256*3%</f>
        <v>58.2</v>
      </c>
      <c r="K256" s="127">
        <v>194</v>
      </c>
      <c r="L256" s="127">
        <v>0</v>
      </c>
      <c r="M256" s="127">
        <v>0</v>
      </c>
      <c r="N256" s="127">
        <f>SUM(J256:M256)</f>
        <v>252.2</v>
      </c>
      <c r="O256" s="36">
        <f t="shared" si="24"/>
        <v>1687.8</v>
      </c>
      <c r="P256" s="74">
        <v>0</v>
      </c>
    </row>
    <row r="257" spans="1:20" ht="25.5" x14ac:dyDescent="0.2">
      <c r="A257" s="69">
        <v>247</v>
      </c>
      <c r="B257" s="57" t="s">
        <v>753</v>
      </c>
      <c r="C257" s="34" t="s">
        <v>478</v>
      </c>
      <c r="D257" s="70">
        <v>2328</v>
      </c>
      <c r="E257" s="70">
        <v>0</v>
      </c>
      <c r="F257" s="72">
        <v>0</v>
      </c>
      <c r="G257" s="73">
        <v>0</v>
      </c>
      <c r="H257" s="73">
        <v>0</v>
      </c>
      <c r="I257" s="36">
        <f t="shared" si="37"/>
        <v>2328</v>
      </c>
      <c r="J257" s="36">
        <f t="shared" ref="J257:J314" si="52">(D257+E257+F257)*3%</f>
        <v>69.84</v>
      </c>
      <c r="K257" s="36">
        <f>(D257+E257)*11%</f>
        <v>256.08</v>
      </c>
      <c r="L257" s="36">
        <v>0</v>
      </c>
      <c r="M257" s="36">
        <v>0</v>
      </c>
      <c r="N257" s="36">
        <f t="shared" ref="N257:N310" si="53">J257+K257+L257+M257</f>
        <v>325.92</v>
      </c>
      <c r="O257" s="36">
        <f t="shared" si="24"/>
        <v>2002.08</v>
      </c>
      <c r="P257" s="74">
        <v>0</v>
      </c>
    </row>
    <row r="258" spans="1:20" ht="25.5" x14ac:dyDescent="0.2">
      <c r="A258" s="69">
        <v>248</v>
      </c>
      <c r="B258" s="57" t="s">
        <v>754</v>
      </c>
      <c r="C258" s="57" t="s">
        <v>447</v>
      </c>
      <c r="D258" s="77">
        <v>2425</v>
      </c>
      <c r="E258" s="70">
        <v>0</v>
      </c>
      <c r="F258" s="72">
        <v>0</v>
      </c>
      <c r="G258" s="73">
        <v>0</v>
      </c>
      <c r="H258" s="73">
        <v>0</v>
      </c>
      <c r="I258" s="36">
        <f t="shared" si="37"/>
        <v>2425</v>
      </c>
      <c r="J258" s="36">
        <f t="shared" si="52"/>
        <v>72.75</v>
      </c>
      <c r="K258" s="36">
        <f>D258*11%</f>
        <v>266.75</v>
      </c>
      <c r="L258" s="36">
        <v>0</v>
      </c>
      <c r="M258" s="36">
        <v>0</v>
      </c>
      <c r="N258" s="36">
        <f t="shared" si="53"/>
        <v>339.5</v>
      </c>
      <c r="O258" s="36">
        <f t="shared" si="24"/>
        <v>2085.5</v>
      </c>
      <c r="P258" s="74">
        <v>0</v>
      </c>
    </row>
    <row r="259" spans="1:20" ht="25.5" x14ac:dyDescent="0.2">
      <c r="A259" s="69">
        <v>249</v>
      </c>
      <c r="B259" s="34" t="s">
        <v>755</v>
      </c>
      <c r="C259" s="85" t="s">
        <v>463</v>
      </c>
      <c r="D259" s="105">
        <v>6759</v>
      </c>
      <c r="E259" s="71">
        <v>4000</v>
      </c>
      <c r="F259" s="72">
        <v>375</v>
      </c>
      <c r="G259" s="73">
        <v>250</v>
      </c>
      <c r="H259" s="73">
        <v>0</v>
      </c>
      <c r="I259" s="36">
        <f t="shared" si="37"/>
        <v>11384</v>
      </c>
      <c r="J259" s="36">
        <f t="shared" si="52"/>
        <v>334.02</v>
      </c>
      <c r="K259" s="36">
        <f>(D259+E259+F259)*15%</f>
        <v>1670.1</v>
      </c>
      <c r="L259" s="36">
        <v>269.83</v>
      </c>
      <c r="M259" s="36">
        <v>149.63999999999999</v>
      </c>
      <c r="N259" s="36">
        <f t="shared" si="53"/>
        <v>2423.59</v>
      </c>
      <c r="O259" s="36">
        <f t="shared" si="24"/>
        <v>8960.41</v>
      </c>
      <c r="P259" s="74">
        <v>0</v>
      </c>
    </row>
    <row r="260" spans="1:20" x14ac:dyDescent="0.2">
      <c r="A260" s="69">
        <v>250</v>
      </c>
      <c r="B260" s="57" t="s">
        <v>756</v>
      </c>
      <c r="C260" s="57" t="s">
        <v>490</v>
      </c>
      <c r="D260" s="70">
        <v>1668</v>
      </c>
      <c r="E260" s="70">
        <v>1000</v>
      </c>
      <c r="F260" s="72">
        <v>0</v>
      </c>
      <c r="G260" s="73">
        <v>250</v>
      </c>
      <c r="H260" s="73">
        <v>0</v>
      </c>
      <c r="I260" s="36">
        <f t="shared" si="37"/>
        <v>2918</v>
      </c>
      <c r="J260" s="36">
        <f t="shared" si="52"/>
        <v>80.040000000000006</v>
      </c>
      <c r="K260" s="36">
        <f t="shared" ref="K260:K263" si="54">(D260+E260)*11%</f>
        <v>293.48</v>
      </c>
      <c r="L260" s="36">
        <v>0</v>
      </c>
      <c r="M260" s="36">
        <v>0</v>
      </c>
      <c r="N260" s="36">
        <f t="shared" si="53"/>
        <v>373.52</v>
      </c>
      <c r="O260" s="36">
        <f t="shared" si="24"/>
        <v>2544.48</v>
      </c>
      <c r="P260" s="74">
        <v>0</v>
      </c>
    </row>
    <row r="261" spans="1:20" ht="25.5" x14ac:dyDescent="0.2">
      <c r="A261" s="69">
        <v>251</v>
      </c>
      <c r="B261" s="57" t="s">
        <v>757</v>
      </c>
      <c r="C261" s="57" t="s">
        <v>447</v>
      </c>
      <c r="D261" s="77">
        <v>2425</v>
      </c>
      <c r="E261" s="70">
        <v>0</v>
      </c>
      <c r="F261" s="72">
        <v>0</v>
      </c>
      <c r="G261" s="73">
        <v>0</v>
      </c>
      <c r="H261" s="73">
        <v>0</v>
      </c>
      <c r="I261" s="36">
        <f t="shared" si="37"/>
        <v>2425</v>
      </c>
      <c r="J261" s="36">
        <f t="shared" si="52"/>
        <v>72.75</v>
      </c>
      <c r="K261" s="36">
        <f t="shared" si="54"/>
        <v>266.75</v>
      </c>
      <c r="L261" s="36">
        <v>0</v>
      </c>
      <c r="M261" s="36">
        <v>0</v>
      </c>
      <c r="N261" s="36">
        <f t="shared" si="53"/>
        <v>339.5</v>
      </c>
      <c r="O261" s="36">
        <f t="shared" si="24"/>
        <v>2085.5</v>
      </c>
      <c r="P261" s="74">
        <v>0</v>
      </c>
    </row>
    <row r="262" spans="1:20" ht="25.5" x14ac:dyDescent="0.2">
      <c r="A262" s="69">
        <v>252</v>
      </c>
      <c r="B262" s="81" t="s">
        <v>758</v>
      </c>
      <c r="C262" s="96" t="s">
        <v>759</v>
      </c>
      <c r="D262" s="77">
        <v>2231</v>
      </c>
      <c r="E262" s="70">
        <v>0</v>
      </c>
      <c r="F262" s="72">
        <v>0</v>
      </c>
      <c r="G262" s="73">
        <v>0</v>
      </c>
      <c r="H262" s="73">
        <v>0</v>
      </c>
      <c r="I262" s="36">
        <f>SUM(D262:H262)</f>
        <v>2231</v>
      </c>
      <c r="J262" s="36">
        <f t="shared" si="52"/>
        <v>66.930000000000007</v>
      </c>
      <c r="K262" s="36">
        <f t="shared" si="54"/>
        <v>245.41</v>
      </c>
      <c r="L262" s="36">
        <v>0</v>
      </c>
      <c r="M262" s="36">
        <v>0</v>
      </c>
      <c r="N262" s="36">
        <f t="shared" si="53"/>
        <v>312.33999999999997</v>
      </c>
      <c r="O262" s="36">
        <f t="shared" si="24"/>
        <v>1918.66</v>
      </c>
      <c r="P262" s="74">
        <v>0</v>
      </c>
    </row>
    <row r="263" spans="1:20" ht="25.5" x14ac:dyDescent="0.2">
      <c r="A263" s="69">
        <v>253</v>
      </c>
      <c r="B263" s="57" t="s">
        <v>760</v>
      </c>
      <c r="C263" s="57" t="s">
        <v>481</v>
      </c>
      <c r="D263" s="105">
        <v>3462.9</v>
      </c>
      <c r="E263" s="70">
        <v>0</v>
      </c>
      <c r="F263" s="72">
        <v>0</v>
      </c>
      <c r="G263" s="73">
        <v>0</v>
      </c>
      <c r="H263" s="73">
        <v>0</v>
      </c>
      <c r="I263" s="36">
        <f t="shared" ref="I263:I290" si="55">SUM(D263:G263)</f>
        <v>3462.9</v>
      </c>
      <c r="J263" s="36">
        <f t="shared" si="52"/>
        <v>103.89</v>
      </c>
      <c r="K263" s="36">
        <f t="shared" si="54"/>
        <v>380.92</v>
      </c>
      <c r="L263" s="36">
        <v>0</v>
      </c>
      <c r="M263" s="36">
        <v>0</v>
      </c>
      <c r="N263" s="36">
        <f t="shared" si="53"/>
        <v>484.81</v>
      </c>
      <c r="O263" s="36">
        <f t="shared" si="24"/>
        <v>2978.09</v>
      </c>
      <c r="P263" s="74">
        <v>0</v>
      </c>
    </row>
    <row r="264" spans="1:20" x14ac:dyDescent="0.2">
      <c r="A264" s="69">
        <v>254</v>
      </c>
      <c r="B264" s="57" t="s">
        <v>761</v>
      </c>
      <c r="C264" s="57" t="s">
        <v>490</v>
      </c>
      <c r="D264" s="70">
        <v>1668</v>
      </c>
      <c r="E264" s="70">
        <v>1000</v>
      </c>
      <c r="F264" s="72">
        <v>0</v>
      </c>
      <c r="G264" s="73">
        <v>250</v>
      </c>
      <c r="H264" s="73">
        <v>0</v>
      </c>
      <c r="I264" s="36">
        <f t="shared" si="55"/>
        <v>2918</v>
      </c>
      <c r="J264" s="36">
        <f t="shared" si="52"/>
        <v>80.040000000000006</v>
      </c>
      <c r="K264" s="36">
        <f>2902*11%</f>
        <v>319.22000000000003</v>
      </c>
      <c r="L264" s="36">
        <v>0</v>
      </c>
      <c r="M264" s="36">
        <v>0</v>
      </c>
      <c r="N264" s="36">
        <f t="shared" si="53"/>
        <v>399.26</v>
      </c>
      <c r="O264" s="36">
        <f t="shared" si="24"/>
        <v>2518.7399999999998</v>
      </c>
      <c r="P264" s="74">
        <v>0</v>
      </c>
    </row>
    <row r="265" spans="1:20" ht="25.5" x14ac:dyDescent="0.2">
      <c r="A265" s="69">
        <v>255</v>
      </c>
      <c r="B265" s="57" t="s">
        <v>762</v>
      </c>
      <c r="C265" s="57" t="s">
        <v>509</v>
      </c>
      <c r="D265" s="70">
        <v>3081</v>
      </c>
      <c r="E265" s="71">
        <v>1000</v>
      </c>
      <c r="F265" s="72">
        <v>0</v>
      </c>
      <c r="G265" s="73">
        <v>250</v>
      </c>
      <c r="H265" s="73">
        <v>0</v>
      </c>
      <c r="I265" s="36">
        <f t="shared" si="55"/>
        <v>4331</v>
      </c>
      <c r="J265" s="36">
        <f t="shared" si="52"/>
        <v>122.43</v>
      </c>
      <c r="K265" s="36">
        <f>(D265+E265)*12%</f>
        <v>489.72</v>
      </c>
      <c r="L265" s="36">
        <v>0</v>
      </c>
      <c r="M265" s="36">
        <v>0</v>
      </c>
      <c r="N265" s="36">
        <f t="shared" si="53"/>
        <v>612.15</v>
      </c>
      <c r="O265" s="36">
        <f>SUM(D265:N265)</f>
        <v>9886.2999999999993</v>
      </c>
      <c r="P265" s="74">
        <v>0</v>
      </c>
    </row>
    <row r="266" spans="1:20" ht="25.5" x14ac:dyDescent="0.2">
      <c r="A266" s="69">
        <v>256</v>
      </c>
      <c r="B266" s="57" t="s">
        <v>763</v>
      </c>
      <c r="C266" s="57" t="s">
        <v>449</v>
      </c>
      <c r="D266" s="77">
        <v>1940</v>
      </c>
      <c r="E266" s="70">
        <v>0</v>
      </c>
      <c r="F266" s="72">
        <v>0</v>
      </c>
      <c r="G266" s="73">
        <v>0</v>
      </c>
      <c r="H266" s="73">
        <v>0</v>
      </c>
      <c r="I266" s="36">
        <f t="shared" si="55"/>
        <v>1940</v>
      </c>
      <c r="J266" s="36">
        <f t="shared" si="52"/>
        <v>58.2</v>
      </c>
      <c r="K266" s="36">
        <f>D266*10%</f>
        <v>194</v>
      </c>
      <c r="L266" s="36">
        <v>0</v>
      </c>
      <c r="M266" s="36">
        <v>0</v>
      </c>
      <c r="N266" s="36">
        <f t="shared" si="53"/>
        <v>252.2</v>
      </c>
      <c r="O266" s="36">
        <f t="shared" ref="O266:O314" si="56">I266-N266</f>
        <v>1687.8</v>
      </c>
      <c r="P266" s="74">
        <v>0</v>
      </c>
    </row>
    <row r="267" spans="1:20" ht="21.75" customHeight="1" x14ac:dyDescent="0.2">
      <c r="A267" s="69">
        <v>257</v>
      </c>
      <c r="B267" s="119" t="s">
        <v>764</v>
      </c>
      <c r="C267" s="132" t="s">
        <v>765</v>
      </c>
      <c r="D267" s="29">
        <v>3241</v>
      </c>
      <c r="E267" s="70">
        <v>1000</v>
      </c>
      <c r="F267" s="72">
        <v>0</v>
      </c>
      <c r="G267" s="73">
        <v>250</v>
      </c>
      <c r="H267" s="73">
        <v>0</v>
      </c>
      <c r="I267" s="36">
        <f t="shared" si="55"/>
        <v>4491</v>
      </c>
      <c r="J267" s="36">
        <f t="shared" si="52"/>
        <v>127.23</v>
      </c>
      <c r="K267" s="36">
        <f>(D267+E267)*12%</f>
        <v>508.92</v>
      </c>
      <c r="L267" s="36">
        <v>0</v>
      </c>
      <c r="M267" s="36">
        <v>0</v>
      </c>
      <c r="N267" s="36">
        <f t="shared" si="53"/>
        <v>636.15</v>
      </c>
      <c r="O267" s="36">
        <f t="shared" si="56"/>
        <v>3854.85</v>
      </c>
      <c r="P267" s="74">
        <v>0</v>
      </c>
      <c r="T267" s="133"/>
    </row>
    <row r="268" spans="1:20" ht="25.5" customHeight="1" x14ac:dyDescent="0.2">
      <c r="A268" s="69">
        <v>258</v>
      </c>
      <c r="B268" s="57" t="s">
        <v>766</v>
      </c>
      <c r="C268" s="57" t="s">
        <v>449</v>
      </c>
      <c r="D268" s="77">
        <v>1940</v>
      </c>
      <c r="E268" s="70">
        <v>0</v>
      </c>
      <c r="F268" s="72">
        <v>0</v>
      </c>
      <c r="G268" s="73">
        <v>0</v>
      </c>
      <c r="H268" s="73">
        <v>0</v>
      </c>
      <c r="I268" s="36">
        <f t="shared" si="55"/>
        <v>1940</v>
      </c>
      <c r="J268" s="36">
        <f t="shared" si="52"/>
        <v>58.2</v>
      </c>
      <c r="K268" s="36">
        <f>D268*10%</f>
        <v>194</v>
      </c>
      <c r="L268" s="36">
        <v>0</v>
      </c>
      <c r="M268" s="36">
        <v>0</v>
      </c>
      <c r="N268" s="36">
        <f t="shared" si="53"/>
        <v>252.2</v>
      </c>
      <c r="O268" s="36">
        <f t="shared" si="56"/>
        <v>1687.8</v>
      </c>
      <c r="P268" s="74">
        <v>0</v>
      </c>
    </row>
    <row r="269" spans="1:20" x14ac:dyDescent="0.2">
      <c r="A269" s="69">
        <v>259</v>
      </c>
      <c r="B269" s="118" t="s">
        <v>767</v>
      </c>
      <c r="C269" s="57" t="s">
        <v>465</v>
      </c>
      <c r="D269" s="70">
        <v>1902</v>
      </c>
      <c r="E269" s="70">
        <v>1000</v>
      </c>
      <c r="F269" s="72">
        <v>0</v>
      </c>
      <c r="G269" s="73">
        <v>250</v>
      </c>
      <c r="H269" s="73">
        <v>0</v>
      </c>
      <c r="I269" s="36">
        <f t="shared" si="55"/>
        <v>3152</v>
      </c>
      <c r="J269" s="36">
        <f t="shared" si="52"/>
        <v>87.06</v>
      </c>
      <c r="K269" s="36">
        <f t="shared" ref="K269:K270" si="57">2902*11%</f>
        <v>319.22000000000003</v>
      </c>
      <c r="L269" s="36">
        <v>0</v>
      </c>
      <c r="M269" s="36">
        <v>0</v>
      </c>
      <c r="N269" s="36">
        <f t="shared" si="53"/>
        <v>406.28</v>
      </c>
      <c r="O269" s="36">
        <f t="shared" si="56"/>
        <v>2745.72</v>
      </c>
      <c r="P269" s="74">
        <v>0</v>
      </c>
    </row>
    <row r="270" spans="1:20" ht="25.5" x14ac:dyDescent="0.2">
      <c r="A270" s="69">
        <v>260</v>
      </c>
      <c r="B270" s="57" t="s">
        <v>768</v>
      </c>
      <c r="C270" s="57" t="s">
        <v>525</v>
      </c>
      <c r="D270" s="70">
        <v>2920</v>
      </c>
      <c r="E270" s="70">
        <v>1000</v>
      </c>
      <c r="F270" s="72">
        <v>0</v>
      </c>
      <c r="G270" s="73">
        <v>250</v>
      </c>
      <c r="H270" s="73">
        <v>0</v>
      </c>
      <c r="I270" s="36">
        <f t="shared" si="55"/>
        <v>4170</v>
      </c>
      <c r="J270" s="36">
        <f t="shared" si="52"/>
        <v>117.6</v>
      </c>
      <c r="K270" s="36">
        <f t="shared" si="57"/>
        <v>319.22000000000003</v>
      </c>
      <c r="L270" s="36">
        <v>0</v>
      </c>
      <c r="M270" s="36">
        <v>0</v>
      </c>
      <c r="N270" s="36">
        <f t="shared" si="53"/>
        <v>436.82</v>
      </c>
      <c r="O270" s="36">
        <f t="shared" si="56"/>
        <v>3733.18</v>
      </c>
      <c r="P270" s="74">
        <v>0</v>
      </c>
    </row>
    <row r="271" spans="1:20" ht="25.5" x14ac:dyDescent="0.2">
      <c r="A271" s="69">
        <v>261</v>
      </c>
      <c r="B271" s="57" t="s">
        <v>769</v>
      </c>
      <c r="C271" s="57" t="s">
        <v>447</v>
      </c>
      <c r="D271" s="77">
        <v>2425</v>
      </c>
      <c r="E271" s="70">
        <v>0</v>
      </c>
      <c r="F271" s="72">
        <v>0</v>
      </c>
      <c r="G271" s="73">
        <v>0</v>
      </c>
      <c r="H271" s="73">
        <v>0</v>
      </c>
      <c r="I271" s="36">
        <f t="shared" si="55"/>
        <v>2425</v>
      </c>
      <c r="J271" s="36">
        <f t="shared" si="52"/>
        <v>72.75</v>
      </c>
      <c r="K271" s="36">
        <f>2425*11%</f>
        <v>266.75</v>
      </c>
      <c r="L271" s="36">
        <v>0</v>
      </c>
      <c r="M271" s="36">
        <v>0</v>
      </c>
      <c r="N271" s="36">
        <f t="shared" si="53"/>
        <v>339.5</v>
      </c>
      <c r="O271" s="36">
        <f t="shared" si="56"/>
        <v>2085.5</v>
      </c>
      <c r="P271" s="74">
        <v>0</v>
      </c>
    </row>
    <row r="272" spans="1:20" ht="25.5" x14ac:dyDescent="0.2">
      <c r="A272" s="69">
        <v>262</v>
      </c>
      <c r="B272" s="106" t="s">
        <v>770</v>
      </c>
      <c r="C272" s="85" t="s">
        <v>771</v>
      </c>
      <c r="D272" s="72">
        <v>3404</v>
      </c>
      <c r="E272" s="72">
        <v>1000</v>
      </c>
      <c r="F272" s="72">
        <v>375</v>
      </c>
      <c r="G272" s="72">
        <v>250</v>
      </c>
      <c r="H272" s="73">
        <v>0</v>
      </c>
      <c r="I272" s="36">
        <f t="shared" si="55"/>
        <v>5029</v>
      </c>
      <c r="J272" s="36">
        <f t="shared" si="52"/>
        <v>143.37</v>
      </c>
      <c r="K272" s="36">
        <f>(D272+E272+F272)*12%</f>
        <v>573.48</v>
      </c>
      <c r="L272" s="36">
        <v>16.440000000000001</v>
      </c>
      <c r="M272" s="36">
        <v>0</v>
      </c>
      <c r="N272" s="36">
        <f t="shared" si="53"/>
        <v>733.29</v>
      </c>
      <c r="O272" s="36">
        <f t="shared" si="56"/>
        <v>4295.71</v>
      </c>
      <c r="P272" s="74">
        <v>0</v>
      </c>
    </row>
    <row r="273" spans="1:16" ht="25.5" x14ac:dyDescent="0.2">
      <c r="A273" s="69">
        <v>263</v>
      </c>
      <c r="B273" s="57" t="s">
        <v>772</v>
      </c>
      <c r="C273" s="57" t="s">
        <v>493</v>
      </c>
      <c r="D273" s="70">
        <v>1831</v>
      </c>
      <c r="E273" s="71">
        <v>1000</v>
      </c>
      <c r="F273" s="72">
        <v>0</v>
      </c>
      <c r="G273" s="73">
        <v>250</v>
      </c>
      <c r="H273" s="73">
        <v>0</v>
      </c>
      <c r="I273" s="36">
        <f t="shared" si="55"/>
        <v>3081</v>
      </c>
      <c r="J273" s="36">
        <f t="shared" si="52"/>
        <v>84.93</v>
      </c>
      <c r="K273" s="36">
        <f>2902*11%</f>
        <v>319.22000000000003</v>
      </c>
      <c r="L273" s="36">
        <v>0</v>
      </c>
      <c r="M273" s="36">
        <v>0</v>
      </c>
      <c r="N273" s="36">
        <f t="shared" si="53"/>
        <v>404.15</v>
      </c>
      <c r="O273" s="36">
        <f t="shared" si="56"/>
        <v>2676.85</v>
      </c>
      <c r="P273" s="74">
        <v>0</v>
      </c>
    </row>
    <row r="274" spans="1:16" ht="25.5" x14ac:dyDescent="0.2">
      <c r="A274" s="69">
        <v>264</v>
      </c>
      <c r="B274" s="57" t="s">
        <v>773</v>
      </c>
      <c r="C274" s="57" t="s">
        <v>449</v>
      </c>
      <c r="D274" s="70">
        <v>1940</v>
      </c>
      <c r="E274" s="70">
        <v>0</v>
      </c>
      <c r="F274" s="72">
        <v>0</v>
      </c>
      <c r="G274" s="73">
        <v>0</v>
      </c>
      <c r="H274" s="73">
        <v>0</v>
      </c>
      <c r="I274" s="36">
        <f t="shared" si="55"/>
        <v>1940</v>
      </c>
      <c r="J274" s="36">
        <f t="shared" si="52"/>
        <v>58.2</v>
      </c>
      <c r="K274" s="36">
        <f>D274*10%</f>
        <v>194</v>
      </c>
      <c r="L274" s="36">
        <v>0</v>
      </c>
      <c r="M274" s="36">
        <v>0</v>
      </c>
      <c r="N274" s="36">
        <f t="shared" si="53"/>
        <v>252.2</v>
      </c>
      <c r="O274" s="36">
        <f t="shared" si="56"/>
        <v>1687.8</v>
      </c>
      <c r="P274" s="74">
        <v>0</v>
      </c>
    </row>
    <row r="275" spans="1:16" ht="25.5" x14ac:dyDescent="0.2">
      <c r="A275" s="69">
        <v>265</v>
      </c>
      <c r="B275" s="83" t="s">
        <v>774</v>
      </c>
      <c r="C275" s="85" t="s">
        <v>520</v>
      </c>
      <c r="D275" s="70">
        <v>2920</v>
      </c>
      <c r="E275" s="71">
        <v>1000</v>
      </c>
      <c r="F275" s="72">
        <v>0</v>
      </c>
      <c r="G275" s="73">
        <v>250</v>
      </c>
      <c r="H275" s="73">
        <v>0</v>
      </c>
      <c r="I275" s="36">
        <f t="shared" si="55"/>
        <v>4170</v>
      </c>
      <c r="J275" s="36">
        <f t="shared" si="52"/>
        <v>117.6</v>
      </c>
      <c r="K275" s="36">
        <f t="shared" ref="K275:K276" si="58">(D275+E275)*11%</f>
        <v>431.2</v>
      </c>
      <c r="L275" s="36">
        <v>0</v>
      </c>
      <c r="M275" s="36">
        <v>52.68</v>
      </c>
      <c r="N275" s="36">
        <f t="shared" si="53"/>
        <v>601.48</v>
      </c>
      <c r="O275" s="36">
        <f t="shared" si="56"/>
        <v>3568.52</v>
      </c>
      <c r="P275" s="74">
        <v>0</v>
      </c>
    </row>
    <row r="276" spans="1:16" ht="25.5" x14ac:dyDescent="0.2">
      <c r="A276" s="69">
        <v>266</v>
      </c>
      <c r="B276" s="134" t="s">
        <v>775</v>
      </c>
      <c r="C276" s="34" t="s">
        <v>504</v>
      </c>
      <c r="D276" s="72">
        <v>1902</v>
      </c>
      <c r="E276" s="124">
        <v>1000</v>
      </c>
      <c r="F276" s="72">
        <v>0</v>
      </c>
      <c r="G276" s="71">
        <v>250</v>
      </c>
      <c r="H276" s="73">
        <v>0</v>
      </c>
      <c r="I276" s="36">
        <f t="shared" si="55"/>
        <v>3152</v>
      </c>
      <c r="J276" s="36">
        <f t="shared" si="52"/>
        <v>87.06</v>
      </c>
      <c r="K276" s="36">
        <f t="shared" si="58"/>
        <v>319.22000000000003</v>
      </c>
      <c r="L276" s="36">
        <v>0</v>
      </c>
      <c r="M276" s="36">
        <v>0</v>
      </c>
      <c r="N276" s="36">
        <f t="shared" si="53"/>
        <v>406.28</v>
      </c>
      <c r="O276" s="36">
        <f t="shared" si="56"/>
        <v>2745.72</v>
      </c>
      <c r="P276" s="74">
        <v>0</v>
      </c>
    </row>
    <row r="277" spans="1:16" ht="25.5" x14ac:dyDescent="0.2">
      <c r="A277" s="69">
        <v>267</v>
      </c>
      <c r="B277" s="83" t="s">
        <v>776</v>
      </c>
      <c r="C277" s="57" t="s">
        <v>449</v>
      </c>
      <c r="D277" s="70">
        <v>1940</v>
      </c>
      <c r="E277" s="70">
        <v>0</v>
      </c>
      <c r="F277" s="72">
        <v>0</v>
      </c>
      <c r="G277" s="73">
        <v>0</v>
      </c>
      <c r="H277" s="73">
        <v>0</v>
      </c>
      <c r="I277" s="36">
        <f t="shared" si="55"/>
        <v>1940</v>
      </c>
      <c r="J277" s="36">
        <f t="shared" si="52"/>
        <v>58.2</v>
      </c>
      <c r="K277" s="36">
        <f>D277*10%</f>
        <v>194</v>
      </c>
      <c r="L277" s="36">
        <v>0</v>
      </c>
      <c r="M277" s="36">
        <v>0</v>
      </c>
      <c r="N277" s="36">
        <f t="shared" si="53"/>
        <v>252.2</v>
      </c>
      <c r="O277" s="36">
        <f t="shared" si="56"/>
        <v>1687.8</v>
      </c>
      <c r="P277" s="74">
        <v>0</v>
      </c>
    </row>
    <row r="278" spans="1:16" ht="25.5" x14ac:dyDescent="0.2">
      <c r="A278" s="69">
        <v>268</v>
      </c>
      <c r="B278" s="89" t="s">
        <v>777</v>
      </c>
      <c r="C278" s="33" t="s">
        <v>778</v>
      </c>
      <c r="D278" s="97">
        <v>1824</v>
      </c>
      <c r="E278" s="98">
        <v>1000</v>
      </c>
      <c r="F278" s="72">
        <v>0</v>
      </c>
      <c r="G278" s="73">
        <v>250</v>
      </c>
      <c r="H278" s="73">
        <v>0</v>
      </c>
      <c r="I278" s="36">
        <f t="shared" si="55"/>
        <v>3074</v>
      </c>
      <c r="J278" s="36">
        <f t="shared" si="52"/>
        <v>84.72</v>
      </c>
      <c r="K278" s="36">
        <f>(D278+E278+F278)*11%</f>
        <v>310.64</v>
      </c>
      <c r="L278" s="36">
        <v>0</v>
      </c>
      <c r="M278" s="36">
        <v>0</v>
      </c>
      <c r="N278" s="36">
        <f t="shared" si="53"/>
        <v>395.36</v>
      </c>
      <c r="O278" s="36">
        <f t="shared" si="56"/>
        <v>2678.64</v>
      </c>
      <c r="P278" s="74">
        <v>0</v>
      </c>
    </row>
    <row r="279" spans="1:16" ht="25.5" x14ac:dyDescent="0.2">
      <c r="A279" s="69">
        <v>269</v>
      </c>
      <c r="B279" s="83" t="s">
        <v>779</v>
      </c>
      <c r="C279" s="57" t="s">
        <v>449</v>
      </c>
      <c r="D279" s="70">
        <v>1940</v>
      </c>
      <c r="E279" s="70">
        <v>0</v>
      </c>
      <c r="F279" s="72">
        <v>0</v>
      </c>
      <c r="G279" s="73">
        <v>0</v>
      </c>
      <c r="H279" s="73">
        <v>0</v>
      </c>
      <c r="I279" s="36">
        <f t="shared" si="55"/>
        <v>1940</v>
      </c>
      <c r="J279" s="36">
        <f t="shared" si="52"/>
        <v>58.2</v>
      </c>
      <c r="K279" s="36">
        <f>D279*10%</f>
        <v>194</v>
      </c>
      <c r="L279" s="36">
        <v>0</v>
      </c>
      <c r="M279" s="36">
        <v>0</v>
      </c>
      <c r="N279" s="36">
        <f t="shared" si="53"/>
        <v>252.2</v>
      </c>
      <c r="O279" s="36">
        <f t="shared" si="56"/>
        <v>1687.8</v>
      </c>
      <c r="P279" s="74">
        <v>0</v>
      </c>
    </row>
    <row r="280" spans="1:16" ht="25.5" x14ac:dyDescent="0.2">
      <c r="A280" s="69">
        <v>270</v>
      </c>
      <c r="B280" s="57" t="s">
        <v>780</v>
      </c>
      <c r="C280" s="57" t="s">
        <v>447</v>
      </c>
      <c r="D280" s="77">
        <v>2425</v>
      </c>
      <c r="E280" s="70">
        <v>0</v>
      </c>
      <c r="F280" s="72">
        <v>0</v>
      </c>
      <c r="G280" s="73">
        <v>0</v>
      </c>
      <c r="H280" s="73">
        <v>0</v>
      </c>
      <c r="I280" s="36">
        <f t="shared" si="55"/>
        <v>2425</v>
      </c>
      <c r="J280" s="36">
        <f t="shared" si="52"/>
        <v>72.75</v>
      </c>
      <c r="K280" s="36">
        <f>D280*11%</f>
        <v>266.75</v>
      </c>
      <c r="L280" s="36">
        <v>0</v>
      </c>
      <c r="M280" s="36">
        <v>0</v>
      </c>
      <c r="N280" s="36">
        <f t="shared" si="53"/>
        <v>339.5</v>
      </c>
      <c r="O280" s="36">
        <f t="shared" si="56"/>
        <v>2085.5</v>
      </c>
      <c r="P280" s="74">
        <v>0</v>
      </c>
    </row>
    <row r="281" spans="1:16" ht="25.5" x14ac:dyDescent="0.2">
      <c r="A281" s="69">
        <v>271</v>
      </c>
      <c r="B281" s="123" t="s">
        <v>781</v>
      </c>
      <c r="C281" s="96" t="s">
        <v>712</v>
      </c>
      <c r="D281" s="135">
        <v>1981</v>
      </c>
      <c r="E281" s="70">
        <v>1000</v>
      </c>
      <c r="F281" s="72">
        <v>0</v>
      </c>
      <c r="G281" s="73">
        <v>250</v>
      </c>
      <c r="H281" s="73">
        <v>0</v>
      </c>
      <c r="I281" s="36">
        <f t="shared" si="55"/>
        <v>3231</v>
      </c>
      <c r="J281" s="36">
        <f t="shared" si="52"/>
        <v>89.43</v>
      </c>
      <c r="K281" s="36">
        <f>(D281+E281)*11%</f>
        <v>327.91</v>
      </c>
      <c r="L281" s="36">
        <v>0</v>
      </c>
      <c r="M281" s="36">
        <v>0</v>
      </c>
      <c r="N281" s="36">
        <f t="shared" si="53"/>
        <v>417.34</v>
      </c>
      <c r="O281" s="36">
        <f t="shared" si="56"/>
        <v>2813.66</v>
      </c>
      <c r="P281" s="74">
        <v>0</v>
      </c>
    </row>
    <row r="282" spans="1:16" ht="25.5" x14ac:dyDescent="0.2">
      <c r="A282" s="69">
        <v>272</v>
      </c>
      <c r="B282" s="82" t="s">
        <v>782</v>
      </c>
      <c r="C282" s="57" t="s">
        <v>525</v>
      </c>
      <c r="D282" s="72">
        <v>2920</v>
      </c>
      <c r="E282" s="72">
        <v>1000</v>
      </c>
      <c r="F282" s="72">
        <v>0</v>
      </c>
      <c r="G282" s="72">
        <v>250</v>
      </c>
      <c r="H282" s="73">
        <v>0</v>
      </c>
      <c r="I282" s="36">
        <f t="shared" si="55"/>
        <v>4170</v>
      </c>
      <c r="J282" s="36">
        <f t="shared" si="52"/>
        <v>117.6</v>
      </c>
      <c r="K282" s="36">
        <f>(D282+E282)*12%</f>
        <v>470.4</v>
      </c>
      <c r="L282" s="36">
        <v>0</v>
      </c>
      <c r="M282" s="36">
        <v>54.85</v>
      </c>
      <c r="N282" s="36">
        <f t="shared" si="53"/>
        <v>642.85</v>
      </c>
      <c r="O282" s="36">
        <f t="shared" si="56"/>
        <v>3527.15</v>
      </c>
      <c r="P282" s="74">
        <v>0</v>
      </c>
    </row>
    <row r="283" spans="1:16" ht="25.5" x14ac:dyDescent="0.2">
      <c r="A283" s="69">
        <v>273</v>
      </c>
      <c r="B283" s="57" t="s">
        <v>783</v>
      </c>
      <c r="C283" s="57" t="s">
        <v>447</v>
      </c>
      <c r="D283" s="77">
        <v>2425</v>
      </c>
      <c r="E283" s="70">
        <v>0</v>
      </c>
      <c r="F283" s="72">
        <v>0</v>
      </c>
      <c r="G283" s="73">
        <v>0</v>
      </c>
      <c r="H283" s="73">
        <v>0</v>
      </c>
      <c r="I283" s="36">
        <f t="shared" si="55"/>
        <v>2425</v>
      </c>
      <c r="J283" s="36">
        <f t="shared" si="52"/>
        <v>72.75</v>
      </c>
      <c r="K283" s="36">
        <f t="shared" ref="K283:K284" si="59">D283*11%</f>
        <v>266.75</v>
      </c>
      <c r="L283" s="36">
        <v>0</v>
      </c>
      <c r="M283" s="36">
        <v>0</v>
      </c>
      <c r="N283" s="36">
        <f t="shared" si="53"/>
        <v>339.5</v>
      </c>
      <c r="O283" s="36">
        <f t="shared" si="56"/>
        <v>2085.5</v>
      </c>
      <c r="P283" s="74">
        <v>0</v>
      </c>
    </row>
    <row r="284" spans="1:16" ht="25.5" x14ac:dyDescent="0.2">
      <c r="A284" s="69">
        <v>274</v>
      </c>
      <c r="B284" s="82" t="s">
        <v>784</v>
      </c>
      <c r="C284" s="57" t="s">
        <v>447</v>
      </c>
      <c r="D284" s="72">
        <v>2425</v>
      </c>
      <c r="E284" s="70">
        <v>0</v>
      </c>
      <c r="F284" s="72">
        <v>0</v>
      </c>
      <c r="G284" s="73">
        <v>0</v>
      </c>
      <c r="H284" s="73">
        <v>0</v>
      </c>
      <c r="I284" s="36">
        <f t="shared" si="55"/>
        <v>2425</v>
      </c>
      <c r="J284" s="36">
        <f t="shared" si="52"/>
        <v>72.75</v>
      </c>
      <c r="K284" s="36">
        <f t="shared" si="59"/>
        <v>266.75</v>
      </c>
      <c r="L284" s="36">
        <v>0</v>
      </c>
      <c r="M284" s="36">
        <v>0</v>
      </c>
      <c r="N284" s="36">
        <f t="shared" si="53"/>
        <v>339.5</v>
      </c>
      <c r="O284" s="36">
        <f t="shared" si="56"/>
        <v>2085.5</v>
      </c>
      <c r="P284" s="74">
        <v>0</v>
      </c>
    </row>
    <row r="285" spans="1:16" ht="25.5" x14ac:dyDescent="0.2">
      <c r="A285" s="69">
        <v>275</v>
      </c>
      <c r="B285" s="57" t="s">
        <v>785</v>
      </c>
      <c r="C285" s="57" t="s">
        <v>449</v>
      </c>
      <c r="D285" s="77">
        <v>1940</v>
      </c>
      <c r="E285" s="70">
        <v>0</v>
      </c>
      <c r="F285" s="72">
        <v>0</v>
      </c>
      <c r="G285" s="73">
        <v>0</v>
      </c>
      <c r="H285" s="73">
        <v>0</v>
      </c>
      <c r="I285" s="36">
        <f t="shared" si="55"/>
        <v>1940</v>
      </c>
      <c r="J285" s="36">
        <f t="shared" si="52"/>
        <v>58.2</v>
      </c>
      <c r="K285" s="36">
        <f>D285*10%</f>
        <v>194</v>
      </c>
      <c r="L285" s="36">
        <v>0</v>
      </c>
      <c r="M285" s="36">
        <v>0</v>
      </c>
      <c r="N285" s="36">
        <f t="shared" si="53"/>
        <v>252.2</v>
      </c>
      <c r="O285" s="36">
        <f t="shared" si="56"/>
        <v>1687.8</v>
      </c>
      <c r="P285" s="74">
        <v>0</v>
      </c>
    </row>
    <row r="286" spans="1:16" ht="25.5" x14ac:dyDescent="0.2">
      <c r="A286" s="69">
        <v>276</v>
      </c>
      <c r="B286" s="57" t="s">
        <v>786</v>
      </c>
      <c r="C286" s="57" t="s">
        <v>498</v>
      </c>
      <c r="D286" s="70">
        <v>3241</v>
      </c>
      <c r="E286" s="70">
        <v>1000</v>
      </c>
      <c r="F286" s="72">
        <v>0</v>
      </c>
      <c r="G286" s="73">
        <v>250</v>
      </c>
      <c r="H286" s="73">
        <v>0</v>
      </c>
      <c r="I286" s="36">
        <f t="shared" si="55"/>
        <v>4491</v>
      </c>
      <c r="J286" s="36">
        <f t="shared" si="52"/>
        <v>127.23</v>
      </c>
      <c r="K286" s="36">
        <f t="shared" ref="K286:K288" si="60">(D286+E286)*12%</f>
        <v>508.92</v>
      </c>
      <c r="L286" s="36">
        <v>0</v>
      </c>
      <c r="M286" s="36">
        <v>55.56</v>
      </c>
      <c r="N286" s="36">
        <f t="shared" si="53"/>
        <v>691.71</v>
      </c>
      <c r="O286" s="36">
        <f t="shared" si="56"/>
        <v>3799.29</v>
      </c>
      <c r="P286" s="74">
        <v>0</v>
      </c>
    </row>
    <row r="287" spans="1:16" ht="25.5" x14ac:dyDescent="0.2">
      <c r="A287" s="69">
        <v>277</v>
      </c>
      <c r="B287" s="83" t="s">
        <v>787</v>
      </c>
      <c r="C287" s="57" t="s">
        <v>509</v>
      </c>
      <c r="D287" s="70">
        <v>3081</v>
      </c>
      <c r="E287" s="71">
        <v>1000</v>
      </c>
      <c r="F287" s="72">
        <v>0</v>
      </c>
      <c r="G287" s="73">
        <v>250</v>
      </c>
      <c r="H287" s="73">
        <v>0</v>
      </c>
      <c r="I287" s="36">
        <f t="shared" si="55"/>
        <v>4331</v>
      </c>
      <c r="J287" s="36">
        <f t="shared" si="52"/>
        <v>122.43</v>
      </c>
      <c r="K287" s="36">
        <f t="shared" si="60"/>
        <v>489.72</v>
      </c>
      <c r="L287" s="36">
        <v>0</v>
      </c>
      <c r="M287" s="36">
        <v>0</v>
      </c>
      <c r="N287" s="36">
        <f t="shared" si="53"/>
        <v>612.15</v>
      </c>
      <c r="O287" s="36">
        <f t="shared" si="56"/>
        <v>3718.85</v>
      </c>
      <c r="P287" s="74">
        <v>0</v>
      </c>
    </row>
    <row r="288" spans="1:16" ht="25.5" x14ac:dyDescent="0.2">
      <c r="A288" s="69">
        <v>278</v>
      </c>
      <c r="B288" s="82" t="s">
        <v>788</v>
      </c>
      <c r="C288" s="57" t="s">
        <v>486</v>
      </c>
      <c r="D288" s="72">
        <v>2234</v>
      </c>
      <c r="E288" s="72">
        <v>1900</v>
      </c>
      <c r="F288" s="72">
        <v>0</v>
      </c>
      <c r="G288" s="72">
        <v>250</v>
      </c>
      <c r="H288" s="73">
        <v>0</v>
      </c>
      <c r="I288" s="36">
        <f t="shared" si="55"/>
        <v>4384</v>
      </c>
      <c r="J288" s="36">
        <f t="shared" si="52"/>
        <v>124.02</v>
      </c>
      <c r="K288" s="36">
        <f t="shared" si="60"/>
        <v>496.08</v>
      </c>
      <c r="L288" s="36">
        <v>0</v>
      </c>
      <c r="M288" s="36">
        <v>55.56</v>
      </c>
      <c r="N288" s="36">
        <f t="shared" si="53"/>
        <v>675.66</v>
      </c>
      <c r="O288" s="36">
        <f t="shared" si="56"/>
        <v>3708.34</v>
      </c>
      <c r="P288" s="74">
        <f>630</f>
        <v>630</v>
      </c>
    </row>
    <row r="289" spans="1:16" ht="25.5" x14ac:dyDescent="0.2">
      <c r="A289" s="69">
        <v>279</v>
      </c>
      <c r="B289" s="57" t="s">
        <v>789</v>
      </c>
      <c r="C289" s="57" t="s">
        <v>447</v>
      </c>
      <c r="D289" s="77">
        <v>2425</v>
      </c>
      <c r="E289" s="70">
        <v>0</v>
      </c>
      <c r="F289" s="72">
        <v>0</v>
      </c>
      <c r="G289" s="73">
        <v>0</v>
      </c>
      <c r="H289" s="73">
        <v>0</v>
      </c>
      <c r="I289" s="36">
        <f t="shared" si="55"/>
        <v>2425</v>
      </c>
      <c r="J289" s="36">
        <f t="shared" si="52"/>
        <v>72.75</v>
      </c>
      <c r="K289" s="36">
        <f t="shared" ref="K289:K290" si="61">D289*11%</f>
        <v>266.75</v>
      </c>
      <c r="L289" s="36">
        <v>0</v>
      </c>
      <c r="M289" s="36">
        <v>0</v>
      </c>
      <c r="N289" s="36">
        <f t="shared" si="53"/>
        <v>339.5</v>
      </c>
      <c r="O289" s="36">
        <f t="shared" si="56"/>
        <v>2085.5</v>
      </c>
      <c r="P289" s="74">
        <v>0</v>
      </c>
    </row>
    <row r="290" spans="1:16" ht="25.5" x14ac:dyDescent="0.2">
      <c r="A290" s="69">
        <v>280</v>
      </c>
      <c r="B290" s="57" t="s">
        <v>790</v>
      </c>
      <c r="C290" s="57" t="s">
        <v>447</v>
      </c>
      <c r="D290" s="77">
        <v>2425</v>
      </c>
      <c r="E290" s="70">
        <v>0</v>
      </c>
      <c r="F290" s="72">
        <v>0</v>
      </c>
      <c r="G290" s="73">
        <v>0</v>
      </c>
      <c r="H290" s="73">
        <v>0</v>
      </c>
      <c r="I290" s="36">
        <f t="shared" si="55"/>
        <v>2425</v>
      </c>
      <c r="J290" s="36">
        <f t="shared" si="52"/>
        <v>72.75</v>
      </c>
      <c r="K290" s="36">
        <f t="shared" si="61"/>
        <v>266.75</v>
      </c>
      <c r="L290" s="36">
        <v>0</v>
      </c>
      <c r="M290" s="36">
        <v>0</v>
      </c>
      <c r="N290" s="36">
        <f t="shared" si="53"/>
        <v>339.5</v>
      </c>
      <c r="O290" s="36">
        <f t="shared" si="56"/>
        <v>2085.5</v>
      </c>
      <c r="P290" s="74">
        <v>0</v>
      </c>
    </row>
    <row r="291" spans="1:16" x14ac:dyDescent="0.2">
      <c r="A291" s="69">
        <v>281</v>
      </c>
      <c r="B291" s="99" t="s">
        <v>791</v>
      </c>
      <c r="C291" s="136" t="s">
        <v>792</v>
      </c>
      <c r="D291" s="77">
        <v>5095</v>
      </c>
      <c r="E291" s="70">
        <v>1800</v>
      </c>
      <c r="F291" s="72">
        <v>0</v>
      </c>
      <c r="G291" s="73">
        <v>250</v>
      </c>
      <c r="H291" s="73">
        <v>0</v>
      </c>
      <c r="I291" s="36">
        <f>SUM(D291:H291)</f>
        <v>7145</v>
      </c>
      <c r="J291" s="36">
        <f t="shared" si="52"/>
        <v>206.85</v>
      </c>
      <c r="K291" s="36">
        <f>(D291+E291)*13%</f>
        <v>896.35</v>
      </c>
      <c r="L291" s="36">
        <v>102.92</v>
      </c>
      <c r="M291" s="36">
        <v>92.67</v>
      </c>
      <c r="N291" s="36">
        <f t="shared" si="53"/>
        <v>1298.79</v>
      </c>
      <c r="O291" s="36">
        <f t="shared" si="56"/>
        <v>5846.21</v>
      </c>
      <c r="P291" s="74">
        <v>0</v>
      </c>
    </row>
    <row r="292" spans="1:16" ht="25.5" x14ac:dyDescent="0.2">
      <c r="A292" s="69">
        <v>282</v>
      </c>
      <c r="B292" s="57" t="s">
        <v>793</v>
      </c>
      <c r="C292" s="85" t="s">
        <v>520</v>
      </c>
      <c r="D292" s="70">
        <v>2920</v>
      </c>
      <c r="E292" s="70">
        <v>1000</v>
      </c>
      <c r="F292" s="72">
        <v>0</v>
      </c>
      <c r="G292" s="73">
        <v>250</v>
      </c>
      <c r="H292" s="73">
        <v>0</v>
      </c>
      <c r="I292" s="36">
        <f t="shared" ref="I292:I314" si="62">SUM(D292:G292)</f>
        <v>4170</v>
      </c>
      <c r="J292" s="36">
        <f t="shared" si="52"/>
        <v>117.6</v>
      </c>
      <c r="K292" s="36">
        <f>(D292+E292)*11%</f>
        <v>431.2</v>
      </c>
      <c r="L292" s="36">
        <v>0</v>
      </c>
      <c r="M292" s="36">
        <v>52.68</v>
      </c>
      <c r="N292" s="36">
        <f t="shared" si="53"/>
        <v>601.48</v>
      </c>
      <c r="O292" s="36">
        <f t="shared" si="56"/>
        <v>3568.52</v>
      </c>
      <c r="P292" s="74">
        <f>630</f>
        <v>630</v>
      </c>
    </row>
    <row r="293" spans="1:16" ht="25.5" x14ac:dyDescent="0.2">
      <c r="A293" s="69">
        <v>283</v>
      </c>
      <c r="B293" s="83" t="s">
        <v>794</v>
      </c>
      <c r="C293" s="104" t="s">
        <v>518</v>
      </c>
      <c r="D293" s="70">
        <v>2134</v>
      </c>
      <c r="E293" s="70">
        <v>0</v>
      </c>
      <c r="F293" s="72">
        <v>0</v>
      </c>
      <c r="G293" s="73">
        <v>0</v>
      </c>
      <c r="H293" s="73">
        <v>0</v>
      </c>
      <c r="I293" s="36">
        <f t="shared" si="62"/>
        <v>2134</v>
      </c>
      <c r="J293" s="36">
        <f t="shared" si="52"/>
        <v>64.02</v>
      </c>
      <c r="K293" s="36">
        <f>D293*11%</f>
        <v>234.74</v>
      </c>
      <c r="L293" s="36">
        <v>0</v>
      </c>
      <c r="M293" s="36">
        <v>0</v>
      </c>
      <c r="N293" s="36">
        <f t="shared" si="53"/>
        <v>298.76</v>
      </c>
      <c r="O293" s="36">
        <f t="shared" si="56"/>
        <v>1835.24</v>
      </c>
      <c r="P293" s="74">
        <v>0</v>
      </c>
    </row>
    <row r="294" spans="1:16" ht="25.5" x14ac:dyDescent="0.2">
      <c r="A294" s="69">
        <v>284</v>
      </c>
      <c r="B294" s="82" t="s">
        <v>795</v>
      </c>
      <c r="C294" s="85" t="s">
        <v>520</v>
      </c>
      <c r="D294" s="72">
        <v>2920</v>
      </c>
      <c r="E294" s="72">
        <v>1000</v>
      </c>
      <c r="F294" s="72">
        <v>0</v>
      </c>
      <c r="G294" s="72">
        <v>250</v>
      </c>
      <c r="H294" s="73">
        <v>0</v>
      </c>
      <c r="I294" s="36">
        <f t="shared" si="62"/>
        <v>4170</v>
      </c>
      <c r="J294" s="36">
        <f t="shared" si="52"/>
        <v>117.6</v>
      </c>
      <c r="K294" s="36">
        <f>(D294+E294)*11%</f>
        <v>431.2</v>
      </c>
      <c r="L294" s="36">
        <v>0</v>
      </c>
      <c r="M294" s="36">
        <v>52.68</v>
      </c>
      <c r="N294" s="36">
        <f t="shared" si="53"/>
        <v>601.48</v>
      </c>
      <c r="O294" s="36">
        <f t="shared" si="56"/>
        <v>3568.52</v>
      </c>
      <c r="P294" s="74">
        <v>0</v>
      </c>
    </row>
    <row r="295" spans="1:16" ht="25.5" x14ac:dyDescent="0.2">
      <c r="A295" s="69">
        <v>285</v>
      </c>
      <c r="B295" s="57" t="s">
        <v>796</v>
      </c>
      <c r="C295" s="104" t="s">
        <v>687</v>
      </c>
      <c r="D295" s="105">
        <v>1649</v>
      </c>
      <c r="E295" s="70">
        <v>0</v>
      </c>
      <c r="F295" s="72">
        <v>0</v>
      </c>
      <c r="G295" s="73">
        <v>0</v>
      </c>
      <c r="H295" s="73">
        <v>0</v>
      </c>
      <c r="I295" s="36">
        <f t="shared" si="62"/>
        <v>1649</v>
      </c>
      <c r="J295" s="36">
        <f t="shared" si="52"/>
        <v>49.47</v>
      </c>
      <c r="K295" s="36">
        <f t="shared" ref="K295:K296" si="63">D295*10%</f>
        <v>164.9</v>
      </c>
      <c r="L295" s="36">
        <v>0</v>
      </c>
      <c r="M295" s="36">
        <v>0</v>
      </c>
      <c r="N295" s="36">
        <f t="shared" si="53"/>
        <v>214.37</v>
      </c>
      <c r="O295" s="36">
        <f t="shared" si="56"/>
        <v>1434.63</v>
      </c>
      <c r="P295" s="74">
        <v>0</v>
      </c>
    </row>
    <row r="296" spans="1:16" ht="25.5" x14ac:dyDescent="0.2">
      <c r="A296" s="69">
        <v>286</v>
      </c>
      <c r="B296" s="57" t="s">
        <v>797</v>
      </c>
      <c r="C296" s="57" t="s">
        <v>449</v>
      </c>
      <c r="D296" s="77">
        <v>1940</v>
      </c>
      <c r="E296" s="70">
        <v>0</v>
      </c>
      <c r="F296" s="72">
        <v>0</v>
      </c>
      <c r="G296" s="73">
        <v>0</v>
      </c>
      <c r="H296" s="73">
        <v>0</v>
      </c>
      <c r="I296" s="36">
        <f t="shared" si="62"/>
        <v>1940</v>
      </c>
      <c r="J296" s="36">
        <f t="shared" si="52"/>
        <v>58.2</v>
      </c>
      <c r="K296" s="36">
        <f t="shared" si="63"/>
        <v>194</v>
      </c>
      <c r="L296" s="36">
        <v>0</v>
      </c>
      <c r="M296" s="36">
        <v>0</v>
      </c>
      <c r="N296" s="36">
        <f t="shared" si="53"/>
        <v>252.2</v>
      </c>
      <c r="O296" s="36">
        <f t="shared" si="56"/>
        <v>1687.8</v>
      </c>
      <c r="P296" s="74">
        <v>0</v>
      </c>
    </row>
    <row r="297" spans="1:16" ht="25.5" x14ac:dyDescent="0.2">
      <c r="A297" s="69">
        <v>287</v>
      </c>
      <c r="B297" s="57" t="s">
        <v>798</v>
      </c>
      <c r="C297" s="57" t="s">
        <v>447</v>
      </c>
      <c r="D297" s="77">
        <v>2425</v>
      </c>
      <c r="E297" s="70">
        <v>0</v>
      </c>
      <c r="F297" s="72">
        <v>0</v>
      </c>
      <c r="G297" s="73">
        <v>0</v>
      </c>
      <c r="H297" s="73">
        <v>0</v>
      </c>
      <c r="I297" s="36">
        <f t="shared" si="62"/>
        <v>2425</v>
      </c>
      <c r="J297" s="36">
        <f t="shared" si="52"/>
        <v>72.75</v>
      </c>
      <c r="K297" s="36">
        <f>D297*11%</f>
        <v>266.75</v>
      </c>
      <c r="L297" s="36">
        <v>0</v>
      </c>
      <c r="M297" s="36">
        <v>0</v>
      </c>
      <c r="N297" s="36">
        <f t="shared" si="53"/>
        <v>339.5</v>
      </c>
      <c r="O297" s="36">
        <f t="shared" si="56"/>
        <v>2085.5</v>
      </c>
      <c r="P297" s="74">
        <v>0</v>
      </c>
    </row>
    <row r="298" spans="1:16" ht="25.5" x14ac:dyDescent="0.2">
      <c r="A298" s="69">
        <v>288</v>
      </c>
      <c r="B298" s="84" t="s">
        <v>799</v>
      </c>
      <c r="C298" s="57" t="s">
        <v>800</v>
      </c>
      <c r="D298" s="137">
        <v>3241</v>
      </c>
      <c r="E298" s="70">
        <v>1000</v>
      </c>
      <c r="F298" s="72">
        <v>0</v>
      </c>
      <c r="G298" s="73">
        <v>250</v>
      </c>
      <c r="H298" s="73">
        <v>0</v>
      </c>
      <c r="I298" s="36">
        <f t="shared" si="62"/>
        <v>4491</v>
      </c>
      <c r="J298" s="36">
        <f t="shared" si="52"/>
        <v>127.23</v>
      </c>
      <c r="K298" s="36">
        <f t="shared" ref="K298:K299" si="64">(D298+E298)*12%</f>
        <v>508.92</v>
      </c>
      <c r="L298" s="36">
        <v>0</v>
      </c>
      <c r="M298" s="36">
        <v>0</v>
      </c>
      <c r="N298" s="36">
        <f t="shared" si="53"/>
        <v>636.15</v>
      </c>
      <c r="O298" s="36">
        <f t="shared" si="56"/>
        <v>3854.85</v>
      </c>
      <c r="P298" s="74">
        <v>0</v>
      </c>
    </row>
    <row r="299" spans="1:16" ht="25.5" x14ac:dyDescent="0.2">
      <c r="A299" s="69">
        <v>289</v>
      </c>
      <c r="B299" s="99" t="s">
        <v>801</v>
      </c>
      <c r="C299" s="96" t="s">
        <v>596</v>
      </c>
      <c r="D299" s="138">
        <v>3241</v>
      </c>
      <c r="E299" s="70">
        <v>1000</v>
      </c>
      <c r="F299" s="72">
        <v>0</v>
      </c>
      <c r="G299" s="73">
        <v>250</v>
      </c>
      <c r="H299" s="73">
        <v>0</v>
      </c>
      <c r="I299" s="36">
        <f t="shared" si="62"/>
        <v>4491</v>
      </c>
      <c r="J299" s="36">
        <f t="shared" si="52"/>
        <v>127.23</v>
      </c>
      <c r="K299" s="36">
        <f t="shared" si="64"/>
        <v>508.92</v>
      </c>
      <c r="L299" s="36">
        <v>0</v>
      </c>
      <c r="M299" s="36">
        <v>0</v>
      </c>
      <c r="N299" s="36">
        <f t="shared" si="53"/>
        <v>636.15</v>
      </c>
      <c r="O299" s="36">
        <f t="shared" si="56"/>
        <v>3854.85</v>
      </c>
      <c r="P299" s="74">
        <f>1050+629+131.75</f>
        <v>1810.75</v>
      </c>
    </row>
    <row r="300" spans="1:16" ht="25.5" x14ac:dyDescent="0.2">
      <c r="A300" s="69">
        <v>290</v>
      </c>
      <c r="B300" s="57" t="s">
        <v>802</v>
      </c>
      <c r="C300" s="57" t="s">
        <v>447</v>
      </c>
      <c r="D300" s="77">
        <v>2425</v>
      </c>
      <c r="E300" s="70">
        <v>0</v>
      </c>
      <c r="F300" s="72">
        <v>0</v>
      </c>
      <c r="G300" s="73">
        <v>0</v>
      </c>
      <c r="H300" s="73">
        <v>0</v>
      </c>
      <c r="I300" s="36">
        <f t="shared" si="62"/>
        <v>2425</v>
      </c>
      <c r="J300" s="36">
        <f t="shared" si="52"/>
        <v>72.75</v>
      </c>
      <c r="K300" s="36">
        <f>D300*1%</f>
        <v>24.25</v>
      </c>
      <c r="L300" s="36">
        <v>0</v>
      </c>
      <c r="M300" s="36">
        <v>0</v>
      </c>
      <c r="N300" s="36">
        <f t="shared" si="53"/>
        <v>97</v>
      </c>
      <c r="O300" s="36">
        <f t="shared" si="56"/>
        <v>2328</v>
      </c>
      <c r="P300" s="74">
        <v>0</v>
      </c>
    </row>
    <row r="301" spans="1:16" ht="25.5" x14ac:dyDescent="0.2">
      <c r="A301" s="69">
        <v>291</v>
      </c>
      <c r="B301" s="57" t="s">
        <v>803</v>
      </c>
      <c r="C301" s="57" t="s">
        <v>804</v>
      </c>
      <c r="D301" s="70">
        <v>2760</v>
      </c>
      <c r="E301" s="70">
        <v>1000</v>
      </c>
      <c r="F301" s="72">
        <v>0</v>
      </c>
      <c r="G301" s="73">
        <v>250</v>
      </c>
      <c r="H301" s="73">
        <v>0</v>
      </c>
      <c r="I301" s="36">
        <f t="shared" si="62"/>
        <v>4010</v>
      </c>
      <c r="J301" s="36">
        <f t="shared" si="52"/>
        <v>112.8</v>
      </c>
      <c r="K301" s="36">
        <f t="shared" ref="K301:K303" si="65">(D301+E301)*11%</f>
        <v>413.6</v>
      </c>
      <c r="L301" s="36">
        <v>0</v>
      </c>
      <c r="M301" s="36">
        <v>0</v>
      </c>
      <c r="N301" s="36">
        <f t="shared" si="53"/>
        <v>526.4</v>
      </c>
      <c r="O301" s="36">
        <f t="shared" si="56"/>
        <v>3483.6</v>
      </c>
      <c r="P301" s="74">
        <v>0</v>
      </c>
    </row>
    <row r="302" spans="1:16" ht="25.5" x14ac:dyDescent="0.2">
      <c r="A302" s="69">
        <v>292</v>
      </c>
      <c r="B302" s="82" t="s">
        <v>805</v>
      </c>
      <c r="C302" s="85" t="s">
        <v>806</v>
      </c>
      <c r="D302" s="72">
        <v>1902</v>
      </c>
      <c r="E302" s="72">
        <v>1000</v>
      </c>
      <c r="F302" s="72">
        <v>0</v>
      </c>
      <c r="G302" s="72">
        <v>250</v>
      </c>
      <c r="H302" s="73">
        <v>0</v>
      </c>
      <c r="I302" s="36">
        <f t="shared" si="62"/>
        <v>3152</v>
      </c>
      <c r="J302" s="36">
        <f t="shared" si="52"/>
        <v>87.06</v>
      </c>
      <c r="K302" s="36">
        <f t="shared" si="65"/>
        <v>319.22000000000003</v>
      </c>
      <c r="L302" s="36">
        <v>0</v>
      </c>
      <c r="M302" s="36">
        <v>0</v>
      </c>
      <c r="N302" s="36">
        <f t="shared" si="53"/>
        <v>406.28</v>
      </c>
      <c r="O302" s="36">
        <f t="shared" si="56"/>
        <v>2745.72</v>
      </c>
      <c r="P302" s="74">
        <v>0</v>
      </c>
    </row>
    <row r="303" spans="1:16" ht="25.5" x14ac:dyDescent="0.2">
      <c r="A303" s="69">
        <v>293</v>
      </c>
      <c r="B303" s="82" t="s">
        <v>807</v>
      </c>
      <c r="C303" s="34" t="s">
        <v>504</v>
      </c>
      <c r="D303" s="72">
        <v>1902</v>
      </c>
      <c r="E303" s="72">
        <v>1000</v>
      </c>
      <c r="F303" s="72">
        <v>0</v>
      </c>
      <c r="G303" s="72">
        <v>250</v>
      </c>
      <c r="H303" s="73">
        <v>0</v>
      </c>
      <c r="I303" s="36">
        <f t="shared" si="62"/>
        <v>3152</v>
      </c>
      <c r="J303" s="36">
        <f t="shared" si="52"/>
        <v>87.06</v>
      </c>
      <c r="K303" s="36">
        <f t="shared" si="65"/>
        <v>319.22000000000003</v>
      </c>
      <c r="L303" s="36">
        <v>0</v>
      </c>
      <c r="M303" s="36">
        <v>0</v>
      </c>
      <c r="N303" s="36">
        <f t="shared" si="53"/>
        <v>406.28</v>
      </c>
      <c r="O303" s="36">
        <f t="shared" si="56"/>
        <v>2745.72</v>
      </c>
      <c r="P303" s="74">
        <v>0</v>
      </c>
    </row>
    <row r="304" spans="1:16" ht="25.5" x14ac:dyDescent="0.2">
      <c r="A304" s="69">
        <v>294</v>
      </c>
      <c r="B304" s="57" t="s">
        <v>808</v>
      </c>
      <c r="C304" s="57" t="s">
        <v>447</v>
      </c>
      <c r="D304" s="77">
        <v>2425</v>
      </c>
      <c r="E304" s="70">
        <v>0</v>
      </c>
      <c r="F304" s="72">
        <v>0</v>
      </c>
      <c r="G304" s="73">
        <v>0</v>
      </c>
      <c r="H304" s="73">
        <v>0</v>
      </c>
      <c r="I304" s="36">
        <f t="shared" si="62"/>
        <v>2425</v>
      </c>
      <c r="J304" s="36">
        <f t="shared" si="52"/>
        <v>72.75</v>
      </c>
      <c r="K304" s="36">
        <f>D304*11%</f>
        <v>266.75</v>
      </c>
      <c r="L304" s="36">
        <v>0</v>
      </c>
      <c r="M304" s="36">
        <v>0</v>
      </c>
      <c r="N304" s="36">
        <f t="shared" si="53"/>
        <v>339.5</v>
      </c>
      <c r="O304" s="36">
        <f t="shared" si="56"/>
        <v>2085.5</v>
      </c>
      <c r="P304" s="74">
        <v>0</v>
      </c>
    </row>
    <row r="305" spans="1:16" ht="25.5" x14ac:dyDescent="0.2">
      <c r="A305" s="69">
        <v>295</v>
      </c>
      <c r="B305" s="57" t="s">
        <v>809</v>
      </c>
      <c r="C305" s="57" t="s">
        <v>509</v>
      </c>
      <c r="D305" s="70">
        <v>3081</v>
      </c>
      <c r="E305" s="70">
        <v>1000</v>
      </c>
      <c r="F305" s="72">
        <v>0</v>
      </c>
      <c r="G305" s="73">
        <v>250</v>
      </c>
      <c r="H305" s="73">
        <v>0</v>
      </c>
      <c r="I305" s="36">
        <f t="shared" si="62"/>
        <v>4331</v>
      </c>
      <c r="J305" s="36">
        <f t="shared" si="52"/>
        <v>122.43</v>
      </c>
      <c r="K305" s="36">
        <f>(D305+E305)*12%</f>
        <v>489.72</v>
      </c>
      <c r="L305" s="36">
        <v>0</v>
      </c>
      <c r="M305" s="36">
        <v>0</v>
      </c>
      <c r="N305" s="36">
        <f t="shared" si="53"/>
        <v>612.15</v>
      </c>
      <c r="O305" s="36">
        <f t="shared" si="56"/>
        <v>3718.85</v>
      </c>
      <c r="P305" s="74">
        <v>0</v>
      </c>
    </row>
    <row r="306" spans="1:16" ht="25.5" x14ac:dyDescent="0.2">
      <c r="A306" s="69">
        <v>296</v>
      </c>
      <c r="B306" s="57" t="s">
        <v>810</v>
      </c>
      <c r="C306" s="57" t="s">
        <v>525</v>
      </c>
      <c r="D306" s="70">
        <v>2920</v>
      </c>
      <c r="E306" s="70">
        <v>1000</v>
      </c>
      <c r="F306" s="72">
        <v>0</v>
      </c>
      <c r="G306" s="73">
        <v>250</v>
      </c>
      <c r="H306" s="73">
        <v>0</v>
      </c>
      <c r="I306" s="36">
        <f t="shared" si="62"/>
        <v>4170</v>
      </c>
      <c r="J306" s="36">
        <f t="shared" si="52"/>
        <v>117.6</v>
      </c>
      <c r="K306" s="36">
        <f>(D306+E306)*11%</f>
        <v>431.2</v>
      </c>
      <c r="L306" s="36">
        <v>0</v>
      </c>
      <c r="M306" s="36">
        <v>0</v>
      </c>
      <c r="N306" s="36">
        <f t="shared" si="53"/>
        <v>548.79999999999995</v>
      </c>
      <c r="O306" s="36">
        <f t="shared" si="56"/>
        <v>3621.2</v>
      </c>
      <c r="P306" s="74">
        <v>0</v>
      </c>
    </row>
    <row r="307" spans="1:16" ht="25.5" x14ac:dyDescent="0.2">
      <c r="A307" s="69">
        <v>297</v>
      </c>
      <c r="B307" s="57" t="s">
        <v>811</v>
      </c>
      <c r="C307" s="57" t="s">
        <v>447</v>
      </c>
      <c r="D307" s="70">
        <v>2425</v>
      </c>
      <c r="E307" s="70">
        <v>0</v>
      </c>
      <c r="F307" s="72">
        <v>0</v>
      </c>
      <c r="G307" s="73">
        <v>0</v>
      </c>
      <c r="H307" s="73">
        <v>0</v>
      </c>
      <c r="I307" s="36">
        <f t="shared" si="62"/>
        <v>2425</v>
      </c>
      <c r="J307" s="36">
        <f t="shared" si="52"/>
        <v>72.75</v>
      </c>
      <c r="K307" s="36">
        <f>D307*11%</f>
        <v>266.75</v>
      </c>
      <c r="L307" s="36">
        <v>0</v>
      </c>
      <c r="M307" s="36">
        <v>0</v>
      </c>
      <c r="N307" s="36">
        <f t="shared" si="53"/>
        <v>339.5</v>
      </c>
      <c r="O307" s="36">
        <f t="shared" si="56"/>
        <v>2085.5</v>
      </c>
      <c r="P307" s="74">
        <v>0</v>
      </c>
    </row>
    <row r="308" spans="1:16" ht="25.5" x14ac:dyDescent="0.2">
      <c r="A308" s="69">
        <v>298</v>
      </c>
      <c r="B308" s="57" t="s">
        <v>812</v>
      </c>
      <c r="C308" s="57" t="s">
        <v>449</v>
      </c>
      <c r="D308" s="77">
        <v>1940</v>
      </c>
      <c r="E308" s="70">
        <v>0</v>
      </c>
      <c r="F308" s="72">
        <v>0</v>
      </c>
      <c r="G308" s="73">
        <v>0</v>
      </c>
      <c r="H308" s="73">
        <v>0</v>
      </c>
      <c r="I308" s="36">
        <f t="shared" si="62"/>
        <v>1940</v>
      </c>
      <c r="J308" s="36">
        <f t="shared" si="52"/>
        <v>58.2</v>
      </c>
      <c r="K308" s="36">
        <f>D308*10%</f>
        <v>194</v>
      </c>
      <c r="L308" s="36">
        <v>0</v>
      </c>
      <c r="M308" s="36">
        <v>0</v>
      </c>
      <c r="N308" s="36">
        <f t="shared" si="53"/>
        <v>252.2</v>
      </c>
      <c r="O308" s="36">
        <f t="shared" si="56"/>
        <v>1687.8</v>
      </c>
      <c r="P308" s="74">
        <v>0</v>
      </c>
    </row>
    <row r="309" spans="1:16" ht="25.5" x14ac:dyDescent="0.2">
      <c r="A309" s="69">
        <v>299</v>
      </c>
      <c r="B309" s="82" t="s">
        <v>813</v>
      </c>
      <c r="C309" s="83" t="s">
        <v>460</v>
      </c>
      <c r="D309" s="72">
        <v>2760</v>
      </c>
      <c r="E309" s="72">
        <v>1000</v>
      </c>
      <c r="F309" s="72">
        <v>0</v>
      </c>
      <c r="G309" s="72">
        <v>250</v>
      </c>
      <c r="H309" s="73">
        <v>0</v>
      </c>
      <c r="I309" s="36">
        <f t="shared" si="62"/>
        <v>4010</v>
      </c>
      <c r="J309" s="36">
        <f t="shared" si="52"/>
        <v>112.8</v>
      </c>
      <c r="K309" s="36">
        <f>(D309+E309)*11%</f>
        <v>413.6</v>
      </c>
      <c r="L309" s="36">
        <v>0</v>
      </c>
      <c r="M309" s="36">
        <v>0</v>
      </c>
      <c r="N309" s="36">
        <f t="shared" si="53"/>
        <v>526.4</v>
      </c>
      <c r="O309" s="36">
        <f t="shared" si="56"/>
        <v>3483.6</v>
      </c>
      <c r="P309" s="74">
        <v>0</v>
      </c>
    </row>
    <row r="310" spans="1:16" ht="25.5" x14ac:dyDescent="0.2">
      <c r="A310" s="69">
        <v>300</v>
      </c>
      <c r="B310" s="83" t="s">
        <v>814</v>
      </c>
      <c r="C310" s="57" t="s">
        <v>509</v>
      </c>
      <c r="D310" s="70">
        <v>3081</v>
      </c>
      <c r="E310" s="71">
        <v>1000</v>
      </c>
      <c r="F310" s="72">
        <v>0</v>
      </c>
      <c r="G310" s="73">
        <v>250</v>
      </c>
      <c r="H310" s="73">
        <v>0</v>
      </c>
      <c r="I310" s="36">
        <f t="shared" si="62"/>
        <v>4331</v>
      </c>
      <c r="J310" s="36">
        <f t="shared" si="52"/>
        <v>122.43</v>
      </c>
      <c r="K310" s="36">
        <f>(D310+E310)*12%</f>
        <v>489.72</v>
      </c>
      <c r="L310" s="36">
        <v>0</v>
      </c>
      <c r="M310" s="36">
        <v>0</v>
      </c>
      <c r="N310" s="36">
        <f t="shared" si="53"/>
        <v>612.15</v>
      </c>
      <c r="O310" s="36">
        <f t="shared" si="56"/>
        <v>3718.85</v>
      </c>
      <c r="P310" s="74">
        <v>0</v>
      </c>
    </row>
    <row r="311" spans="1:16" x14ac:dyDescent="0.2">
      <c r="A311" s="69">
        <v>301</v>
      </c>
      <c r="B311" s="32" t="s">
        <v>815</v>
      </c>
      <c r="C311" s="57" t="s">
        <v>490</v>
      </c>
      <c r="D311" s="72">
        <v>1668</v>
      </c>
      <c r="E311" s="72">
        <v>1000</v>
      </c>
      <c r="F311" s="72">
        <v>0</v>
      </c>
      <c r="G311" s="72">
        <v>250</v>
      </c>
      <c r="H311" s="73">
        <v>0</v>
      </c>
      <c r="I311" s="36">
        <f t="shared" si="62"/>
        <v>2918</v>
      </c>
      <c r="J311" s="36">
        <f t="shared" si="52"/>
        <v>80.040000000000006</v>
      </c>
      <c r="K311" s="36">
        <f>(D311+E311)*11%</f>
        <v>293.48</v>
      </c>
      <c r="L311" s="72">
        <v>0</v>
      </c>
      <c r="M311" s="72">
        <v>0</v>
      </c>
      <c r="N311" s="72">
        <f>SUM(J311:M311)</f>
        <v>373.52</v>
      </c>
      <c r="O311" s="72">
        <f t="shared" si="56"/>
        <v>2544.48</v>
      </c>
      <c r="P311" s="74">
        <v>0</v>
      </c>
    </row>
    <row r="312" spans="1:16" ht="25.5" x14ac:dyDescent="0.2">
      <c r="A312" s="69">
        <v>302</v>
      </c>
      <c r="B312" s="57" t="s">
        <v>816</v>
      </c>
      <c r="C312" s="57" t="s">
        <v>449</v>
      </c>
      <c r="D312" s="77">
        <v>1940</v>
      </c>
      <c r="E312" s="70">
        <v>0</v>
      </c>
      <c r="F312" s="72">
        <v>0</v>
      </c>
      <c r="G312" s="73">
        <v>0</v>
      </c>
      <c r="H312" s="73">
        <v>0</v>
      </c>
      <c r="I312" s="36">
        <f t="shared" si="62"/>
        <v>1940</v>
      </c>
      <c r="J312" s="36">
        <f t="shared" si="52"/>
        <v>58.2</v>
      </c>
      <c r="K312" s="36">
        <f>D312*10%</f>
        <v>194</v>
      </c>
      <c r="L312" s="36">
        <v>0</v>
      </c>
      <c r="M312" s="36">
        <v>0</v>
      </c>
      <c r="N312" s="36">
        <f t="shared" ref="N312:N314" si="66">J312+K312+L312+M312</f>
        <v>252.2</v>
      </c>
      <c r="O312" s="36">
        <f t="shared" si="56"/>
        <v>1687.8</v>
      </c>
      <c r="P312" s="74">
        <v>0</v>
      </c>
    </row>
    <row r="313" spans="1:16" ht="25.5" x14ac:dyDescent="0.2">
      <c r="A313" s="69">
        <v>303</v>
      </c>
      <c r="B313" s="57" t="s">
        <v>817</v>
      </c>
      <c r="C313" s="57" t="s">
        <v>447</v>
      </c>
      <c r="D313" s="77">
        <v>2425</v>
      </c>
      <c r="E313" s="70">
        <v>0</v>
      </c>
      <c r="F313" s="72">
        <v>0</v>
      </c>
      <c r="G313" s="73">
        <v>0</v>
      </c>
      <c r="H313" s="73">
        <v>0</v>
      </c>
      <c r="I313" s="36">
        <f t="shared" si="62"/>
        <v>2425</v>
      </c>
      <c r="J313" s="36">
        <f t="shared" si="52"/>
        <v>72.75</v>
      </c>
      <c r="K313" s="36">
        <f t="shared" ref="K313:K314" si="67">D313*11%</f>
        <v>266.75</v>
      </c>
      <c r="L313" s="36">
        <v>0</v>
      </c>
      <c r="M313" s="36">
        <v>0</v>
      </c>
      <c r="N313" s="36">
        <f t="shared" si="66"/>
        <v>339.5</v>
      </c>
      <c r="O313" s="36">
        <f t="shared" si="56"/>
        <v>2085.5</v>
      </c>
      <c r="P313" s="74">
        <v>0</v>
      </c>
    </row>
    <row r="314" spans="1:16" ht="25.5" x14ac:dyDescent="0.2">
      <c r="A314" s="69">
        <v>304</v>
      </c>
      <c r="B314" s="57" t="s">
        <v>818</v>
      </c>
      <c r="C314" s="57" t="s">
        <v>447</v>
      </c>
      <c r="D314" s="77">
        <v>2425</v>
      </c>
      <c r="E314" s="70">
        <v>0</v>
      </c>
      <c r="F314" s="72">
        <v>0</v>
      </c>
      <c r="G314" s="73">
        <v>0</v>
      </c>
      <c r="H314" s="73">
        <v>0</v>
      </c>
      <c r="I314" s="36">
        <f t="shared" si="62"/>
        <v>2425</v>
      </c>
      <c r="J314" s="36">
        <f t="shared" si="52"/>
        <v>72.75</v>
      </c>
      <c r="K314" s="36">
        <f t="shared" si="67"/>
        <v>266.75</v>
      </c>
      <c r="L314" s="36">
        <v>0</v>
      </c>
      <c r="M314" s="36">
        <v>0</v>
      </c>
      <c r="N314" s="36">
        <f t="shared" si="66"/>
        <v>339.5</v>
      </c>
      <c r="O314" s="36">
        <f t="shared" si="56"/>
        <v>2085.5</v>
      </c>
      <c r="P314" s="74">
        <v>0</v>
      </c>
    </row>
    <row r="315" spans="1:16" x14ac:dyDescent="0.2">
      <c r="A315" s="69">
        <v>305</v>
      </c>
      <c r="B315" s="57"/>
      <c r="C315" s="57"/>
      <c r="D315" s="77"/>
      <c r="E315" s="70"/>
      <c r="F315" s="72"/>
      <c r="G315" s="73"/>
      <c r="H315" s="73"/>
      <c r="I315" s="36"/>
      <c r="J315" s="36"/>
      <c r="K315" s="36"/>
      <c r="L315" s="36"/>
      <c r="M315" s="36"/>
      <c r="N315" s="36"/>
      <c r="O315" s="36"/>
      <c r="P315" s="74">
        <v>0</v>
      </c>
    </row>
    <row r="316" spans="1:16" x14ac:dyDescent="0.2">
      <c r="A316" s="69">
        <v>306</v>
      </c>
      <c r="B316" s="57" t="s">
        <v>819</v>
      </c>
      <c r="C316" s="57" t="s">
        <v>515</v>
      </c>
      <c r="D316" s="70">
        <v>1668</v>
      </c>
      <c r="E316" s="70">
        <v>1000</v>
      </c>
      <c r="F316" s="72">
        <v>0</v>
      </c>
      <c r="G316" s="73">
        <v>250</v>
      </c>
      <c r="H316" s="73">
        <v>0</v>
      </c>
      <c r="I316" s="36">
        <f t="shared" ref="I316:I358" si="68">SUM(D316:G316)</f>
        <v>2918</v>
      </c>
      <c r="J316" s="36">
        <f>(D316+E316)*3%</f>
        <v>80.040000000000006</v>
      </c>
      <c r="K316" s="36">
        <f>(D316+E316)*11%</f>
        <v>293.48</v>
      </c>
      <c r="L316" s="36">
        <v>0</v>
      </c>
      <c r="M316" s="36">
        <v>0</v>
      </c>
      <c r="N316" s="36">
        <f>SUM(J316:M316)</f>
        <v>373.52</v>
      </c>
      <c r="O316" s="36">
        <f t="shared" ref="O316:O334" si="69">I316-N316</f>
        <v>2544.48</v>
      </c>
      <c r="P316" s="74">
        <v>0</v>
      </c>
    </row>
    <row r="317" spans="1:16" ht="25.5" x14ac:dyDescent="0.2">
      <c r="A317" s="69">
        <v>307</v>
      </c>
      <c r="B317" s="82" t="s">
        <v>820</v>
      </c>
      <c r="C317" s="85" t="s">
        <v>599</v>
      </c>
      <c r="D317" s="72">
        <v>2920</v>
      </c>
      <c r="E317" s="72">
        <v>1000</v>
      </c>
      <c r="F317" s="72">
        <v>0</v>
      </c>
      <c r="G317" s="72">
        <v>250</v>
      </c>
      <c r="H317" s="73">
        <v>0</v>
      </c>
      <c r="I317" s="36">
        <f t="shared" si="68"/>
        <v>4170</v>
      </c>
      <c r="J317" s="36">
        <f t="shared" ref="J317:J382" si="70">(D317+E317+F317)*3%</f>
        <v>117.6</v>
      </c>
      <c r="K317" s="36">
        <f>(D317+E317+F317)*11%</f>
        <v>431.2</v>
      </c>
      <c r="L317" s="36">
        <v>0</v>
      </c>
      <c r="M317" s="36">
        <v>52.68</v>
      </c>
      <c r="N317" s="36">
        <f t="shared" ref="N317:N353" si="71">J317+K317+L317+M317</f>
        <v>601.48</v>
      </c>
      <c r="O317" s="36">
        <f t="shared" si="69"/>
        <v>3568.52</v>
      </c>
      <c r="P317" s="74">
        <v>0</v>
      </c>
    </row>
    <row r="318" spans="1:16" ht="25.5" x14ac:dyDescent="0.2">
      <c r="A318" s="69">
        <v>308</v>
      </c>
      <c r="B318" s="33" t="s">
        <v>821</v>
      </c>
      <c r="C318" s="34" t="s">
        <v>478</v>
      </c>
      <c r="D318" s="70">
        <v>2328</v>
      </c>
      <c r="E318" s="70">
        <v>0</v>
      </c>
      <c r="F318" s="72">
        <v>0</v>
      </c>
      <c r="G318" s="73">
        <v>0</v>
      </c>
      <c r="H318" s="73">
        <v>0</v>
      </c>
      <c r="I318" s="36">
        <f t="shared" si="68"/>
        <v>2328</v>
      </c>
      <c r="J318" s="36">
        <f t="shared" si="70"/>
        <v>69.84</v>
      </c>
      <c r="K318" s="36">
        <f>D318*11%</f>
        <v>256.08</v>
      </c>
      <c r="L318" s="36">
        <v>0</v>
      </c>
      <c r="M318" s="36">
        <v>0</v>
      </c>
      <c r="N318" s="36">
        <f t="shared" si="71"/>
        <v>325.92</v>
      </c>
      <c r="O318" s="36">
        <f t="shared" si="69"/>
        <v>2002.08</v>
      </c>
      <c r="P318" s="74">
        <v>0</v>
      </c>
    </row>
    <row r="319" spans="1:16" ht="25.5" x14ac:dyDescent="0.2">
      <c r="A319" s="69">
        <v>309</v>
      </c>
      <c r="B319" s="57" t="s">
        <v>822</v>
      </c>
      <c r="C319" s="85" t="s">
        <v>502</v>
      </c>
      <c r="D319" s="72">
        <v>2392</v>
      </c>
      <c r="E319" s="72">
        <v>1900</v>
      </c>
      <c r="F319" s="72">
        <v>0</v>
      </c>
      <c r="G319" s="72">
        <v>250</v>
      </c>
      <c r="H319" s="73">
        <v>0</v>
      </c>
      <c r="I319" s="36">
        <f t="shared" si="68"/>
        <v>4542</v>
      </c>
      <c r="J319" s="36">
        <f t="shared" si="70"/>
        <v>128.76</v>
      </c>
      <c r="K319" s="36">
        <f>(D319+E319+F319)*12%</f>
        <v>515.04</v>
      </c>
      <c r="L319" s="36">
        <v>0</v>
      </c>
      <c r="M319" s="36">
        <v>57.68</v>
      </c>
      <c r="N319" s="36">
        <f t="shared" si="71"/>
        <v>701.48</v>
      </c>
      <c r="O319" s="36">
        <f t="shared" si="69"/>
        <v>3840.52</v>
      </c>
      <c r="P319" s="74">
        <v>0</v>
      </c>
    </row>
    <row r="320" spans="1:16" ht="25.5" x14ac:dyDescent="0.2">
      <c r="A320" s="69">
        <v>310</v>
      </c>
      <c r="B320" s="57" t="s">
        <v>823</v>
      </c>
      <c r="C320" s="57" t="s">
        <v>449</v>
      </c>
      <c r="D320" s="77">
        <v>1940</v>
      </c>
      <c r="E320" s="70">
        <v>0</v>
      </c>
      <c r="F320" s="72">
        <v>0</v>
      </c>
      <c r="G320" s="73">
        <v>0</v>
      </c>
      <c r="H320" s="73">
        <v>0</v>
      </c>
      <c r="I320" s="36">
        <f t="shared" si="68"/>
        <v>1940</v>
      </c>
      <c r="J320" s="36">
        <f t="shared" si="70"/>
        <v>58.2</v>
      </c>
      <c r="K320" s="36">
        <f t="shared" ref="K320:K321" si="72">D320*10%</f>
        <v>194</v>
      </c>
      <c r="L320" s="36">
        <v>0</v>
      </c>
      <c r="M320" s="36">
        <v>0</v>
      </c>
      <c r="N320" s="36">
        <f t="shared" si="71"/>
        <v>252.2</v>
      </c>
      <c r="O320" s="36">
        <f t="shared" si="69"/>
        <v>1687.8</v>
      </c>
      <c r="P320" s="74">
        <v>0</v>
      </c>
    </row>
    <row r="321" spans="1:16" ht="25.5" x14ac:dyDescent="0.2">
      <c r="A321" s="69">
        <v>311</v>
      </c>
      <c r="B321" s="106" t="s">
        <v>824</v>
      </c>
      <c r="C321" s="57" t="s">
        <v>449</v>
      </c>
      <c r="D321" s="77">
        <v>1940</v>
      </c>
      <c r="E321" s="70">
        <v>0</v>
      </c>
      <c r="F321" s="72">
        <v>0</v>
      </c>
      <c r="G321" s="73">
        <v>0</v>
      </c>
      <c r="H321" s="73">
        <v>0</v>
      </c>
      <c r="I321" s="36">
        <f t="shared" si="68"/>
        <v>1940</v>
      </c>
      <c r="J321" s="36">
        <f t="shared" si="70"/>
        <v>58.2</v>
      </c>
      <c r="K321" s="36">
        <f t="shared" si="72"/>
        <v>194</v>
      </c>
      <c r="L321" s="36">
        <v>0</v>
      </c>
      <c r="M321" s="36">
        <v>0</v>
      </c>
      <c r="N321" s="36">
        <f t="shared" si="71"/>
        <v>252.2</v>
      </c>
      <c r="O321" s="36">
        <f t="shared" si="69"/>
        <v>1687.8</v>
      </c>
      <c r="P321" s="74">
        <v>0</v>
      </c>
    </row>
    <row r="322" spans="1:16" ht="25.5" x14ac:dyDescent="0.2">
      <c r="A322" s="69">
        <v>312</v>
      </c>
      <c r="B322" s="57" t="s">
        <v>825</v>
      </c>
      <c r="C322" s="57" t="s">
        <v>447</v>
      </c>
      <c r="D322" s="77">
        <v>2425</v>
      </c>
      <c r="E322" s="70">
        <v>0</v>
      </c>
      <c r="F322" s="72">
        <v>0</v>
      </c>
      <c r="G322" s="73">
        <v>0</v>
      </c>
      <c r="H322" s="73">
        <v>0</v>
      </c>
      <c r="I322" s="36">
        <f t="shared" si="68"/>
        <v>2425</v>
      </c>
      <c r="J322" s="36">
        <f t="shared" si="70"/>
        <v>72.75</v>
      </c>
      <c r="K322" s="36">
        <f>(D322+E322)*12%</f>
        <v>291</v>
      </c>
      <c r="L322" s="36">
        <v>0</v>
      </c>
      <c r="M322" s="36">
        <v>0</v>
      </c>
      <c r="N322" s="36">
        <f t="shared" si="71"/>
        <v>363.75</v>
      </c>
      <c r="O322" s="36">
        <f t="shared" si="69"/>
        <v>2061.25</v>
      </c>
      <c r="P322" s="74">
        <v>0</v>
      </c>
    </row>
    <row r="323" spans="1:16" ht="25.5" x14ac:dyDescent="0.2">
      <c r="A323" s="69">
        <v>313</v>
      </c>
      <c r="B323" s="57" t="s">
        <v>826</v>
      </c>
      <c r="C323" s="57" t="s">
        <v>493</v>
      </c>
      <c r="D323" s="70">
        <v>1831</v>
      </c>
      <c r="E323" s="70">
        <v>1000</v>
      </c>
      <c r="F323" s="72">
        <v>0</v>
      </c>
      <c r="G323" s="73">
        <v>250</v>
      </c>
      <c r="H323" s="73">
        <v>0</v>
      </c>
      <c r="I323" s="36">
        <f t="shared" si="68"/>
        <v>3081</v>
      </c>
      <c r="J323" s="36">
        <f t="shared" si="70"/>
        <v>84.93</v>
      </c>
      <c r="K323" s="36">
        <f>(D323+E323)*11%</f>
        <v>311.41000000000003</v>
      </c>
      <c r="L323" s="36">
        <v>0</v>
      </c>
      <c r="M323" s="36">
        <v>0</v>
      </c>
      <c r="N323" s="36">
        <f t="shared" si="71"/>
        <v>396.34</v>
      </c>
      <c r="O323" s="36">
        <f t="shared" si="69"/>
        <v>2684.66</v>
      </c>
      <c r="P323" s="74">
        <f>638</f>
        <v>638</v>
      </c>
    </row>
    <row r="324" spans="1:16" ht="25.5" x14ac:dyDescent="0.2">
      <c r="A324" s="69">
        <v>314</v>
      </c>
      <c r="B324" s="57" t="s">
        <v>827</v>
      </c>
      <c r="C324" s="57" t="s">
        <v>447</v>
      </c>
      <c r="D324" s="77">
        <v>2425</v>
      </c>
      <c r="E324" s="70">
        <v>0</v>
      </c>
      <c r="F324" s="72">
        <v>0</v>
      </c>
      <c r="G324" s="73">
        <v>0</v>
      </c>
      <c r="H324" s="73">
        <v>0</v>
      </c>
      <c r="I324" s="36">
        <f t="shared" si="68"/>
        <v>2425</v>
      </c>
      <c r="J324" s="36">
        <f t="shared" si="70"/>
        <v>72.75</v>
      </c>
      <c r="K324" s="36">
        <f t="shared" ref="K324:K325" si="73">D324*11%</f>
        <v>266.75</v>
      </c>
      <c r="L324" s="36">
        <v>0</v>
      </c>
      <c r="M324" s="36">
        <v>0</v>
      </c>
      <c r="N324" s="36">
        <f t="shared" si="71"/>
        <v>339.5</v>
      </c>
      <c r="O324" s="36">
        <f t="shared" si="69"/>
        <v>2085.5</v>
      </c>
      <c r="P324" s="74">
        <v>0</v>
      </c>
    </row>
    <row r="325" spans="1:16" ht="25.5" x14ac:dyDescent="0.2">
      <c r="A325" s="69">
        <v>315</v>
      </c>
      <c r="B325" s="57" t="s">
        <v>828</v>
      </c>
      <c r="C325" s="57" t="s">
        <v>447</v>
      </c>
      <c r="D325" s="77">
        <v>2425</v>
      </c>
      <c r="E325" s="70">
        <v>0</v>
      </c>
      <c r="F325" s="72">
        <v>0</v>
      </c>
      <c r="G325" s="73">
        <v>0</v>
      </c>
      <c r="H325" s="73">
        <v>0</v>
      </c>
      <c r="I325" s="36">
        <f t="shared" si="68"/>
        <v>2425</v>
      </c>
      <c r="J325" s="36">
        <f t="shared" si="70"/>
        <v>72.75</v>
      </c>
      <c r="K325" s="36">
        <f t="shared" si="73"/>
        <v>266.75</v>
      </c>
      <c r="L325" s="36">
        <v>0</v>
      </c>
      <c r="M325" s="36">
        <v>0</v>
      </c>
      <c r="N325" s="36">
        <f t="shared" si="71"/>
        <v>339.5</v>
      </c>
      <c r="O325" s="36">
        <f t="shared" si="69"/>
        <v>2085.5</v>
      </c>
      <c r="P325" s="74">
        <v>0</v>
      </c>
    </row>
    <row r="326" spans="1:16" ht="25.5" x14ac:dyDescent="0.2">
      <c r="A326" s="69">
        <v>316</v>
      </c>
      <c r="B326" s="57" t="s">
        <v>829</v>
      </c>
      <c r="C326" s="57" t="s">
        <v>738</v>
      </c>
      <c r="D326" s="70">
        <v>1981</v>
      </c>
      <c r="E326" s="70">
        <v>1000</v>
      </c>
      <c r="F326" s="72">
        <v>0</v>
      </c>
      <c r="G326" s="73">
        <v>250</v>
      </c>
      <c r="H326" s="73">
        <v>0</v>
      </c>
      <c r="I326" s="36">
        <f t="shared" si="68"/>
        <v>3231</v>
      </c>
      <c r="J326" s="36">
        <f t="shared" si="70"/>
        <v>89.43</v>
      </c>
      <c r="K326" s="36">
        <f>(D326+E326)*11%</f>
        <v>327.91</v>
      </c>
      <c r="L326" s="36">
        <v>102.92</v>
      </c>
      <c r="M326" s="36">
        <v>0</v>
      </c>
      <c r="N326" s="36">
        <f t="shared" si="71"/>
        <v>520.26</v>
      </c>
      <c r="O326" s="36">
        <f t="shared" si="69"/>
        <v>2710.74</v>
      </c>
      <c r="P326" s="74">
        <v>0</v>
      </c>
    </row>
    <row r="327" spans="1:16" ht="25.5" x14ac:dyDescent="0.2">
      <c r="A327" s="69">
        <v>317</v>
      </c>
      <c r="B327" s="139" t="s">
        <v>830</v>
      </c>
      <c r="C327" s="57" t="s">
        <v>447</v>
      </c>
      <c r="D327" s="77">
        <v>2425</v>
      </c>
      <c r="E327" s="70">
        <v>0</v>
      </c>
      <c r="F327" s="72">
        <v>0</v>
      </c>
      <c r="G327" s="73">
        <v>0</v>
      </c>
      <c r="H327" s="73">
        <v>0</v>
      </c>
      <c r="I327" s="36">
        <f t="shared" si="68"/>
        <v>2425</v>
      </c>
      <c r="J327" s="36">
        <f t="shared" si="70"/>
        <v>72.75</v>
      </c>
      <c r="K327" s="36">
        <f>D327*11%</f>
        <v>266.75</v>
      </c>
      <c r="L327" s="36">
        <v>0</v>
      </c>
      <c r="M327" s="36">
        <v>0</v>
      </c>
      <c r="N327" s="36">
        <f t="shared" si="71"/>
        <v>339.5</v>
      </c>
      <c r="O327" s="36">
        <f t="shared" si="69"/>
        <v>2085.5</v>
      </c>
      <c r="P327" s="74">
        <v>0</v>
      </c>
    </row>
    <row r="328" spans="1:16" ht="25.5" x14ac:dyDescent="0.2">
      <c r="A328" s="69">
        <v>318</v>
      </c>
      <c r="B328" s="82" t="s">
        <v>831</v>
      </c>
      <c r="C328" s="85" t="s">
        <v>513</v>
      </c>
      <c r="D328" s="72">
        <v>5095</v>
      </c>
      <c r="E328" s="72">
        <v>1800</v>
      </c>
      <c r="F328" s="72">
        <v>0</v>
      </c>
      <c r="G328" s="72">
        <v>250</v>
      </c>
      <c r="H328" s="73">
        <v>0</v>
      </c>
      <c r="I328" s="36">
        <f t="shared" si="68"/>
        <v>7145</v>
      </c>
      <c r="J328" s="36">
        <f t="shared" si="70"/>
        <v>206.85</v>
      </c>
      <c r="K328" s="36">
        <f>(D328+E328)*13%</f>
        <v>896.35</v>
      </c>
      <c r="L328" s="36">
        <v>102.92</v>
      </c>
      <c r="M328" s="36">
        <v>92.67</v>
      </c>
      <c r="N328" s="36">
        <f t="shared" si="71"/>
        <v>1298.79</v>
      </c>
      <c r="O328" s="36">
        <f t="shared" si="69"/>
        <v>5846.21</v>
      </c>
      <c r="P328" s="74">
        <v>0</v>
      </c>
    </row>
    <row r="329" spans="1:16" ht="25.5" x14ac:dyDescent="0.2">
      <c r="A329" s="69">
        <v>319</v>
      </c>
      <c r="B329" s="57" t="s">
        <v>832</v>
      </c>
      <c r="C329" s="57" t="s">
        <v>447</v>
      </c>
      <c r="D329" s="77">
        <v>2425</v>
      </c>
      <c r="E329" s="70">
        <v>0</v>
      </c>
      <c r="F329" s="72">
        <v>0</v>
      </c>
      <c r="G329" s="73">
        <v>0</v>
      </c>
      <c r="H329" s="73">
        <v>0</v>
      </c>
      <c r="I329" s="36">
        <f t="shared" si="68"/>
        <v>2425</v>
      </c>
      <c r="J329" s="36">
        <f t="shared" si="70"/>
        <v>72.75</v>
      </c>
      <c r="K329" s="36">
        <f t="shared" ref="K329:K330" si="74">D329*11%</f>
        <v>266.75</v>
      </c>
      <c r="L329" s="36">
        <v>0</v>
      </c>
      <c r="M329" s="36">
        <v>0</v>
      </c>
      <c r="N329" s="36">
        <f t="shared" si="71"/>
        <v>339.5</v>
      </c>
      <c r="O329" s="36">
        <f t="shared" si="69"/>
        <v>2085.5</v>
      </c>
      <c r="P329" s="74">
        <v>0</v>
      </c>
    </row>
    <row r="330" spans="1:16" ht="25.5" x14ac:dyDescent="0.2">
      <c r="A330" s="69">
        <v>320</v>
      </c>
      <c r="B330" s="57" t="s">
        <v>833</v>
      </c>
      <c r="C330" s="34" t="s">
        <v>478</v>
      </c>
      <c r="D330" s="77">
        <v>2328</v>
      </c>
      <c r="E330" s="70">
        <v>0</v>
      </c>
      <c r="F330" s="72">
        <v>0</v>
      </c>
      <c r="G330" s="73">
        <v>0</v>
      </c>
      <c r="H330" s="73">
        <v>0</v>
      </c>
      <c r="I330" s="36">
        <f t="shared" si="68"/>
        <v>2328</v>
      </c>
      <c r="J330" s="36">
        <f t="shared" si="70"/>
        <v>69.84</v>
      </c>
      <c r="K330" s="36">
        <f t="shared" si="74"/>
        <v>256.08</v>
      </c>
      <c r="L330" s="36">
        <v>0</v>
      </c>
      <c r="M330" s="36">
        <v>0</v>
      </c>
      <c r="N330" s="36">
        <f t="shared" si="71"/>
        <v>325.92</v>
      </c>
      <c r="O330" s="36">
        <f t="shared" si="69"/>
        <v>2002.08</v>
      </c>
      <c r="P330" s="74">
        <v>0</v>
      </c>
    </row>
    <row r="331" spans="1:16" ht="25.5" x14ac:dyDescent="0.2">
      <c r="A331" s="69">
        <v>321</v>
      </c>
      <c r="B331" s="57" t="s">
        <v>834</v>
      </c>
      <c r="C331" s="57" t="s">
        <v>449</v>
      </c>
      <c r="D331" s="77">
        <v>1940</v>
      </c>
      <c r="E331" s="70">
        <v>0</v>
      </c>
      <c r="F331" s="72">
        <v>0</v>
      </c>
      <c r="G331" s="73">
        <v>0</v>
      </c>
      <c r="H331" s="73">
        <v>0</v>
      </c>
      <c r="I331" s="36">
        <f t="shared" si="68"/>
        <v>1940</v>
      </c>
      <c r="J331" s="36">
        <f t="shared" si="70"/>
        <v>58.2</v>
      </c>
      <c r="K331" s="36">
        <f>D331*10%</f>
        <v>194</v>
      </c>
      <c r="L331" s="36">
        <v>0</v>
      </c>
      <c r="M331" s="36">
        <v>0</v>
      </c>
      <c r="N331" s="36">
        <f t="shared" si="71"/>
        <v>252.2</v>
      </c>
      <c r="O331" s="36">
        <f t="shared" si="69"/>
        <v>1687.8</v>
      </c>
      <c r="P331" s="74">
        <v>0</v>
      </c>
    </row>
    <row r="332" spans="1:16" ht="25.5" x14ac:dyDescent="0.2">
      <c r="A332" s="69">
        <v>322</v>
      </c>
      <c r="B332" s="83" t="s">
        <v>835</v>
      </c>
      <c r="C332" s="57" t="s">
        <v>454</v>
      </c>
      <c r="D332" s="70">
        <v>2249</v>
      </c>
      <c r="E332" s="71">
        <v>1000</v>
      </c>
      <c r="F332" s="72">
        <v>0</v>
      </c>
      <c r="G332" s="73">
        <v>250</v>
      </c>
      <c r="H332" s="73">
        <v>0</v>
      </c>
      <c r="I332" s="36">
        <f t="shared" si="68"/>
        <v>3499</v>
      </c>
      <c r="J332" s="36">
        <f t="shared" si="70"/>
        <v>97.47</v>
      </c>
      <c r="K332" s="36">
        <f>(D332+E332)*11%</f>
        <v>357.39</v>
      </c>
      <c r="L332" s="36">
        <v>0</v>
      </c>
      <c r="M332" s="36">
        <v>0</v>
      </c>
      <c r="N332" s="36">
        <f t="shared" si="71"/>
        <v>454.86</v>
      </c>
      <c r="O332" s="36">
        <f t="shared" si="69"/>
        <v>3044.14</v>
      </c>
      <c r="P332" s="74">
        <v>0</v>
      </c>
    </row>
    <row r="333" spans="1:16" ht="25.5" x14ac:dyDescent="0.2">
      <c r="A333" s="69">
        <v>323</v>
      </c>
      <c r="B333" s="33" t="s">
        <v>836</v>
      </c>
      <c r="C333" s="57" t="s">
        <v>718</v>
      </c>
      <c r="D333" s="91">
        <v>2920</v>
      </c>
      <c r="E333" s="70">
        <v>1000</v>
      </c>
      <c r="F333" s="72">
        <v>0</v>
      </c>
      <c r="G333" s="73">
        <v>250</v>
      </c>
      <c r="H333" s="73">
        <v>0</v>
      </c>
      <c r="I333" s="36">
        <f t="shared" si="68"/>
        <v>4170</v>
      </c>
      <c r="J333" s="36">
        <f t="shared" si="70"/>
        <v>117.6</v>
      </c>
      <c r="K333" s="36">
        <f t="shared" ref="K333:K335" si="75">(D333+E333)*12%</f>
        <v>470.4</v>
      </c>
      <c r="L333" s="36">
        <v>0</v>
      </c>
      <c r="M333" s="36">
        <v>52.68</v>
      </c>
      <c r="N333" s="36">
        <f t="shared" si="71"/>
        <v>640.67999999999995</v>
      </c>
      <c r="O333" s="36">
        <f t="shared" si="69"/>
        <v>3529.32</v>
      </c>
      <c r="P333" s="74">
        <v>0</v>
      </c>
    </row>
    <row r="334" spans="1:16" ht="25.5" x14ac:dyDescent="0.2">
      <c r="A334" s="69">
        <v>324</v>
      </c>
      <c r="B334" s="57" t="s">
        <v>837</v>
      </c>
      <c r="C334" s="85" t="s">
        <v>496</v>
      </c>
      <c r="D334" s="70">
        <v>3081</v>
      </c>
      <c r="E334" s="71">
        <v>1000</v>
      </c>
      <c r="F334" s="72">
        <v>0</v>
      </c>
      <c r="G334" s="73">
        <v>250</v>
      </c>
      <c r="H334" s="73">
        <v>0</v>
      </c>
      <c r="I334" s="36">
        <f t="shared" si="68"/>
        <v>4331</v>
      </c>
      <c r="J334" s="36">
        <f t="shared" si="70"/>
        <v>122.43</v>
      </c>
      <c r="K334" s="36">
        <f t="shared" si="75"/>
        <v>489.72</v>
      </c>
      <c r="L334" s="36">
        <v>126.89</v>
      </c>
      <c r="M334" s="36">
        <v>101.97</v>
      </c>
      <c r="N334" s="36">
        <f t="shared" si="71"/>
        <v>841.01</v>
      </c>
      <c r="O334" s="36">
        <f t="shared" si="69"/>
        <v>3489.99</v>
      </c>
      <c r="P334" s="74">
        <f>622.58</f>
        <v>622.58000000000004</v>
      </c>
    </row>
    <row r="335" spans="1:16" ht="25.5" x14ac:dyDescent="0.2">
      <c r="A335" s="69">
        <v>325</v>
      </c>
      <c r="B335" s="57" t="s">
        <v>838</v>
      </c>
      <c r="C335" s="57" t="s">
        <v>839</v>
      </c>
      <c r="D335" s="70">
        <v>3241</v>
      </c>
      <c r="E335" s="71">
        <v>1000</v>
      </c>
      <c r="F335" s="72">
        <v>0</v>
      </c>
      <c r="G335" s="73">
        <v>250</v>
      </c>
      <c r="H335" s="73">
        <v>0</v>
      </c>
      <c r="I335" s="36">
        <f t="shared" si="68"/>
        <v>4491</v>
      </c>
      <c r="J335" s="36">
        <f t="shared" si="70"/>
        <v>127.23</v>
      </c>
      <c r="K335" s="36">
        <f t="shared" si="75"/>
        <v>508.92</v>
      </c>
      <c r="L335" s="36">
        <v>0</v>
      </c>
      <c r="M335" s="36">
        <v>0</v>
      </c>
      <c r="N335" s="36">
        <f t="shared" si="71"/>
        <v>636.15</v>
      </c>
      <c r="O335" s="36">
        <f>SUM(D335:N335)</f>
        <v>10254.299999999999</v>
      </c>
      <c r="P335" s="74">
        <v>0</v>
      </c>
    </row>
    <row r="336" spans="1:16" ht="25.5" x14ac:dyDescent="0.2">
      <c r="A336" s="69">
        <v>326</v>
      </c>
      <c r="B336" s="57" t="s">
        <v>840</v>
      </c>
      <c r="C336" s="57" t="s">
        <v>449</v>
      </c>
      <c r="D336" s="70">
        <v>1940</v>
      </c>
      <c r="E336" s="70">
        <v>0</v>
      </c>
      <c r="F336" s="72">
        <v>0</v>
      </c>
      <c r="G336" s="73">
        <v>0</v>
      </c>
      <c r="H336" s="73">
        <v>0</v>
      </c>
      <c r="I336" s="36">
        <f t="shared" si="68"/>
        <v>1940</v>
      </c>
      <c r="J336" s="36">
        <f t="shared" si="70"/>
        <v>58.2</v>
      </c>
      <c r="K336" s="36">
        <f t="shared" ref="K336:K337" si="76">D336*10%</f>
        <v>194</v>
      </c>
      <c r="L336" s="36">
        <v>0</v>
      </c>
      <c r="M336" s="36">
        <v>0</v>
      </c>
      <c r="N336" s="36">
        <f t="shared" si="71"/>
        <v>252.2</v>
      </c>
      <c r="O336" s="36">
        <f t="shared" ref="O336:O367" si="77">I336-N336</f>
        <v>1687.8</v>
      </c>
      <c r="P336" s="74">
        <v>0</v>
      </c>
    </row>
    <row r="337" spans="1:16" ht="25.5" x14ac:dyDescent="0.2">
      <c r="A337" s="69">
        <v>327</v>
      </c>
      <c r="B337" s="57" t="s">
        <v>841</v>
      </c>
      <c r="C337" s="57" t="s">
        <v>449</v>
      </c>
      <c r="D337" s="70">
        <v>1940</v>
      </c>
      <c r="E337" s="70">
        <v>0</v>
      </c>
      <c r="F337" s="72">
        <v>0</v>
      </c>
      <c r="G337" s="73">
        <v>0</v>
      </c>
      <c r="H337" s="73">
        <v>0</v>
      </c>
      <c r="I337" s="36">
        <f t="shared" si="68"/>
        <v>1940</v>
      </c>
      <c r="J337" s="36">
        <f t="shared" si="70"/>
        <v>58.2</v>
      </c>
      <c r="K337" s="36">
        <f t="shared" si="76"/>
        <v>194</v>
      </c>
      <c r="L337" s="36">
        <v>0</v>
      </c>
      <c r="M337" s="36">
        <v>0</v>
      </c>
      <c r="N337" s="36">
        <f t="shared" si="71"/>
        <v>252.2</v>
      </c>
      <c r="O337" s="36">
        <f t="shared" si="77"/>
        <v>1687.8</v>
      </c>
      <c r="P337" s="74">
        <v>0</v>
      </c>
    </row>
    <row r="338" spans="1:16" ht="25.5" x14ac:dyDescent="0.2">
      <c r="A338" s="69">
        <v>328</v>
      </c>
      <c r="B338" s="92" t="s">
        <v>842</v>
      </c>
      <c r="C338" s="85" t="s">
        <v>520</v>
      </c>
      <c r="D338" s="72">
        <v>2920</v>
      </c>
      <c r="E338" s="72">
        <v>1000</v>
      </c>
      <c r="F338" s="72">
        <v>0</v>
      </c>
      <c r="G338" s="72">
        <v>250</v>
      </c>
      <c r="H338" s="73">
        <v>0</v>
      </c>
      <c r="I338" s="36">
        <f t="shared" si="68"/>
        <v>4170</v>
      </c>
      <c r="J338" s="36">
        <f t="shared" si="70"/>
        <v>117.6</v>
      </c>
      <c r="K338" s="36">
        <f t="shared" ref="K338:K340" si="78">(D338+E338)*11%</f>
        <v>431.2</v>
      </c>
      <c r="L338" s="36">
        <v>0</v>
      </c>
      <c r="M338" s="36">
        <v>52.68</v>
      </c>
      <c r="N338" s="36">
        <f t="shared" si="71"/>
        <v>601.48</v>
      </c>
      <c r="O338" s="36">
        <f t="shared" si="77"/>
        <v>3568.52</v>
      </c>
      <c r="P338" s="74">
        <v>0</v>
      </c>
    </row>
    <row r="339" spans="1:16" x14ac:dyDescent="0.2">
      <c r="A339" s="69">
        <v>329</v>
      </c>
      <c r="B339" s="57" t="s">
        <v>843</v>
      </c>
      <c r="C339" s="57" t="s">
        <v>490</v>
      </c>
      <c r="D339" s="70">
        <v>1668</v>
      </c>
      <c r="E339" s="70">
        <v>1000</v>
      </c>
      <c r="F339" s="72">
        <v>0</v>
      </c>
      <c r="G339" s="73">
        <v>250</v>
      </c>
      <c r="H339" s="73">
        <v>0</v>
      </c>
      <c r="I339" s="36">
        <f t="shared" si="68"/>
        <v>2918</v>
      </c>
      <c r="J339" s="36">
        <f t="shared" si="70"/>
        <v>80.040000000000006</v>
      </c>
      <c r="K339" s="36">
        <f t="shared" si="78"/>
        <v>293.48</v>
      </c>
      <c r="L339" s="36">
        <v>0</v>
      </c>
      <c r="M339" s="36">
        <v>0</v>
      </c>
      <c r="N339" s="36">
        <f t="shared" si="71"/>
        <v>373.52</v>
      </c>
      <c r="O339" s="36">
        <f t="shared" si="77"/>
        <v>2544.48</v>
      </c>
      <c r="P339" s="74">
        <v>0</v>
      </c>
    </row>
    <row r="340" spans="1:16" x14ac:dyDescent="0.2">
      <c r="A340" s="69">
        <v>330</v>
      </c>
      <c r="B340" s="57" t="s">
        <v>844</v>
      </c>
      <c r="C340" s="57" t="s">
        <v>490</v>
      </c>
      <c r="D340" s="36">
        <v>1668</v>
      </c>
      <c r="E340" s="36">
        <v>1000</v>
      </c>
      <c r="F340" s="72">
        <v>0</v>
      </c>
      <c r="G340" s="73">
        <v>250</v>
      </c>
      <c r="H340" s="73">
        <v>0</v>
      </c>
      <c r="I340" s="36">
        <f t="shared" si="68"/>
        <v>2918</v>
      </c>
      <c r="J340" s="36">
        <f t="shared" si="70"/>
        <v>80.040000000000006</v>
      </c>
      <c r="K340" s="36">
        <f t="shared" si="78"/>
        <v>293.48</v>
      </c>
      <c r="L340" s="36">
        <v>0</v>
      </c>
      <c r="M340" s="36">
        <v>0</v>
      </c>
      <c r="N340" s="36">
        <f t="shared" si="71"/>
        <v>373.52</v>
      </c>
      <c r="O340" s="36">
        <f t="shared" si="77"/>
        <v>2544.48</v>
      </c>
      <c r="P340" s="74">
        <v>0</v>
      </c>
    </row>
    <row r="341" spans="1:16" ht="25.5" x14ac:dyDescent="0.2">
      <c r="A341" s="69">
        <v>331</v>
      </c>
      <c r="B341" s="82" t="s">
        <v>845</v>
      </c>
      <c r="C341" s="57" t="s">
        <v>596</v>
      </c>
      <c r="D341" s="72">
        <v>3241</v>
      </c>
      <c r="E341" s="72">
        <v>1000</v>
      </c>
      <c r="F341" s="72">
        <v>0</v>
      </c>
      <c r="G341" s="72">
        <v>250</v>
      </c>
      <c r="H341" s="73">
        <v>0</v>
      </c>
      <c r="I341" s="36">
        <f t="shared" si="68"/>
        <v>4491</v>
      </c>
      <c r="J341" s="36">
        <f t="shared" si="70"/>
        <v>127.23</v>
      </c>
      <c r="K341" s="36">
        <f>(D341+E341)*12%</f>
        <v>508.92</v>
      </c>
      <c r="L341" s="36">
        <v>0</v>
      </c>
      <c r="M341" s="36">
        <v>0</v>
      </c>
      <c r="N341" s="36">
        <f t="shared" si="71"/>
        <v>636.15</v>
      </c>
      <c r="O341" s="36">
        <f t="shared" si="77"/>
        <v>3854.85</v>
      </c>
      <c r="P341" s="74">
        <v>0</v>
      </c>
    </row>
    <row r="342" spans="1:16" ht="25.5" x14ac:dyDescent="0.2">
      <c r="A342" s="69">
        <v>332</v>
      </c>
      <c r="B342" s="34" t="s">
        <v>846</v>
      </c>
      <c r="C342" s="85" t="s">
        <v>496</v>
      </c>
      <c r="D342" s="72">
        <v>3081</v>
      </c>
      <c r="E342" s="72">
        <v>1000</v>
      </c>
      <c r="F342" s="72">
        <v>0</v>
      </c>
      <c r="G342" s="72">
        <v>250</v>
      </c>
      <c r="H342" s="73">
        <v>0</v>
      </c>
      <c r="I342" s="36">
        <f t="shared" si="68"/>
        <v>4331</v>
      </c>
      <c r="J342" s="36">
        <f t="shared" si="70"/>
        <v>122.43</v>
      </c>
      <c r="K342" s="36">
        <f>(D342+E342+F342)*12%</f>
        <v>489.72</v>
      </c>
      <c r="L342" s="36">
        <v>0</v>
      </c>
      <c r="M342" s="36">
        <v>54.85</v>
      </c>
      <c r="N342" s="36">
        <f t="shared" si="71"/>
        <v>667</v>
      </c>
      <c r="O342" s="36">
        <f t="shared" si="77"/>
        <v>3664</v>
      </c>
      <c r="P342" s="74">
        <v>0</v>
      </c>
    </row>
    <row r="343" spans="1:16" ht="25.5" x14ac:dyDescent="0.2">
      <c r="A343" s="69">
        <v>333</v>
      </c>
      <c r="B343" s="33" t="s">
        <v>847</v>
      </c>
      <c r="C343" s="57" t="s">
        <v>594</v>
      </c>
      <c r="D343" s="97">
        <v>2375</v>
      </c>
      <c r="E343" s="98">
        <v>1000</v>
      </c>
      <c r="F343" s="72">
        <v>0</v>
      </c>
      <c r="G343" s="72">
        <v>250</v>
      </c>
      <c r="H343" s="73">
        <v>0</v>
      </c>
      <c r="I343" s="36">
        <f t="shared" si="68"/>
        <v>3625</v>
      </c>
      <c r="J343" s="36">
        <f t="shared" si="70"/>
        <v>101.25</v>
      </c>
      <c r="K343" s="36">
        <f>(D343+E343+F343)*11%</f>
        <v>371.25</v>
      </c>
      <c r="L343" s="36">
        <v>0</v>
      </c>
      <c r="M343" s="36">
        <v>0</v>
      </c>
      <c r="N343" s="36">
        <f t="shared" si="71"/>
        <v>472.5</v>
      </c>
      <c r="O343" s="36">
        <f t="shared" si="77"/>
        <v>3152.5</v>
      </c>
      <c r="P343" s="74">
        <v>0</v>
      </c>
    </row>
    <row r="344" spans="1:16" ht="25.5" x14ac:dyDescent="0.2">
      <c r="A344" s="69">
        <v>334</v>
      </c>
      <c r="B344" s="57" t="s">
        <v>848</v>
      </c>
      <c r="C344" s="57" t="s">
        <v>474</v>
      </c>
      <c r="D344" s="70">
        <v>2760</v>
      </c>
      <c r="E344" s="70">
        <v>1000</v>
      </c>
      <c r="F344" s="72">
        <v>0</v>
      </c>
      <c r="G344" s="73">
        <v>250</v>
      </c>
      <c r="H344" s="73">
        <v>0</v>
      </c>
      <c r="I344" s="36">
        <f t="shared" si="68"/>
        <v>4010</v>
      </c>
      <c r="J344" s="36">
        <f t="shared" si="70"/>
        <v>112.8</v>
      </c>
      <c r="K344" s="36">
        <f>(D344+E344)*11%</f>
        <v>413.6</v>
      </c>
      <c r="L344" s="36">
        <v>0</v>
      </c>
      <c r="M344" s="36">
        <v>0</v>
      </c>
      <c r="N344" s="36">
        <f t="shared" si="71"/>
        <v>526.4</v>
      </c>
      <c r="O344" s="36">
        <f t="shared" si="77"/>
        <v>3483.6</v>
      </c>
      <c r="P344" s="74">
        <v>0</v>
      </c>
    </row>
    <row r="345" spans="1:16" ht="25.5" x14ac:dyDescent="0.2">
      <c r="A345" s="69">
        <v>335</v>
      </c>
      <c r="B345" s="57" t="s">
        <v>849</v>
      </c>
      <c r="C345" s="57" t="s">
        <v>447</v>
      </c>
      <c r="D345" s="70">
        <v>2425</v>
      </c>
      <c r="E345" s="70">
        <v>0</v>
      </c>
      <c r="F345" s="72">
        <v>0</v>
      </c>
      <c r="G345" s="73">
        <v>0</v>
      </c>
      <c r="H345" s="73">
        <v>0</v>
      </c>
      <c r="I345" s="36">
        <f t="shared" si="68"/>
        <v>2425</v>
      </c>
      <c r="J345" s="36">
        <f t="shared" si="70"/>
        <v>72.75</v>
      </c>
      <c r="K345" s="36">
        <f>D345*11%</f>
        <v>266.75</v>
      </c>
      <c r="L345" s="36">
        <v>0</v>
      </c>
      <c r="M345" s="36">
        <v>0</v>
      </c>
      <c r="N345" s="36">
        <f t="shared" si="71"/>
        <v>339.5</v>
      </c>
      <c r="O345" s="36">
        <f t="shared" si="77"/>
        <v>2085.5</v>
      </c>
      <c r="P345" s="74">
        <v>0</v>
      </c>
    </row>
    <row r="346" spans="1:16" ht="25.5" x14ac:dyDescent="0.2">
      <c r="A346" s="69">
        <v>336</v>
      </c>
      <c r="B346" s="83" t="s">
        <v>850</v>
      </c>
      <c r="C346" s="57" t="s">
        <v>498</v>
      </c>
      <c r="D346" s="70">
        <v>3241</v>
      </c>
      <c r="E346" s="71">
        <v>1000</v>
      </c>
      <c r="F346" s="72">
        <v>0</v>
      </c>
      <c r="G346" s="73">
        <v>250</v>
      </c>
      <c r="H346" s="73">
        <v>0</v>
      </c>
      <c r="I346" s="36">
        <f t="shared" si="68"/>
        <v>4491</v>
      </c>
      <c r="J346" s="36">
        <f t="shared" si="70"/>
        <v>127.23</v>
      </c>
      <c r="K346" s="36">
        <f>(D346+E346)*12%</f>
        <v>508.92</v>
      </c>
      <c r="L346" s="36">
        <v>0</v>
      </c>
      <c r="M346" s="36">
        <v>0</v>
      </c>
      <c r="N346" s="36">
        <f t="shared" si="71"/>
        <v>636.15</v>
      </c>
      <c r="O346" s="36">
        <f t="shared" si="77"/>
        <v>3854.85</v>
      </c>
      <c r="P346" s="74">
        <v>0</v>
      </c>
    </row>
    <row r="347" spans="1:16" ht="25.5" x14ac:dyDescent="0.2">
      <c r="A347" s="69">
        <v>337</v>
      </c>
      <c r="B347" s="83" t="s">
        <v>851</v>
      </c>
      <c r="C347" s="57" t="s">
        <v>447</v>
      </c>
      <c r="D347" s="70">
        <v>2425</v>
      </c>
      <c r="E347" s="70">
        <v>0</v>
      </c>
      <c r="F347" s="72">
        <v>0</v>
      </c>
      <c r="G347" s="73">
        <v>0</v>
      </c>
      <c r="H347" s="73">
        <v>0</v>
      </c>
      <c r="I347" s="36">
        <f t="shared" si="68"/>
        <v>2425</v>
      </c>
      <c r="J347" s="36">
        <f t="shared" si="70"/>
        <v>72.75</v>
      </c>
      <c r="K347" s="36">
        <f t="shared" ref="K347:K348" si="79">D347*11%</f>
        <v>266.75</v>
      </c>
      <c r="L347" s="36">
        <v>0</v>
      </c>
      <c r="M347" s="36">
        <v>0</v>
      </c>
      <c r="N347" s="36">
        <f t="shared" si="71"/>
        <v>339.5</v>
      </c>
      <c r="O347" s="36">
        <f t="shared" si="77"/>
        <v>2085.5</v>
      </c>
      <c r="P347" s="74">
        <v>0</v>
      </c>
    </row>
    <row r="348" spans="1:16" ht="25.5" x14ac:dyDescent="0.2">
      <c r="A348" s="69">
        <v>338</v>
      </c>
      <c r="B348" s="57" t="s">
        <v>852</v>
      </c>
      <c r="C348" s="57" t="s">
        <v>447</v>
      </c>
      <c r="D348" s="70">
        <v>2425</v>
      </c>
      <c r="E348" s="70">
        <v>0</v>
      </c>
      <c r="F348" s="72">
        <v>0</v>
      </c>
      <c r="G348" s="73">
        <v>0</v>
      </c>
      <c r="H348" s="73">
        <v>0</v>
      </c>
      <c r="I348" s="36">
        <f t="shared" si="68"/>
        <v>2425</v>
      </c>
      <c r="J348" s="36">
        <f t="shared" si="70"/>
        <v>72.75</v>
      </c>
      <c r="K348" s="36">
        <f t="shared" si="79"/>
        <v>266.75</v>
      </c>
      <c r="L348" s="36">
        <v>0</v>
      </c>
      <c r="M348" s="36">
        <v>0</v>
      </c>
      <c r="N348" s="36">
        <f t="shared" si="71"/>
        <v>339.5</v>
      </c>
      <c r="O348" s="36">
        <f t="shared" si="77"/>
        <v>2085.5</v>
      </c>
      <c r="P348" s="74">
        <v>0</v>
      </c>
    </row>
    <row r="349" spans="1:16" ht="25.5" x14ac:dyDescent="0.2">
      <c r="A349" s="69">
        <v>339</v>
      </c>
      <c r="B349" s="33" t="s">
        <v>853</v>
      </c>
      <c r="C349" s="85" t="s">
        <v>520</v>
      </c>
      <c r="D349" s="105">
        <v>2920</v>
      </c>
      <c r="E349" s="71">
        <v>1000</v>
      </c>
      <c r="F349" s="72">
        <v>0</v>
      </c>
      <c r="G349" s="73">
        <v>250</v>
      </c>
      <c r="H349" s="73">
        <v>0</v>
      </c>
      <c r="I349" s="36">
        <f t="shared" si="68"/>
        <v>4170</v>
      </c>
      <c r="J349" s="36">
        <f t="shared" si="70"/>
        <v>117.6</v>
      </c>
      <c r="K349" s="36">
        <f t="shared" ref="K349:K350" si="80">(D349+E349)*12%</f>
        <v>470.4</v>
      </c>
      <c r="L349" s="36">
        <v>0</v>
      </c>
      <c r="M349" s="36">
        <v>52.68</v>
      </c>
      <c r="N349" s="36">
        <f t="shared" si="71"/>
        <v>640.67999999999995</v>
      </c>
      <c r="O349" s="36">
        <f t="shared" si="77"/>
        <v>3529.32</v>
      </c>
      <c r="P349" s="74">
        <v>0</v>
      </c>
    </row>
    <row r="350" spans="1:16" ht="25.5" x14ac:dyDescent="0.2">
      <c r="A350" s="69">
        <v>340</v>
      </c>
      <c r="B350" s="106" t="s">
        <v>854</v>
      </c>
      <c r="C350" s="85" t="s">
        <v>496</v>
      </c>
      <c r="D350" s="72">
        <v>3081</v>
      </c>
      <c r="E350" s="72">
        <v>1000</v>
      </c>
      <c r="F350" s="72">
        <v>0</v>
      </c>
      <c r="G350" s="72">
        <v>250</v>
      </c>
      <c r="H350" s="73">
        <v>0</v>
      </c>
      <c r="I350" s="36">
        <f t="shared" si="68"/>
        <v>4331</v>
      </c>
      <c r="J350" s="36">
        <f t="shared" si="70"/>
        <v>122.43</v>
      </c>
      <c r="K350" s="36">
        <f t="shared" si="80"/>
        <v>489.72</v>
      </c>
      <c r="L350" s="36">
        <v>0</v>
      </c>
      <c r="M350" s="36">
        <v>0</v>
      </c>
      <c r="N350" s="36">
        <f t="shared" si="71"/>
        <v>612.15</v>
      </c>
      <c r="O350" s="36">
        <f t="shared" si="77"/>
        <v>3718.85</v>
      </c>
      <c r="P350" s="74">
        <v>0</v>
      </c>
    </row>
    <row r="351" spans="1:16" ht="25.5" x14ac:dyDescent="0.2">
      <c r="A351" s="69">
        <v>341</v>
      </c>
      <c r="B351" s="57" t="s">
        <v>855</v>
      </c>
      <c r="C351" s="57" t="s">
        <v>447</v>
      </c>
      <c r="D351" s="70">
        <v>2425</v>
      </c>
      <c r="E351" s="70">
        <v>0</v>
      </c>
      <c r="F351" s="72">
        <v>0</v>
      </c>
      <c r="G351" s="73">
        <v>0</v>
      </c>
      <c r="H351" s="73">
        <v>0</v>
      </c>
      <c r="I351" s="36">
        <f t="shared" si="68"/>
        <v>2425</v>
      </c>
      <c r="J351" s="36">
        <f t="shared" si="70"/>
        <v>72.75</v>
      </c>
      <c r="K351" s="36">
        <f>D351*11%</f>
        <v>266.75</v>
      </c>
      <c r="L351" s="36">
        <v>0</v>
      </c>
      <c r="M351" s="36">
        <v>0</v>
      </c>
      <c r="N351" s="36">
        <f t="shared" si="71"/>
        <v>339.5</v>
      </c>
      <c r="O351" s="36">
        <f t="shared" si="77"/>
        <v>2085.5</v>
      </c>
      <c r="P351" s="74">
        <v>0</v>
      </c>
    </row>
    <row r="352" spans="1:16" ht="25.5" x14ac:dyDescent="0.2">
      <c r="A352" s="69">
        <v>342</v>
      </c>
      <c r="B352" s="57" t="s">
        <v>856</v>
      </c>
      <c r="C352" s="57" t="s">
        <v>474</v>
      </c>
      <c r="D352" s="70">
        <v>2760</v>
      </c>
      <c r="E352" s="70">
        <v>1000</v>
      </c>
      <c r="F352" s="72">
        <v>0</v>
      </c>
      <c r="G352" s="73">
        <v>250</v>
      </c>
      <c r="H352" s="73">
        <v>0</v>
      </c>
      <c r="I352" s="36">
        <f t="shared" si="68"/>
        <v>4010</v>
      </c>
      <c r="J352" s="36">
        <f t="shared" si="70"/>
        <v>112.8</v>
      </c>
      <c r="K352" s="36">
        <f>(D352+E352)*11%</f>
        <v>413.6</v>
      </c>
      <c r="L352" s="36">
        <v>0</v>
      </c>
      <c r="M352" s="36">
        <v>50.53</v>
      </c>
      <c r="N352" s="36">
        <f t="shared" si="71"/>
        <v>576.92999999999995</v>
      </c>
      <c r="O352" s="36">
        <f t="shared" si="77"/>
        <v>3433.07</v>
      </c>
      <c r="P352" s="74">
        <v>0</v>
      </c>
    </row>
    <row r="353" spans="1:16" ht="25.5" x14ac:dyDescent="0.2">
      <c r="A353" s="69">
        <v>343</v>
      </c>
      <c r="B353" s="34" t="s">
        <v>857</v>
      </c>
      <c r="C353" s="57" t="s">
        <v>498</v>
      </c>
      <c r="D353" s="70">
        <v>3241</v>
      </c>
      <c r="E353" s="70">
        <v>967.74</v>
      </c>
      <c r="F353" s="73">
        <v>0</v>
      </c>
      <c r="G353" s="73">
        <v>250</v>
      </c>
      <c r="H353" s="73">
        <v>0</v>
      </c>
      <c r="I353" s="36">
        <f t="shared" si="68"/>
        <v>4458.74</v>
      </c>
      <c r="J353" s="36">
        <f t="shared" si="70"/>
        <v>126.26</v>
      </c>
      <c r="K353" s="36">
        <f>(D353+E353+F353)*12%</f>
        <v>505.05</v>
      </c>
      <c r="L353" s="36">
        <v>0</v>
      </c>
      <c r="M353" s="36">
        <v>0</v>
      </c>
      <c r="N353" s="36">
        <f t="shared" si="71"/>
        <v>631.30999999999995</v>
      </c>
      <c r="O353" s="36">
        <f t="shared" si="77"/>
        <v>3827.43</v>
      </c>
      <c r="P353" s="74">
        <v>0</v>
      </c>
    </row>
    <row r="354" spans="1:16" ht="25.5" x14ac:dyDescent="0.2">
      <c r="A354" s="69">
        <v>344</v>
      </c>
      <c r="B354" s="32" t="s">
        <v>858</v>
      </c>
      <c r="C354" s="83" t="s">
        <v>522</v>
      </c>
      <c r="D354" s="72">
        <v>2920</v>
      </c>
      <c r="E354" s="72">
        <v>1000</v>
      </c>
      <c r="F354" s="72">
        <v>0</v>
      </c>
      <c r="G354" s="72">
        <v>250</v>
      </c>
      <c r="H354" s="73">
        <v>0</v>
      </c>
      <c r="I354" s="36">
        <f t="shared" si="68"/>
        <v>4170</v>
      </c>
      <c r="J354" s="36">
        <f t="shared" si="70"/>
        <v>117.6</v>
      </c>
      <c r="K354" s="36">
        <f>(D354+E354)*11%</f>
        <v>431.2</v>
      </c>
      <c r="L354" s="72">
        <v>0</v>
      </c>
      <c r="M354" s="72">
        <v>52.68</v>
      </c>
      <c r="N354" s="72">
        <f>SUM(J354:M354)</f>
        <v>601.48</v>
      </c>
      <c r="O354" s="72">
        <f t="shared" si="77"/>
        <v>3568.52</v>
      </c>
      <c r="P354" s="74">
        <v>0</v>
      </c>
    </row>
    <row r="355" spans="1:16" ht="25.5" x14ac:dyDescent="0.2">
      <c r="A355" s="69">
        <v>345</v>
      </c>
      <c r="B355" s="116" t="s">
        <v>859</v>
      </c>
      <c r="C355" s="85" t="s">
        <v>860</v>
      </c>
      <c r="D355" s="72">
        <v>5787</v>
      </c>
      <c r="E355" s="72">
        <v>1800</v>
      </c>
      <c r="F355" s="72">
        <v>0</v>
      </c>
      <c r="G355" s="72">
        <v>250</v>
      </c>
      <c r="H355" s="73">
        <v>0</v>
      </c>
      <c r="I355" s="36">
        <f t="shared" si="68"/>
        <v>7837</v>
      </c>
      <c r="J355" s="36">
        <f t="shared" si="70"/>
        <v>227.61</v>
      </c>
      <c r="K355" s="36">
        <f>(D355+E355)*13%</f>
        <v>986.31</v>
      </c>
      <c r="L355" s="36">
        <v>131.99</v>
      </c>
      <c r="M355" s="36">
        <v>101.97</v>
      </c>
      <c r="N355" s="36">
        <f t="shared" ref="N355:N382" si="81">J355+K355+L355+M355</f>
        <v>1447.88</v>
      </c>
      <c r="O355" s="36">
        <f t="shared" si="77"/>
        <v>6389.12</v>
      </c>
      <c r="P355" s="74">
        <v>0</v>
      </c>
    </row>
    <row r="356" spans="1:16" x14ac:dyDescent="0.2">
      <c r="A356" s="69">
        <v>346</v>
      </c>
      <c r="B356" s="57" t="s">
        <v>861</v>
      </c>
      <c r="C356" s="57" t="s">
        <v>490</v>
      </c>
      <c r="D356" s="70">
        <v>1668</v>
      </c>
      <c r="E356" s="70">
        <v>1000</v>
      </c>
      <c r="F356" s="72">
        <v>0</v>
      </c>
      <c r="G356" s="73">
        <v>250</v>
      </c>
      <c r="H356" s="73">
        <v>0</v>
      </c>
      <c r="I356" s="36">
        <f t="shared" si="68"/>
        <v>2918</v>
      </c>
      <c r="J356" s="36">
        <f t="shared" si="70"/>
        <v>80.040000000000006</v>
      </c>
      <c r="K356" s="36">
        <f>(D356+E356)*11%</f>
        <v>293.48</v>
      </c>
      <c r="L356" s="36">
        <v>0</v>
      </c>
      <c r="M356" s="36">
        <v>0</v>
      </c>
      <c r="N356" s="36">
        <f t="shared" si="81"/>
        <v>373.52</v>
      </c>
      <c r="O356" s="36">
        <f t="shared" si="77"/>
        <v>2544.48</v>
      </c>
      <c r="P356" s="74">
        <v>0</v>
      </c>
    </row>
    <row r="357" spans="1:16" ht="25.5" x14ac:dyDescent="0.2">
      <c r="A357" s="69">
        <v>347</v>
      </c>
      <c r="B357" s="57" t="s">
        <v>862</v>
      </c>
      <c r="C357" s="57" t="s">
        <v>447</v>
      </c>
      <c r="D357" s="77">
        <v>2425</v>
      </c>
      <c r="E357" s="70">
        <v>0</v>
      </c>
      <c r="F357" s="72">
        <v>0</v>
      </c>
      <c r="G357" s="73">
        <v>0</v>
      </c>
      <c r="H357" s="73">
        <v>0</v>
      </c>
      <c r="I357" s="36">
        <f t="shared" si="68"/>
        <v>2425</v>
      </c>
      <c r="J357" s="36">
        <f t="shared" si="70"/>
        <v>72.75</v>
      </c>
      <c r="K357" s="36">
        <f>D357*11%</f>
        <v>266.75</v>
      </c>
      <c r="L357" s="36">
        <v>0</v>
      </c>
      <c r="M357" s="36">
        <v>0</v>
      </c>
      <c r="N357" s="36">
        <f t="shared" si="81"/>
        <v>339.5</v>
      </c>
      <c r="O357" s="36">
        <f t="shared" si="77"/>
        <v>2085.5</v>
      </c>
      <c r="P357" s="74">
        <v>0</v>
      </c>
    </row>
    <row r="358" spans="1:16" ht="25.5" x14ac:dyDescent="0.2">
      <c r="A358" s="69">
        <v>348</v>
      </c>
      <c r="B358" s="82" t="s">
        <v>863</v>
      </c>
      <c r="C358" s="85" t="s">
        <v>800</v>
      </c>
      <c r="D358" s="72">
        <v>3241</v>
      </c>
      <c r="E358" s="72">
        <v>1000</v>
      </c>
      <c r="F358" s="72">
        <v>0</v>
      </c>
      <c r="G358" s="72">
        <v>250</v>
      </c>
      <c r="H358" s="73">
        <v>0</v>
      </c>
      <c r="I358" s="36">
        <f t="shared" si="68"/>
        <v>4491</v>
      </c>
      <c r="J358" s="36">
        <f t="shared" si="70"/>
        <v>127.23</v>
      </c>
      <c r="K358" s="36">
        <f>(D358+E358)*12%</f>
        <v>508.92</v>
      </c>
      <c r="L358" s="36">
        <v>0</v>
      </c>
      <c r="M358" s="36">
        <v>0</v>
      </c>
      <c r="N358" s="36">
        <f t="shared" si="81"/>
        <v>636.15</v>
      </c>
      <c r="O358" s="36">
        <f t="shared" si="77"/>
        <v>3854.85</v>
      </c>
      <c r="P358" s="74">
        <v>0</v>
      </c>
    </row>
    <row r="359" spans="1:16" ht="25.5" x14ac:dyDescent="0.2">
      <c r="A359" s="69">
        <v>349</v>
      </c>
      <c r="B359" s="140" t="s">
        <v>864</v>
      </c>
      <c r="C359" s="85" t="s">
        <v>718</v>
      </c>
      <c r="D359" s="100">
        <v>2920</v>
      </c>
      <c r="E359" s="72">
        <v>1000</v>
      </c>
      <c r="F359" s="72">
        <v>0</v>
      </c>
      <c r="G359" s="72">
        <v>250</v>
      </c>
      <c r="H359" s="73">
        <v>0</v>
      </c>
      <c r="I359" s="36">
        <f>SUM(D359:H359)</f>
        <v>4170</v>
      </c>
      <c r="J359" s="36">
        <f t="shared" si="70"/>
        <v>117.6</v>
      </c>
      <c r="K359" s="36">
        <f t="shared" ref="K359:K360" si="82">(D359+E359)*11%</f>
        <v>431.2</v>
      </c>
      <c r="L359" s="36">
        <v>0</v>
      </c>
      <c r="M359" s="36">
        <v>0</v>
      </c>
      <c r="N359" s="36">
        <f t="shared" si="81"/>
        <v>548.79999999999995</v>
      </c>
      <c r="O359" s="36">
        <f t="shared" si="77"/>
        <v>3621.2</v>
      </c>
      <c r="P359" s="74">
        <v>0</v>
      </c>
    </row>
    <row r="360" spans="1:16" ht="25.5" x14ac:dyDescent="0.2">
      <c r="A360" s="69">
        <v>350</v>
      </c>
      <c r="B360" s="82" t="s">
        <v>865</v>
      </c>
      <c r="C360" s="85" t="s">
        <v>520</v>
      </c>
      <c r="D360" s="72">
        <v>2920</v>
      </c>
      <c r="E360" s="72">
        <v>1000</v>
      </c>
      <c r="F360" s="72">
        <v>0</v>
      </c>
      <c r="G360" s="72">
        <v>250</v>
      </c>
      <c r="H360" s="73">
        <v>0</v>
      </c>
      <c r="I360" s="36">
        <f t="shared" ref="I360:I382" si="83">SUM(D360:G360)</f>
        <v>4170</v>
      </c>
      <c r="J360" s="36">
        <f t="shared" si="70"/>
        <v>117.6</v>
      </c>
      <c r="K360" s="36">
        <f t="shared" si="82"/>
        <v>431.2</v>
      </c>
      <c r="L360" s="36">
        <v>0</v>
      </c>
      <c r="M360" s="36">
        <v>52.68</v>
      </c>
      <c r="N360" s="36">
        <f t="shared" si="81"/>
        <v>601.48</v>
      </c>
      <c r="O360" s="36">
        <f t="shared" si="77"/>
        <v>3568.52</v>
      </c>
      <c r="P360" s="74">
        <v>0</v>
      </c>
    </row>
    <row r="361" spans="1:16" ht="25.5" x14ac:dyDescent="0.2">
      <c r="A361" s="69">
        <v>351</v>
      </c>
      <c r="B361" s="57" t="s">
        <v>866</v>
      </c>
      <c r="C361" s="57" t="s">
        <v>449</v>
      </c>
      <c r="D361" s="77">
        <v>1940</v>
      </c>
      <c r="E361" s="70">
        <v>0</v>
      </c>
      <c r="F361" s="72">
        <v>0</v>
      </c>
      <c r="G361" s="73">
        <v>0</v>
      </c>
      <c r="H361" s="73">
        <v>0</v>
      </c>
      <c r="I361" s="36">
        <f t="shared" si="83"/>
        <v>1940</v>
      </c>
      <c r="J361" s="36">
        <f t="shared" si="70"/>
        <v>58.2</v>
      </c>
      <c r="K361" s="36">
        <f>(D361+E361)*10%</f>
        <v>194</v>
      </c>
      <c r="L361" s="36">
        <v>0</v>
      </c>
      <c r="M361" s="36">
        <v>0</v>
      </c>
      <c r="N361" s="36">
        <f t="shared" si="81"/>
        <v>252.2</v>
      </c>
      <c r="O361" s="36">
        <f t="shared" si="77"/>
        <v>1687.8</v>
      </c>
      <c r="P361" s="74">
        <v>0</v>
      </c>
    </row>
    <row r="362" spans="1:16" ht="25.5" x14ac:dyDescent="0.2">
      <c r="A362" s="69">
        <v>352</v>
      </c>
      <c r="B362" s="57" t="s">
        <v>867</v>
      </c>
      <c r="C362" s="57" t="s">
        <v>447</v>
      </c>
      <c r="D362" s="77">
        <v>2425</v>
      </c>
      <c r="E362" s="70">
        <v>0</v>
      </c>
      <c r="F362" s="72">
        <v>0</v>
      </c>
      <c r="G362" s="73">
        <v>0</v>
      </c>
      <c r="H362" s="73">
        <v>0</v>
      </c>
      <c r="I362" s="36">
        <f t="shared" si="83"/>
        <v>2425</v>
      </c>
      <c r="J362" s="36">
        <f t="shared" si="70"/>
        <v>72.75</v>
      </c>
      <c r="K362" s="36">
        <f t="shared" ref="K362:K363" si="84">D362*11%</f>
        <v>266.75</v>
      </c>
      <c r="L362" s="36">
        <v>0</v>
      </c>
      <c r="M362" s="36">
        <v>0</v>
      </c>
      <c r="N362" s="36">
        <f t="shared" si="81"/>
        <v>339.5</v>
      </c>
      <c r="O362" s="36">
        <f t="shared" si="77"/>
        <v>2085.5</v>
      </c>
      <c r="P362" s="74">
        <v>0</v>
      </c>
    </row>
    <row r="363" spans="1:16" ht="25.5" x14ac:dyDescent="0.2">
      <c r="A363" s="69">
        <v>353</v>
      </c>
      <c r="B363" s="109" t="s">
        <v>868</v>
      </c>
      <c r="C363" s="57" t="s">
        <v>447</v>
      </c>
      <c r="D363" s="70">
        <v>2425</v>
      </c>
      <c r="E363" s="70">
        <v>0</v>
      </c>
      <c r="F363" s="72">
        <v>0</v>
      </c>
      <c r="G363" s="73">
        <v>0</v>
      </c>
      <c r="H363" s="73">
        <v>0</v>
      </c>
      <c r="I363" s="36">
        <f t="shared" si="83"/>
        <v>2425</v>
      </c>
      <c r="J363" s="36">
        <f t="shared" si="70"/>
        <v>72.75</v>
      </c>
      <c r="K363" s="36">
        <f t="shared" si="84"/>
        <v>266.75</v>
      </c>
      <c r="L363" s="36">
        <v>0</v>
      </c>
      <c r="M363" s="36">
        <v>0</v>
      </c>
      <c r="N363" s="36">
        <f t="shared" si="81"/>
        <v>339.5</v>
      </c>
      <c r="O363" s="36">
        <f t="shared" si="77"/>
        <v>2085.5</v>
      </c>
      <c r="P363" s="74">
        <v>0</v>
      </c>
    </row>
    <row r="364" spans="1:16" x14ac:dyDescent="0.2">
      <c r="A364" s="69">
        <v>354</v>
      </c>
      <c r="B364" s="116" t="s">
        <v>869</v>
      </c>
      <c r="C364" s="57" t="s">
        <v>490</v>
      </c>
      <c r="D364" s="72">
        <v>1668</v>
      </c>
      <c r="E364" s="72">
        <v>1000</v>
      </c>
      <c r="F364" s="72">
        <v>0</v>
      </c>
      <c r="G364" s="72">
        <v>250</v>
      </c>
      <c r="H364" s="73">
        <v>0</v>
      </c>
      <c r="I364" s="36">
        <f t="shared" si="83"/>
        <v>2918</v>
      </c>
      <c r="J364" s="36">
        <f t="shared" si="70"/>
        <v>80.040000000000006</v>
      </c>
      <c r="K364" s="36">
        <f>(D364+E364)*11%</f>
        <v>293.48</v>
      </c>
      <c r="L364" s="36">
        <v>0</v>
      </c>
      <c r="M364" s="36">
        <v>0</v>
      </c>
      <c r="N364" s="36">
        <f t="shared" si="81"/>
        <v>373.52</v>
      </c>
      <c r="O364" s="36">
        <f t="shared" si="77"/>
        <v>2544.48</v>
      </c>
      <c r="P364" s="74">
        <v>0</v>
      </c>
    </row>
    <row r="365" spans="1:16" ht="25.5" x14ac:dyDescent="0.2">
      <c r="A365" s="69">
        <v>355</v>
      </c>
      <c r="B365" s="57" t="s">
        <v>870</v>
      </c>
      <c r="C365" s="57" t="s">
        <v>498</v>
      </c>
      <c r="D365" s="70">
        <v>3241</v>
      </c>
      <c r="E365" s="71">
        <v>1000</v>
      </c>
      <c r="F365" s="72">
        <v>0</v>
      </c>
      <c r="G365" s="73">
        <v>250</v>
      </c>
      <c r="H365" s="73">
        <v>0</v>
      </c>
      <c r="I365" s="36">
        <f t="shared" si="83"/>
        <v>4491</v>
      </c>
      <c r="J365" s="36">
        <f t="shared" si="70"/>
        <v>127.23</v>
      </c>
      <c r="K365" s="36">
        <f>(D365+E365)*12%</f>
        <v>508.92</v>
      </c>
      <c r="L365" s="36">
        <v>0</v>
      </c>
      <c r="M365" s="36">
        <v>0</v>
      </c>
      <c r="N365" s="36">
        <f t="shared" si="81"/>
        <v>636.15</v>
      </c>
      <c r="O365" s="36">
        <f t="shared" si="77"/>
        <v>3854.85</v>
      </c>
      <c r="P365" s="74">
        <v>0</v>
      </c>
    </row>
    <row r="366" spans="1:16" x14ac:dyDescent="0.2">
      <c r="A366" s="69">
        <v>356</v>
      </c>
      <c r="B366" s="96" t="s">
        <v>871</v>
      </c>
      <c r="C366" s="83" t="s">
        <v>465</v>
      </c>
      <c r="D366" s="29">
        <v>1902</v>
      </c>
      <c r="E366" s="71">
        <v>1000</v>
      </c>
      <c r="F366" s="72">
        <v>0</v>
      </c>
      <c r="G366" s="73">
        <v>250</v>
      </c>
      <c r="H366" s="73">
        <v>0</v>
      </c>
      <c r="I366" s="36">
        <f t="shared" si="83"/>
        <v>3152</v>
      </c>
      <c r="J366" s="36">
        <f t="shared" si="70"/>
        <v>87.06</v>
      </c>
      <c r="K366" s="36">
        <f>(D366+E366)*11%</f>
        <v>319.22000000000003</v>
      </c>
      <c r="L366" s="36">
        <v>0</v>
      </c>
      <c r="M366" s="36">
        <v>0</v>
      </c>
      <c r="N366" s="36">
        <f t="shared" si="81"/>
        <v>406.28</v>
      </c>
      <c r="O366" s="36">
        <f t="shared" si="77"/>
        <v>2745.72</v>
      </c>
      <c r="P366" s="74">
        <v>0</v>
      </c>
    </row>
    <row r="367" spans="1:16" ht="25.5" x14ac:dyDescent="0.2">
      <c r="A367" s="69">
        <v>357</v>
      </c>
      <c r="B367" s="57" t="s">
        <v>872</v>
      </c>
      <c r="C367" s="57" t="s">
        <v>447</v>
      </c>
      <c r="D367" s="77">
        <v>2425</v>
      </c>
      <c r="E367" s="70">
        <v>0</v>
      </c>
      <c r="F367" s="72">
        <v>0</v>
      </c>
      <c r="G367" s="73">
        <v>0</v>
      </c>
      <c r="H367" s="73">
        <v>0</v>
      </c>
      <c r="I367" s="36">
        <f t="shared" si="83"/>
        <v>2425</v>
      </c>
      <c r="J367" s="36">
        <f t="shared" si="70"/>
        <v>72.75</v>
      </c>
      <c r="K367" s="36">
        <f>D367*11%</f>
        <v>266.75</v>
      </c>
      <c r="L367" s="36">
        <v>0</v>
      </c>
      <c r="M367" s="36">
        <v>0</v>
      </c>
      <c r="N367" s="36">
        <f t="shared" si="81"/>
        <v>339.5</v>
      </c>
      <c r="O367" s="36">
        <f t="shared" si="77"/>
        <v>2085.5</v>
      </c>
      <c r="P367" s="74">
        <v>0</v>
      </c>
    </row>
    <row r="368" spans="1:16" ht="25.5" x14ac:dyDescent="0.2">
      <c r="A368" s="69">
        <v>358</v>
      </c>
      <c r="B368" s="83" t="s">
        <v>873</v>
      </c>
      <c r="C368" s="34" t="s">
        <v>504</v>
      </c>
      <c r="D368" s="70">
        <v>1902</v>
      </c>
      <c r="E368" s="71">
        <v>1000</v>
      </c>
      <c r="F368" s="72">
        <v>0</v>
      </c>
      <c r="G368" s="73">
        <v>250</v>
      </c>
      <c r="H368" s="73">
        <v>0</v>
      </c>
      <c r="I368" s="36">
        <f t="shared" si="83"/>
        <v>3152</v>
      </c>
      <c r="J368" s="36">
        <f t="shared" si="70"/>
        <v>87.06</v>
      </c>
      <c r="K368" s="36">
        <f>(D368+E368)*11%</f>
        <v>319.22000000000003</v>
      </c>
      <c r="L368" s="36">
        <v>0</v>
      </c>
      <c r="M368" s="36">
        <v>0</v>
      </c>
      <c r="N368" s="36">
        <f t="shared" si="81"/>
        <v>406.28</v>
      </c>
      <c r="O368" s="36">
        <f t="shared" ref="O368:O371" si="85">SUM(D368:N368)</f>
        <v>7116.56</v>
      </c>
      <c r="P368" s="74">
        <f>532.5</f>
        <v>532.5</v>
      </c>
    </row>
    <row r="369" spans="1:16" ht="25.5" x14ac:dyDescent="0.2">
      <c r="A369" s="69">
        <v>359</v>
      </c>
      <c r="B369" s="84" t="s">
        <v>874</v>
      </c>
      <c r="C369" s="57" t="s">
        <v>509</v>
      </c>
      <c r="D369" s="70">
        <v>3081</v>
      </c>
      <c r="E369" s="71">
        <v>1000</v>
      </c>
      <c r="F369" s="72">
        <v>0</v>
      </c>
      <c r="G369" s="73">
        <v>250</v>
      </c>
      <c r="H369" s="73">
        <v>0</v>
      </c>
      <c r="I369" s="36">
        <f t="shared" si="83"/>
        <v>4331</v>
      </c>
      <c r="J369" s="36">
        <f t="shared" si="70"/>
        <v>122.43</v>
      </c>
      <c r="K369" s="36">
        <f>(D369+E369)*12%</f>
        <v>489.72</v>
      </c>
      <c r="L369" s="36">
        <v>0</v>
      </c>
      <c r="M369" s="36">
        <v>0</v>
      </c>
      <c r="N369" s="36">
        <f t="shared" si="81"/>
        <v>612.15</v>
      </c>
      <c r="O369" s="36">
        <f t="shared" si="85"/>
        <v>9886.2999999999993</v>
      </c>
      <c r="P369" s="74">
        <v>0</v>
      </c>
    </row>
    <row r="370" spans="1:16" ht="25.5" x14ac:dyDescent="0.2">
      <c r="A370" s="69">
        <v>360</v>
      </c>
      <c r="B370" s="83" t="s">
        <v>875</v>
      </c>
      <c r="C370" s="57" t="s">
        <v>447</v>
      </c>
      <c r="D370" s="70">
        <v>2425</v>
      </c>
      <c r="E370" s="70">
        <v>0</v>
      </c>
      <c r="F370" s="72">
        <v>0</v>
      </c>
      <c r="G370" s="73">
        <v>0</v>
      </c>
      <c r="H370" s="73">
        <v>0</v>
      </c>
      <c r="I370" s="36">
        <f t="shared" si="83"/>
        <v>2425</v>
      </c>
      <c r="J370" s="36">
        <f t="shared" si="70"/>
        <v>72.75</v>
      </c>
      <c r="K370" s="36">
        <f>D370*11%</f>
        <v>266.75</v>
      </c>
      <c r="L370" s="36">
        <v>0</v>
      </c>
      <c r="M370" s="36">
        <v>0</v>
      </c>
      <c r="N370" s="36">
        <f t="shared" si="81"/>
        <v>339.5</v>
      </c>
      <c r="O370" s="36">
        <f t="shared" si="85"/>
        <v>5529</v>
      </c>
      <c r="P370" s="74">
        <v>0</v>
      </c>
    </row>
    <row r="371" spans="1:16" x14ac:dyDescent="0.2">
      <c r="A371" s="69">
        <v>361</v>
      </c>
      <c r="B371" s="141" t="s">
        <v>876</v>
      </c>
      <c r="C371" s="142" t="s">
        <v>877</v>
      </c>
      <c r="D371" s="70">
        <v>6759</v>
      </c>
      <c r="E371" s="70">
        <v>4000</v>
      </c>
      <c r="F371" s="72">
        <v>0</v>
      </c>
      <c r="G371" s="73">
        <v>250</v>
      </c>
      <c r="H371" s="73"/>
      <c r="I371" s="36">
        <f t="shared" si="83"/>
        <v>11009</v>
      </c>
      <c r="J371" s="36">
        <f t="shared" si="70"/>
        <v>322.77</v>
      </c>
      <c r="K371" s="36">
        <f>(D371+E371)*15%</f>
        <v>1613.85</v>
      </c>
      <c r="L371" s="36">
        <v>254.45</v>
      </c>
      <c r="M371" s="36">
        <v>144.6</v>
      </c>
      <c r="N371" s="36">
        <f t="shared" si="81"/>
        <v>2335.67</v>
      </c>
      <c r="O371" s="36">
        <f t="shared" si="85"/>
        <v>26689.34</v>
      </c>
      <c r="P371" s="74">
        <v>0</v>
      </c>
    </row>
    <row r="372" spans="1:16" ht="25.5" x14ac:dyDescent="0.2">
      <c r="A372" s="69">
        <v>362</v>
      </c>
      <c r="B372" s="83" t="s">
        <v>878</v>
      </c>
      <c r="C372" s="57" t="s">
        <v>449</v>
      </c>
      <c r="D372" s="70">
        <v>1940</v>
      </c>
      <c r="E372" s="70">
        <v>0</v>
      </c>
      <c r="F372" s="72">
        <v>0</v>
      </c>
      <c r="G372" s="73">
        <v>0</v>
      </c>
      <c r="H372" s="73">
        <v>0</v>
      </c>
      <c r="I372" s="36">
        <f t="shared" si="83"/>
        <v>1940</v>
      </c>
      <c r="J372" s="36">
        <f t="shared" si="70"/>
        <v>58.2</v>
      </c>
      <c r="K372" s="36">
        <f>D372*10%</f>
        <v>194</v>
      </c>
      <c r="L372" s="36">
        <v>0</v>
      </c>
      <c r="M372" s="36">
        <v>0</v>
      </c>
      <c r="N372" s="36">
        <f t="shared" si="81"/>
        <v>252.2</v>
      </c>
      <c r="O372" s="36">
        <f t="shared" ref="O372:O382" si="86">I372-N372</f>
        <v>1687.8</v>
      </c>
      <c r="P372" s="74">
        <v>0</v>
      </c>
    </row>
    <row r="373" spans="1:16" ht="25.5" x14ac:dyDescent="0.2">
      <c r="A373" s="69">
        <v>363</v>
      </c>
      <c r="B373" s="33" t="s">
        <v>879</v>
      </c>
      <c r="C373" s="34" t="s">
        <v>504</v>
      </c>
      <c r="D373" s="70">
        <v>1902</v>
      </c>
      <c r="E373" s="71">
        <v>1000</v>
      </c>
      <c r="F373" s="72">
        <v>0</v>
      </c>
      <c r="G373" s="73">
        <v>250</v>
      </c>
      <c r="H373" s="73">
        <v>0</v>
      </c>
      <c r="I373" s="36">
        <f t="shared" si="83"/>
        <v>3152</v>
      </c>
      <c r="J373" s="36">
        <f t="shared" si="70"/>
        <v>87.06</v>
      </c>
      <c r="K373" s="36">
        <f t="shared" ref="K373:K374" si="87">(D373+E373)*11%</f>
        <v>319.22000000000003</v>
      </c>
      <c r="L373" s="36">
        <v>0</v>
      </c>
      <c r="M373" s="36">
        <v>0</v>
      </c>
      <c r="N373" s="36">
        <f t="shared" si="81"/>
        <v>406.28</v>
      </c>
      <c r="O373" s="36">
        <f t="shared" si="86"/>
        <v>2745.72</v>
      </c>
      <c r="P373" s="74">
        <f>2157.26+206</f>
        <v>2363.2600000000002</v>
      </c>
    </row>
    <row r="374" spans="1:16" ht="25.5" x14ac:dyDescent="0.2">
      <c r="A374" s="69">
        <v>364</v>
      </c>
      <c r="B374" s="83" t="s">
        <v>880</v>
      </c>
      <c r="C374" s="83" t="s">
        <v>881</v>
      </c>
      <c r="D374" s="70">
        <v>2920</v>
      </c>
      <c r="E374" s="71">
        <v>1000</v>
      </c>
      <c r="F374" s="72">
        <v>0</v>
      </c>
      <c r="G374" s="73">
        <v>250</v>
      </c>
      <c r="H374" s="73">
        <v>0</v>
      </c>
      <c r="I374" s="36">
        <f t="shared" si="83"/>
        <v>4170</v>
      </c>
      <c r="J374" s="36">
        <f t="shared" si="70"/>
        <v>117.6</v>
      </c>
      <c r="K374" s="36">
        <f t="shared" si="87"/>
        <v>431.2</v>
      </c>
      <c r="L374" s="36">
        <v>0</v>
      </c>
      <c r="M374" s="36">
        <v>50.53</v>
      </c>
      <c r="N374" s="36">
        <f t="shared" si="81"/>
        <v>599.33000000000004</v>
      </c>
      <c r="O374" s="36">
        <f t="shared" si="86"/>
        <v>3570.67</v>
      </c>
      <c r="P374" s="74">
        <v>0</v>
      </c>
    </row>
    <row r="375" spans="1:16" ht="25.5" x14ac:dyDescent="0.2">
      <c r="A375" s="69">
        <v>365</v>
      </c>
      <c r="B375" s="57" t="s">
        <v>882</v>
      </c>
      <c r="C375" s="57" t="s">
        <v>447</v>
      </c>
      <c r="D375" s="70">
        <v>2425</v>
      </c>
      <c r="E375" s="70">
        <v>0</v>
      </c>
      <c r="F375" s="72">
        <v>0</v>
      </c>
      <c r="G375" s="73">
        <v>0</v>
      </c>
      <c r="H375" s="73">
        <v>0</v>
      </c>
      <c r="I375" s="36">
        <f t="shared" si="83"/>
        <v>2425</v>
      </c>
      <c r="J375" s="36">
        <f t="shared" si="70"/>
        <v>72.75</v>
      </c>
      <c r="K375" s="36">
        <f t="shared" ref="K375:K377" si="88">D375*11%</f>
        <v>266.75</v>
      </c>
      <c r="L375" s="36">
        <v>0</v>
      </c>
      <c r="M375" s="36">
        <v>0</v>
      </c>
      <c r="N375" s="36">
        <f t="shared" si="81"/>
        <v>339.5</v>
      </c>
      <c r="O375" s="36">
        <f t="shared" si="86"/>
        <v>2085.5</v>
      </c>
      <c r="P375" s="74">
        <v>0</v>
      </c>
    </row>
    <row r="376" spans="1:16" ht="25.5" x14ac:dyDescent="0.2">
      <c r="A376" s="69">
        <v>366</v>
      </c>
      <c r="B376" s="57" t="s">
        <v>883</v>
      </c>
      <c r="C376" s="57" t="s">
        <v>447</v>
      </c>
      <c r="D376" s="77">
        <v>2425</v>
      </c>
      <c r="E376" s="70">
        <v>0</v>
      </c>
      <c r="F376" s="72">
        <v>0</v>
      </c>
      <c r="G376" s="73">
        <v>0</v>
      </c>
      <c r="H376" s="73">
        <v>0</v>
      </c>
      <c r="I376" s="36">
        <f t="shared" si="83"/>
        <v>2425</v>
      </c>
      <c r="J376" s="36">
        <f t="shared" si="70"/>
        <v>72.75</v>
      </c>
      <c r="K376" s="36">
        <f t="shared" si="88"/>
        <v>266.75</v>
      </c>
      <c r="L376" s="36">
        <v>0</v>
      </c>
      <c r="M376" s="36">
        <v>0</v>
      </c>
      <c r="N376" s="36">
        <f t="shared" si="81"/>
        <v>339.5</v>
      </c>
      <c r="O376" s="36">
        <f t="shared" si="86"/>
        <v>2085.5</v>
      </c>
      <c r="P376" s="74">
        <v>0</v>
      </c>
    </row>
    <row r="377" spans="1:16" ht="25.5" x14ac:dyDescent="0.2">
      <c r="A377" s="69">
        <v>367</v>
      </c>
      <c r="B377" s="118" t="s">
        <v>884</v>
      </c>
      <c r="C377" s="57" t="s">
        <v>447</v>
      </c>
      <c r="D377" s="77">
        <v>2425</v>
      </c>
      <c r="E377" s="70">
        <v>0</v>
      </c>
      <c r="F377" s="72">
        <v>0</v>
      </c>
      <c r="G377" s="73">
        <v>0</v>
      </c>
      <c r="H377" s="73">
        <v>0</v>
      </c>
      <c r="I377" s="36">
        <f t="shared" si="83"/>
        <v>2425</v>
      </c>
      <c r="J377" s="36">
        <f t="shared" si="70"/>
        <v>72.75</v>
      </c>
      <c r="K377" s="36">
        <f t="shared" si="88"/>
        <v>266.75</v>
      </c>
      <c r="L377" s="36">
        <v>0</v>
      </c>
      <c r="M377" s="36">
        <v>0</v>
      </c>
      <c r="N377" s="36">
        <f t="shared" si="81"/>
        <v>339.5</v>
      </c>
      <c r="O377" s="36">
        <f t="shared" si="86"/>
        <v>2085.5</v>
      </c>
      <c r="P377" s="74">
        <v>0</v>
      </c>
    </row>
    <row r="378" spans="1:16" ht="25.5" x14ac:dyDescent="0.2">
      <c r="A378" s="69">
        <v>368</v>
      </c>
      <c r="B378" s="84" t="s">
        <v>885</v>
      </c>
      <c r="C378" s="57" t="s">
        <v>509</v>
      </c>
      <c r="D378" s="143">
        <v>3081</v>
      </c>
      <c r="E378" s="72">
        <v>1000</v>
      </c>
      <c r="F378" s="72">
        <v>0</v>
      </c>
      <c r="G378" s="72">
        <v>250</v>
      </c>
      <c r="H378" s="73">
        <v>0</v>
      </c>
      <c r="I378" s="36">
        <f t="shared" si="83"/>
        <v>4331</v>
      </c>
      <c r="J378" s="36">
        <f t="shared" si="70"/>
        <v>122.43</v>
      </c>
      <c r="K378" s="36">
        <f>(D378+E378)*12%</f>
        <v>489.72</v>
      </c>
      <c r="L378" s="36">
        <v>0</v>
      </c>
      <c r="M378" s="36">
        <v>0</v>
      </c>
      <c r="N378" s="36">
        <f t="shared" si="81"/>
        <v>612.15</v>
      </c>
      <c r="O378" s="36">
        <f t="shared" si="86"/>
        <v>3718.85</v>
      </c>
      <c r="P378" s="74">
        <v>0</v>
      </c>
    </row>
    <row r="379" spans="1:16" ht="25.5" x14ac:dyDescent="0.2">
      <c r="A379" s="69">
        <v>369</v>
      </c>
      <c r="B379" s="57" t="s">
        <v>886</v>
      </c>
      <c r="C379" s="57" t="s">
        <v>449</v>
      </c>
      <c r="D379" s="77">
        <v>1940</v>
      </c>
      <c r="E379" s="70">
        <v>0</v>
      </c>
      <c r="F379" s="72">
        <v>0</v>
      </c>
      <c r="G379" s="73">
        <v>0</v>
      </c>
      <c r="H379" s="73">
        <v>0</v>
      </c>
      <c r="I379" s="36">
        <f t="shared" si="83"/>
        <v>1940</v>
      </c>
      <c r="J379" s="36">
        <f t="shared" si="70"/>
        <v>58.2</v>
      </c>
      <c r="K379" s="36">
        <f>D379*10%</f>
        <v>194</v>
      </c>
      <c r="L379" s="36">
        <v>0</v>
      </c>
      <c r="M379" s="36">
        <v>0</v>
      </c>
      <c r="N379" s="36">
        <f t="shared" si="81"/>
        <v>252.2</v>
      </c>
      <c r="O379" s="36">
        <f t="shared" si="86"/>
        <v>1687.8</v>
      </c>
      <c r="P379" s="74">
        <v>0</v>
      </c>
    </row>
    <row r="380" spans="1:16" ht="25.5" x14ac:dyDescent="0.2">
      <c r="A380" s="69">
        <v>370</v>
      </c>
      <c r="B380" s="83" t="s">
        <v>887</v>
      </c>
      <c r="C380" s="83" t="s">
        <v>888</v>
      </c>
      <c r="D380" s="71">
        <v>5095</v>
      </c>
      <c r="E380" s="71">
        <v>1800</v>
      </c>
      <c r="F380" s="72">
        <v>0</v>
      </c>
      <c r="G380" s="102">
        <v>250</v>
      </c>
      <c r="H380" s="73">
        <v>0</v>
      </c>
      <c r="I380" s="36">
        <f t="shared" si="83"/>
        <v>7145</v>
      </c>
      <c r="J380" s="36">
        <f t="shared" si="70"/>
        <v>206.85</v>
      </c>
      <c r="K380" s="103">
        <f>(D380+E380)*13%</f>
        <v>896.35</v>
      </c>
      <c r="L380" s="36">
        <v>102.92</v>
      </c>
      <c r="M380" s="36">
        <v>92.67</v>
      </c>
      <c r="N380" s="36">
        <f t="shared" si="81"/>
        <v>1298.79</v>
      </c>
      <c r="O380" s="103">
        <f t="shared" si="86"/>
        <v>5846.21</v>
      </c>
      <c r="P380" s="74">
        <v>0</v>
      </c>
    </row>
    <row r="381" spans="1:16" ht="25.5" x14ac:dyDescent="0.2">
      <c r="A381" s="69">
        <v>371</v>
      </c>
      <c r="B381" s="119" t="s">
        <v>889</v>
      </c>
      <c r="C381" s="57" t="s">
        <v>525</v>
      </c>
      <c r="D381" s="71">
        <v>2920</v>
      </c>
      <c r="E381" s="71">
        <v>1000</v>
      </c>
      <c r="F381" s="72">
        <v>0</v>
      </c>
      <c r="G381" s="102">
        <v>250</v>
      </c>
      <c r="H381" s="73">
        <v>0</v>
      </c>
      <c r="I381" s="36">
        <f t="shared" si="83"/>
        <v>4170</v>
      </c>
      <c r="J381" s="36">
        <f t="shared" si="70"/>
        <v>117.6</v>
      </c>
      <c r="K381" s="103">
        <f>(D381+E381)*11%</f>
        <v>431.2</v>
      </c>
      <c r="L381" s="36">
        <v>0</v>
      </c>
      <c r="M381" s="36">
        <v>0</v>
      </c>
      <c r="N381" s="36">
        <f t="shared" si="81"/>
        <v>548.79999999999995</v>
      </c>
      <c r="O381" s="103">
        <f t="shared" si="86"/>
        <v>3621.2</v>
      </c>
      <c r="P381" s="74">
        <v>0</v>
      </c>
    </row>
    <row r="382" spans="1:16" ht="25.5" x14ac:dyDescent="0.2">
      <c r="A382" s="69">
        <v>372</v>
      </c>
      <c r="B382" s="144" t="s">
        <v>890</v>
      </c>
      <c r="C382" s="144" t="s">
        <v>447</v>
      </c>
      <c r="D382" s="145">
        <v>2425</v>
      </c>
      <c r="E382" s="146">
        <v>0</v>
      </c>
      <c r="F382" s="147">
        <v>0</v>
      </c>
      <c r="G382" s="148">
        <v>0</v>
      </c>
      <c r="H382" s="73">
        <v>0</v>
      </c>
      <c r="I382" s="149">
        <f t="shared" si="83"/>
        <v>2425</v>
      </c>
      <c r="J382" s="149">
        <f t="shared" si="70"/>
        <v>72.75</v>
      </c>
      <c r="K382" s="149">
        <f>D382*11%</f>
        <v>266.75</v>
      </c>
      <c r="L382" s="149">
        <v>0</v>
      </c>
      <c r="M382" s="149">
        <v>0</v>
      </c>
      <c r="N382" s="149">
        <f t="shared" si="81"/>
        <v>339.5</v>
      </c>
      <c r="O382" s="149">
        <f t="shared" si="86"/>
        <v>2085.5</v>
      </c>
      <c r="P382" s="74">
        <v>0</v>
      </c>
    </row>
    <row r="383" spans="1:16" ht="13.5" customHeight="1" x14ac:dyDescent="0.2">
      <c r="A383" s="241" t="s">
        <v>438</v>
      </c>
      <c r="B383" s="241"/>
      <c r="C383" s="241"/>
      <c r="D383" s="150">
        <f t="shared" ref="D383:P383" si="89">SUM(D11:D382)</f>
        <v>967737.9</v>
      </c>
      <c r="E383" s="151">
        <f t="shared" si="89"/>
        <v>272167.74</v>
      </c>
      <c r="F383" s="151">
        <f t="shared" si="89"/>
        <v>1500</v>
      </c>
      <c r="G383" s="151">
        <f t="shared" si="89"/>
        <v>53500</v>
      </c>
      <c r="H383" s="151">
        <f t="shared" si="89"/>
        <v>0</v>
      </c>
      <c r="I383" s="151">
        <f t="shared" si="89"/>
        <v>1294905.6399999999</v>
      </c>
      <c r="J383" s="151">
        <f t="shared" si="89"/>
        <v>37242.17</v>
      </c>
      <c r="K383" s="151">
        <f t="shared" si="89"/>
        <v>142355.23000000001</v>
      </c>
      <c r="L383" s="151">
        <f t="shared" si="89"/>
        <v>4735.97</v>
      </c>
      <c r="M383" s="151">
        <f t="shared" si="89"/>
        <v>6135.63</v>
      </c>
      <c r="N383" s="151">
        <f t="shared" si="89"/>
        <v>189920.2</v>
      </c>
      <c r="O383" s="152">
        <f t="shared" si="89"/>
        <v>1152448.7</v>
      </c>
      <c r="P383" s="153">
        <f t="shared" si="89"/>
        <v>22160.85</v>
      </c>
    </row>
    <row r="385" ht="34.5" customHeight="1" x14ac:dyDescent="0.2"/>
  </sheetData>
  <sheetProtection selectLockedCells="1" selectUnlockedCells="1"/>
  <mergeCells count="15">
    <mergeCell ref="O9:O10"/>
    <mergeCell ref="P9:P10"/>
    <mergeCell ref="A383:C383"/>
    <mergeCell ref="A9:A10"/>
    <mergeCell ref="B9:B10"/>
    <mergeCell ref="C9:C10"/>
    <mergeCell ref="D9:D10"/>
    <mergeCell ref="E9:I9"/>
    <mergeCell ref="J9:N9"/>
    <mergeCell ref="B2:O2"/>
    <mergeCell ref="B3:O3"/>
    <mergeCell ref="A4:O4"/>
    <mergeCell ref="A5:O5"/>
    <mergeCell ref="A6:O6"/>
    <mergeCell ref="A7:O7"/>
  </mergeCells>
  <printOptions horizontalCentered="1"/>
  <pageMargins left="1.3388888888888888" right="0.74791666666666667" top="1.1812499999999999" bottom="0.98402777777777772" header="0.51180555555555551" footer="0.51180555555555551"/>
  <pageSetup paperSize="5" scale="45" firstPageNumber="0" orientation="landscape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G275"/>
  <sheetViews>
    <sheetView showGridLines="0" workbookViewId="0"/>
  </sheetViews>
  <sheetFormatPr baseColWidth="10" defaultColWidth="11.5703125" defaultRowHeight="12.75" x14ac:dyDescent="0.2"/>
  <cols>
    <col min="1" max="1" width="7" customWidth="1"/>
    <col min="2" max="2" width="32.140625" customWidth="1"/>
    <col min="3" max="3" width="33.140625" customWidth="1"/>
    <col min="4" max="4" width="13.42578125" customWidth="1"/>
    <col min="5" max="5" width="12.85546875" customWidth="1"/>
    <col min="6" max="6" width="13.5703125" customWidth="1"/>
    <col min="7" max="7" width="13.28515625" customWidth="1"/>
    <col min="8" max="9" width="12.140625" customWidth="1"/>
    <col min="10" max="10" width="13.42578125" customWidth="1"/>
    <col min="11" max="14" width="0" hidden="1" customWidth="1"/>
    <col min="15" max="15" width="12.28515625" customWidth="1"/>
    <col min="16" max="16" width="13.5703125" customWidth="1"/>
    <col min="17" max="17" width="13.42578125" customWidth="1"/>
    <col min="18" max="18" width="13.7109375" customWidth="1"/>
    <col min="20" max="20" width="13.5703125" customWidth="1"/>
  </cols>
  <sheetData>
    <row r="1" spans="1:33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33" ht="19.5" customHeight="1" x14ac:dyDescent="0.2">
      <c r="A2" s="242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33" ht="12.75" customHeight="1" x14ac:dyDescent="0.2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33" ht="12.75" customHeight="1" x14ac:dyDescent="0.2">
      <c r="A4" s="243" t="s">
        <v>891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33" ht="12.75" customHeight="1" x14ac:dyDescent="0.2">
      <c r="A5" s="243" t="s">
        <v>892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33" ht="14.25" customHeight="1" x14ac:dyDescent="0.2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33" ht="14.25" customHeight="1" x14ac:dyDescent="0.2">
      <c r="A7" s="237" t="s">
        <v>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</row>
    <row r="8" spans="1:33" ht="6.75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33" ht="12.95" customHeight="1" x14ac:dyDescent="0.2">
      <c r="A9" s="238" t="s">
        <v>7</v>
      </c>
      <c r="B9" s="244" t="s">
        <v>8</v>
      </c>
      <c r="C9" s="232" t="s">
        <v>9</v>
      </c>
      <c r="D9" s="239" t="s">
        <v>439</v>
      </c>
      <c r="E9" s="239" t="s">
        <v>11</v>
      </c>
      <c r="F9" s="239"/>
      <c r="G9" s="239"/>
      <c r="H9" s="239"/>
      <c r="I9" s="239"/>
      <c r="J9" s="239"/>
      <c r="K9" s="245" t="s">
        <v>12</v>
      </c>
      <c r="L9" s="245"/>
      <c r="M9" s="245"/>
      <c r="N9" s="245"/>
      <c r="O9" s="245"/>
      <c r="P9" s="239" t="s">
        <v>13</v>
      </c>
      <c r="Q9" s="240" t="s">
        <v>441</v>
      </c>
    </row>
    <row r="10" spans="1:33" ht="33.75" customHeight="1" x14ac:dyDescent="0.2">
      <c r="A10" s="238"/>
      <c r="B10" s="244"/>
      <c r="C10" s="232"/>
      <c r="D10" s="239"/>
      <c r="E10" s="67" t="s">
        <v>17</v>
      </c>
      <c r="F10" s="67" t="s">
        <v>893</v>
      </c>
      <c r="G10" s="67" t="s">
        <v>20</v>
      </c>
      <c r="H10" s="67" t="s">
        <v>23</v>
      </c>
      <c r="I10" s="67" t="s">
        <v>443</v>
      </c>
      <c r="J10" s="67" t="s">
        <v>26</v>
      </c>
      <c r="K10" s="67" t="s">
        <v>27</v>
      </c>
      <c r="L10" s="67" t="s">
        <v>894</v>
      </c>
      <c r="M10" s="67" t="s">
        <v>29</v>
      </c>
      <c r="N10" s="67" t="s">
        <v>445</v>
      </c>
      <c r="O10" s="67" t="s">
        <v>31</v>
      </c>
      <c r="P10" s="239"/>
      <c r="Q10" s="240"/>
    </row>
    <row r="11" spans="1:33" s="80" customFormat="1" ht="27" customHeight="1" x14ac:dyDescent="0.2">
      <c r="A11" s="155">
        <v>1</v>
      </c>
      <c r="B11" s="33" t="s">
        <v>895</v>
      </c>
      <c r="C11" s="34" t="s">
        <v>896</v>
      </c>
      <c r="D11" s="37">
        <v>10261</v>
      </c>
      <c r="E11" s="37">
        <v>5000</v>
      </c>
      <c r="F11" s="70">
        <v>0</v>
      </c>
      <c r="G11" s="24">
        <v>375</v>
      </c>
      <c r="H11" s="156">
        <v>250</v>
      </c>
      <c r="I11" s="156">
        <v>0</v>
      </c>
      <c r="J11" s="36">
        <f>SUM(D11:I11)</f>
        <v>15886</v>
      </c>
      <c r="K11" s="36">
        <f>(D11+E11+G11)*3%</f>
        <v>469.08</v>
      </c>
      <c r="L11" s="36">
        <f>(D11+E11+G11)*15%</f>
        <v>2345.4</v>
      </c>
      <c r="M11" s="36">
        <v>454.34</v>
      </c>
      <c r="N11" s="36">
        <v>210.15</v>
      </c>
      <c r="O11" s="36">
        <f t="shared" ref="O11:O13" si="0">SUM(K11:N11)</f>
        <v>3478.97</v>
      </c>
      <c r="P11" s="36">
        <f t="shared" ref="P11:P13" si="1">J11-O11</f>
        <v>12407.03</v>
      </c>
      <c r="Q11" s="74">
        <f>422</f>
        <v>422</v>
      </c>
      <c r="R11" s="78"/>
      <c r="S11" s="78"/>
      <c r="T11" s="78"/>
      <c r="U11" s="78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</row>
    <row r="12" spans="1:33" s="80" customFormat="1" ht="27" customHeight="1" x14ac:dyDescent="0.2">
      <c r="A12" s="155">
        <v>2</v>
      </c>
      <c r="B12" s="157" t="s">
        <v>897</v>
      </c>
      <c r="C12" s="34" t="s">
        <v>898</v>
      </c>
      <c r="D12" s="45">
        <v>10261</v>
      </c>
      <c r="E12" s="37">
        <v>5000</v>
      </c>
      <c r="F12" s="70">
        <v>0</v>
      </c>
      <c r="G12" s="24">
        <v>375</v>
      </c>
      <c r="H12" s="156">
        <v>250</v>
      </c>
      <c r="I12" s="156">
        <v>0</v>
      </c>
      <c r="J12" s="36">
        <f>SUM(D12:H12)</f>
        <v>15886</v>
      </c>
      <c r="K12" s="36">
        <f>(D12+E12+F12+G12)*3%</f>
        <v>469.08</v>
      </c>
      <c r="L12" s="36">
        <f>(D12+E12+F12+G12)*15%+20.16</f>
        <v>2365.56</v>
      </c>
      <c r="M12" s="36">
        <v>454.41</v>
      </c>
      <c r="N12" s="36">
        <v>205.11</v>
      </c>
      <c r="O12" s="36">
        <f t="shared" si="0"/>
        <v>3494.16</v>
      </c>
      <c r="P12" s="36">
        <f t="shared" si="1"/>
        <v>12391.84</v>
      </c>
      <c r="Q12" s="74">
        <v>0</v>
      </c>
      <c r="R12" s="78"/>
      <c r="S12" s="78"/>
      <c r="T12" s="78"/>
      <c r="U12" s="78"/>
      <c r="V12" s="78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33" s="80" customFormat="1" ht="27" customHeight="1" x14ac:dyDescent="0.2">
      <c r="A13" s="155">
        <v>3</v>
      </c>
      <c r="B13" s="144" t="s">
        <v>569</v>
      </c>
      <c r="C13" s="144" t="s">
        <v>899</v>
      </c>
      <c r="D13" s="158">
        <v>10261</v>
      </c>
      <c r="E13" s="159">
        <v>5000</v>
      </c>
      <c r="F13" s="159">
        <v>0</v>
      </c>
      <c r="G13" s="159">
        <v>375</v>
      </c>
      <c r="H13" s="159">
        <v>250</v>
      </c>
      <c r="I13" s="159">
        <v>0</v>
      </c>
      <c r="J13" s="159">
        <f>SUM(D13:I13)</f>
        <v>15886</v>
      </c>
      <c r="K13" s="159">
        <f>(D13+E13+G13)*3%</f>
        <v>469.08</v>
      </c>
      <c r="L13" s="159">
        <f>(D13+E13+G13)*15%</f>
        <v>2345.4</v>
      </c>
      <c r="M13" s="159">
        <v>454.41</v>
      </c>
      <c r="N13" s="159">
        <v>210.15</v>
      </c>
      <c r="O13" s="159">
        <f t="shared" si="0"/>
        <v>3479.04</v>
      </c>
      <c r="P13" s="149">
        <f t="shared" si="1"/>
        <v>12406.96</v>
      </c>
      <c r="Q13" s="160">
        <f>9702.76</f>
        <v>9702.76</v>
      </c>
      <c r="R13" s="161"/>
      <c r="S13" s="161"/>
      <c r="T13" s="161"/>
      <c r="U13" s="161"/>
      <c r="V13" s="161"/>
      <c r="W13" s="161"/>
      <c r="X13" s="79"/>
      <c r="Y13" s="79"/>
      <c r="Z13" s="79"/>
      <c r="AA13" s="79"/>
      <c r="AB13" s="79"/>
      <c r="AC13" s="79"/>
      <c r="AD13" s="79"/>
      <c r="AE13" s="79"/>
      <c r="AF13" s="79"/>
      <c r="AG13" s="79"/>
    </row>
    <row r="14" spans="1:33" s="80" customFormat="1" ht="27" customHeight="1" x14ac:dyDescent="0.2">
      <c r="A14" s="246" t="s">
        <v>438</v>
      </c>
      <c r="B14" s="246"/>
      <c r="C14" s="246"/>
      <c r="D14" s="162">
        <f t="shared" ref="D14:P14" si="2">SUM(D11:D13)</f>
        <v>30783</v>
      </c>
      <c r="E14" s="162">
        <f t="shared" si="2"/>
        <v>15000</v>
      </c>
      <c r="F14" s="162">
        <f t="shared" si="2"/>
        <v>0</v>
      </c>
      <c r="G14" s="162">
        <f t="shared" si="2"/>
        <v>1125</v>
      </c>
      <c r="H14" s="162">
        <f t="shared" si="2"/>
        <v>750</v>
      </c>
      <c r="I14" s="162">
        <f t="shared" si="2"/>
        <v>0</v>
      </c>
      <c r="J14" s="162">
        <f t="shared" si="2"/>
        <v>47658</v>
      </c>
      <c r="K14" s="162">
        <f t="shared" si="2"/>
        <v>1407.24</v>
      </c>
      <c r="L14" s="162">
        <f t="shared" si="2"/>
        <v>7056.36</v>
      </c>
      <c r="M14" s="162">
        <f t="shared" si="2"/>
        <v>1363.16</v>
      </c>
      <c r="N14" s="162">
        <f t="shared" si="2"/>
        <v>625.41</v>
      </c>
      <c r="O14" s="162">
        <f t="shared" si="2"/>
        <v>10452.17</v>
      </c>
      <c r="P14" s="162">
        <f t="shared" si="2"/>
        <v>37205.83</v>
      </c>
      <c r="Q14" s="163">
        <v>0</v>
      </c>
      <c r="R14" s="78"/>
      <c r="S14" s="78"/>
      <c r="T14" s="78"/>
      <c r="U14" s="78"/>
      <c r="V14" s="78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</row>
    <row r="275" ht="25.5" customHeight="1" x14ac:dyDescent="0.2"/>
  </sheetData>
  <sheetProtection selectLockedCells="1" selectUnlockedCells="1"/>
  <mergeCells count="15">
    <mergeCell ref="P9:P10"/>
    <mergeCell ref="Q9:Q10"/>
    <mergeCell ref="A14:C14"/>
    <mergeCell ref="A9:A10"/>
    <mergeCell ref="B9:B10"/>
    <mergeCell ref="C9:C10"/>
    <mergeCell ref="D9:D10"/>
    <mergeCell ref="E9:J9"/>
    <mergeCell ref="K9:O9"/>
    <mergeCell ref="A2:Q2"/>
    <mergeCell ref="A3:Q3"/>
    <mergeCell ref="A4:Q4"/>
    <mergeCell ref="A5:Q5"/>
    <mergeCell ref="A6:Q6"/>
    <mergeCell ref="A7:Q7"/>
  </mergeCells>
  <printOptions horizontalCentered="1"/>
  <pageMargins left="1.4958333333333333" right="0.94513888888888886" top="1.1812499999999999" bottom="0.78749999999999998" header="0.51180555555555551" footer="0.51180555555555551"/>
  <pageSetup paperSize="5" scale="50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U290"/>
  <sheetViews>
    <sheetView showGridLines="0" zoomScale="80" zoomScaleNormal="80" workbookViewId="0"/>
  </sheetViews>
  <sheetFormatPr baseColWidth="10" defaultColWidth="11.5703125" defaultRowHeight="12.75" x14ac:dyDescent="0.2"/>
  <cols>
    <col min="1" max="1" width="8.42578125" customWidth="1"/>
    <col min="2" max="2" width="38.4257812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1.85546875" customWidth="1"/>
    <col min="9" max="9" width="10.5703125" customWidth="1"/>
    <col min="10" max="10" width="10.42578125" customWidth="1"/>
    <col min="11" max="16" width="0" hidden="1" customWidth="1"/>
    <col min="18" max="18" width="13.7109375" customWidth="1"/>
    <col min="20" max="22" width="0" hidden="1" customWidth="1"/>
  </cols>
  <sheetData>
    <row r="2" spans="1:33" ht="19.5" customHeight="1" x14ac:dyDescent="0.3">
      <c r="A2" s="247" t="s">
        <v>900</v>
      </c>
      <c r="B2" s="247"/>
      <c r="C2" s="247"/>
      <c r="D2" s="247"/>
      <c r="E2" s="247"/>
      <c r="F2" s="247"/>
      <c r="G2" s="247"/>
      <c r="H2" s="247"/>
    </row>
    <row r="3" spans="1:33" ht="19.5" customHeight="1" x14ac:dyDescent="0.3">
      <c r="A3" s="248" t="s">
        <v>901</v>
      </c>
      <c r="B3" s="248"/>
      <c r="C3" s="248"/>
      <c r="D3" s="248"/>
      <c r="E3" s="248"/>
      <c r="F3" s="248"/>
      <c r="G3" s="248"/>
      <c r="H3" s="248"/>
    </row>
    <row r="4" spans="1:33" ht="15.75" customHeight="1" x14ac:dyDescent="0.2">
      <c r="A4" s="249" t="s">
        <v>891</v>
      </c>
      <c r="B4" s="249"/>
      <c r="C4" s="249"/>
      <c r="D4" s="249"/>
      <c r="E4" s="249"/>
      <c r="F4" s="249"/>
      <c r="G4" s="249"/>
      <c r="H4" s="249"/>
    </row>
    <row r="5" spans="1:33" ht="12.75" customHeight="1" x14ac:dyDescent="0.2">
      <c r="A5" s="249" t="s">
        <v>902</v>
      </c>
      <c r="B5" s="249"/>
      <c r="C5" s="249"/>
      <c r="D5" s="249"/>
      <c r="E5" s="249"/>
      <c r="F5" s="249"/>
      <c r="G5" s="249"/>
      <c r="H5" s="249"/>
    </row>
    <row r="6" spans="1:33" ht="14.25" customHeight="1" x14ac:dyDescent="0.2">
      <c r="A6" s="249" t="s">
        <v>5</v>
      </c>
      <c r="B6" s="249"/>
      <c r="C6" s="249"/>
      <c r="D6" s="249"/>
      <c r="E6" s="249"/>
      <c r="F6" s="249"/>
      <c r="G6" s="249"/>
      <c r="H6" s="249"/>
    </row>
    <row r="7" spans="1:33" ht="14.25" customHeight="1" x14ac:dyDescent="0.2">
      <c r="A7" s="237" t="s">
        <v>6</v>
      </c>
      <c r="B7" s="237"/>
      <c r="C7" s="237"/>
      <c r="D7" s="237"/>
      <c r="E7" s="237"/>
      <c r="F7" s="237"/>
      <c r="G7" s="237"/>
      <c r="H7" s="237"/>
      <c r="I7" s="164"/>
      <c r="J7" s="164"/>
      <c r="K7" s="164"/>
      <c r="L7" s="164"/>
      <c r="M7" s="164"/>
      <c r="N7" s="164"/>
    </row>
    <row r="9" spans="1:33" ht="31.5" customHeight="1" x14ac:dyDescent="0.2">
      <c r="A9" s="65" t="s">
        <v>7</v>
      </c>
      <c r="B9" s="165" t="s">
        <v>8</v>
      </c>
      <c r="C9" s="66" t="s">
        <v>903</v>
      </c>
      <c r="D9" s="66" t="s">
        <v>6</v>
      </c>
      <c r="E9" s="166" t="s">
        <v>443</v>
      </c>
      <c r="F9" s="66" t="s">
        <v>12</v>
      </c>
      <c r="G9" s="66" t="s">
        <v>13</v>
      </c>
      <c r="H9" s="19" t="s">
        <v>904</v>
      </c>
    </row>
    <row r="10" spans="1:33" ht="31.5" customHeight="1" x14ac:dyDescent="0.2">
      <c r="A10" s="167">
        <v>1</v>
      </c>
      <c r="B10" s="168" t="s">
        <v>905</v>
      </c>
      <c r="C10" s="34" t="s">
        <v>906</v>
      </c>
      <c r="D10" s="169">
        <v>10000</v>
      </c>
      <c r="E10" s="170">
        <v>0</v>
      </c>
      <c r="F10" s="170">
        <v>0</v>
      </c>
      <c r="G10" s="169">
        <v>10000</v>
      </c>
      <c r="H10" s="171">
        <v>0</v>
      </c>
    </row>
    <row r="11" spans="1:33" ht="24" customHeight="1" x14ac:dyDescent="0.2">
      <c r="A11" s="155">
        <v>2</v>
      </c>
      <c r="B11" s="34" t="s">
        <v>907</v>
      </c>
      <c r="C11" s="34" t="s">
        <v>906</v>
      </c>
      <c r="D11" s="169">
        <v>6500</v>
      </c>
      <c r="E11" s="170">
        <v>0</v>
      </c>
      <c r="F11" s="170">
        <v>0</v>
      </c>
      <c r="G11" s="169">
        <v>6500</v>
      </c>
      <c r="H11" s="171">
        <v>0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</row>
    <row r="12" spans="1:33" ht="24" customHeight="1" x14ac:dyDescent="0.2">
      <c r="A12" s="167">
        <v>3</v>
      </c>
      <c r="B12" s="173" t="s">
        <v>908</v>
      </c>
      <c r="C12" s="34" t="s">
        <v>906</v>
      </c>
      <c r="D12" s="174">
        <v>15000</v>
      </c>
      <c r="E12" s="170">
        <v>0</v>
      </c>
      <c r="F12" s="175">
        <v>0</v>
      </c>
      <c r="G12" s="174">
        <v>15000</v>
      </c>
      <c r="H12" s="171">
        <v>0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</row>
    <row r="13" spans="1:33" ht="24" customHeight="1" x14ac:dyDescent="0.2">
      <c r="A13" s="155">
        <v>4</v>
      </c>
      <c r="B13" s="106" t="s">
        <v>909</v>
      </c>
      <c r="C13" s="176" t="s">
        <v>906</v>
      </c>
      <c r="D13" s="177">
        <v>7000</v>
      </c>
      <c r="E13" s="170">
        <v>0</v>
      </c>
      <c r="F13" s="175">
        <v>0</v>
      </c>
      <c r="G13" s="177">
        <v>7000</v>
      </c>
      <c r="H13" s="171">
        <v>0</v>
      </c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</row>
    <row r="14" spans="1:33" s="180" customFormat="1" ht="24" customHeight="1" x14ac:dyDescent="0.2">
      <c r="A14" s="167">
        <v>5</v>
      </c>
      <c r="B14" s="178" t="s">
        <v>910</v>
      </c>
      <c r="C14" s="176" t="s">
        <v>906</v>
      </c>
      <c r="D14" s="170">
        <v>7000</v>
      </c>
      <c r="E14" s="170">
        <v>0</v>
      </c>
      <c r="F14" s="175">
        <v>0</v>
      </c>
      <c r="G14" s="170">
        <v>7000</v>
      </c>
      <c r="H14" s="171">
        <v>0</v>
      </c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</row>
    <row r="15" spans="1:33" s="180" customFormat="1" ht="24" customHeight="1" x14ac:dyDescent="0.2">
      <c r="A15" s="155">
        <v>6</v>
      </c>
      <c r="B15" s="34" t="s">
        <v>911</v>
      </c>
      <c r="C15" s="34" t="s">
        <v>906</v>
      </c>
      <c r="D15" s="169">
        <v>15000</v>
      </c>
      <c r="E15" s="170">
        <v>0</v>
      </c>
      <c r="F15" s="170">
        <v>0</v>
      </c>
      <c r="G15" s="169">
        <v>15000</v>
      </c>
      <c r="H15" s="171">
        <v>0</v>
      </c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</row>
    <row r="16" spans="1:33" ht="24" customHeight="1" x14ac:dyDescent="0.2">
      <c r="A16" s="167">
        <v>7</v>
      </c>
      <c r="B16" s="34" t="s">
        <v>912</v>
      </c>
      <c r="C16" s="34" t="s">
        <v>906</v>
      </c>
      <c r="D16" s="169">
        <v>18000</v>
      </c>
      <c r="E16" s="170">
        <v>0</v>
      </c>
      <c r="F16" s="170">
        <v>0</v>
      </c>
      <c r="G16" s="169">
        <v>18000</v>
      </c>
      <c r="H16" s="171">
        <v>0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</row>
    <row r="17" spans="1:33" ht="24" customHeight="1" x14ac:dyDescent="0.2">
      <c r="A17" s="155">
        <v>8</v>
      </c>
      <c r="B17" s="34" t="s">
        <v>913</v>
      </c>
      <c r="C17" s="176" t="s">
        <v>906</v>
      </c>
      <c r="D17" s="181">
        <v>7800</v>
      </c>
      <c r="E17" s="170">
        <v>0</v>
      </c>
      <c r="F17" s="175">
        <v>0</v>
      </c>
      <c r="G17" s="181">
        <v>7800</v>
      </c>
      <c r="H17" s="171">
        <v>0</v>
      </c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</row>
    <row r="18" spans="1:33" ht="24" customHeight="1" x14ac:dyDescent="0.2">
      <c r="A18" s="167">
        <v>9</v>
      </c>
      <c r="B18" s="178" t="s">
        <v>914</v>
      </c>
      <c r="C18" s="176" t="s">
        <v>906</v>
      </c>
      <c r="D18" s="170">
        <v>7000</v>
      </c>
      <c r="E18" s="170">
        <v>0</v>
      </c>
      <c r="F18" s="175">
        <v>0</v>
      </c>
      <c r="G18" s="170">
        <v>7000</v>
      </c>
      <c r="H18" s="171">
        <v>0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</row>
    <row r="19" spans="1:33" ht="24" customHeight="1" x14ac:dyDescent="0.2">
      <c r="A19" s="155">
        <v>10</v>
      </c>
      <c r="B19" s="34" t="s">
        <v>915</v>
      </c>
      <c r="C19" s="34" t="s">
        <v>906</v>
      </c>
      <c r="D19" s="169">
        <v>5500</v>
      </c>
      <c r="E19" s="170">
        <v>0</v>
      </c>
      <c r="F19" s="170">
        <v>0</v>
      </c>
      <c r="G19" s="169">
        <v>5500</v>
      </c>
      <c r="H19" s="171">
        <v>0</v>
      </c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</row>
    <row r="20" spans="1:33" ht="24" customHeight="1" x14ac:dyDescent="0.2">
      <c r="A20" s="167">
        <v>11</v>
      </c>
      <c r="B20" s="34" t="s">
        <v>916</v>
      </c>
      <c r="C20" s="34" t="s">
        <v>906</v>
      </c>
      <c r="D20" s="169">
        <v>10000</v>
      </c>
      <c r="E20" s="170">
        <v>0</v>
      </c>
      <c r="F20" s="170">
        <v>0</v>
      </c>
      <c r="G20" s="169">
        <v>10000</v>
      </c>
      <c r="H20" s="171">
        <v>0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</row>
    <row r="21" spans="1:33" ht="24" customHeight="1" x14ac:dyDescent="0.2">
      <c r="A21" s="155">
        <v>12</v>
      </c>
      <c r="B21" s="134" t="s">
        <v>917</v>
      </c>
      <c r="C21" s="34" t="s">
        <v>918</v>
      </c>
      <c r="D21" s="177">
        <v>5500</v>
      </c>
      <c r="E21" s="170">
        <v>0</v>
      </c>
      <c r="F21" s="175">
        <v>0</v>
      </c>
      <c r="G21" s="177">
        <v>5500</v>
      </c>
      <c r="H21" s="171">
        <v>0</v>
      </c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</row>
    <row r="22" spans="1:33" ht="24" customHeight="1" x14ac:dyDescent="0.2">
      <c r="A22" s="167">
        <v>13</v>
      </c>
      <c r="B22" s="34" t="s">
        <v>919</v>
      </c>
      <c r="C22" s="34" t="s">
        <v>918</v>
      </c>
      <c r="D22" s="169">
        <v>5000</v>
      </c>
      <c r="E22" s="170">
        <v>0</v>
      </c>
      <c r="F22" s="170">
        <v>0</v>
      </c>
      <c r="G22" s="169">
        <v>5000</v>
      </c>
      <c r="H22" s="171">
        <v>0</v>
      </c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</row>
    <row r="23" spans="1:33" ht="24" customHeight="1" x14ac:dyDescent="0.2">
      <c r="A23" s="155">
        <v>14</v>
      </c>
      <c r="B23" s="34" t="s">
        <v>920</v>
      </c>
      <c r="C23" s="34" t="s">
        <v>918</v>
      </c>
      <c r="D23" s="177">
        <v>3500</v>
      </c>
      <c r="E23" s="170">
        <v>0</v>
      </c>
      <c r="F23" s="175">
        <v>0</v>
      </c>
      <c r="G23" s="177">
        <v>3500</v>
      </c>
      <c r="H23" s="171">
        <v>0</v>
      </c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</row>
    <row r="24" spans="1:33" ht="24" customHeight="1" x14ac:dyDescent="0.2">
      <c r="A24" s="167">
        <v>15</v>
      </c>
      <c r="B24" s="57" t="s">
        <v>921</v>
      </c>
      <c r="C24" s="34" t="s">
        <v>918</v>
      </c>
      <c r="D24" s="182">
        <v>6000</v>
      </c>
      <c r="E24" s="170">
        <v>0</v>
      </c>
      <c r="F24" s="175">
        <v>0</v>
      </c>
      <c r="G24" s="182">
        <v>6000</v>
      </c>
      <c r="H24" s="171">
        <v>0</v>
      </c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</row>
    <row r="25" spans="1:33" ht="24" customHeight="1" x14ac:dyDescent="0.2">
      <c r="A25" s="155">
        <v>16</v>
      </c>
      <c r="B25" s="34" t="s">
        <v>922</v>
      </c>
      <c r="C25" s="34" t="s">
        <v>918</v>
      </c>
      <c r="D25" s="31">
        <v>4000</v>
      </c>
      <c r="E25" s="170">
        <v>0</v>
      </c>
      <c r="F25" s="175">
        <v>0</v>
      </c>
      <c r="G25" s="31">
        <v>4000</v>
      </c>
      <c r="H25" s="171">
        <v>0</v>
      </c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</row>
    <row r="26" spans="1:33" s="180" customFormat="1" ht="24" customHeight="1" x14ac:dyDescent="0.2">
      <c r="A26" s="167">
        <v>17</v>
      </c>
      <c r="B26" s="84" t="s">
        <v>923</v>
      </c>
      <c r="C26" s="34" t="s">
        <v>918</v>
      </c>
      <c r="D26" s="31">
        <v>4000</v>
      </c>
      <c r="E26" s="170">
        <v>0</v>
      </c>
      <c r="F26" s="175">
        <v>0</v>
      </c>
      <c r="G26" s="31">
        <v>4000</v>
      </c>
      <c r="H26" s="171">
        <v>0</v>
      </c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</row>
    <row r="27" spans="1:33" ht="24" customHeight="1" x14ac:dyDescent="0.2">
      <c r="A27" s="155">
        <v>18</v>
      </c>
      <c r="B27" s="173" t="s">
        <v>924</v>
      </c>
      <c r="C27" s="34" t="s">
        <v>918</v>
      </c>
      <c r="D27" s="174">
        <v>6000</v>
      </c>
      <c r="E27" s="170">
        <v>0</v>
      </c>
      <c r="F27" s="175">
        <v>0</v>
      </c>
      <c r="G27" s="174">
        <v>6000</v>
      </c>
      <c r="H27" s="171">
        <v>0</v>
      </c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</row>
    <row r="28" spans="1:33" ht="24" customHeight="1" x14ac:dyDescent="0.2">
      <c r="A28" s="167">
        <v>19</v>
      </c>
      <c r="B28" s="168" t="s">
        <v>925</v>
      </c>
      <c r="C28" s="34" t="s">
        <v>918</v>
      </c>
      <c r="D28" s="181">
        <v>15000</v>
      </c>
      <c r="E28" s="170">
        <v>0</v>
      </c>
      <c r="F28" s="183">
        <v>0</v>
      </c>
      <c r="G28" s="181">
        <v>15000</v>
      </c>
      <c r="H28" s="184">
        <v>0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</row>
    <row r="29" spans="1:33" s="172" customFormat="1" ht="24" customHeight="1" x14ac:dyDescent="0.2">
      <c r="A29" s="155">
        <v>20</v>
      </c>
      <c r="B29" s="34" t="s">
        <v>926</v>
      </c>
      <c r="C29" s="34" t="s">
        <v>918</v>
      </c>
      <c r="D29" s="31">
        <v>4000</v>
      </c>
      <c r="E29" s="170">
        <v>0</v>
      </c>
      <c r="F29" s="175">
        <v>0</v>
      </c>
      <c r="G29" s="31">
        <v>4000</v>
      </c>
      <c r="H29" s="171">
        <v>0</v>
      </c>
    </row>
    <row r="30" spans="1:33" s="172" customFormat="1" ht="24" customHeight="1" x14ac:dyDescent="0.2">
      <c r="A30" s="167">
        <v>21</v>
      </c>
      <c r="B30" s="34" t="s">
        <v>927</v>
      </c>
      <c r="C30" s="34" t="s">
        <v>918</v>
      </c>
      <c r="D30" s="181">
        <v>7000</v>
      </c>
      <c r="E30" s="170">
        <v>0</v>
      </c>
      <c r="F30" s="183">
        <v>0</v>
      </c>
      <c r="G30" s="181">
        <v>7000</v>
      </c>
      <c r="H30" s="185">
        <v>0</v>
      </c>
    </row>
    <row r="31" spans="1:33" s="172" customFormat="1" ht="24" customHeight="1" x14ac:dyDescent="0.2">
      <c r="A31" s="155">
        <v>22</v>
      </c>
      <c r="B31" s="34" t="s">
        <v>928</v>
      </c>
      <c r="C31" s="34" t="s">
        <v>918</v>
      </c>
      <c r="D31" s="181">
        <v>4000</v>
      </c>
      <c r="E31" s="170">
        <v>0</v>
      </c>
      <c r="F31" s="183">
        <v>0</v>
      </c>
      <c r="G31" s="181">
        <v>4000</v>
      </c>
      <c r="H31" s="185"/>
    </row>
    <row r="32" spans="1:33" s="172" customFormat="1" ht="24" customHeight="1" x14ac:dyDescent="0.2">
      <c r="A32" s="167">
        <v>23</v>
      </c>
      <c r="B32" s="34" t="s">
        <v>929</v>
      </c>
      <c r="C32" s="34" t="s">
        <v>918</v>
      </c>
      <c r="D32" s="177">
        <v>3500</v>
      </c>
      <c r="E32" s="170">
        <v>0</v>
      </c>
      <c r="F32" s="175">
        <v>0</v>
      </c>
      <c r="G32" s="177">
        <v>3500</v>
      </c>
      <c r="H32" s="171">
        <v>0</v>
      </c>
    </row>
    <row r="33" spans="1:8" s="172" customFormat="1" ht="24" customHeight="1" x14ac:dyDescent="0.2">
      <c r="A33" s="155">
        <v>24</v>
      </c>
      <c r="B33" s="34" t="s">
        <v>930</v>
      </c>
      <c r="C33" s="34" t="s">
        <v>918</v>
      </c>
      <c r="D33" s="169">
        <v>5000</v>
      </c>
      <c r="E33" s="170">
        <v>0</v>
      </c>
      <c r="F33" s="170">
        <v>0</v>
      </c>
      <c r="G33" s="169">
        <v>5000</v>
      </c>
      <c r="H33" s="171">
        <v>0</v>
      </c>
    </row>
    <row r="34" spans="1:8" s="172" customFormat="1" ht="24" customHeight="1" x14ac:dyDescent="0.2">
      <c r="A34" s="167">
        <v>25</v>
      </c>
      <c r="B34" s="34" t="s">
        <v>931</v>
      </c>
      <c r="C34" s="34" t="s">
        <v>918</v>
      </c>
      <c r="D34" s="181">
        <v>3500</v>
      </c>
      <c r="E34" s="170">
        <v>0</v>
      </c>
      <c r="F34" s="183">
        <v>0</v>
      </c>
      <c r="G34" s="181">
        <v>3500</v>
      </c>
      <c r="H34" s="185">
        <v>0</v>
      </c>
    </row>
    <row r="35" spans="1:8" s="172" customFormat="1" ht="24" customHeight="1" x14ac:dyDescent="0.2">
      <c r="A35" s="155">
        <v>26</v>
      </c>
      <c r="B35" s="176" t="s">
        <v>932</v>
      </c>
      <c r="C35" s="34" t="s">
        <v>918</v>
      </c>
      <c r="D35" s="181">
        <v>40000</v>
      </c>
      <c r="E35" s="170">
        <v>0</v>
      </c>
      <c r="F35" s="183">
        <v>0</v>
      </c>
      <c r="G35" s="181">
        <v>40000</v>
      </c>
      <c r="H35" s="185">
        <v>0</v>
      </c>
    </row>
    <row r="36" spans="1:8" s="172" customFormat="1" ht="24" customHeight="1" x14ac:dyDescent="0.2">
      <c r="A36" s="167">
        <v>27</v>
      </c>
      <c r="B36" s="34" t="s">
        <v>933</v>
      </c>
      <c r="C36" s="34" t="s">
        <v>918</v>
      </c>
      <c r="D36" s="186">
        <v>5000</v>
      </c>
      <c r="E36" s="170">
        <v>0</v>
      </c>
      <c r="F36" s="175">
        <v>0</v>
      </c>
      <c r="G36" s="186">
        <v>5000</v>
      </c>
      <c r="H36" s="171">
        <v>0</v>
      </c>
    </row>
    <row r="37" spans="1:8" s="172" customFormat="1" ht="24" customHeight="1" x14ac:dyDescent="0.2">
      <c r="A37" s="155">
        <v>28</v>
      </c>
      <c r="B37" s="176" t="s">
        <v>934</v>
      </c>
      <c r="C37" s="34" t="s">
        <v>906</v>
      </c>
      <c r="D37" s="186">
        <v>10000</v>
      </c>
      <c r="E37" s="170">
        <v>0</v>
      </c>
      <c r="F37" s="175">
        <v>0</v>
      </c>
      <c r="G37" s="186">
        <v>10000</v>
      </c>
      <c r="H37" s="171">
        <v>0</v>
      </c>
    </row>
    <row r="38" spans="1:8" s="172" customFormat="1" ht="24" customHeight="1" x14ac:dyDescent="0.2">
      <c r="A38" s="167">
        <v>29</v>
      </c>
      <c r="B38" s="34" t="s">
        <v>935</v>
      </c>
      <c r="C38" s="34" t="s">
        <v>918</v>
      </c>
      <c r="D38" s="186">
        <v>3500</v>
      </c>
      <c r="E38" s="170">
        <v>0</v>
      </c>
      <c r="F38" s="175">
        <v>0</v>
      </c>
      <c r="G38" s="186">
        <v>3500</v>
      </c>
      <c r="H38" s="171">
        <v>0</v>
      </c>
    </row>
    <row r="39" spans="1:8" s="172" customFormat="1" ht="24" customHeight="1" x14ac:dyDescent="0.2">
      <c r="A39" s="155">
        <v>30</v>
      </c>
      <c r="B39" s="34" t="s">
        <v>936</v>
      </c>
      <c r="C39" s="34" t="s">
        <v>918</v>
      </c>
      <c r="D39" s="186">
        <v>6500</v>
      </c>
      <c r="E39" s="170">
        <v>0</v>
      </c>
      <c r="F39" s="175">
        <v>0</v>
      </c>
      <c r="G39" s="186">
        <v>6500</v>
      </c>
      <c r="H39" s="171">
        <v>0</v>
      </c>
    </row>
    <row r="40" spans="1:8" s="172" customFormat="1" ht="24" customHeight="1" x14ac:dyDescent="0.2">
      <c r="A40" s="167">
        <v>31</v>
      </c>
      <c r="B40" s="134" t="s">
        <v>937</v>
      </c>
      <c r="C40" s="34" t="s">
        <v>918</v>
      </c>
      <c r="D40" s="177">
        <v>8000</v>
      </c>
      <c r="E40" s="170">
        <v>0</v>
      </c>
      <c r="F40" s="175">
        <v>0</v>
      </c>
      <c r="G40" s="177">
        <v>8000</v>
      </c>
      <c r="H40" s="171">
        <v>0</v>
      </c>
    </row>
    <row r="41" spans="1:8" s="172" customFormat="1" ht="24" customHeight="1" x14ac:dyDescent="0.2">
      <c r="A41" s="155">
        <v>32</v>
      </c>
      <c r="B41" s="176" t="s">
        <v>938</v>
      </c>
      <c r="C41" s="34" t="s">
        <v>918</v>
      </c>
      <c r="D41" s="169">
        <v>4000</v>
      </c>
      <c r="E41" s="170">
        <v>0</v>
      </c>
      <c r="F41" s="175">
        <v>0</v>
      </c>
      <c r="G41" s="169">
        <v>4000</v>
      </c>
      <c r="H41" s="171">
        <v>0</v>
      </c>
    </row>
    <row r="42" spans="1:8" s="172" customFormat="1" ht="24" customHeight="1" x14ac:dyDescent="0.2">
      <c r="A42" s="167">
        <v>33</v>
      </c>
      <c r="B42" s="134" t="s">
        <v>939</v>
      </c>
      <c r="C42" s="34" t="s">
        <v>918</v>
      </c>
      <c r="D42" s="177">
        <v>4000</v>
      </c>
      <c r="E42" s="170">
        <v>0</v>
      </c>
      <c r="F42" s="175">
        <v>0</v>
      </c>
      <c r="G42" s="177">
        <v>4000</v>
      </c>
      <c r="H42" s="171">
        <v>0</v>
      </c>
    </row>
    <row r="43" spans="1:8" s="172" customFormat="1" ht="24" customHeight="1" x14ac:dyDescent="0.2">
      <c r="A43" s="155">
        <v>34</v>
      </c>
      <c r="B43" s="134" t="s">
        <v>940</v>
      </c>
      <c r="C43" s="34" t="s">
        <v>918</v>
      </c>
      <c r="D43" s="177">
        <v>7000</v>
      </c>
      <c r="E43" s="170">
        <v>0</v>
      </c>
      <c r="F43" s="175">
        <v>0</v>
      </c>
      <c r="G43" s="177">
        <v>7000</v>
      </c>
      <c r="H43" s="171">
        <v>0</v>
      </c>
    </row>
    <row r="44" spans="1:8" s="172" customFormat="1" ht="24" customHeight="1" x14ac:dyDescent="0.2">
      <c r="A44" s="167">
        <v>35</v>
      </c>
      <c r="B44" s="176" t="s">
        <v>941</v>
      </c>
      <c r="C44" s="34" t="s">
        <v>918</v>
      </c>
      <c r="D44" s="177">
        <v>4000</v>
      </c>
      <c r="E44" s="170">
        <v>0</v>
      </c>
      <c r="F44" s="175">
        <v>0</v>
      </c>
      <c r="G44" s="177">
        <v>4000</v>
      </c>
      <c r="H44" s="171">
        <v>0</v>
      </c>
    </row>
    <row r="45" spans="1:8" s="172" customFormat="1" ht="24" customHeight="1" x14ac:dyDescent="0.2">
      <c r="A45" s="155">
        <v>36</v>
      </c>
      <c r="B45" s="34" t="s">
        <v>942</v>
      </c>
      <c r="C45" s="34" t="s">
        <v>918</v>
      </c>
      <c r="D45" s="169">
        <v>5000</v>
      </c>
      <c r="E45" s="170">
        <v>0</v>
      </c>
      <c r="F45" s="170">
        <v>0</v>
      </c>
      <c r="G45" s="169">
        <v>5000</v>
      </c>
      <c r="H45" s="171">
        <v>0</v>
      </c>
    </row>
    <row r="46" spans="1:8" s="172" customFormat="1" ht="24" customHeight="1" x14ac:dyDescent="0.2">
      <c r="A46" s="167">
        <v>37</v>
      </c>
      <c r="B46" s="176" t="s">
        <v>943</v>
      </c>
      <c r="C46" s="34" t="s">
        <v>906</v>
      </c>
      <c r="D46" s="169">
        <v>6000</v>
      </c>
      <c r="E46" s="170">
        <v>0</v>
      </c>
      <c r="F46" s="170">
        <v>0</v>
      </c>
      <c r="G46" s="169">
        <v>6000</v>
      </c>
      <c r="H46" s="171">
        <v>0</v>
      </c>
    </row>
    <row r="47" spans="1:8" s="172" customFormat="1" ht="24" customHeight="1" x14ac:dyDescent="0.2">
      <c r="A47" s="155">
        <v>38</v>
      </c>
      <c r="B47" s="134" t="s">
        <v>944</v>
      </c>
      <c r="C47" s="34" t="s">
        <v>918</v>
      </c>
      <c r="D47" s="177">
        <v>12000</v>
      </c>
      <c r="E47" s="170">
        <v>0</v>
      </c>
      <c r="F47" s="175">
        <v>0</v>
      </c>
      <c r="G47" s="177">
        <v>12000</v>
      </c>
      <c r="H47" s="171">
        <v>0</v>
      </c>
    </row>
    <row r="48" spans="1:8" s="172" customFormat="1" ht="24" customHeight="1" x14ac:dyDescent="0.2">
      <c r="A48" s="167">
        <v>39</v>
      </c>
      <c r="B48" s="134" t="s">
        <v>945</v>
      </c>
      <c r="C48" s="34" t="s">
        <v>918</v>
      </c>
      <c r="D48" s="177">
        <v>5500</v>
      </c>
      <c r="E48" s="170">
        <v>0</v>
      </c>
      <c r="F48" s="175">
        <v>0</v>
      </c>
      <c r="G48" s="177">
        <v>5500</v>
      </c>
      <c r="H48" s="171">
        <v>0</v>
      </c>
    </row>
    <row r="49" spans="1:47" s="172" customFormat="1" ht="24" customHeight="1" x14ac:dyDescent="0.2">
      <c r="A49" s="155">
        <v>40</v>
      </c>
      <c r="B49" s="34" t="s">
        <v>946</v>
      </c>
      <c r="C49" s="34" t="s">
        <v>918</v>
      </c>
      <c r="D49" s="181">
        <v>12000</v>
      </c>
      <c r="E49" s="170">
        <v>0</v>
      </c>
      <c r="F49" s="183">
        <v>0</v>
      </c>
      <c r="G49" s="181">
        <v>12000</v>
      </c>
      <c r="H49" s="185">
        <v>0</v>
      </c>
    </row>
    <row r="50" spans="1:47" s="180" customFormat="1" x14ac:dyDescent="0.2">
      <c r="A50" s="167">
        <v>41</v>
      </c>
      <c r="B50" s="187" t="s">
        <v>947</v>
      </c>
      <c r="C50" s="176" t="s">
        <v>918</v>
      </c>
      <c r="D50" s="170">
        <v>4500</v>
      </c>
      <c r="E50" s="170">
        <v>0</v>
      </c>
      <c r="F50" s="175">
        <v>0</v>
      </c>
      <c r="G50" s="170">
        <v>4500</v>
      </c>
      <c r="H50" s="171">
        <v>0</v>
      </c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</row>
    <row r="51" spans="1:47" s="180" customFormat="1" x14ac:dyDescent="0.2">
      <c r="A51" s="155">
        <v>42</v>
      </c>
      <c r="B51" s="173" t="s">
        <v>948</v>
      </c>
      <c r="C51" s="188" t="s">
        <v>918</v>
      </c>
      <c r="D51" s="170">
        <v>7000</v>
      </c>
      <c r="E51" s="170">
        <v>0</v>
      </c>
      <c r="F51" s="175">
        <v>0</v>
      </c>
      <c r="G51" s="170">
        <v>7000</v>
      </c>
      <c r="H51" s="171">
        <v>0</v>
      </c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</row>
    <row r="52" spans="1:47" s="180" customFormat="1" x14ac:dyDescent="0.2">
      <c r="A52" s="167">
        <v>43</v>
      </c>
      <c r="B52" s="34" t="s">
        <v>949</v>
      </c>
      <c r="C52" s="188" t="s">
        <v>918</v>
      </c>
      <c r="D52" s="169">
        <v>5000</v>
      </c>
      <c r="E52" s="170">
        <v>0</v>
      </c>
      <c r="F52" s="170">
        <v>0</v>
      </c>
      <c r="G52" s="169">
        <v>5000</v>
      </c>
      <c r="H52" s="171">
        <v>0</v>
      </c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</row>
    <row r="53" spans="1:47" s="180" customFormat="1" x14ac:dyDescent="0.2">
      <c r="A53" s="155">
        <v>44</v>
      </c>
      <c r="B53" s="84" t="s">
        <v>950</v>
      </c>
      <c r="C53" s="188" t="s">
        <v>918</v>
      </c>
      <c r="D53" s="181">
        <v>7000</v>
      </c>
      <c r="E53" s="170">
        <v>0</v>
      </c>
      <c r="F53" s="183">
        <v>0</v>
      </c>
      <c r="G53" s="181">
        <v>7000</v>
      </c>
      <c r="H53" s="184">
        <v>0</v>
      </c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</row>
    <row r="54" spans="1:47" s="180" customFormat="1" x14ac:dyDescent="0.2">
      <c r="A54" s="167">
        <v>45</v>
      </c>
      <c r="B54" s="134" t="s">
        <v>951</v>
      </c>
      <c r="C54" s="188" t="s">
        <v>918</v>
      </c>
      <c r="D54" s="177">
        <v>7000</v>
      </c>
      <c r="E54" s="170">
        <v>0</v>
      </c>
      <c r="F54" s="175">
        <v>0</v>
      </c>
      <c r="G54" s="177">
        <v>7000</v>
      </c>
      <c r="H54" s="171">
        <v>0</v>
      </c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</row>
    <row r="55" spans="1:47" s="180" customFormat="1" x14ac:dyDescent="0.2">
      <c r="A55" s="155">
        <v>46</v>
      </c>
      <c r="B55" s="134" t="s">
        <v>952</v>
      </c>
      <c r="C55" s="188" t="s">
        <v>918</v>
      </c>
      <c r="D55" s="177">
        <v>6000</v>
      </c>
      <c r="E55" s="170">
        <v>0</v>
      </c>
      <c r="F55" s="175">
        <v>0</v>
      </c>
      <c r="G55" s="177">
        <v>6000</v>
      </c>
      <c r="H55" s="171">
        <v>0</v>
      </c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</row>
    <row r="56" spans="1:47" s="180" customFormat="1" x14ac:dyDescent="0.2">
      <c r="A56" s="167">
        <v>47</v>
      </c>
      <c r="B56" s="178" t="s">
        <v>953</v>
      </c>
      <c r="C56" s="188" t="s">
        <v>918</v>
      </c>
      <c r="D56" s="170">
        <v>5000</v>
      </c>
      <c r="E56" s="170">
        <v>0</v>
      </c>
      <c r="F56" s="175">
        <v>0</v>
      </c>
      <c r="G56" s="170">
        <v>5000</v>
      </c>
      <c r="H56" s="171">
        <v>0</v>
      </c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</row>
    <row r="57" spans="1:47" s="180" customFormat="1" x14ac:dyDescent="0.2">
      <c r="A57" s="155">
        <v>48</v>
      </c>
      <c r="B57" s="34" t="s">
        <v>954</v>
      </c>
      <c r="C57" s="188" t="s">
        <v>918</v>
      </c>
      <c r="D57" s="189">
        <v>5000</v>
      </c>
      <c r="E57" s="190">
        <v>0</v>
      </c>
      <c r="F57" s="191">
        <v>0</v>
      </c>
      <c r="G57" s="189">
        <v>5000</v>
      </c>
      <c r="H57" s="171">
        <v>0</v>
      </c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</row>
    <row r="58" spans="1:47" s="180" customFormat="1" x14ac:dyDescent="0.2">
      <c r="A58" s="167">
        <v>49</v>
      </c>
      <c r="B58" s="34" t="s">
        <v>955</v>
      </c>
      <c r="C58" s="188" t="s">
        <v>918</v>
      </c>
      <c r="D58" s="169">
        <v>3000</v>
      </c>
      <c r="E58" s="170">
        <v>0</v>
      </c>
      <c r="F58" s="170">
        <v>0</v>
      </c>
      <c r="G58" s="169">
        <v>3000</v>
      </c>
      <c r="H58" s="171">
        <v>0</v>
      </c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</row>
    <row r="59" spans="1:47" s="180" customFormat="1" x14ac:dyDescent="0.2">
      <c r="A59" s="155">
        <v>50</v>
      </c>
      <c r="B59" s="176" t="s">
        <v>956</v>
      </c>
      <c r="C59" s="188" t="s">
        <v>918</v>
      </c>
      <c r="D59" s="169">
        <v>4000</v>
      </c>
      <c r="E59" s="170">
        <v>0</v>
      </c>
      <c r="F59" s="170">
        <v>0</v>
      </c>
      <c r="G59" s="169">
        <v>4000</v>
      </c>
      <c r="H59" s="171">
        <v>0</v>
      </c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</row>
    <row r="60" spans="1:47" s="180" customFormat="1" x14ac:dyDescent="0.2">
      <c r="A60" s="167">
        <v>51</v>
      </c>
      <c r="B60" s="34" t="s">
        <v>957</v>
      </c>
      <c r="C60" s="34" t="s">
        <v>918</v>
      </c>
      <c r="D60" s="169">
        <v>3800</v>
      </c>
      <c r="E60" s="170">
        <v>0</v>
      </c>
      <c r="F60" s="170">
        <v>0</v>
      </c>
      <c r="G60" s="169">
        <v>3800</v>
      </c>
      <c r="H60" s="171">
        <v>0</v>
      </c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</row>
    <row r="61" spans="1:47" s="180" customFormat="1" x14ac:dyDescent="0.2">
      <c r="A61" s="155">
        <v>52</v>
      </c>
      <c r="B61" s="192" t="s">
        <v>958</v>
      </c>
      <c r="C61" s="193" t="s">
        <v>918</v>
      </c>
      <c r="D61" s="194">
        <v>5500</v>
      </c>
      <c r="E61" s="195">
        <v>0</v>
      </c>
      <c r="F61" s="196">
        <v>0</v>
      </c>
      <c r="G61" s="194">
        <v>5500</v>
      </c>
      <c r="H61" s="197">
        <v>0</v>
      </c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</row>
    <row r="62" spans="1:47" s="180" customFormat="1" ht="13.5" customHeight="1" x14ac:dyDescent="0.2">
      <c r="A62" s="79"/>
      <c r="B62" s="250" t="s">
        <v>26</v>
      </c>
      <c r="C62" s="250"/>
      <c r="D62" s="198">
        <f>SUM(D10:D61)</f>
        <v>380100</v>
      </c>
      <c r="E62" s="199"/>
      <c r="F62" s="199"/>
      <c r="G62" s="198">
        <f>SUM(G10:G61)</f>
        <v>380100</v>
      </c>
      <c r="H62" s="200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</row>
    <row r="63" spans="1:47" s="180" customFormat="1" x14ac:dyDescent="0.2">
      <c r="A63" s="79"/>
      <c r="B63" s="201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202">
        <v>1879</v>
      </c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</row>
    <row r="64" spans="1:47" s="180" customFormat="1" x14ac:dyDescent="0.2">
      <c r="A64" s="79"/>
      <c r="B64" s="203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</row>
    <row r="65" spans="1:47" s="180" customFormat="1" x14ac:dyDescent="0.2">
      <c r="A65" s="79"/>
      <c r="B65" s="204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</row>
    <row r="66" spans="1:47" s="180" customFormat="1" x14ac:dyDescent="0.2">
      <c r="A66" s="79"/>
      <c r="B66" s="204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</row>
    <row r="67" spans="1:47" s="180" customFormat="1" x14ac:dyDescent="0.2">
      <c r="A67" s="79"/>
      <c r="B67" s="204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</row>
    <row r="68" spans="1:47" s="180" customFormat="1" x14ac:dyDescent="0.2">
      <c r="A68" s="79"/>
      <c r="B68" s="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</row>
    <row r="69" spans="1:47" s="180" customFormat="1" x14ac:dyDescent="0.2">
      <c r="A69" s="79"/>
      <c r="B69" s="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</row>
    <row r="70" spans="1:47" s="180" customFormat="1" x14ac:dyDescent="0.2">
      <c r="A70" s="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</row>
    <row r="71" spans="1:47" s="180" customFormat="1" x14ac:dyDescent="0.2">
      <c r="A71" s="79"/>
      <c r="B71" s="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</row>
    <row r="72" spans="1:47" s="180" customFormat="1" x14ac:dyDescent="0.2">
      <c r="A72" s="79"/>
      <c r="B72" s="204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</row>
    <row r="73" spans="1:47" s="180" customFormat="1" x14ac:dyDescent="0.2">
      <c r="A73" s="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</row>
    <row r="74" spans="1:47" s="180" customFormat="1" x14ac:dyDescent="0.2">
      <c r="A74" s="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</row>
    <row r="75" spans="1:47" s="180" customFormat="1" x14ac:dyDescent="0.2">
      <c r="A75" s="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</row>
    <row r="76" spans="1:47" s="180" customFormat="1" x14ac:dyDescent="0.2">
      <c r="A76" s="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</row>
    <row r="77" spans="1:47" s="180" customFormat="1" x14ac:dyDescent="0.2">
      <c r="A77" s="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</row>
    <row r="78" spans="1:47" s="180" customFormat="1" x14ac:dyDescent="0.2">
      <c r="A78" s="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</row>
    <row r="79" spans="1:47" s="180" customFormat="1" x14ac:dyDescent="0.2">
      <c r="A79" s="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</row>
    <row r="80" spans="1:47" s="180" customFormat="1" x14ac:dyDescent="0.2">
      <c r="A80" s="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</row>
    <row r="81" spans="1:47" s="180" customFormat="1" x14ac:dyDescent="0.2">
      <c r="A81" s="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</row>
    <row r="82" spans="1:47" s="180" customFormat="1" x14ac:dyDescent="0.2">
      <c r="A82" s="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</row>
    <row r="83" spans="1:47" s="180" customFormat="1" x14ac:dyDescent="0.2">
      <c r="A83" s="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</row>
    <row r="84" spans="1:47" s="180" customFormat="1" x14ac:dyDescent="0.2">
      <c r="A84" s="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</row>
    <row r="85" spans="1:47" s="180" customFormat="1" x14ac:dyDescent="0.2">
      <c r="A85" s="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</row>
    <row r="86" spans="1:47" s="180" customFormat="1" x14ac:dyDescent="0.2">
      <c r="A86" s="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</row>
    <row r="87" spans="1:47" s="180" customFormat="1" x14ac:dyDescent="0.2">
      <c r="A87" s="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</row>
    <row r="88" spans="1:47" s="180" customFormat="1" x14ac:dyDescent="0.2">
      <c r="A88" s="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</row>
    <row r="89" spans="1:47" s="180" customFormat="1" x14ac:dyDescent="0.2">
      <c r="A89" s="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</row>
    <row r="90" spans="1:47" s="180" customFormat="1" x14ac:dyDescent="0.2">
      <c r="A90" s="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</row>
    <row r="91" spans="1:47" s="180" customFormat="1" x14ac:dyDescent="0.2">
      <c r="A91" s="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</row>
    <row r="92" spans="1:47" s="180" customFormat="1" x14ac:dyDescent="0.2">
      <c r="A92" s="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</row>
    <row r="93" spans="1:47" s="180" customFormat="1" x14ac:dyDescent="0.2">
      <c r="A93" s="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</row>
    <row r="94" spans="1:47" s="180" customFormat="1" x14ac:dyDescent="0.2">
      <c r="A94" s="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</row>
    <row r="95" spans="1:47" s="180" customFormat="1" x14ac:dyDescent="0.2">
      <c r="A95" s="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</row>
    <row r="96" spans="1:47" s="180" customFormat="1" x14ac:dyDescent="0.2">
      <c r="A96" s="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</row>
    <row r="97" spans="1:47" s="180" customFormat="1" x14ac:dyDescent="0.2">
      <c r="A97" s="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</row>
    <row r="98" spans="1:47" s="180" customFormat="1" x14ac:dyDescent="0.2">
      <c r="A98" s="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</row>
    <row r="99" spans="1:47" s="180" customFormat="1" x14ac:dyDescent="0.2">
      <c r="A99" s="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</row>
    <row r="100" spans="1:47" s="180" customFormat="1" x14ac:dyDescent="0.2">
      <c r="A100" s="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</row>
    <row r="101" spans="1:47" s="180" customFormat="1" x14ac:dyDescent="0.2">
      <c r="A101" s="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</row>
    <row r="102" spans="1:47" s="180" customFormat="1" x14ac:dyDescent="0.2">
      <c r="A102" s="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</row>
    <row r="103" spans="1:47" s="180" customFormat="1" x14ac:dyDescent="0.2">
      <c r="A103" s="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</row>
    <row r="104" spans="1:47" s="180" customFormat="1" x14ac:dyDescent="0.2">
      <c r="A104" s="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</row>
    <row r="105" spans="1:47" s="180" customFormat="1" x14ac:dyDescent="0.2">
      <c r="A105" s="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</row>
    <row r="106" spans="1:47" s="180" customFormat="1" x14ac:dyDescent="0.2">
      <c r="A106" s="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</row>
    <row r="107" spans="1:47" s="180" customFormat="1" x14ac:dyDescent="0.2">
      <c r="A107" s="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</row>
    <row r="108" spans="1:47" s="180" customFormat="1" x14ac:dyDescent="0.2">
      <c r="A108" s="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</row>
    <row r="109" spans="1:47" s="180" customFormat="1" x14ac:dyDescent="0.2">
      <c r="A109" s="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</row>
    <row r="110" spans="1:47" s="180" customFormat="1" x14ac:dyDescent="0.2">
      <c r="A110" s="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</row>
    <row r="111" spans="1:47" s="180" customFormat="1" x14ac:dyDescent="0.2">
      <c r="A111" s="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</row>
    <row r="112" spans="1:47" s="180" customFormat="1" x14ac:dyDescent="0.2">
      <c r="A112" s="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</row>
    <row r="113" spans="1:47" s="180" customFormat="1" x14ac:dyDescent="0.2">
      <c r="A113" s="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</row>
    <row r="114" spans="1:47" s="180" customFormat="1" x14ac:dyDescent="0.2">
      <c r="A114" s="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</row>
    <row r="115" spans="1:47" s="180" customFormat="1" x14ac:dyDescent="0.2">
      <c r="A115" s="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</row>
    <row r="116" spans="1:47" s="180" customFormat="1" x14ac:dyDescent="0.2">
      <c r="A116" s="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</row>
    <row r="117" spans="1:47" s="180" customFormat="1" x14ac:dyDescent="0.2">
      <c r="A117" s="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</row>
    <row r="118" spans="1:47" s="180" customFormat="1" x14ac:dyDescent="0.2">
      <c r="A118" s="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</row>
    <row r="119" spans="1:47" s="180" customFormat="1" x14ac:dyDescent="0.2">
      <c r="A119" s="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</row>
    <row r="120" spans="1:47" s="180" customFormat="1" x14ac:dyDescent="0.2">
      <c r="A120" s="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</row>
    <row r="121" spans="1:47" s="180" customFormat="1" x14ac:dyDescent="0.2">
      <c r="A121" s="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</row>
    <row r="122" spans="1:47" s="180" customFormat="1" x14ac:dyDescent="0.2">
      <c r="A122" s="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</row>
    <row r="123" spans="1:47" s="180" customFormat="1" x14ac:dyDescent="0.2">
      <c r="A123" s="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</row>
    <row r="124" spans="1:47" s="180" customFormat="1" x14ac:dyDescent="0.2">
      <c r="A124" s="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</row>
    <row r="125" spans="1:47" s="180" customFormat="1" x14ac:dyDescent="0.2">
      <c r="A125" s="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</row>
    <row r="126" spans="1:47" s="180" customFormat="1" x14ac:dyDescent="0.2">
      <c r="A126" s="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</row>
    <row r="127" spans="1:47" s="180" customFormat="1" x14ac:dyDescent="0.2">
      <c r="A127" s="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</row>
    <row r="128" spans="1:47" s="180" customFormat="1" x14ac:dyDescent="0.2">
      <c r="A128" s="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</row>
    <row r="129" spans="1:47" s="180" customFormat="1" x14ac:dyDescent="0.2">
      <c r="A129" s="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</row>
    <row r="130" spans="1:47" s="180" customFormat="1" x14ac:dyDescent="0.2">
      <c r="A130" s="79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</row>
    <row r="131" spans="1:47" s="180" customFormat="1" x14ac:dyDescent="0.2">
      <c r="A131" s="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</row>
    <row r="132" spans="1:47" s="180" customFormat="1" x14ac:dyDescent="0.2">
      <c r="A132" s="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</row>
    <row r="133" spans="1:47" s="180" customFormat="1" x14ac:dyDescent="0.2">
      <c r="A133" s="79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</row>
    <row r="134" spans="1:47" s="180" customFormat="1" x14ac:dyDescent="0.2">
      <c r="A134" s="79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</row>
    <row r="135" spans="1:47" s="180" customFormat="1" x14ac:dyDescent="0.2">
      <c r="A135" s="79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</row>
    <row r="136" spans="1:47" s="180" customFormat="1" x14ac:dyDescent="0.2">
      <c r="A136" s="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</row>
    <row r="137" spans="1:47" s="180" customFormat="1" x14ac:dyDescent="0.2">
      <c r="A137" s="79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</row>
    <row r="138" spans="1:47" s="180" customFormat="1" x14ac:dyDescent="0.2">
      <c r="A138" s="79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</row>
    <row r="139" spans="1:47" s="180" customFormat="1" x14ac:dyDescent="0.2">
      <c r="A139" s="79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</row>
    <row r="140" spans="1:47" s="180" customFormat="1" x14ac:dyDescent="0.2">
      <c r="A140" s="79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</row>
    <row r="141" spans="1:47" s="180" customFormat="1" x14ac:dyDescent="0.2">
      <c r="A141" s="79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</row>
    <row r="142" spans="1:47" s="180" customFormat="1" x14ac:dyDescent="0.2">
      <c r="A142" s="79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</row>
    <row r="143" spans="1:47" s="180" customFormat="1" x14ac:dyDescent="0.2">
      <c r="A143" s="79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</row>
    <row r="144" spans="1:47" s="180" customFormat="1" x14ac:dyDescent="0.2">
      <c r="A144" s="79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</row>
    <row r="145" spans="1:47" s="180" customFormat="1" x14ac:dyDescent="0.2">
      <c r="A145" s="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</row>
    <row r="146" spans="1:47" s="180" customFormat="1" x14ac:dyDescent="0.2">
      <c r="A146" s="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</row>
    <row r="147" spans="1:47" s="180" customFormat="1" x14ac:dyDescent="0.2">
      <c r="A147" s="79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</row>
    <row r="148" spans="1:47" s="180" customFormat="1" x14ac:dyDescent="0.2">
      <c r="A148" s="79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</row>
    <row r="149" spans="1:47" s="180" customFormat="1" x14ac:dyDescent="0.2">
      <c r="A149" s="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</row>
    <row r="150" spans="1:47" s="180" customFormat="1" x14ac:dyDescent="0.2">
      <c r="A150" s="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</row>
    <row r="151" spans="1:47" s="180" customFormat="1" x14ac:dyDescent="0.2">
      <c r="A151" s="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</row>
    <row r="152" spans="1:47" s="180" customFormat="1" x14ac:dyDescent="0.2">
      <c r="A152" s="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</row>
    <row r="153" spans="1:47" s="180" customFormat="1" x14ac:dyDescent="0.2">
      <c r="A153" s="79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</row>
    <row r="154" spans="1:47" s="180" customFormat="1" x14ac:dyDescent="0.2">
      <c r="A154" s="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</row>
    <row r="155" spans="1:47" s="180" customFormat="1" x14ac:dyDescent="0.2">
      <c r="A155" s="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</row>
    <row r="156" spans="1:47" s="180" customFormat="1" x14ac:dyDescent="0.2">
      <c r="A156" s="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</row>
    <row r="157" spans="1:47" s="180" customFormat="1" x14ac:dyDescent="0.2">
      <c r="A157" s="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</row>
    <row r="158" spans="1:47" s="180" customFormat="1" x14ac:dyDescent="0.2">
      <c r="A158" s="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</row>
    <row r="159" spans="1:47" s="180" customFormat="1" x14ac:dyDescent="0.2">
      <c r="A159" s="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</row>
    <row r="160" spans="1:47" s="180" customFormat="1" x14ac:dyDescent="0.2">
      <c r="A160" s="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</row>
    <row r="161" spans="1:47" s="180" customFormat="1" x14ac:dyDescent="0.2">
      <c r="A161" s="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</row>
    <row r="162" spans="1:47" s="180" customFormat="1" x14ac:dyDescent="0.2">
      <c r="A162" s="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</row>
    <row r="163" spans="1:47" s="180" customFormat="1" x14ac:dyDescent="0.2">
      <c r="A163" s="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</row>
    <row r="164" spans="1:47" s="180" customFormat="1" x14ac:dyDescent="0.2">
      <c r="A164" s="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</row>
    <row r="165" spans="1:47" s="180" customFormat="1" x14ac:dyDescent="0.2">
      <c r="A165" s="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</row>
    <row r="166" spans="1:47" s="180" customFormat="1" x14ac:dyDescent="0.2">
      <c r="A166" s="79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</row>
    <row r="167" spans="1:47" s="180" customFormat="1" x14ac:dyDescent="0.2">
      <c r="A167" s="79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79"/>
    </row>
    <row r="168" spans="1:47" s="180" customFormat="1" x14ac:dyDescent="0.2">
      <c r="A168" s="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</row>
    <row r="169" spans="1:47" s="180" customFormat="1" x14ac:dyDescent="0.2">
      <c r="A169" s="79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</row>
    <row r="170" spans="1:47" s="180" customFormat="1" x14ac:dyDescent="0.2">
      <c r="A170" s="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</row>
    <row r="171" spans="1:47" s="180" customFormat="1" x14ac:dyDescent="0.2">
      <c r="A171" s="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</row>
    <row r="172" spans="1:47" s="180" customFormat="1" x14ac:dyDescent="0.2">
      <c r="A172" s="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</row>
    <row r="173" spans="1:47" s="180" customFormat="1" x14ac:dyDescent="0.2">
      <c r="A173" s="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</row>
    <row r="174" spans="1:47" s="180" customFormat="1" x14ac:dyDescent="0.2">
      <c r="A174" s="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</row>
    <row r="175" spans="1:47" s="180" customFormat="1" x14ac:dyDescent="0.2">
      <c r="A175" s="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</row>
    <row r="176" spans="1:47" s="180" customFormat="1" x14ac:dyDescent="0.2">
      <c r="A176" s="79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</row>
    <row r="177" spans="1:47" s="180" customFormat="1" x14ac:dyDescent="0.2">
      <c r="A177" s="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</row>
    <row r="178" spans="1:47" s="180" customFormat="1" x14ac:dyDescent="0.2">
      <c r="A178" s="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</row>
    <row r="179" spans="1:47" s="180" customFormat="1" x14ac:dyDescent="0.2">
      <c r="A179" s="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</row>
    <row r="180" spans="1:47" s="180" customFormat="1" x14ac:dyDescent="0.2">
      <c r="A180" s="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</row>
    <row r="181" spans="1:47" s="180" customFormat="1" x14ac:dyDescent="0.2">
      <c r="A181" s="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</row>
    <row r="182" spans="1:47" s="180" customFormat="1" x14ac:dyDescent="0.2">
      <c r="A182" s="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</row>
    <row r="183" spans="1:47" s="180" customFormat="1" x14ac:dyDescent="0.2">
      <c r="A183" s="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</row>
    <row r="184" spans="1:47" s="180" customFormat="1" x14ac:dyDescent="0.2">
      <c r="A184" s="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</row>
    <row r="185" spans="1:47" s="180" customFormat="1" x14ac:dyDescent="0.2">
      <c r="A185" s="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</row>
    <row r="186" spans="1:47" s="180" customFormat="1" x14ac:dyDescent="0.2">
      <c r="A186" s="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</row>
    <row r="187" spans="1:47" s="180" customFormat="1" x14ac:dyDescent="0.2">
      <c r="A187" s="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</row>
    <row r="188" spans="1:47" s="180" customFormat="1" x14ac:dyDescent="0.2">
      <c r="A188" s="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</row>
    <row r="189" spans="1:47" s="180" customFormat="1" x14ac:dyDescent="0.2">
      <c r="A189" s="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</row>
    <row r="190" spans="1:47" s="180" customFormat="1" x14ac:dyDescent="0.2">
      <c r="A190" s="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</row>
    <row r="191" spans="1:47" s="180" customFormat="1" x14ac:dyDescent="0.2">
      <c r="A191" s="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</row>
    <row r="192" spans="1:47" s="180" customFormat="1" x14ac:dyDescent="0.2">
      <c r="A192" s="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</row>
    <row r="193" spans="1:47" s="180" customFormat="1" x14ac:dyDescent="0.2">
      <c r="A193" s="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</row>
    <row r="194" spans="1:47" s="180" customFormat="1" x14ac:dyDescent="0.2">
      <c r="A194" s="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</row>
    <row r="195" spans="1:47" s="180" customFormat="1" x14ac:dyDescent="0.2">
      <c r="A195" s="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</row>
    <row r="196" spans="1:47" s="180" customFormat="1" x14ac:dyDescent="0.2">
      <c r="A196" s="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</row>
    <row r="197" spans="1:47" s="180" customFormat="1" x14ac:dyDescent="0.2">
      <c r="A197" s="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</row>
    <row r="198" spans="1:47" s="180" customFormat="1" x14ac:dyDescent="0.2">
      <c r="A198" s="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</row>
    <row r="199" spans="1:47" s="180" customFormat="1" x14ac:dyDescent="0.2">
      <c r="A199" s="79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</row>
    <row r="200" spans="1:47" s="180" customFormat="1" x14ac:dyDescent="0.2">
      <c r="A200" s="79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</row>
    <row r="201" spans="1:47" s="180" customFormat="1" x14ac:dyDescent="0.2">
      <c r="A201" s="79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</row>
    <row r="202" spans="1:47" s="180" customFormat="1" x14ac:dyDescent="0.2">
      <c r="A202" s="79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</row>
    <row r="203" spans="1:47" s="180" customFormat="1" x14ac:dyDescent="0.2">
      <c r="A203" s="79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</row>
    <row r="204" spans="1:47" s="180" customFormat="1" x14ac:dyDescent="0.2">
      <c r="A204" s="79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</row>
    <row r="205" spans="1:47" s="180" customFormat="1" x14ac:dyDescent="0.2">
      <c r="A205" s="79"/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</row>
    <row r="206" spans="1:47" s="180" customFormat="1" x14ac:dyDescent="0.2">
      <c r="A206" s="79"/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</row>
    <row r="207" spans="1:47" s="180" customFormat="1" x14ac:dyDescent="0.2">
      <c r="A207" s="79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</row>
    <row r="208" spans="1:47" s="180" customFormat="1" x14ac:dyDescent="0.2">
      <c r="A208" s="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</row>
    <row r="209" spans="1:47" s="180" customFormat="1" x14ac:dyDescent="0.2">
      <c r="A209" s="79"/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</row>
    <row r="210" spans="1:47" s="180" customFormat="1" x14ac:dyDescent="0.2">
      <c r="A210" s="79"/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</row>
    <row r="211" spans="1:47" s="180" customFormat="1" x14ac:dyDescent="0.2">
      <c r="A211" s="79"/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</row>
    <row r="212" spans="1:47" s="180" customFormat="1" x14ac:dyDescent="0.2">
      <c r="A212" s="79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</row>
    <row r="213" spans="1:47" s="180" customFormat="1" x14ac:dyDescent="0.2">
      <c r="A213" s="79"/>
      <c r="B213" s="179"/>
      <c r="C213" s="179"/>
      <c r="D213" s="179"/>
      <c r="E213" s="179"/>
      <c r="F213" s="179"/>
      <c r="G213" s="202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</row>
    <row r="214" spans="1:47" s="180" customFormat="1" x14ac:dyDescent="0.2">
      <c r="A214" s="79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</row>
    <row r="215" spans="1:47" s="180" customFormat="1" x14ac:dyDescent="0.2">
      <c r="A215" s="79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</row>
    <row r="216" spans="1:47" s="180" customFormat="1" x14ac:dyDescent="0.2">
      <c r="A216" s="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</row>
    <row r="217" spans="1:47" s="180" customFormat="1" x14ac:dyDescent="0.2">
      <c r="A217" s="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</row>
    <row r="218" spans="1:47" s="180" customFormat="1" x14ac:dyDescent="0.2">
      <c r="A218" s="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</row>
    <row r="219" spans="1:47" s="180" customFormat="1" x14ac:dyDescent="0.2">
      <c r="A219" s="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</row>
    <row r="220" spans="1:47" s="180" customFormat="1" x14ac:dyDescent="0.2">
      <c r="A220" s="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</row>
    <row r="221" spans="1:47" s="180" customFormat="1" x14ac:dyDescent="0.2">
      <c r="A221" s="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</row>
    <row r="222" spans="1:47" s="180" customFormat="1" x14ac:dyDescent="0.2">
      <c r="A222" s="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</row>
    <row r="223" spans="1:47" s="180" customFormat="1" x14ac:dyDescent="0.2">
      <c r="A223" s="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</row>
    <row r="224" spans="1:47" s="180" customFormat="1" x14ac:dyDescent="0.2">
      <c r="A224" s="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</row>
    <row r="225" spans="1:47" s="180" customFormat="1" x14ac:dyDescent="0.2">
      <c r="A225" s="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</row>
    <row r="226" spans="1:47" s="180" customFormat="1" x14ac:dyDescent="0.2">
      <c r="A226" s="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</row>
    <row r="227" spans="1:47" s="180" customFormat="1" x14ac:dyDescent="0.2">
      <c r="A227" s="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</row>
    <row r="228" spans="1:47" s="180" customFormat="1" x14ac:dyDescent="0.2">
      <c r="A228" s="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</row>
    <row r="229" spans="1:47" s="180" customFormat="1" x14ac:dyDescent="0.2">
      <c r="A229" s="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</row>
    <row r="230" spans="1:47" s="180" customFormat="1" x14ac:dyDescent="0.2">
      <c r="A230" s="79"/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</row>
    <row r="231" spans="1:47" s="180" customFormat="1" x14ac:dyDescent="0.2">
      <c r="A231" s="79"/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</row>
    <row r="232" spans="1:47" s="180" customFormat="1" x14ac:dyDescent="0.2">
      <c r="A232" s="79"/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</row>
    <row r="233" spans="1:47" s="180" customFormat="1" x14ac:dyDescent="0.2">
      <c r="A233" s="79"/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</row>
    <row r="234" spans="1:47" s="180" customFormat="1" x14ac:dyDescent="0.2">
      <c r="A234" s="79"/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</row>
    <row r="235" spans="1:47" s="180" customFormat="1" x14ac:dyDescent="0.2">
      <c r="A235" s="79"/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202">
        <v>1575</v>
      </c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</row>
    <row r="236" spans="1:47" s="180" customFormat="1" x14ac:dyDescent="0.2">
      <c r="A236" s="79"/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</row>
    <row r="237" spans="1:47" s="180" customFormat="1" x14ac:dyDescent="0.2">
      <c r="A237" s="79"/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9"/>
      <c r="AU237" s="179"/>
    </row>
    <row r="238" spans="1:47" s="180" customFormat="1" x14ac:dyDescent="0.2">
      <c r="A238" s="79"/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9"/>
      <c r="AU238" s="179"/>
    </row>
    <row r="239" spans="1:47" s="180" customFormat="1" x14ac:dyDescent="0.2">
      <c r="A239" s="79"/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79"/>
      <c r="AU239" s="179"/>
    </row>
    <row r="240" spans="1:47" s="180" customFormat="1" x14ac:dyDescent="0.2">
      <c r="A240" s="79"/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</row>
    <row r="241" spans="1:47" s="180" customFormat="1" x14ac:dyDescent="0.2">
      <c r="A241" s="79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79"/>
      <c r="AT241" s="179"/>
      <c r="AU241" s="179"/>
    </row>
    <row r="242" spans="1:47" s="180" customFormat="1" x14ac:dyDescent="0.2">
      <c r="A242" s="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79"/>
    </row>
    <row r="243" spans="1:47" s="180" customFormat="1" x14ac:dyDescent="0.2">
      <c r="A243" s="79"/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</row>
    <row r="244" spans="1:47" s="180" customFormat="1" x14ac:dyDescent="0.2">
      <c r="A244" s="79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</row>
    <row r="245" spans="1:47" s="180" customFormat="1" x14ac:dyDescent="0.2">
      <c r="A245" s="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</row>
    <row r="246" spans="1:47" s="180" customFormat="1" x14ac:dyDescent="0.2">
      <c r="A246" s="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</row>
    <row r="247" spans="1:47" s="180" customFormat="1" x14ac:dyDescent="0.2">
      <c r="A247" s="79"/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</row>
    <row r="248" spans="1:47" s="180" customFormat="1" x14ac:dyDescent="0.2">
      <c r="A248" s="79"/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</row>
    <row r="249" spans="1:47" s="180" customFormat="1" x14ac:dyDescent="0.2">
      <c r="A249" s="79"/>
      <c r="B249" s="179"/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</row>
    <row r="250" spans="1:47" s="180" customFormat="1" x14ac:dyDescent="0.2">
      <c r="A250" s="79"/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</row>
    <row r="251" spans="1:47" s="180" customFormat="1" x14ac:dyDescent="0.2">
      <c r="A251" s="79"/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  <c r="AS251" s="179"/>
      <c r="AT251" s="179"/>
      <c r="AU251" s="179"/>
    </row>
    <row r="252" spans="1:47" s="180" customFormat="1" x14ac:dyDescent="0.2">
      <c r="A252" s="79"/>
      <c r="B252" s="179"/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79"/>
      <c r="AT252" s="179"/>
      <c r="AU252" s="179"/>
    </row>
    <row r="253" spans="1:47" s="180" customFormat="1" x14ac:dyDescent="0.2">
      <c r="A253" s="79"/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</row>
    <row r="254" spans="1:47" s="180" customFormat="1" x14ac:dyDescent="0.2">
      <c r="A254" s="79"/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79"/>
      <c r="AR254" s="179"/>
      <c r="AS254" s="179"/>
      <c r="AT254" s="179"/>
      <c r="AU254" s="179"/>
    </row>
    <row r="255" spans="1:47" s="180" customFormat="1" x14ac:dyDescent="0.2">
      <c r="A255" s="79"/>
      <c r="B255" s="179"/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  <c r="AA255" s="179"/>
      <c r="AB255" s="179"/>
      <c r="AC255" s="179"/>
      <c r="AD255" s="179"/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  <c r="AP255" s="179"/>
      <c r="AQ255" s="179"/>
      <c r="AR255" s="179"/>
      <c r="AS255" s="179"/>
      <c r="AT255" s="179"/>
      <c r="AU255" s="179"/>
    </row>
    <row r="256" spans="1:47" s="180" customFormat="1" x14ac:dyDescent="0.2">
      <c r="A256" s="79"/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  <c r="U256" s="179"/>
      <c r="V256" s="179"/>
      <c r="W256" s="179"/>
      <c r="X256" s="179"/>
      <c r="Y256" s="179"/>
      <c r="Z256" s="179"/>
      <c r="AA256" s="179"/>
      <c r="AB256" s="179"/>
      <c r="AC256" s="179"/>
      <c r="AD256" s="179"/>
      <c r="AE256" s="179"/>
      <c r="AF256" s="179"/>
      <c r="AG256" s="179"/>
      <c r="AH256" s="179"/>
      <c r="AI256" s="179"/>
      <c r="AJ256" s="179"/>
      <c r="AK256" s="179"/>
      <c r="AL256" s="179"/>
      <c r="AM256" s="179"/>
      <c r="AN256" s="179"/>
      <c r="AO256" s="179"/>
      <c r="AP256" s="179"/>
      <c r="AQ256" s="179"/>
      <c r="AR256" s="179"/>
      <c r="AS256" s="179"/>
      <c r="AT256" s="179"/>
      <c r="AU256" s="179"/>
    </row>
    <row r="257" spans="1:47" s="180" customFormat="1" x14ac:dyDescent="0.2">
      <c r="A257" s="79"/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  <c r="AC257" s="179"/>
      <c r="AD257" s="179"/>
      <c r="AE257" s="179"/>
      <c r="AF257" s="179"/>
      <c r="AG257" s="179"/>
      <c r="AH257" s="179"/>
      <c r="AI257" s="179"/>
      <c r="AJ257" s="179"/>
      <c r="AK257" s="179"/>
      <c r="AL257" s="179"/>
      <c r="AM257" s="179"/>
      <c r="AN257" s="179"/>
      <c r="AO257" s="179"/>
      <c r="AP257" s="179"/>
      <c r="AQ257" s="179"/>
      <c r="AR257" s="179"/>
      <c r="AS257" s="179"/>
      <c r="AT257" s="179"/>
      <c r="AU257" s="179"/>
    </row>
    <row r="258" spans="1:47" s="180" customFormat="1" x14ac:dyDescent="0.2">
      <c r="A258" s="79"/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79"/>
      <c r="AT258" s="179"/>
      <c r="AU258" s="179"/>
    </row>
    <row r="259" spans="1:47" s="180" customFormat="1" x14ac:dyDescent="0.2">
      <c r="A259" s="79"/>
      <c r="B259" s="179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79"/>
      <c r="AT259" s="179"/>
      <c r="AU259" s="179"/>
    </row>
    <row r="260" spans="1:47" s="180" customFormat="1" x14ac:dyDescent="0.2">
      <c r="A260" s="79"/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79"/>
      <c r="AT260" s="179"/>
      <c r="AU260" s="179"/>
    </row>
    <row r="261" spans="1:47" s="180" customFormat="1" x14ac:dyDescent="0.2">
      <c r="A261" s="79"/>
      <c r="B261" s="179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79"/>
      <c r="AT261" s="179"/>
      <c r="AU261" s="179"/>
    </row>
    <row r="262" spans="1:47" s="180" customFormat="1" x14ac:dyDescent="0.2">
      <c r="A262" s="79"/>
      <c r="B262" s="179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79"/>
      <c r="AT262" s="179"/>
      <c r="AU262" s="179"/>
    </row>
    <row r="263" spans="1:47" s="180" customFormat="1" x14ac:dyDescent="0.2">
      <c r="A263" s="79"/>
      <c r="B263" s="179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179"/>
    </row>
    <row r="264" spans="1:47" s="180" customFormat="1" x14ac:dyDescent="0.2">
      <c r="A264" s="79"/>
      <c r="B264" s="179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79"/>
      <c r="AT264" s="179"/>
      <c r="AU264" s="179"/>
    </row>
    <row r="265" spans="1:47" s="180" customFormat="1" x14ac:dyDescent="0.2">
      <c r="A265" s="79"/>
      <c r="B265" s="179"/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179"/>
    </row>
    <row r="266" spans="1:47" s="180" customFormat="1" x14ac:dyDescent="0.2">
      <c r="A266" s="79"/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179"/>
      <c r="AT266" s="179"/>
      <c r="AU266" s="179"/>
    </row>
    <row r="267" spans="1:47" s="180" customFormat="1" x14ac:dyDescent="0.2">
      <c r="A267" s="79"/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  <c r="AA267" s="179"/>
      <c r="AB267" s="179"/>
      <c r="AC267" s="179"/>
      <c r="AD267" s="179"/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  <c r="AP267" s="179"/>
      <c r="AQ267" s="179"/>
      <c r="AR267" s="179"/>
      <c r="AS267" s="179"/>
      <c r="AT267" s="179"/>
      <c r="AU267" s="179"/>
    </row>
    <row r="268" spans="1:47" s="180" customFormat="1" x14ac:dyDescent="0.2">
      <c r="A268" s="79"/>
      <c r="B268" s="179"/>
      <c r="C268" s="179"/>
      <c r="D268" s="179"/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  <c r="P268" s="179"/>
      <c r="Q268" s="179"/>
      <c r="R268" s="179"/>
      <c r="S268" s="179"/>
      <c r="T268" s="179"/>
      <c r="U268" s="179"/>
      <c r="V268" s="179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179"/>
      <c r="AP268" s="179"/>
      <c r="AQ268" s="179"/>
      <c r="AR268" s="179"/>
      <c r="AS268" s="179"/>
      <c r="AT268" s="179"/>
      <c r="AU268" s="179"/>
    </row>
    <row r="269" spans="1:47" s="180" customFormat="1" x14ac:dyDescent="0.2">
      <c r="A269" s="79"/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  <c r="AB269" s="179"/>
      <c r="AC269" s="179"/>
      <c r="AD269" s="179"/>
      <c r="AE269" s="179"/>
      <c r="AF269" s="179"/>
      <c r="AG269" s="179"/>
      <c r="AH269" s="179"/>
      <c r="AI269" s="179"/>
      <c r="AJ269" s="179"/>
      <c r="AK269" s="179"/>
      <c r="AL269" s="179"/>
      <c r="AM269" s="179"/>
      <c r="AN269" s="179"/>
      <c r="AO269" s="179"/>
      <c r="AP269" s="179"/>
      <c r="AQ269" s="179"/>
      <c r="AR269" s="179"/>
      <c r="AS269" s="179"/>
      <c r="AT269" s="179"/>
      <c r="AU269" s="179"/>
    </row>
    <row r="270" spans="1:47" s="180" customFormat="1" x14ac:dyDescent="0.2">
      <c r="A270" s="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  <c r="AA270" s="179"/>
      <c r="AB270" s="179"/>
      <c r="AC270" s="179"/>
      <c r="AD270" s="179"/>
      <c r="AE270" s="179"/>
      <c r="AF270" s="179"/>
      <c r="AG270" s="179"/>
      <c r="AH270" s="179"/>
      <c r="AI270" s="179"/>
      <c r="AJ270" s="179"/>
      <c r="AK270" s="179"/>
      <c r="AL270" s="179"/>
      <c r="AM270" s="179"/>
      <c r="AN270" s="179"/>
      <c r="AO270" s="179"/>
      <c r="AP270" s="179"/>
      <c r="AQ270" s="179"/>
      <c r="AR270" s="179"/>
      <c r="AS270" s="179"/>
      <c r="AT270" s="179"/>
      <c r="AU270" s="179"/>
    </row>
    <row r="271" spans="1:47" s="180" customFormat="1" x14ac:dyDescent="0.2">
      <c r="A271" s="79"/>
      <c r="B271" s="179"/>
      <c r="C271" s="179"/>
      <c r="D271" s="179"/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179"/>
      <c r="AP271" s="179"/>
      <c r="AQ271" s="179"/>
      <c r="AR271" s="179"/>
      <c r="AS271" s="179"/>
      <c r="AT271" s="179"/>
      <c r="AU271" s="179"/>
    </row>
    <row r="272" spans="1:47" s="180" customFormat="1" x14ac:dyDescent="0.2">
      <c r="A272" s="79"/>
      <c r="B272" s="179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79"/>
      <c r="AT272" s="179"/>
      <c r="AU272" s="179"/>
    </row>
    <row r="273" spans="1:47" s="180" customFormat="1" x14ac:dyDescent="0.2">
      <c r="A273" s="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79"/>
      <c r="AT273" s="179"/>
      <c r="AU273" s="179"/>
    </row>
    <row r="274" spans="1:47" s="180" customFormat="1" x14ac:dyDescent="0.2">
      <c r="A274" s="79"/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79"/>
      <c r="AT274" s="179"/>
      <c r="AU274" s="179"/>
    </row>
    <row r="275" spans="1:47" s="180" customFormat="1" x14ac:dyDescent="0.2">
      <c r="A275" s="79"/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79"/>
      <c r="AT275" s="179"/>
      <c r="AU275" s="179"/>
    </row>
    <row r="276" spans="1:47" s="180" customFormat="1" x14ac:dyDescent="0.2">
      <c r="A276" s="79"/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79"/>
      <c r="AT276" s="179"/>
      <c r="AU276" s="179"/>
    </row>
    <row r="277" spans="1:47" s="180" customFormat="1" x14ac:dyDescent="0.2">
      <c r="A277" s="79"/>
      <c r="B277" s="179"/>
      <c r="C277" s="179"/>
      <c r="D277" s="179"/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  <c r="P277" s="179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79"/>
      <c r="AT277" s="179"/>
      <c r="AU277" s="179"/>
    </row>
    <row r="278" spans="1:47" s="180" customFormat="1" x14ac:dyDescent="0.2">
      <c r="A278" s="79"/>
      <c r="B278" s="179"/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79"/>
      <c r="AT278" s="179"/>
      <c r="AU278" s="179"/>
    </row>
    <row r="279" spans="1:47" s="180" customFormat="1" x14ac:dyDescent="0.2">
      <c r="A279" s="79"/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</row>
    <row r="280" spans="1:47" s="180" customFormat="1" x14ac:dyDescent="0.2">
      <c r="A280" s="79"/>
      <c r="B280" s="179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</row>
    <row r="281" spans="1:47" s="180" customFormat="1" x14ac:dyDescent="0.2">
      <c r="A281" s="79"/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79"/>
      <c r="AU281" s="179"/>
    </row>
    <row r="282" spans="1:47" s="180" customFormat="1" x14ac:dyDescent="0.2">
      <c r="A282" s="79"/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79"/>
      <c r="AT282" s="179"/>
      <c r="AU282" s="179"/>
    </row>
    <row r="283" spans="1:47" s="180" customFormat="1" x14ac:dyDescent="0.2">
      <c r="A283" s="79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79"/>
      <c r="AT283" s="179"/>
      <c r="AU283" s="179"/>
    </row>
    <row r="284" spans="1:47" s="180" customFormat="1" x14ac:dyDescent="0.2">
      <c r="A284" s="79"/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79"/>
      <c r="AT284" s="179"/>
      <c r="AU284" s="179"/>
    </row>
    <row r="285" spans="1:47" s="180" customFormat="1" x14ac:dyDescent="0.2">
      <c r="A285" s="79"/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79"/>
      <c r="U285" s="179"/>
      <c r="V285" s="179"/>
      <c r="W285" s="179"/>
      <c r="X285" s="179"/>
      <c r="Y285" s="179"/>
      <c r="Z285" s="179"/>
      <c r="AA285" s="179"/>
      <c r="AB285" s="179"/>
      <c r="AC285" s="179"/>
      <c r="AD285" s="179"/>
      <c r="AE285" s="179"/>
      <c r="AF285" s="179"/>
      <c r="AG285" s="179"/>
      <c r="AH285" s="179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179"/>
      <c r="AT285" s="179"/>
      <c r="AU285" s="179"/>
    </row>
    <row r="286" spans="1:47" s="180" customFormat="1" x14ac:dyDescent="0.2">
      <c r="A286" s="79"/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79"/>
      <c r="AT286" s="179"/>
      <c r="AU286" s="179"/>
    </row>
    <row r="287" spans="1:47" s="180" customFormat="1" x14ac:dyDescent="0.2">
      <c r="A287" s="79"/>
      <c r="B287" s="179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</row>
    <row r="288" spans="1:47" s="180" customFormat="1" x14ac:dyDescent="0.2">
      <c r="A288" s="79"/>
      <c r="B288" s="179"/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</row>
    <row r="289" spans="1:47" s="180" customFormat="1" x14ac:dyDescent="0.2">
      <c r="A289" s="79"/>
      <c r="B289" s="179"/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202">
        <v>1575</v>
      </c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</row>
    <row r="290" spans="1:47" ht="25.5" customHeight="1" x14ac:dyDescent="0.2"/>
  </sheetData>
  <sheetProtection selectLockedCells="1" selectUnlockedCells="1"/>
  <mergeCells count="7">
    <mergeCell ref="B62:C62"/>
    <mergeCell ref="A2:H2"/>
    <mergeCell ref="A3:H3"/>
    <mergeCell ref="A4:H4"/>
    <mergeCell ref="A5:H5"/>
    <mergeCell ref="A6:H6"/>
    <mergeCell ref="A7:H7"/>
  </mergeCells>
  <printOptions verticalCentered="1"/>
  <pageMargins left="2.0472222222222221" right="0.78749999999999998" top="0.82708333333333328" bottom="0.78749999999999998" header="0.51180555555555551" footer="0.51180555555555551"/>
  <pageSetup paperSize="5" scale="75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M278"/>
  <sheetViews>
    <sheetView zoomScale="90" zoomScaleNormal="90" workbookViewId="0"/>
  </sheetViews>
  <sheetFormatPr baseColWidth="10" defaultColWidth="11.5703125" defaultRowHeight="12.75" x14ac:dyDescent="0.2"/>
  <cols>
    <col min="1" max="1" width="8.42578125" style="205" customWidth="1"/>
    <col min="2" max="2" width="28.42578125" style="205" customWidth="1"/>
    <col min="3" max="3" width="22.85546875" customWidth="1"/>
    <col min="4" max="4" width="10.28515625" customWidth="1"/>
    <col min="5" max="5" width="11" customWidth="1"/>
    <col min="6" max="6" width="9.28515625" customWidth="1"/>
    <col min="7" max="7" width="11.85546875" customWidth="1"/>
    <col min="8" max="9" width="12.85546875" customWidth="1"/>
    <col min="10" max="10" width="12.5703125" customWidth="1"/>
    <col min="11" max="12" width="0" hidden="1" customWidth="1"/>
    <col min="13" max="13" width="14.42578125" customWidth="1"/>
    <col min="14" max="14" width="12.5703125" customWidth="1"/>
    <col min="15" max="15" width="11" customWidth="1"/>
    <col min="16" max="16" width="14.85546875" customWidth="1"/>
    <col min="20" max="20" width="13.7109375" customWidth="1"/>
    <col min="22" max="22" width="13.5703125" customWidth="1"/>
  </cols>
  <sheetData>
    <row r="1" spans="1:39" x14ac:dyDescent="0.2"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39" ht="19.5" customHeight="1" x14ac:dyDescent="0.3">
      <c r="A2" s="248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</row>
    <row r="3" spans="1:39" ht="19.5" customHeight="1" x14ac:dyDescent="0.3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</row>
    <row r="4" spans="1:39" ht="12.75" customHeight="1" x14ac:dyDescent="0.2">
      <c r="A4" s="249" t="s">
        <v>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</row>
    <row r="5" spans="1:39" ht="12.75" customHeight="1" x14ac:dyDescent="0.2">
      <c r="A5" s="249" t="s">
        <v>959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</row>
    <row r="6" spans="1:39" ht="12.75" customHeight="1" x14ac:dyDescent="0.2">
      <c r="A6" s="249" t="s">
        <v>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</row>
    <row r="7" spans="1:39" ht="12.75" customHeight="1" x14ac:dyDescent="0.2">
      <c r="A7" s="237" t="s">
        <v>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06"/>
      <c r="Q7" s="206"/>
      <c r="R7" s="206"/>
      <c r="S7" s="206"/>
      <c r="T7" s="206"/>
      <c r="U7" s="206"/>
      <c r="V7" s="206"/>
      <c r="W7" s="172"/>
      <c r="X7" s="172"/>
      <c r="Y7" s="172"/>
      <c r="Z7" s="172"/>
      <c r="AA7" s="172"/>
      <c r="AB7" s="172"/>
    </row>
    <row r="8" spans="1:39" x14ac:dyDescent="0.2">
      <c r="K8" s="207"/>
      <c r="L8" s="207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</row>
    <row r="9" spans="1:39" s="209" customFormat="1" ht="12.95" customHeight="1" x14ac:dyDescent="0.2">
      <c r="A9" s="238" t="s">
        <v>7</v>
      </c>
      <c r="B9" s="244" t="s">
        <v>8</v>
      </c>
      <c r="C9" s="232" t="s">
        <v>9</v>
      </c>
      <c r="D9" s="239" t="s">
        <v>6</v>
      </c>
      <c r="E9" s="239" t="s">
        <v>11</v>
      </c>
      <c r="F9" s="239"/>
      <c r="G9" s="239"/>
      <c r="H9" s="239"/>
      <c r="I9" s="239"/>
      <c r="J9" s="239"/>
      <c r="K9" s="239" t="s">
        <v>12</v>
      </c>
      <c r="L9" s="239"/>
      <c r="M9" s="239"/>
      <c r="N9" s="239" t="s">
        <v>440</v>
      </c>
      <c r="O9" s="233" t="s">
        <v>441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</row>
    <row r="10" spans="1:39" s="209" customFormat="1" ht="25.5" x14ac:dyDescent="0.2">
      <c r="A10" s="238"/>
      <c r="B10" s="244"/>
      <c r="C10" s="232"/>
      <c r="D10" s="239"/>
      <c r="E10" s="210" t="s">
        <v>23</v>
      </c>
      <c r="F10" s="211" t="s">
        <v>960</v>
      </c>
      <c r="G10" s="210" t="s">
        <v>21</v>
      </c>
      <c r="H10" s="210" t="s">
        <v>961</v>
      </c>
      <c r="I10" s="210" t="s">
        <v>25</v>
      </c>
      <c r="J10" s="210" t="s">
        <v>26</v>
      </c>
      <c r="K10" s="210" t="s">
        <v>27</v>
      </c>
      <c r="L10" s="210" t="s">
        <v>962</v>
      </c>
      <c r="M10" s="210" t="s">
        <v>963</v>
      </c>
      <c r="N10" s="239"/>
      <c r="O10" s="233"/>
      <c r="P10" s="212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</row>
    <row r="11" spans="1:39" s="180" customFormat="1" ht="27" customHeight="1" x14ac:dyDescent="0.2">
      <c r="A11" s="213">
        <v>1</v>
      </c>
      <c r="B11" s="214" t="s">
        <v>964</v>
      </c>
      <c r="C11" s="214" t="s">
        <v>965</v>
      </c>
      <c r="D11" s="43">
        <v>74.63</v>
      </c>
      <c r="E11" s="43">
        <v>250</v>
      </c>
      <c r="F11" s="215">
        <v>31</v>
      </c>
      <c r="G11" s="43">
        <v>0</v>
      </c>
      <c r="H11" s="43">
        <f t="shared" ref="H11:H28" si="0">500</f>
        <v>500</v>
      </c>
      <c r="I11" s="43">
        <v>0</v>
      </c>
      <c r="J11" s="36">
        <f t="shared" ref="J11:J28" si="1">(D11*F11)+E11+G11+H11</f>
        <v>3063.53</v>
      </c>
      <c r="K11" s="36">
        <f t="shared" ref="K11:K28" si="2">(D11*F11+G11+H11)*4.83%</f>
        <v>135.88999999999999</v>
      </c>
      <c r="L11" s="216">
        <v>0</v>
      </c>
      <c r="M11" s="36">
        <f t="shared" ref="M11:M28" si="3">K11+L11</f>
        <v>135.88999999999999</v>
      </c>
      <c r="N11" s="36">
        <f t="shared" ref="N11:N28" si="4">J11-M11</f>
        <v>2927.64</v>
      </c>
      <c r="O11" s="36">
        <v>0</v>
      </c>
      <c r="P11" s="217"/>
      <c r="Q11" s="217"/>
      <c r="R11" s="217"/>
      <c r="S11" s="217"/>
      <c r="T11" s="217"/>
      <c r="U11" s="217"/>
      <c r="V11" s="217"/>
      <c r="W11" s="217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</row>
    <row r="12" spans="1:39" s="180" customFormat="1" ht="27" customHeight="1" x14ac:dyDescent="0.2">
      <c r="A12" s="213">
        <v>2</v>
      </c>
      <c r="B12" s="214" t="s">
        <v>966</v>
      </c>
      <c r="C12" s="214" t="s">
        <v>967</v>
      </c>
      <c r="D12" s="43">
        <v>75.64</v>
      </c>
      <c r="E12" s="43">
        <v>250</v>
      </c>
      <c r="F12" s="215">
        <v>31</v>
      </c>
      <c r="G12" s="43">
        <f>50</f>
        <v>50</v>
      </c>
      <c r="H12" s="43">
        <f t="shared" si="0"/>
        <v>500</v>
      </c>
      <c r="I12" s="43">
        <v>0</v>
      </c>
      <c r="J12" s="36">
        <f t="shared" si="1"/>
        <v>3144.84</v>
      </c>
      <c r="K12" s="36">
        <f t="shared" si="2"/>
        <v>139.82</v>
      </c>
      <c r="L12" s="36">
        <f>(J12-E12)*11%</f>
        <v>318.43</v>
      </c>
      <c r="M12" s="36">
        <f t="shared" si="3"/>
        <v>458.25</v>
      </c>
      <c r="N12" s="36">
        <f t="shared" si="4"/>
        <v>2686.59</v>
      </c>
      <c r="O12" s="36">
        <v>0</v>
      </c>
      <c r="P12" s="217"/>
      <c r="Q12" s="217"/>
      <c r="R12" s="217"/>
      <c r="S12" s="217"/>
      <c r="T12" s="217"/>
      <c r="U12" s="217"/>
      <c r="V12" s="217"/>
      <c r="W12" s="217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</row>
    <row r="13" spans="1:39" s="180" customFormat="1" ht="27" customHeight="1" x14ac:dyDescent="0.2">
      <c r="A13" s="213">
        <v>3</v>
      </c>
      <c r="B13" s="214" t="s">
        <v>968</v>
      </c>
      <c r="C13" s="214" t="s">
        <v>969</v>
      </c>
      <c r="D13" s="43">
        <v>72.540000000000006</v>
      </c>
      <c r="E13" s="43">
        <v>250</v>
      </c>
      <c r="F13" s="215">
        <v>31</v>
      </c>
      <c r="G13" s="43">
        <v>50</v>
      </c>
      <c r="H13" s="43">
        <f t="shared" si="0"/>
        <v>500</v>
      </c>
      <c r="I13" s="43">
        <v>0</v>
      </c>
      <c r="J13" s="36">
        <f t="shared" si="1"/>
        <v>3048.74</v>
      </c>
      <c r="K13" s="36">
        <f t="shared" si="2"/>
        <v>135.18</v>
      </c>
      <c r="L13" s="36">
        <v>0</v>
      </c>
      <c r="M13" s="36">
        <f t="shared" si="3"/>
        <v>135.18</v>
      </c>
      <c r="N13" s="36">
        <f t="shared" si="4"/>
        <v>2913.56</v>
      </c>
      <c r="O13" s="36">
        <v>0</v>
      </c>
      <c r="P13" s="217"/>
      <c r="Q13" s="217"/>
      <c r="R13" s="217"/>
      <c r="S13" s="217"/>
      <c r="T13" s="217"/>
      <c r="U13" s="217"/>
      <c r="V13" s="217"/>
      <c r="W13" s="217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</row>
    <row r="14" spans="1:39" s="180" customFormat="1" ht="27" customHeight="1" x14ac:dyDescent="0.2">
      <c r="A14" s="213">
        <v>4</v>
      </c>
      <c r="B14" s="34" t="s">
        <v>970</v>
      </c>
      <c r="C14" s="214" t="s">
        <v>965</v>
      </c>
      <c r="D14" s="43">
        <v>74.63</v>
      </c>
      <c r="E14" s="43">
        <v>250</v>
      </c>
      <c r="F14" s="215">
        <v>31</v>
      </c>
      <c r="G14" s="43">
        <v>0</v>
      </c>
      <c r="H14" s="43">
        <f t="shared" si="0"/>
        <v>500</v>
      </c>
      <c r="I14" s="43">
        <v>0</v>
      </c>
      <c r="J14" s="36">
        <f t="shared" si="1"/>
        <v>3063.53</v>
      </c>
      <c r="K14" s="36">
        <f t="shared" si="2"/>
        <v>135.88999999999999</v>
      </c>
      <c r="L14" s="36">
        <f>(J14-E14)*11%</f>
        <v>309.49</v>
      </c>
      <c r="M14" s="36">
        <f t="shared" si="3"/>
        <v>445.38</v>
      </c>
      <c r="N14" s="36">
        <f t="shared" si="4"/>
        <v>2618.15</v>
      </c>
      <c r="O14" s="36">
        <v>0</v>
      </c>
      <c r="P14" s="217"/>
      <c r="Q14" s="217"/>
      <c r="R14" s="217"/>
      <c r="S14" s="217"/>
      <c r="T14" s="217"/>
      <c r="U14" s="217"/>
      <c r="V14" s="217"/>
      <c r="W14" s="217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</row>
    <row r="15" spans="1:39" s="180" customFormat="1" ht="44.25" customHeight="1" x14ac:dyDescent="0.2">
      <c r="A15" s="213">
        <v>5</v>
      </c>
      <c r="B15" s="57" t="s">
        <v>971</v>
      </c>
      <c r="C15" s="34" t="s">
        <v>972</v>
      </c>
      <c r="D15" s="43">
        <v>78.25</v>
      </c>
      <c r="E15" s="43">
        <v>250</v>
      </c>
      <c r="F15" s="215">
        <v>31</v>
      </c>
      <c r="G15" s="43">
        <v>0</v>
      </c>
      <c r="H15" s="43">
        <f t="shared" si="0"/>
        <v>500</v>
      </c>
      <c r="I15" s="43">
        <v>0</v>
      </c>
      <c r="J15" s="36">
        <f t="shared" si="1"/>
        <v>3175.75</v>
      </c>
      <c r="K15" s="36">
        <f t="shared" si="2"/>
        <v>141.31</v>
      </c>
      <c r="L15" s="36">
        <v>0</v>
      </c>
      <c r="M15" s="36">
        <f t="shared" si="3"/>
        <v>141.31</v>
      </c>
      <c r="N15" s="36">
        <f t="shared" si="4"/>
        <v>3034.44</v>
      </c>
      <c r="O15" s="36">
        <v>0</v>
      </c>
      <c r="P15" s="217"/>
      <c r="Q15" s="217"/>
      <c r="R15" s="217"/>
      <c r="S15" s="217"/>
      <c r="T15" s="217"/>
      <c r="U15" s="217"/>
      <c r="V15" s="217"/>
      <c r="W15" s="217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 s="180" customFormat="1" ht="27" customHeight="1" x14ac:dyDescent="0.2">
      <c r="A16" s="213">
        <v>6</v>
      </c>
      <c r="B16" s="218" t="s">
        <v>973</v>
      </c>
      <c r="C16" s="214" t="s">
        <v>965</v>
      </c>
      <c r="D16" s="43">
        <v>74.63</v>
      </c>
      <c r="E16" s="43">
        <v>250</v>
      </c>
      <c r="F16" s="215">
        <v>31</v>
      </c>
      <c r="G16" s="43">
        <v>0</v>
      </c>
      <c r="H16" s="43">
        <f t="shared" si="0"/>
        <v>500</v>
      </c>
      <c r="I16" s="43">
        <v>0</v>
      </c>
      <c r="J16" s="36">
        <f t="shared" si="1"/>
        <v>3063.53</v>
      </c>
      <c r="K16" s="36">
        <f t="shared" si="2"/>
        <v>135.88999999999999</v>
      </c>
      <c r="L16" s="36">
        <v>0</v>
      </c>
      <c r="M16" s="36">
        <f t="shared" si="3"/>
        <v>135.88999999999999</v>
      </c>
      <c r="N16" s="36">
        <f t="shared" si="4"/>
        <v>2927.64</v>
      </c>
      <c r="O16" s="36">
        <v>0</v>
      </c>
      <c r="P16" s="217"/>
      <c r="Q16" s="217"/>
      <c r="R16" s="217"/>
      <c r="S16" s="217"/>
      <c r="T16" s="217"/>
      <c r="U16" s="217"/>
      <c r="V16" s="217"/>
      <c r="W16" s="217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</row>
    <row r="17" spans="1:39" s="180" customFormat="1" ht="27" customHeight="1" x14ac:dyDescent="0.2">
      <c r="A17" s="213">
        <v>7</v>
      </c>
      <c r="B17" s="214" t="s">
        <v>974</v>
      </c>
      <c r="C17" s="214" t="s">
        <v>306</v>
      </c>
      <c r="D17" s="43">
        <v>71.400000000000006</v>
      </c>
      <c r="E17" s="43">
        <v>250</v>
      </c>
      <c r="F17" s="215">
        <v>31</v>
      </c>
      <c r="G17" s="43">
        <f>50</f>
        <v>50</v>
      </c>
      <c r="H17" s="43">
        <f t="shared" si="0"/>
        <v>500</v>
      </c>
      <c r="I17" s="43">
        <v>0</v>
      </c>
      <c r="J17" s="36">
        <f t="shared" si="1"/>
        <v>3013.4</v>
      </c>
      <c r="K17" s="36">
        <f t="shared" si="2"/>
        <v>133.47</v>
      </c>
      <c r="L17" s="36">
        <v>0</v>
      </c>
      <c r="M17" s="36">
        <f t="shared" si="3"/>
        <v>133.47</v>
      </c>
      <c r="N17" s="36">
        <f t="shared" si="4"/>
        <v>2879.93</v>
      </c>
      <c r="O17" s="36">
        <v>0</v>
      </c>
      <c r="P17" s="217"/>
      <c r="Q17" s="217"/>
      <c r="R17" s="217"/>
      <c r="S17" s="217"/>
      <c r="T17" s="217"/>
      <c r="U17" s="217"/>
      <c r="V17" s="217"/>
      <c r="W17" s="217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 s="180" customFormat="1" ht="27" customHeight="1" x14ac:dyDescent="0.2">
      <c r="A18" s="213">
        <v>8</v>
      </c>
      <c r="B18" s="214" t="s">
        <v>975</v>
      </c>
      <c r="C18" s="214" t="s">
        <v>967</v>
      </c>
      <c r="D18" s="43">
        <v>75.64</v>
      </c>
      <c r="E18" s="43">
        <v>250</v>
      </c>
      <c r="F18" s="215">
        <v>31</v>
      </c>
      <c r="G18" s="43">
        <f t="shared" ref="G18:G21" si="5">35</f>
        <v>35</v>
      </c>
      <c r="H18" s="43">
        <f t="shared" si="0"/>
        <v>500</v>
      </c>
      <c r="I18" s="43">
        <v>0</v>
      </c>
      <c r="J18" s="36">
        <f t="shared" si="1"/>
        <v>3129.84</v>
      </c>
      <c r="K18" s="36">
        <f t="shared" si="2"/>
        <v>139.1</v>
      </c>
      <c r="L18" s="36">
        <f>(J18-E18)*11%</f>
        <v>316.77999999999997</v>
      </c>
      <c r="M18" s="36">
        <f t="shared" si="3"/>
        <v>455.88</v>
      </c>
      <c r="N18" s="36">
        <f t="shared" si="4"/>
        <v>2673.96</v>
      </c>
      <c r="O18" s="36">
        <v>0</v>
      </c>
      <c r="P18" s="217"/>
      <c r="Q18" s="217"/>
      <c r="R18" s="217"/>
      <c r="S18" s="217"/>
      <c r="T18" s="217"/>
      <c r="U18" s="217"/>
      <c r="V18" s="217"/>
      <c r="W18" s="217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</row>
    <row r="19" spans="1:39" s="180" customFormat="1" ht="27" customHeight="1" x14ac:dyDescent="0.2">
      <c r="A19" s="213">
        <v>9</v>
      </c>
      <c r="B19" s="214" t="s">
        <v>976</v>
      </c>
      <c r="C19" s="214" t="s">
        <v>306</v>
      </c>
      <c r="D19" s="43">
        <v>71.400000000000006</v>
      </c>
      <c r="E19" s="43">
        <v>250</v>
      </c>
      <c r="F19" s="215">
        <v>31</v>
      </c>
      <c r="G19" s="43">
        <f t="shared" si="5"/>
        <v>35</v>
      </c>
      <c r="H19" s="43">
        <f t="shared" si="0"/>
        <v>500</v>
      </c>
      <c r="I19" s="43">
        <v>0</v>
      </c>
      <c r="J19" s="36">
        <f t="shared" si="1"/>
        <v>2998.4</v>
      </c>
      <c r="K19" s="36">
        <f t="shared" si="2"/>
        <v>132.75</v>
      </c>
      <c r="L19" s="36">
        <v>0</v>
      </c>
      <c r="M19" s="36">
        <f t="shared" si="3"/>
        <v>132.75</v>
      </c>
      <c r="N19" s="36">
        <f t="shared" si="4"/>
        <v>2865.65</v>
      </c>
      <c r="O19" s="36">
        <v>0</v>
      </c>
      <c r="P19" s="217"/>
      <c r="Q19" s="217"/>
      <c r="R19" s="217"/>
      <c r="S19" s="217"/>
      <c r="T19" s="217"/>
      <c r="U19" s="217"/>
      <c r="V19" s="217"/>
      <c r="W19" s="217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 s="180" customFormat="1" ht="27" customHeight="1" x14ac:dyDescent="0.2">
      <c r="A20" s="213">
        <v>10</v>
      </c>
      <c r="B20" s="214" t="s">
        <v>977</v>
      </c>
      <c r="C20" s="214" t="s">
        <v>579</v>
      </c>
      <c r="D20" s="43">
        <v>72.540000000000006</v>
      </c>
      <c r="E20" s="43">
        <v>250</v>
      </c>
      <c r="F20" s="215">
        <v>31</v>
      </c>
      <c r="G20" s="43">
        <f t="shared" si="5"/>
        <v>35</v>
      </c>
      <c r="H20" s="43">
        <f t="shared" si="0"/>
        <v>500</v>
      </c>
      <c r="I20" s="43">
        <v>0</v>
      </c>
      <c r="J20" s="36">
        <f t="shared" si="1"/>
        <v>3033.74</v>
      </c>
      <c r="K20" s="36">
        <f t="shared" si="2"/>
        <v>134.44999999999999</v>
      </c>
      <c r="L20" s="36">
        <v>0</v>
      </c>
      <c r="M20" s="36">
        <f t="shared" si="3"/>
        <v>134.44999999999999</v>
      </c>
      <c r="N20" s="36">
        <f t="shared" si="4"/>
        <v>2899.29</v>
      </c>
      <c r="O20" s="36">
        <v>0</v>
      </c>
      <c r="P20" s="217"/>
      <c r="Q20" s="217"/>
      <c r="R20" s="217"/>
      <c r="S20" s="217"/>
      <c r="T20" s="217"/>
      <c r="U20" s="217"/>
      <c r="V20" s="217"/>
      <c r="W20" s="217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</row>
    <row r="21" spans="1:39" s="180" customFormat="1" ht="27" customHeight="1" x14ac:dyDescent="0.2">
      <c r="A21" s="213">
        <v>11</v>
      </c>
      <c r="B21" s="214" t="s">
        <v>978</v>
      </c>
      <c r="C21" s="214" t="s">
        <v>967</v>
      </c>
      <c r="D21" s="43">
        <v>75.64</v>
      </c>
      <c r="E21" s="43">
        <v>250</v>
      </c>
      <c r="F21" s="215">
        <v>31</v>
      </c>
      <c r="G21" s="43">
        <f t="shared" si="5"/>
        <v>35</v>
      </c>
      <c r="H21" s="43">
        <f t="shared" si="0"/>
        <v>500</v>
      </c>
      <c r="I21" s="43">
        <v>0</v>
      </c>
      <c r="J21" s="36">
        <f t="shared" si="1"/>
        <v>3129.84</v>
      </c>
      <c r="K21" s="36">
        <f t="shared" si="2"/>
        <v>139.1</v>
      </c>
      <c r="L21" s="36">
        <f t="shared" ref="L21:L23" si="6">(J21-E21)*11%</f>
        <v>316.77999999999997</v>
      </c>
      <c r="M21" s="36">
        <f t="shared" si="3"/>
        <v>455.88</v>
      </c>
      <c r="N21" s="36">
        <f t="shared" si="4"/>
        <v>2673.96</v>
      </c>
      <c r="O21" s="36">
        <v>0</v>
      </c>
      <c r="P21" s="217"/>
      <c r="Q21" s="217"/>
      <c r="R21" s="217"/>
      <c r="S21" s="217"/>
      <c r="T21" s="217"/>
      <c r="U21" s="217"/>
      <c r="V21" s="217"/>
      <c r="W21" s="217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</row>
    <row r="22" spans="1:39" s="180" customFormat="1" ht="27" customHeight="1" x14ac:dyDescent="0.2">
      <c r="A22" s="213">
        <v>12</v>
      </c>
      <c r="B22" s="57" t="s">
        <v>979</v>
      </c>
      <c r="C22" s="214" t="s">
        <v>965</v>
      </c>
      <c r="D22" s="219">
        <v>74.63</v>
      </c>
      <c r="E22" s="43">
        <v>250</v>
      </c>
      <c r="F22" s="215">
        <v>31</v>
      </c>
      <c r="G22" s="43"/>
      <c r="H22" s="43">
        <f t="shared" si="0"/>
        <v>500</v>
      </c>
      <c r="I22" s="43">
        <v>0</v>
      </c>
      <c r="J22" s="36">
        <f t="shared" si="1"/>
        <v>3063.53</v>
      </c>
      <c r="K22" s="36">
        <f t="shared" si="2"/>
        <v>135.88999999999999</v>
      </c>
      <c r="L22" s="36">
        <f t="shared" si="6"/>
        <v>309.49</v>
      </c>
      <c r="M22" s="36">
        <f t="shared" si="3"/>
        <v>445.38</v>
      </c>
      <c r="N22" s="36">
        <f t="shared" si="4"/>
        <v>2618.15</v>
      </c>
      <c r="O22" s="36">
        <v>0</v>
      </c>
      <c r="P22" s="217"/>
      <c r="Q22" s="217"/>
      <c r="R22" s="217"/>
      <c r="S22" s="217"/>
      <c r="T22" s="217"/>
      <c r="U22" s="217"/>
      <c r="V22" s="217"/>
      <c r="W22" s="217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</row>
    <row r="23" spans="1:39" s="180" customFormat="1" ht="27" customHeight="1" x14ac:dyDescent="0.2">
      <c r="A23" s="213">
        <v>13</v>
      </c>
      <c r="B23" s="214" t="s">
        <v>980</v>
      </c>
      <c r="C23" s="214" t="s">
        <v>967</v>
      </c>
      <c r="D23" s="43">
        <v>75.64</v>
      </c>
      <c r="E23" s="43">
        <v>250</v>
      </c>
      <c r="F23" s="215">
        <v>31</v>
      </c>
      <c r="G23" s="43">
        <f>35</f>
        <v>35</v>
      </c>
      <c r="H23" s="43">
        <f t="shared" si="0"/>
        <v>500</v>
      </c>
      <c r="I23" s="43">
        <v>0</v>
      </c>
      <c r="J23" s="36">
        <f t="shared" si="1"/>
        <v>3129.84</v>
      </c>
      <c r="K23" s="36">
        <f t="shared" si="2"/>
        <v>139.1</v>
      </c>
      <c r="L23" s="36">
        <f t="shared" si="6"/>
        <v>316.77999999999997</v>
      </c>
      <c r="M23" s="36">
        <f t="shared" si="3"/>
        <v>455.88</v>
      </c>
      <c r="N23" s="36">
        <f t="shared" si="4"/>
        <v>2673.96</v>
      </c>
      <c r="O23" s="36">
        <v>0</v>
      </c>
      <c r="P23" s="217"/>
      <c r="Q23" s="217"/>
      <c r="R23" s="217"/>
      <c r="S23" s="217"/>
      <c r="T23" s="217"/>
      <c r="U23" s="217"/>
      <c r="V23" s="217"/>
      <c r="W23" s="217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</row>
    <row r="24" spans="1:39" s="180" customFormat="1" ht="27" customHeight="1" x14ac:dyDescent="0.2">
      <c r="A24" s="213">
        <v>14</v>
      </c>
      <c r="B24" s="214" t="s">
        <v>981</v>
      </c>
      <c r="C24" s="214" t="s">
        <v>982</v>
      </c>
      <c r="D24" s="43">
        <v>74.63</v>
      </c>
      <c r="E24" s="43">
        <v>250</v>
      </c>
      <c r="F24" s="215">
        <v>31</v>
      </c>
      <c r="G24" s="43">
        <v>50</v>
      </c>
      <c r="H24" s="43">
        <f t="shared" si="0"/>
        <v>500</v>
      </c>
      <c r="I24" s="43">
        <v>0</v>
      </c>
      <c r="J24" s="36">
        <f t="shared" si="1"/>
        <v>3113.53</v>
      </c>
      <c r="K24" s="36">
        <f t="shared" si="2"/>
        <v>138.31</v>
      </c>
      <c r="L24" s="36">
        <v>0</v>
      </c>
      <c r="M24" s="36">
        <f t="shared" si="3"/>
        <v>138.31</v>
      </c>
      <c r="N24" s="36">
        <f t="shared" si="4"/>
        <v>2975.22</v>
      </c>
      <c r="O24" s="36">
        <v>0</v>
      </c>
      <c r="P24" s="217"/>
      <c r="Q24" s="217"/>
      <c r="R24" s="217"/>
      <c r="S24" s="217"/>
      <c r="T24" s="217"/>
      <c r="U24" s="217"/>
      <c r="V24" s="217"/>
      <c r="W24" s="217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</row>
    <row r="25" spans="1:39" s="180" customFormat="1" ht="27" customHeight="1" x14ac:dyDescent="0.2">
      <c r="A25" s="213">
        <v>15</v>
      </c>
      <c r="B25" s="57" t="s">
        <v>983</v>
      </c>
      <c r="C25" s="57" t="s">
        <v>984</v>
      </c>
      <c r="D25" s="219">
        <v>76.59</v>
      </c>
      <c r="E25" s="43">
        <v>250</v>
      </c>
      <c r="F25" s="215">
        <v>31</v>
      </c>
      <c r="G25" s="43">
        <v>0</v>
      </c>
      <c r="H25" s="43">
        <f t="shared" si="0"/>
        <v>500</v>
      </c>
      <c r="I25" s="43">
        <v>0</v>
      </c>
      <c r="J25" s="36">
        <f t="shared" si="1"/>
        <v>3124.29</v>
      </c>
      <c r="K25" s="36">
        <f t="shared" si="2"/>
        <v>138.83000000000001</v>
      </c>
      <c r="L25" s="36">
        <v>0</v>
      </c>
      <c r="M25" s="36">
        <f t="shared" si="3"/>
        <v>138.83000000000001</v>
      </c>
      <c r="N25" s="36">
        <f t="shared" si="4"/>
        <v>2985.46</v>
      </c>
      <c r="O25" s="36">
        <v>0</v>
      </c>
      <c r="P25" s="217"/>
      <c r="Q25" s="217"/>
      <c r="R25" s="217"/>
      <c r="S25" s="217"/>
      <c r="T25" s="217"/>
      <c r="U25" s="217"/>
      <c r="V25" s="217"/>
      <c r="W25" s="217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</row>
    <row r="26" spans="1:39" s="180" customFormat="1" ht="27" customHeight="1" x14ac:dyDescent="0.2">
      <c r="A26" s="213">
        <v>16</v>
      </c>
      <c r="B26" s="214" t="s">
        <v>985</v>
      </c>
      <c r="C26" s="214" t="s">
        <v>986</v>
      </c>
      <c r="D26" s="43">
        <v>74.63</v>
      </c>
      <c r="E26" s="43">
        <v>250</v>
      </c>
      <c r="F26" s="215">
        <v>31</v>
      </c>
      <c r="G26" s="43">
        <v>50</v>
      </c>
      <c r="H26" s="43">
        <f t="shared" si="0"/>
        <v>500</v>
      </c>
      <c r="I26" s="43">
        <v>0</v>
      </c>
      <c r="J26" s="36">
        <f t="shared" si="1"/>
        <v>3113.53</v>
      </c>
      <c r="K26" s="36">
        <f t="shared" si="2"/>
        <v>138.31</v>
      </c>
      <c r="L26" s="36">
        <v>0</v>
      </c>
      <c r="M26" s="36">
        <f t="shared" si="3"/>
        <v>138.31</v>
      </c>
      <c r="N26" s="36">
        <f t="shared" si="4"/>
        <v>2975.22</v>
      </c>
      <c r="O26" s="36">
        <v>0</v>
      </c>
      <c r="P26" s="217"/>
      <c r="Q26" s="217"/>
      <c r="R26" s="217"/>
      <c r="S26" s="217"/>
      <c r="T26" s="217"/>
      <c r="U26" s="217"/>
      <c r="V26" s="217"/>
      <c r="W26" s="217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</row>
    <row r="27" spans="1:39" s="180" customFormat="1" ht="27" customHeight="1" x14ac:dyDescent="0.2">
      <c r="A27" s="213">
        <v>17</v>
      </c>
      <c r="B27" s="214" t="s">
        <v>987</v>
      </c>
      <c r="C27" s="214" t="s">
        <v>967</v>
      </c>
      <c r="D27" s="43">
        <v>75.64</v>
      </c>
      <c r="E27" s="43">
        <v>250</v>
      </c>
      <c r="F27" s="215">
        <v>31</v>
      </c>
      <c r="G27" s="43">
        <v>0</v>
      </c>
      <c r="H27" s="43">
        <f t="shared" si="0"/>
        <v>500</v>
      </c>
      <c r="I27" s="43">
        <v>0</v>
      </c>
      <c r="J27" s="36">
        <f t="shared" si="1"/>
        <v>3094.84</v>
      </c>
      <c r="K27" s="36">
        <f t="shared" si="2"/>
        <v>137.41</v>
      </c>
      <c r="L27" s="36">
        <v>0</v>
      </c>
      <c r="M27" s="36">
        <f t="shared" si="3"/>
        <v>137.41</v>
      </c>
      <c r="N27" s="36">
        <f t="shared" si="4"/>
        <v>2957.43</v>
      </c>
      <c r="O27" s="36">
        <v>0</v>
      </c>
      <c r="P27" s="217"/>
      <c r="Q27" s="217"/>
      <c r="R27" s="217"/>
      <c r="S27" s="217"/>
      <c r="T27" s="217"/>
      <c r="U27" s="217"/>
      <c r="V27" s="217"/>
      <c r="W27" s="217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</row>
    <row r="28" spans="1:39" s="180" customFormat="1" x14ac:dyDescent="0.2">
      <c r="A28" s="213">
        <v>18</v>
      </c>
      <c r="B28" s="214" t="s">
        <v>988</v>
      </c>
      <c r="C28" s="214" t="s">
        <v>306</v>
      </c>
      <c r="D28" s="43">
        <v>71.400000000000006</v>
      </c>
      <c r="E28" s="43">
        <v>250</v>
      </c>
      <c r="F28" s="215">
        <v>31</v>
      </c>
      <c r="G28" s="43">
        <v>50</v>
      </c>
      <c r="H28" s="43">
        <f t="shared" si="0"/>
        <v>500</v>
      </c>
      <c r="I28" s="43">
        <v>0</v>
      </c>
      <c r="J28" s="36">
        <f t="shared" si="1"/>
        <v>3013.4</v>
      </c>
      <c r="K28" s="36">
        <f t="shared" si="2"/>
        <v>133.47</v>
      </c>
      <c r="L28" s="36">
        <v>0</v>
      </c>
      <c r="M28" s="36">
        <f t="shared" si="3"/>
        <v>133.47</v>
      </c>
      <c r="N28" s="36">
        <f t="shared" si="4"/>
        <v>2879.93</v>
      </c>
      <c r="O28" s="36">
        <v>0</v>
      </c>
      <c r="P28" s="217"/>
      <c r="Q28" s="217"/>
      <c r="R28" s="217"/>
      <c r="S28" s="217"/>
      <c r="T28" s="217"/>
      <c r="U28" s="217"/>
      <c r="V28" s="217"/>
      <c r="W28" s="217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</row>
    <row r="29" spans="1:39" s="180" customFormat="1" x14ac:dyDescent="0.2">
      <c r="A29" s="213">
        <v>19</v>
      </c>
      <c r="B29" s="220" t="s">
        <v>989</v>
      </c>
      <c r="C29" s="214" t="s">
        <v>306</v>
      </c>
      <c r="D29" s="43">
        <v>71.400000000000006</v>
      </c>
      <c r="E29" s="43">
        <v>0</v>
      </c>
      <c r="F29" s="215">
        <v>0</v>
      </c>
      <c r="G29" s="43">
        <v>0</v>
      </c>
      <c r="H29" s="43">
        <v>0</v>
      </c>
      <c r="I29" s="43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217"/>
      <c r="Q29" s="217"/>
      <c r="R29" s="217"/>
      <c r="S29" s="217"/>
      <c r="T29" s="217"/>
      <c r="U29" s="217"/>
      <c r="V29" s="217"/>
      <c r="W29" s="217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</row>
    <row r="30" spans="1:39" s="180" customFormat="1" ht="38.25" x14ac:dyDescent="0.2">
      <c r="A30" s="213">
        <v>20</v>
      </c>
      <c r="B30" s="221" t="s">
        <v>990</v>
      </c>
      <c r="C30" s="222" t="s">
        <v>991</v>
      </c>
      <c r="D30" s="43">
        <v>78.25</v>
      </c>
      <c r="E30" s="43">
        <v>250</v>
      </c>
      <c r="F30" s="215">
        <v>0</v>
      </c>
      <c r="G30" s="43">
        <v>0</v>
      </c>
      <c r="H30" s="43">
        <v>0</v>
      </c>
      <c r="I30" s="43">
        <v>0</v>
      </c>
      <c r="J30" s="36">
        <f t="shared" ref="J30:J82" si="7">(D30*F30)+E30+G30+H30</f>
        <v>250</v>
      </c>
      <c r="K30" s="36">
        <f t="shared" ref="K30:K82" si="8">(D30*F30+G30+H30)*4.83%</f>
        <v>0</v>
      </c>
      <c r="L30" s="36">
        <v>0</v>
      </c>
      <c r="M30" s="36">
        <f t="shared" ref="M30:M82" si="9">K30+L30</f>
        <v>0</v>
      </c>
      <c r="N30" s="36">
        <f t="shared" ref="N30:N82" si="10">J30-M30</f>
        <v>250</v>
      </c>
      <c r="O30" s="36">
        <v>0</v>
      </c>
      <c r="P30" s="217"/>
      <c r="Q30" s="217"/>
      <c r="R30" s="217"/>
      <c r="S30" s="217"/>
      <c r="T30" s="217"/>
      <c r="U30" s="217"/>
      <c r="V30" s="217"/>
      <c r="W30" s="217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</row>
    <row r="31" spans="1:39" s="180" customFormat="1" x14ac:dyDescent="0.2">
      <c r="A31" s="213">
        <v>21</v>
      </c>
      <c r="B31" s="214" t="s">
        <v>992</v>
      </c>
      <c r="C31" s="214" t="s">
        <v>579</v>
      </c>
      <c r="D31" s="43">
        <v>72.540000000000006</v>
      </c>
      <c r="E31" s="43">
        <v>250</v>
      </c>
      <c r="F31" s="215">
        <v>31</v>
      </c>
      <c r="G31" s="43">
        <v>0</v>
      </c>
      <c r="H31" s="43">
        <f t="shared" ref="H31:H81" si="11">500</f>
        <v>500</v>
      </c>
      <c r="I31" s="43">
        <v>0</v>
      </c>
      <c r="J31" s="36">
        <f t="shared" si="7"/>
        <v>2998.74</v>
      </c>
      <c r="K31" s="36">
        <f t="shared" si="8"/>
        <v>132.76</v>
      </c>
      <c r="L31" s="36">
        <v>0</v>
      </c>
      <c r="M31" s="36">
        <f t="shared" si="9"/>
        <v>132.76</v>
      </c>
      <c r="N31" s="36">
        <f t="shared" si="10"/>
        <v>2865.98</v>
      </c>
      <c r="O31" s="36">
        <v>0</v>
      </c>
      <c r="P31" s="217"/>
      <c r="Q31" s="217"/>
      <c r="R31" s="217"/>
      <c r="S31" s="217"/>
      <c r="T31" s="217"/>
      <c r="U31" s="217"/>
      <c r="V31" s="217"/>
      <c r="W31" s="217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</row>
    <row r="32" spans="1:39" s="180" customFormat="1" x14ac:dyDescent="0.2">
      <c r="A32" s="213">
        <v>22</v>
      </c>
      <c r="B32" s="214" t="s">
        <v>993</v>
      </c>
      <c r="C32" s="214" t="s">
        <v>579</v>
      </c>
      <c r="D32" s="43">
        <v>72.540000000000006</v>
      </c>
      <c r="E32" s="43">
        <v>250</v>
      </c>
      <c r="F32" s="215">
        <v>31</v>
      </c>
      <c r="G32" s="43">
        <f>35</f>
        <v>35</v>
      </c>
      <c r="H32" s="43">
        <f t="shared" si="11"/>
        <v>500</v>
      </c>
      <c r="I32" s="43">
        <v>0</v>
      </c>
      <c r="J32" s="36">
        <f t="shared" si="7"/>
        <v>3033.74</v>
      </c>
      <c r="K32" s="36">
        <f t="shared" si="8"/>
        <v>134.44999999999999</v>
      </c>
      <c r="L32" s="36">
        <v>0</v>
      </c>
      <c r="M32" s="36">
        <f t="shared" si="9"/>
        <v>134.44999999999999</v>
      </c>
      <c r="N32" s="36">
        <f t="shared" si="10"/>
        <v>2899.29</v>
      </c>
      <c r="O32" s="36">
        <v>0</v>
      </c>
      <c r="P32" s="217"/>
      <c r="Q32" s="217"/>
      <c r="R32" s="217"/>
      <c r="S32" s="217"/>
      <c r="T32" s="217"/>
      <c r="U32" s="217"/>
      <c r="V32" s="217"/>
      <c r="W32" s="217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</row>
    <row r="33" spans="1:39" s="180" customFormat="1" x14ac:dyDescent="0.2">
      <c r="A33" s="213">
        <v>23</v>
      </c>
      <c r="B33" s="214" t="s">
        <v>994</v>
      </c>
      <c r="C33" s="214" t="s">
        <v>995</v>
      </c>
      <c r="D33" s="43">
        <v>71.400000000000006</v>
      </c>
      <c r="E33" s="43">
        <v>250</v>
      </c>
      <c r="F33" s="215">
        <v>31</v>
      </c>
      <c r="G33" s="43">
        <v>0</v>
      </c>
      <c r="H33" s="43">
        <f t="shared" si="11"/>
        <v>500</v>
      </c>
      <c r="I33" s="43">
        <v>0</v>
      </c>
      <c r="J33" s="36">
        <f t="shared" si="7"/>
        <v>2963.4</v>
      </c>
      <c r="K33" s="36">
        <f t="shared" si="8"/>
        <v>131.06</v>
      </c>
      <c r="L33" s="36">
        <v>0</v>
      </c>
      <c r="M33" s="36">
        <f t="shared" si="9"/>
        <v>131.06</v>
      </c>
      <c r="N33" s="36">
        <f t="shared" si="10"/>
        <v>2832.34</v>
      </c>
      <c r="O33" s="36">
        <v>0</v>
      </c>
      <c r="P33" s="217"/>
      <c r="Q33" s="217"/>
      <c r="R33" s="217"/>
      <c r="S33" s="217"/>
      <c r="T33" s="217"/>
      <c r="U33" s="217"/>
      <c r="V33" s="217"/>
      <c r="W33" s="217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</row>
    <row r="34" spans="1:39" s="180" customFormat="1" ht="25.5" x14ac:dyDescent="0.2">
      <c r="A34" s="213">
        <v>24</v>
      </c>
      <c r="B34" s="214" t="s">
        <v>996</v>
      </c>
      <c r="C34" s="214" t="s">
        <v>965</v>
      </c>
      <c r="D34" s="43">
        <v>74.63</v>
      </c>
      <c r="E34" s="43">
        <v>250</v>
      </c>
      <c r="F34" s="215">
        <v>31</v>
      </c>
      <c r="G34" s="43">
        <v>0</v>
      </c>
      <c r="H34" s="43">
        <f t="shared" si="11"/>
        <v>500</v>
      </c>
      <c r="I34" s="43">
        <v>0</v>
      </c>
      <c r="J34" s="36">
        <f t="shared" si="7"/>
        <v>3063.53</v>
      </c>
      <c r="K34" s="36">
        <f t="shared" si="8"/>
        <v>135.88999999999999</v>
      </c>
      <c r="L34" s="36">
        <v>0</v>
      </c>
      <c r="M34" s="36">
        <f t="shared" si="9"/>
        <v>135.88999999999999</v>
      </c>
      <c r="N34" s="36">
        <f t="shared" si="10"/>
        <v>2927.64</v>
      </c>
      <c r="O34" s="36">
        <v>0</v>
      </c>
      <c r="P34" s="217"/>
      <c r="Q34" s="217"/>
      <c r="R34" s="217"/>
      <c r="S34" s="217"/>
      <c r="T34" s="217"/>
      <c r="U34" s="217"/>
      <c r="V34" s="217"/>
      <c r="W34" s="217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</row>
    <row r="35" spans="1:39" s="180" customFormat="1" x14ac:dyDescent="0.2">
      <c r="A35" s="213">
        <v>25</v>
      </c>
      <c r="B35" s="214" t="s">
        <v>997</v>
      </c>
      <c r="C35" s="214" t="s">
        <v>969</v>
      </c>
      <c r="D35" s="43">
        <v>72.540000000000006</v>
      </c>
      <c r="E35" s="43">
        <v>250</v>
      </c>
      <c r="F35" s="215">
        <v>31</v>
      </c>
      <c r="G35" s="43">
        <f t="shared" ref="G35:G37" si="12">35</f>
        <v>35</v>
      </c>
      <c r="H35" s="43">
        <f t="shared" si="11"/>
        <v>500</v>
      </c>
      <c r="I35" s="43">
        <v>0</v>
      </c>
      <c r="J35" s="36">
        <f t="shared" si="7"/>
        <v>3033.74</v>
      </c>
      <c r="K35" s="36">
        <f t="shared" si="8"/>
        <v>134.44999999999999</v>
      </c>
      <c r="L35" s="36">
        <f t="shared" ref="L35:L36" si="13">(J35-E35)*11%</f>
        <v>306.20999999999998</v>
      </c>
      <c r="M35" s="36">
        <f t="shared" si="9"/>
        <v>440.66</v>
      </c>
      <c r="N35" s="36">
        <f t="shared" si="10"/>
        <v>2593.08</v>
      </c>
      <c r="O35" s="36">
        <v>0</v>
      </c>
      <c r="P35" s="217"/>
      <c r="Q35" s="217"/>
      <c r="R35" s="217"/>
      <c r="S35" s="217"/>
      <c r="T35" s="217"/>
      <c r="U35" s="217"/>
      <c r="V35" s="217"/>
      <c r="W35" s="217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</row>
    <row r="36" spans="1:39" s="180" customFormat="1" x14ac:dyDescent="0.2">
      <c r="A36" s="213">
        <v>26</v>
      </c>
      <c r="B36" s="214" t="s">
        <v>998</v>
      </c>
      <c r="C36" s="214" t="s">
        <v>967</v>
      </c>
      <c r="D36" s="43">
        <v>75.64</v>
      </c>
      <c r="E36" s="43">
        <v>250</v>
      </c>
      <c r="F36" s="215">
        <v>31</v>
      </c>
      <c r="G36" s="43">
        <f t="shared" si="12"/>
        <v>35</v>
      </c>
      <c r="H36" s="43">
        <f t="shared" si="11"/>
        <v>500</v>
      </c>
      <c r="I36" s="43">
        <v>0</v>
      </c>
      <c r="J36" s="36">
        <f t="shared" si="7"/>
        <v>3129.84</v>
      </c>
      <c r="K36" s="36">
        <f t="shared" si="8"/>
        <v>139.1</v>
      </c>
      <c r="L36" s="36">
        <f t="shared" si="13"/>
        <v>316.77999999999997</v>
      </c>
      <c r="M36" s="36">
        <f t="shared" si="9"/>
        <v>455.88</v>
      </c>
      <c r="N36" s="36">
        <f t="shared" si="10"/>
        <v>2673.96</v>
      </c>
      <c r="O36" s="36">
        <v>0</v>
      </c>
      <c r="P36" s="217"/>
      <c r="Q36" s="217"/>
      <c r="R36" s="217"/>
      <c r="S36" s="217"/>
      <c r="T36" s="217"/>
      <c r="U36" s="217"/>
      <c r="V36" s="217"/>
      <c r="W36" s="217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</row>
    <row r="37" spans="1:39" s="180" customFormat="1" x14ac:dyDescent="0.2">
      <c r="A37" s="213">
        <v>27</v>
      </c>
      <c r="B37" s="214" t="s">
        <v>999</v>
      </c>
      <c r="C37" s="214" t="s">
        <v>965</v>
      </c>
      <c r="D37" s="43">
        <v>74.63</v>
      </c>
      <c r="E37" s="43">
        <v>250</v>
      </c>
      <c r="F37" s="215">
        <v>31</v>
      </c>
      <c r="G37" s="43">
        <f t="shared" si="12"/>
        <v>35</v>
      </c>
      <c r="H37" s="43">
        <f t="shared" si="11"/>
        <v>500</v>
      </c>
      <c r="I37" s="43">
        <v>0</v>
      </c>
      <c r="J37" s="36">
        <f t="shared" si="7"/>
        <v>3098.53</v>
      </c>
      <c r="K37" s="36">
        <f t="shared" si="8"/>
        <v>137.58000000000001</v>
      </c>
      <c r="L37" s="36">
        <v>0</v>
      </c>
      <c r="M37" s="36">
        <f t="shared" si="9"/>
        <v>137.58000000000001</v>
      </c>
      <c r="N37" s="36">
        <f t="shared" si="10"/>
        <v>2960.95</v>
      </c>
      <c r="O37" s="36">
        <v>0</v>
      </c>
      <c r="P37" s="217"/>
      <c r="Q37" s="217"/>
      <c r="R37" s="217"/>
      <c r="S37" s="217"/>
      <c r="T37" s="217"/>
      <c r="U37" s="217"/>
      <c r="V37" s="217"/>
      <c r="W37" s="217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</row>
    <row r="38" spans="1:39" s="180" customFormat="1" x14ac:dyDescent="0.2">
      <c r="A38" s="213">
        <v>28</v>
      </c>
      <c r="B38" s="214" t="s">
        <v>1000</v>
      </c>
      <c r="C38" s="83" t="s">
        <v>984</v>
      </c>
      <c r="D38" s="43">
        <v>76.59</v>
      </c>
      <c r="E38" s="43">
        <v>250</v>
      </c>
      <c r="F38" s="215">
        <v>31</v>
      </c>
      <c r="G38" s="43">
        <v>0</v>
      </c>
      <c r="H38" s="43">
        <f t="shared" si="11"/>
        <v>500</v>
      </c>
      <c r="I38" s="43">
        <v>0</v>
      </c>
      <c r="J38" s="36">
        <f t="shared" si="7"/>
        <v>3124.29</v>
      </c>
      <c r="K38" s="36">
        <f t="shared" si="8"/>
        <v>138.83000000000001</v>
      </c>
      <c r="L38" s="36">
        <v>0</v>
      </c>
      <c r="M38" s="36">
        <f t="shared" si="9"/>
        <v>138.83000000000001</v>
      </c>
      <c r="N38" s="36">
        <f t="shared" si="10"/>
        <v>2985.46</v>
      </c>
      <c r="O38" s="36">
        <v>0</v>
      </c>
      <c r="P38" s="217"/>
      <c r="Q38" s="217"/>
      <c r="R38" s="217"/>
      <c r="S38" s="217"/>
      <c r="T38" s="217"/>
      <c r="U38" s="217"/>
      <c r="V38" s="217"/>
      <c r="W38" s="217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</row>
    <row r="39" spans="1:39" s="180" customFormat="1" x14ac:dyDescent="0.2">
      <c r="A39" s="213">
        <v>29</v>
      </c>
      <c r="B39" s="57" t="s">
        <v>1001</v>
      </c>
      <c r="C39" s="83" t="s">
        <v>579</v>
      </c>
      <c r="D39" s="43">
        <v>72.540000000000006</v>
      </c>
      <c r="E39" s="43">
        <v>250</v>
      </c>
      <c r="F39" s="215">
        <v>31</v>
      </c>
      <c r="G39" s="43">
        <v>0</v>
      </c>
      <c r="H39" s="43">
        <f t="shared" si="11"/>
        <v>500</v>
      </c>
      <c r="I39" s="43">
        <v>0</v>
      </c>
      <c r="J39" s="36">
        <f t="shared" si="7"/>
        <v>2998.74</v>
      </c>
      <c r="K39" s="36">
        <f t="shared" si="8"/>
        <v>132.76</v>
      </c>
      <c r="L39" s="36">
        <v>0</v>
      </c>
      <c r="M39" s="36">
        <f t="shared" si="9"/>
        <v>132.76</v>
      </c>
      <c r="N39" s="36">
        <f t="shared" si="10"/>
        <v>2865.98</v>
      </c>
      <c r="O39" s="36">
        <v>0</v>
      </c>
      <c r="P39" s="217"/>
      <c r="Q39" s="217"/>
      <c r="R39" s="217"/>
      <c r="S39" s="217"/>
      <c r="T39" s="217"/>
      <c r="U39" s="217"/>
      <c r="V39" s="217"/>
      <c r="W39" s="217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</row>
    <row r="40" spans="1:39" s="180" customFormat="1" ht="25.5" x14ac:dyDescent="0.2">
      <c r="A40" s="213">
        <v>30</v>
      </c>
      <c r="B40" s="221" t="s">
        <v>1002</v>
      </c>
      <c r="C40" s="214" t="s">
        <v>967</v>
      </c>
      <c r="D40" s="43">
        <v>75.64</v>
      </c>
      <c r="E40" s="43">
        <v>250</v>
      </c>
      <c r="F40" s="215">
        <v>31</v>
      </c>
      <c r="G40" s="43">
        <v>0</v>
      </c>
      <c r="H40" s="43">
        <f t="shared" si="11"/>
        <v>500</v>
      </c>
      <c r="I40" s="43">
        <v>0</v>
      </c>
      <c r="J40" s="36">
        <f t="shared" si="7"/>
        <v>3094.84</v>
      </c>
      <c r="K40" s="36">
        <f t="shared" si="8"/>
        <v>137.41</v>
      </c>
      <c r="L40" s="36">
        <v>0</v>
      </c>
      <c r="M40" s="36">
        <f t="shared" si="9"/>
        <v>137.41</v>
      </c>
      <c r="N40" s="36">
        <f t="shared" si="10"/>
        <v>2957.43</v>
      </c>
      <c r="O40" s="36">
        <v>0</v>
      </c>
      <c r="P40" s="217"/>
      <c r="Q40" s="217"/>
      <c r="R40" s="217"/>
      <c r="S40" s="217"/>
      <c r="T40" s="217"/>
      <c r="U40" s="217"/>
      <c r="V40" s="217"/>
      <c r="W40" s="217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</row>
    <row r="41" spans="1:39" s="180" customFormat="1" x14ac:dyDescent="0.2">
      <c r="A41" s="213">
        <v>31</v>
      </c>
      <c r="B41" s="214" t="s">
        <v>1003</v>
      </c>
      <c r="C41" s="214" t="s">
        <v>306</v>
      </c>
      <c r="D41" s="43">
        <v>71.400000000000006</v>
      </c>
      <c r="E41" s="43">
        <v>250</v>
      </c>
      <c r="F41" s="215">
        <v>31</v>
      </c>
      <c r="G41" s="43">
        <v>0</v>
      </c>
      <c r="H41" s="43">
        <f t="shared" si="11"/>
        <v>500</v>
      </c>
      <c r="I41" s="43">
        <v>0</v>
      </c>
      <c r="J41" s="36">
        <f t="shared" si="7"/>
        <v>2963.4</v>
      </c>
      <c r="K41" s="36">
        <f t="shared" si="8"/>
        <v>131.06</v>
      </c>
      <c r="L41" s="36">
        <v>0</v>
      </c>
      <c r="M41" s="36">
        <f t="shared" si="9"/>
        <v>131.06</v>
      </c>
      <c r="N41" s="36">
        <f t="shared" si="10"/>
        <v>2832.34</v>
      </c>
      <c r="O41" s="36">
        <v>0</v>
      </c>
      <c r="P41" s="217"/>
      <c r="Q41" s="217"/>
      <c r="R41" s="217"/>
      <c r="S41" s="217"/>
      <c r="T41" s="217"/>
      <c r="U41" s="217"/>
      <c r="V41" s="217"/>
      <c r="W41" s="217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</row>
    <row r="42" spans="1:39" s="180" customFormat="1" x14ac:dyDescent="0.2">
      <c r="A42" s="213">
        <v>32</v>
      </c>
      <c r="B42" s="214" t="s">
        <v>1004</v>
      </c>
      <c r="C42" s="214" t="s">
        <v>1005</v>
      </c>
      <c r="D42" s="43">
        <v>73.59</v>
      </c>
      <c r="E42" s="43">
        <v>250</v>
      </c>
      <c r="F42" s="215">
        <v>31</v>
      </c>
      <c r="G42" s="43">
        <v>50</v>
      </c>
      <c r="H42" s="43">
        <f t="shared" si="11"/>
        <v>500</v>
      </c>
      <c r="I42" s="43">
        <v>0</v>
      </c>
      <c r="J42" s="36">
        <f t="shared" si="7"/>
        <v>3081.29</v>
      </c>
      <c r="K42" s="36">
        <f t="shared" si="8"/>
        <v>136.75</v>
      </c>
      <c r="L42" s="36">
        <v>0</v>
      </c>
      <c r="M42" s="36">
        <f t="shared" si="9"/>
        <v>136.75</v>
      </c>
      <c r="N42" s="36">
        <f t="shared" si="10"/>
        <v>2944.54</v>
      </c>
      <c r="O42" s="36">
        <v>0</v>
      </c>
      <c r="P42" s="217"/>
      <c r="Q42" s="217"/>
      <c r="R42" s="217"/>
      <c r="S42" s="217"/>
      <c r="T42" s="217"/>
      <c r="U42" s="217"/>
      <c r="V42" s="217"/>
      <c r="W42" s="217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</row>
    <row r="43" spans="1:39" s="180" customFormat="1" ht="25.5" x14ac:dyDescent="0.2">
      <c r="A43" s="213">
        <v>33</v>
      </c>
      <c r="B43" s="53" t="s">
        <v>1006</v>
      </c>
      <c r="C43" s="214" t="s">
        <v>969</v>
      </c>
      <c r="D43" s="43">
        <v>72.540000000000006</v>
      </c>
      <c r="E43" s="43">
        <v>250</v>
      </c>
      <c r="F43" s="215">
        <v>31</v>
      </c>
      <c r="G43" s="43">
        <v>0</v>
      </c>
      <c r="H43" s="43">
        <f t="shared" si="11"/>
        <v>500</v>
      </c>
      <c r="I43" s="43">
        <v>0</v>
      </c>
      <c r="J43" s="36">
        <f t="shared" si="7"/>
        <v>2998.74</v>
      </c>
      <c r="K43" s="36">
        <f t="shared" si="8"/>
        <v>132.76</v>
      </c>
      <c r="L43" s="36">
        <f>(J43-E43)*11%</f>
        <v>302.36</v>
      </c>
      <c r="M43" s="36">
        <f t="shared" si="9"/>
        <v>435.12</v>
      </c>
      <c r="N43" s="36">
        <f t="shared" si="10"/>
        <v>2563.62</v>
      </c>
      <c r="O43" s="36">
        <v>0</v>
      </c>
      <c r="P43" s="217"/>
      <c r="Q43" s="217"/>
      <c r="R43" s="217"/>
      <c r="S43" s="217"/>
      <c r="T43" s="217"/>
      <c r="U43" s="217"/>
      <c r="V43" s="217"/>
      <c r="W43" s="217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</row>
    <row r="44" spans="1:39" s="180" customFormat="1" ht="23.25" customHeight="1" x14ac:dyDescent="0.2">
      <c r="A44" s="213">
        <v>34</v>
      </c>
      <c r="B44" s="221" t="s">
        <v>1007</v>
      </c>
      <c r="C44" s="214" t="s">
        <v>965</v>
      </c>
      <c r="D44" s="43">
        <v>74.63</v>
      </c>
      <c r="E44" s="43">
        <v>250</v>
      </c>
      <c r="F44" s="215">
        <v>31</v>
      </c>
      <c r="G44" s="43">
        <f t="shared" ref="G44:G45" si="14">35</f>
        <v>35</v>
      </c>
      <c r="H44" s="43">
        <f t="shared" si="11"/>
        <v>500</v>
      </c>
      <c r="I44" s="43">
        <v>0</v>
      </c>
      <c r="J44" s="36">
        <f t="shared" si="7"/>
        <v>3098.53</v>
      </c>
      <c r="K44" s="36">
        <f t="shared" si="8"/>
        <v>137.58000000000001</v>
      </c>
      <c r="L44" s="36">
        <v>0</v>
      </c>
      <c r="M44" s="36">
        <f t="shared" si="9"/>
        <v>137.58000000000001</v>
      </c>
      <c r="N44" s="36">
        <f t="shared" si="10"/>
        <v>2960.95</v>
      </c>
      <c r="O44" s="36">
        <v>0</v>
      </c>
      <c r="P44" s="217"/>
      <c r="Q44" s="217"/>
      <c r="R44" s="217"/>
      <c r="S44" s="217"/>
      <c r="T44" s="217"/>
      <c r="U44" s="217"/>
      <c r="V44" s="217"/>
      <c r="W44" s="217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</row>
    <row r="45" spans="1:39" s="180" customFormat="1" ht="24" customHeight="1" x14ac:dyDescent="0.2">
      <c r="A45" s="213">
        <v>35</v>
      </c>
      <c r="B45" s="214" t="s">
        <v>1008</v>
      </c>
      <c r="C45" s="214" t="s">
        <v>1009</v>
      </c>
      <c r="D45" s="43">
        <v>72.540000000000006</v>
      </c>
      <c r="E45" s="43">
        <v>250</v>
      </c>
      <c r="F45" s="215">
        <v>31</v>
      </c>
      <c r="G45" s="43">
        <f t="shared" si="14"/>
        <v>35</v>
      </c>
      <c r="H45" s="43">
        <f t="shared" si="11"/>
        <v>500</v>
      </c>
      <c r="I45" s="43">
        <v>0</v>
      </c>
      <c r="J45" s="36">
        <f t="shared" si="7"/>
        <v>3033.74</v>
      </c>
      <c r="K45" s="36">
        <f t="shared" si="8"/>
        <v>134.44999999999999</v>
      </c>
      <c r="L45" s="36">
        <f>(J45-E45)*11%</f>
        <v>306.20999999999998</v>
      </c>
      <c r="M45" s="36">
        <f t="shared" si="9"/>
        <v>440.66</v>
      </c>
      <c r="N45" s="36">
        <f t="shared" si="10"/>
        <v>2593.08</v>
      </c>
      <c r="O45" s="36">
        <v>0</v>
      </c>
      <c r="P45" s="217"/>
      <c r="Q45" s="217"/>
      <c r="R45" s="217"/>
      <c r="S45" s="217"/>
      <c r="T45" s="217"/>
      <c r="U45" s="217"/>
      <c r="V45" s="217"/>
      <c r="W45" s="217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</row>
    <row r="46" spans="1:39" s="180" customFormat="1" x14ac:dyDescent="0.2">
      <c r="A46" s="213">
        <v>36</v>
      </c>
      <c r="B46" s="214" t="s">
        <v>1010</v>
      </c>
      <c r="C46" s="214" t="s">
        <v>967</v>
      </c>
      <c r="D46" s="43">
        <v>75.64</v>
      </c>
      <c r="E46" s="43">
        <v>250</v>
      </c>
      <c r="F46" s="215">
        <v>31</v>
      </c>
      <c r="G46" s="43">
        <v>0</v>
      </c>
      <c r="H46" s="43">
        <f t="shared" si="11"/>
        <v>500</v>
      </c>
      <c r="I46" s="43">
        <v>0</v>
      </c>
      <c r="J46" s="36">
        <f t="shared" si="7"/>
        <v>3094.84</v>
      </c>
      <c r="K46" s="36">
        <f t="shared" si="8"/>
        <v>137.41</v>
      </c>
      <c r="L46" s="36">
        <v>0</v>
      </c>
      <c r="M46" s="36">
        <f t="shared" si="9"/>
        <v>137.41</v>
      </c>
      <c r="N46" s="36">
        <f t="shared" si="10"/>
        <v>2957.43</v>
      </c>
      <c r="O46" s="36">
        <v>0</v>
      </c>
      <c r="P46" s="217"/>
      <c r="Q46" s="217"/>
      <c r="R46" s="217"/>
      <c r="S46" s="217"/>
      <c r="T46" s="217"/>
      <c r="U46" s="217"/>
      <c r="V46" s="217"/>
      <c r="W46" s="217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</row>
    <row r="47" spans="1:39" s="180" customFormat="1" ht="28.5" customHeight="1" x14ac:dyDescent="0.2">
      <c r="A47" s="213">
        <v>37</v>
      </c>
      <c r="B47" s="214" t="s">
        <v>1011</v>
      </c>
      <c r="C47" s="214" t="s">
        <v>1012</v>
      </c>
      <c r="D47" s="43">
        <v>75.64</v>
      </c>
      <c r="E47" s="43">
        <v>250</v>
      </c>
      <c r="F47" s="215">
        <v>31</v>
      </c>
      <c r="G47" s="43">
        <f>35</f>
        <v>35</v>
      </c>
      <c r="H47" s="43">
        <f t="shared" si="11"/>
        <v>500</v>
      </c>
      <c r="I47" s="43">
        <v>0</v>
      </c>
      <c r="J47" s="36">
        <f t="shared" si="7"/>
        <v>3129.84</v>
      </c>
      <c r="K47" s="36">
        <f t="shared" si="8"/>
        <v>139.1</v>
      </c>
      <c r="L47" s="36">
        <f>(J47-E47)*11%</f>
        <v>316.77999999999997</v>
      </c>
      <c r="M47" s="36">
        <f t="shared" si="9"/>
        <v>455.88</v>
      </c>
      <c r="N47" s="36">
        <f t="shared" si="10"/>
        <v>2673.96</v>
      </c>
      <c r="O47" s="36">
        <v>0</v>
      </c>
      <c r="P47" s="217"/>
      <c r="Q47" s="217"/>
      <c r="R47" s="217"/>
      <c r="S47" s="217"/>
      <c r="T47" s="217"/>
      <c r="U47" s="217"/>
      <c r="V47" s="217"/>
      <c r="W47" s="217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</row>
    <row r="48" spans="1:39" s="180" customFormat="1" x14ac:dyDescent="0.2">
      <c r="A48" s="213">
        <v>38</v>
      </c>
      <c r="B48" s="53" t="s">
        <v>1013</v>
      </c>
      <c r="C48" s="111" t="s">
        <v>579</v>
      </c>
      <c r="D48" s="43">
        <v>72.540000000000006</v>
      </c>
      <c r="E48" s="43">
        <v>250</v>
      </c>
      <c r="F48" s="215">
        <v>31</v>
      </c>
      <c r="G48" s="43">
        <v>0</v>
      </c>
      <c r="H48" s="43">
        <f t="shared" si="11"/>
        <v>500</v>
      </c>
      <c r="I48" s="43">
        <v>0</v>
      </c>
      <c r="J48" s="36">
        <f t="shared" si="7"/>
        <v>2998.74</v>
      </c>
      <c r="K48" s="36">
        <f t="shared" si="8"/>
        <v>132.76</v>
      </c>
      <c r="L48" s="36">
        <v>0</v>
      </c>
      <c r="M48" s="36">
        <f t="shared" si="9"/>
        <v>132.76</v>
      </c>
      <c r="N48" s="36">
        <f t="shared" si="10"/>
        <v>2865.98</v>
      </c>
      <c r="O48" s="36">
        <v>0</v>
      </c>
      <c r="P48" s="217"/>
      <c r="Q48" s="217"/>
      <c r="R48" s="217"/>
      <c r="S48" s="217"/>
      <c r="T48" s="217"/>
      <c r="U48" s="217"/>
      <c r="V48" s="217"/>
      <c r="W48" s="217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</row>
    <row r="49" spans="1:39" s="180" customFormat="1" x14ac:dyDescent="0.2">
      <c r="A49" s="213">
        <v>39</v>
      </c>
      <c r="B49" s="221" t="s">
        <v>1014</v>
      </c>
      <c r="C49" s="214" t="s">
        <v>967</v>
      </c>
      <c r="D49" s="43">
        <v>75.64</v>
      </c>
      <c r="E49" s="43">
        <v>250</v>
      </c>
      <c r="F49" s="215">
        <v>31</v>
      </c>
      <c r="G49" s="43">
        <v>0</v>
      </c>
      <c r="H49" s="43">
        <f t="shared" si="11"/>
        <v>500</v>
      </c>
      <c r="I49" s="43">
        <v>0</v>
      </c>
      <c r="J49" s="36">
        <f t="shared" si="7"/>
        <v>3094.84</v>
      </c>
      <c r="K49" s="36">
        <f t="shared" si="8"/>
        <v>137.41</v>
      </c>
      <c r="L49" s="36">
        <v>0</v>
      </c>
      <c r="M49" s="36">
        <f t="shared" si="9"/>
        <v>137.41</v>
      </c>
      <c r="N49" s="36">
        <f t="shared" si="10"/>
        <v>2957.43</v>
      </c>
      <c r="O49" s="36">
        <v>0</v>
      </c>
      <c r="P49" s="217"/>
      <c r="Q49" s="217"/>
      <c r="R49" s="217"/>
      <c r="S49" s="217"/>
      <c r="T49" s="217"/>
      <c r="U49" s="217"/>
      <c r="V49" s="217"/>
      <c r="W49" s="217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</row>
    <row r="50" spans="1:39" s="180" customFormat="1" ht="25.5" x14ac:dyDescent="0.2">
      <c r="A50" s="213">
        <v>40</v>
      </c>
      <c r="B50" s="214" t="s">
        <v>1015</v>
      </c>
      <c r="C50" s="214" t="s">
        <v>579</v>
      </c>
      <c r="D50" s="43">
        <v>72.540000000000006</v>
      </c>
      <c r="E50" s="43">
        <v>250</v>
      </c>
      <c r="F50" s="215">
        <v>31</v>
      </c>
      <c r="G50" s="43">
        <f>35</f>
        <v>35</v>
      </c>
      <c r="H50" s="43">
        <f t="shared" si="11"/>
        <v>500</v>
      </c>
      <c r="I50" s="43">
        <v>0</v>
      </c>
      <c r="J50" s="36">
        <f t="shared" si="7"/>
        <v>3033.74</v>
      </c>
      <c r="K50" s="36">
        <f t="shared" si="8"/>
        <v>134.44999999999999</v>
      </c>
      <c r="L50" s="36">
        <v>0</v>
      </c>
      <c r="M50" s="36">
        <f t="shared" si="9"/>
        <v>134.44999999999999</v>
      </c>
      <c r="N50" s="36">
        <f t="shared" si="10"/>
        <v>2899.29</v>
      </c>
      <c r="O50" s="36">
        <v>0</v>
      </c>
      <c r="P50" s="217"/>
      <c r="Q50" s="217"/>
      <c r="R50" s="217"/>
      <c r="S50" s="217"/>
      <c r="T50" s="217"/>
      <c r="U50" s="217"/>
      <c r="V50" s="217"/>
      <c r="W50" s="217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</row>
    <row r="51" spans="1:39" s="180" customFormat="1" x14ac:dyDescent="0.2">
      <c r="A51" s="213">
        <v>41</v>
      </c>
      <c r="B51" s="106" t="s">
        <v>1016</v>
      </c>
      <c r="C51" s="214" t="s">
        <v>965</v>
      </c>
      <c r="D51" s="43">
        <v>74.63</v>
      </c>
      <c r="E51" s="43">
        <v>250</v>
      </c>
      <c r="F51" s="215">
        <v>31</v>
      </c>
      <c r="G51" s="43">
        <v>0</v>
      </c>
      <c r="H51" s="43">
        <f t="shared" si="11"/>
        <v>500</v>
      </c>
      <c r="I51" s="43">
        <v>0</v>
      </c>
      <c r="J51" s="36">
        <f t="shared" si="7"/>
        <v>3063.53</v>
      </c>
      <c r="K51" s="36">
        <f t="shared" si="8"/>
        <v>135.88999999999999</v>
      </c>
      <c r="L51" s="36">
        <v>0</v>
      </c>
      <c r="M51" s="36">
        <f t="shared" si="9"/>
        <v>135.88999999999999</v>
      </c>
      <c r="N51" s="36">
        <f t="shared" si="10"/>
        <v>2927.64</v>
      </c>
      <c r="O51" s="36">
        <v>0</v>
      </c>
      <c r="P51" s="217"/>
      <c r="Q51" s="217"/>
      <c r="R51" s="217"/>
      <c r="S51" s="217"/>
      <c r="T51" s="217"/>
      <c r="U51" s="217"/>
      <c r="V51" s="217"/>
      <c r="W51" s="217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</row>
    <row r="52" spans="1:39" s="180" customFormat="1" x14ac:dyDescent="0.2">
      <c r="A52" s="213">
        <v>42</v>
      </c>
      <c r="B52" s="214" t="s">
        <v>1017</v>
      </c>
      <c r="C52" s="214" t="s">
        <v>1018</v>
      </c>
      <c r="D52" s="43">
        <v>72.540000000000006</v>
      </c>
      <c r="E52" s="43">
        <v>250</v>
      </c>
      <c r="F52" s="215">
        <v>31</v>
      </c>
      <c r="G52" s="43">
        <v>0</v>
      </c>
      <c r="H52" s="43">
        <f t="shared" si="11"/>
        <v>500</v>
      </c>
      <c r="I52" s="43">
        <v>0</v>
      </c>
      <c r="J52" s="36">
        <f t="shared" si="7"/>
        <v>2998.74</v>
      </c>
      <c r="K52" s="36">
        <f t="shared" si="8"/>
        <v>132.76</v>
      </c>
      <c r="L52" s="36">
        <v>0</v>
      </c>
      <c r="M52" s="36">
        <f t="shared" si="9"/>
        <v>132.76</v>
      </c>
      <c r="N52" s="36">
        <f t="shared" si="10"/>
        <v>2865.98</v>
      </c>
      <c r="O52" s="36">
        <v>0</v>
      </c>
      <c r="P52" s="217"/>
      <c r="Q52" s="217"/>
      <c r="R52" s="217"/>
      <c r="S52" s="217"/>
      <c r="T52" s="217"/>
      <c r="U52" s="217"/>
      <c r="V52" s="217"/>
      <c r="W52" s="217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</row>
    <row r="53" spans="1:39" s="180" customFormat="1" x14ac:dyDescent="0.2">
      <c r="A53" s="213">
        <v>43</v>
      </c>
      <c r="B53" s="223" t="s">
        <v>1019</v>
      </c>
      <c r="C53" s="214" t="s">
        <v>965</v>
      </c>
      <c r="D53" s="43">
        <v>74.63</v>
      </c>
      <c r="E53" s="43">
        <v>250</v>
      </c>
      <c r="F53" s="215">
        <v>31</v>
      </c>
      <c r="G53" s="43">
        <v>0</v>
      </c>
      <c r="H53" s="43">
        <f t="shared" si="11"/>
        <v>500</v>
      </c>
      <c r="I53" s="43">
        <v>0</v>
      </c>
      <c r="J53" s="36">
        <f t="shared" si="7"/>
        <v>3063.53</v>
      </c>
      <c r="K53" s="36">
        <f t="shared" si="8"/>
        <v>135.88999999999999</v>
      </c>
      <c r="L53" s="36">
        <v>0</v>
      </c>
      <c r="M53" s="36">
        <f t="shared" si="9"/>
        <v>135.88999999999999</v>
      </c>
      <c r="N53" s="36">
        <f t="shared" si="10"/>
        <v>2927.64</v>
      </c>
      <c r="O53" s="36">
        <v>0</v>
      </c>
      <c r="P53" s="217"/>
      <c r="Q53" s="217"/>
      <c r="R53" s="217"/>
      <c r="S53" s="217"/>
      <c r="T53" s="217"/>
      <c r="U53" s="217"/>
      <c r="V53" s="217"/>
      <c r="W53" s="217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</row>
    <row r="54" spans="1:39" s="180" customFormat="1" x14ac:dyDescent="0.2">
      <c r="A54" s="213">
        <v>44</v>
      </c>
      <c r="B54" s="214" t="s">
        <v>1020</v>
      </c>
      <c r="C54" s="214" t="s">
        <v>967</v>
      </c>
      <c r="D54" s="43">
        <v>75.64</v>
      </c>
      <c r="E54" s="43">
        <v>250</v>
      </c>
      <c r="F54" s="215">
        <v>31</v>
      </c>
      <c r="G54" s="43">
        <f>35</f>
        <v>35</v>
      </c>
      <c r="H54" s="43">
        <f t="shared" si="11"/>
        <v>500</v>
      </c>
      <c r="I54" s="43">
        <v>0</v>
      </c>
      <c r="J54" s="36">
        <f t="shared" si="7"/>
        <v>3129.84</v>
      </c>
      <c r="K54" s="36">
        <f t="shared" si="8"/>
        <v>139.1</v>
      </c>
      <c r="L54" s="36">
        <f>(J54-E54)*11%</f>
        <v>316.77999999999997</v>
      </c>
      <c r="M54" s="36">
        <f t="shared" si="9"/>
        <v>455.88</v>
      </c>
      <c r="N54" s="36">
        <f t="shared" si="10"/>
        <v>2673.96</v>
      </c>
      <c r="O54" s="36">
        <v>0</v>
      </c>
      <c r="P54" s="217"/>
      <c r="Q54" s="217"/>
      <c r="R54" s="217"/>
      <c r="S54" s="217"/>
      <c r="T54" s="217"/>
      <c r="U54" s="217"/>
      <c r="V54" s="217"/>
      <c r="W54" s="217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</row>
    <row r="55" spans="1:39" s="180" customFormat="1" x14ac:dyDescent="0.2">
      <c r="A55" s="213">
        <v>45</v>
      </c>
      <c r="B55" s="57" t="s">
        <v>1021</v>
      </c>
      <c r="C55" s="214" t="s">
        <v>967</v>
      </c>
      <c r="D55" s="43">
        <v>75.64</v>
      </c>
      <c r="E55" s="43">
        <v>250</v>
      </c>
      <c r="F55" s="215">
        <v>31</v>
      </c>
      <c r="G55" s="43">
        <v>0</v>
      </c>
      <c r="H55" s="43">
        <f t="shared" si="11"/>
        <v>500</v>
      </c>
      <c r="I55" s="43">
        <v>0</v>
      </c>
      <c r="J55" s="36">
        <f t="shared" si="7"/>
        <v>3094.84</v>
      </c>
      <c r="K55" s="36">
        <f t="shared" si="8"/>
        <v>137.41</v>
      </c>
      <c r="L55" s="36">
        <v>0</v>
      </c>
      <c r="M55" s="36">
        <f t="shared" si="9"/>
        <v>137.41</v>
      </c>
      <c r="N55" s="36">
        <f t="shared" si="10"/>
        <v>2957.43</v>
      </c>
      <c r="O55" s="36">
        <v>0</v>
      </c>
      <c r="P55" s="217"/>
      <c r="Q55" s="217"/>
      <c r="R55" s="217"/>
      <c r="S55" s="217"/>
      <c r="T55" s="217"/>
      <c r="U55" s="217"/>
      <c r="V55" s="217"/>
      <c r="W55" s="217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</row>
    <row r="56" spans="1:39" s="180" customFormat="1" x14ac:dyDescent="0.2">
      <c r="A56" s="213">
        <v>46</v>
      </c>
      <c r="B56" s="214" t="s">
        <v>1022</v>
      </c>
      <c r="C56" s="214" t="s">
        <v>1023</v>
      </c>
      <c r="D56" s="43">
        <v>75.64</v>
      </c>
      <c r="E56" s="43">
        <v>250</v>
      </c>
      <c r="F56" s="215">
        <v>31</v>
      </c>
      <c r="G56" s="43">
        <v>0</v>
      </c>
      <c r="H56" s="43">
        <f t="shared" si="11"/>
        <v>500</v>
      </c>
      <c r="I56" s="43">
        <v>0</v>
      </c>
      <c r="J56" s="36">
        <f t="shared" si="7"/>
        <v>3094.84</v>
      </c>
      <c r="K56" s="36">
        <f t="shared" si="8"/>
        <v>137.41</v>
      </c>
      <c r="L56" s="36">
        <v>0</v>
      </c>
      <c r="M56" s="36">
        <f t="shared" si="9"/>
        <v>137.41</v>
      </c>
      <c r="N56" s="36">
        <f t="shared" si="10"/>
        <v>2957.43</v>
      </c>
      <c r="O56" s="36">
        <v>0</v>
      </c>
      <c r="P56" s="217"/>
      <c r="Q56" s="217"/>
      <c r="R56" s="217"/>
      <c r="S56" s="217"/>
      <c r="T56" s="217"/>
      <c r="U56" s="217"/>
      <c r="V56" s="217"/>
      <c r="W56" s="217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</row>
    <row r="57" spans="1:39" s="180" customFormat="1" ht="38.25" x14ac:dyDescent="0.2">
      <c r="A57" s="213">
        <v>47</v>
      </c>
      <c r="B57" s="214" t="s">
        <v>1024</v>
      </c>
      <c r="C57" s="83" t="s">
        <v>972</v>
      </c>
      <c r="D57" s="43">
        <v>78.25</v>
      </c>
      <c r="E57" s="43">
        <v>250</v>
      </c>
      <c r="F57" s="215">
        <v>31</v>
      </c>
      <c r="G57" s="43">
        <v>50</v>
      </c>
      <c r="H57" s="43">
        <f t="shared" si="11"/>
        <v>500</v>
      </c>
      <c r="I57" s="43">
        <v>0</v>
      </c>
      <c r="J57" s="36">
        <f t="shared" si="7"/>
        <v>3225.75</v>
      </c>
      <c r="K57" s="36">
        <f t="shared" si="8"/>
        <v>143.72999999999999</v>
      </c>
      <c r="L57" s="36">
        <v>0</v>
      </c>
      <c r="M57" s="36">
        <f t="shared" si="9"/>
        <v>143.72999999999999</v>
      </c>
      <c r="N57" s="36">
        <f t="shared" si="10"/>
        <v>3082.02</v>
      </c>
      <c r="O57" s="36">
        <v>0</v>
      </c>
      <c r="P57" s="217"/>
      <c r="Q57" s="217"/>
      <c r="R57" s="217"/>
      <c r="S57" s="217"/>
      <c r="T57" s="217"/>
      <c r="U57" s="217"/>
      <c r="V57" s="217"/>
      <c r="W57" s="217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</row>
    <row r="58" spans="1:39" s="180" customFormat="1" ht="25.5" x14ac:dyDescent="0.2">
      <c r="A58" s="213">
        <v>48</v>
      </c>
      <c r="B58" s="214" t="s">
        <v>1025</v>
      </c>
      <c r="C58" s="214" t="s">
        <v>579</v>
      </c>
      <c r="D58" s="43">
        <v>72.540000000000006</v>
      </c>
      <c r="E58" s="43">
        <v>250</v>
      </c>
      <c r="F58" s="215">
        <v>31</v>
      </c>
      <c r="G58" s="43">
        <v>0</v>
      </c>
      <c r="H58" s="43">
        <f t="shared" si="11"/>
        <v>500</v>
      </c>
      <c r="I58" s="43">
        <v>0</v>
      </c>
      <c r="J58" s="36">
        <f t="shared" si="7"/>
        <v>2998.74</v>
      </c>
      <c r="K58" s="36">
        <f t="shared" si="8"/>
        <v>132.76</v>
      </c>
      <c r="L58" s="36">
        <v>0</v>
      </c>
      <c r="M58" s="36">
        <f t="shared" si="9"/>
        <v>132.76</v>
      </c>
      <c r="N58" s="36">
        <f t="shared" si="10"/>
        <v>2865.98</v>
      </c>
      <c r="O58" s="36">
        <v>0</v>
      </c>
      <c r="P58" s="217"/>
      <c r="Q58" s="217"/>
      <c r="R58" s="217"/>
      <c r="S58" s="217"/>
      <c r="T58" s="217"/>
      <c r="U58" s="217"/>
      <c r="V58" s="217"/>
      <c r="W58" s="217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</row>
    <row r="59" spans="1:39" s="180" customFormat="1" ht="29.25" customHeight="1" x14ac:dyDescent="0.2">
      <c r="A59" s="213">
        <v>49</v>
      </c>
      <c r="B59" s="57" t="s">
        <v>1026</v>
      </c>
      <c r="C59" s="83" t="s">
        <v>1027</v>
      </c>
      <c r="D59" s="43">
        <v>78.25</v>
      </c>
      <c r="E59" s="43">
        <v>250</v>
      </c>
      <c r="F59" s="215">
        <v>31</v>
      </c>
      <c r="G59" s="43">
        <v>0</v>
      </c>
      <c r="H59" s="43">
        <f t="shared" si="11"/>
        <v>500</v>
      </c>
      <c r="I59" s="43">
        <v>0</v>
      </c>
      <c r="J59" s="36">
        <f t="shared" si="7"/>
        <v>3175.75</v>
      </c>
      <c r="K59" s="36">
        <f t="shared" si="8"/>
        <v>141.31</v>
      </c>
      <c r="L59" s="36">
        <f>(J59-E59)*11%</f>
        <v>321.83</v>
      </c>
      <c r="M59" s="36">
        <f t="shared" si="9"/>
        <v>463.14</v>
      </c>
      <c r="N59" s="36">
        <f t="shared" si="10"/>
        <v>2712.61</v>
      </c>
      <c r="O59" s="36">
        <v>0</v>
      </c>
      <c r="P59" s="217"/>
      <c r="Q59" s="217"/>
      <c r="R59" s="217"/>
      <c r="S59" s="217"/>
      <c r="T59" s="217"/>
      <c r="U59" s="217"/>
      <c r="V59" s="217"/>
      <c r="W59" s="217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</row>
    <row r="60" spans="1:39" s="180" customFormat="1" x14ac:dyDescent="0.2">
      <c r="A60" s="213">
        <v>50</v>
      </c>
      <c r="B60" s="214" t="s">
        <v>1028</v>
      </c>
      <c r="C60" s="214" t="s">
        <v>967</v>
      </c>
      <c r="D60" s="43">
        <v>75.64</v>
      </c>
      <c r="E60" s="43">
        <v>250</v>
      </c>
      <c r="F60" s="215">
        <v>31</v>
      </c>
      <c r="G60" s="43">
        <v>50</v>
      </c>
      <c r="H60" s="43">
        <f t="shared" si="11"/>
        <v>500</v>
      </c>
      <c r="I60" s="43">
        <v>0</v>
      </c>
      <c r="J60" s="36">
        <f t="shared" si="7"/>
        <v>3144.84</v>
      </c>
      <c r="K60" s="36">
        <f t="shared" si="8"/>
        <v>139.82</v>
      </c>
      <c r="L60" s="36">
        <v>0</v>
      </c>
      <c r="M60" s="36">
        <f t="shared" si="9"/>
        <v>139.82</v>
      </c>
      <c r="N60" s="36">
        <f t="shared" si="10"/>
        <v>3005.02</v>
      </c>
      <c r="O60" s="36">
        <v>0</v>
      </c>
      <c r="P60" s="217"/>
      <c r="Q60" s="217"/>
      <c r="R60" s="217"/>
      <c r="S60" s="217"/>
      <c r="T60" s="217"/>
      <c r="U60" s="217"/>
      <c r="V60" s="217"/>
      <c r="W60" s="217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</row>
    <row r="61" spans="1:39" s="180" customFormat="1" x14ac:dyDescent="0.2">
      <c r="A61" s="213">
        <v>51</v>
      </c>
      <c r="B61" s="214" t="s">
        <v>1029</v>
      </c>
      <c r="C61" s="214" t="s">
        <v>967</v>
      </c>
      <c r="D61" s="43">
        <v>75.64</v>
      </c>
      <c r="E61" s="43">
        <v>250</v>
      </c>
      <c r="F61" s="215">
        <v>31</v>
      </c>
      <c r="G61" s="43">
        <v>0</v>
      </c>
      <c r="H61" s="43">
        <f t="shared" si="11"/>
        <v>500</v>
      </c>
      <c r="I61" s="43">
        <v>0</v>
      </c>
      <c r="J61" s="36">
        <f t="shared" si="7"/>
        <v>3094.84</v>
      </c>
      <c r="K61" s="36">
        <f t="shared" si="8"/>
        <v>137.41</v>
      </c>
      <c r="L61" s="36">
        <v>0</v>
      </c>
      <c r="M61" s="36">
        <f t="shared" si="9"/>
        <v>137.41</v>
      </c>
      <c r="N61" s="36">
        <f t="shared" si="10"/>
        <v>2957.43</v>
      </c>
      <c r="O61" s="36">
        <v>0</v>
      </c>
      <c r="P61" s="217"/>
      <c r="Q61" s="217"/>
      <c r="R61" s="217"/>
      <c r="S61" s="217"/>
      <c r="T61" s="217"/>
      <c r="U61" s="217"/>
      <c r="V61" s="217"/>
      <c r="W61" s="217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</row>
    <row r="62" spans="1:39" s="180" customFormat="1" x14ac:dyDescent="0.2">
      <c r="A62" s="213">
        <v>52</v>
      </c>
      <c r="B62" s="214" t="s">
        <v>1030</v>
      </c>
      <c r="C62" s="214" t="s">
        <v>967</v>
      </c>
      <c r="D62" s="43">
        <v>75.64</v>
      </c>
      <c r="E62" s="43">
        <v>250</v>
      </c>
      <c r="F62" s="215">
        <v>31</v>
      </c>
      <c r="G62" s="43">
        <v>0</v>
      </c>
      <c r="H62" s="43">
        <f t="shared" si="11"/>
        <v>500</v>
      </c>
      <c r="I62" s="43">
        <v>0</v>
      </c>
      <c r="J62" s="36">
        <f t="shared" si="7"/>
        <v>3094.84</v>
      </c>
      <c r="K62" s="36">
        <f t="shared" si="8"/>
        <v>137.41</v>
      </c>
      <c r="L62" s="36">
        <v>0</v>
      </c>
      <c r="M62" s="36">
        <f t="shared" si="9"/>
        <v>137.41</v>
      </c>
      <c r="N62" s="36">
        <f t="shared" si="10"/>
        <v>2957.43</v>
      </c>
      <c r="O62" s="36">
        <v>0</v>
      </c>
      <c r="P62" s="217"/>
      <c r="Q62" s="217"/>
      <c r="R62" s="217"/>
      <c r="S62" s="217"/>
      <c r="T62" s="217"/>
      <c r="U62" s="217"/>
      <c r="V62" s="217"/>
      <c r="W62" s="217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</row>
    <row r="63" spans="1:39" s="180" customFormat="1" x14ac:dyDescent="0.2">
      <c r="A63" s="213">
        <v>53</v>
      </c>
      <c r="B63" s="214" t="s">
        <v>1031</v>
      </c>
      <c r="C63" s="214" t="s">
        <v>306</v>
      </c>
      <c r="D63" s="43">
        <v>71.400000000000006</v>
      </c>
      <c r="E63" s="43">
        <v>250</v>
      </c>
      <c r="F63" s="215">
        <v>31</v>
      </c>
      <c r="G63" s="43">
        <v>50</v>
      </c>
      <c r="H63" s="43">
        <f t="shared" si="11"/>
        <v>500</v>
      </c>
      <c r="I63" s="43">
        <v>0</v>
      </c>
      <c r="J63" s="36">
        <f t="shared" si="7"/>
        <v>3013.4</v>
      </c>
      <c r="K63" s="36">
        <f t="shared" si="8"/>
        <v>133.47</v>
      </c>
      <c r="L63" s="36">
        <f>(J63-E63)*11%</f>
        <v>303.97000000000003</v>
      </c>
      <c r="M63" s="36">
        <f t="shared" si="9"/>
        <v>437.44</v>
      </c>
      <c r="N63" s="36">
        <f t="shared" si="10"/>
        <v>2575.96</v>
      </c>
      <c r="O63" s="36">
        <v>0</v>
      </c>
      <c r="P63" s="217"/>
      <c r="Q63" s="217"/>
      <c r="R63" s="217"/>
      <c r="S63" s="217"/>
      <c r="T63" s="217"/>
      <c r="U63" s="217"/>
      <c r="V63" s="217"/>
      <c r="W63" s="217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</row>
    <row r="64" spans="1:39" s="180" customFormat="1" x14ac:dyDescent="0.2">
      <c r="A64" s="213">
        <v>54</v>
      </c>
      <c r="B64" s="214" t="s">
        <v>1032</v>
      </c>
      <c r="C64" s="214" t="s">
        <v>579</v>
      </c>
      <c r="D64" s="43">
        <v>72.540000000000006</v>
      </c>
      <c r="E64" s="43">
        <v>250</v>
      </c>
      <c r="F64" s="215">
        <v>31</v>
      </c>
      <c r="G64" s="43">
        <v>50</v>
      </c>
      <c r="H64" s="43">
        <f t="shared" si="11"/>
        <v>500</v>
      </c>
      <c r="I64" s="43">
        <v>0</v>
      </c>
      <c r="J64" s="36">
        <f t="shared" si="7"/>
        <v>3048.74</v>
      </c>
      <c r="K64" s="36">
        <f t="shared" si="8"/>
        <v>135.18</v>
      </c>
      <c r="L64" s="36">
        <v>0</v>
      </c>
      <c r="M64" s="36">
        <f t="shared" si="9"/>
        <v>135.18</v>
      </c>
      <c r="N64" s="36">
        <f t="shared" si="10"/>
        <v>2913.56</v>
      </c>
      <c r="O64" s="36">
        <v>0</v>
      </c>
      <c r="P64" s="217"/>
      <c r="Q64" s="217"/>
      <c r="R64" s="217"/>
      <c r="S64" s="217"/>
      <c r="T64" s="217"/>
      <c r="U64" s="217"/>
      <c r="V64" s="217"/>
      <c r="W64" s="217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</row>
    <row r="65" spans="1:39" s="180" customFormat="1" x14ac:dyDescent="0.2">
      <c r="A65" s="213">
        <v>55</v>
      </c>
      <c r="B65" s="214" t="s">
        <v>1033</v>
      </c>
      <c r="C65" s="214" t="s">
        <v>1034</v>
      </c>
      <c r="D65" s="43">
        <v>73.59</v>
      </c>
      <c r="E65" s="43">
        <v>250</v>
      </c>
      <c r="F65" s="215">
        <v>31</v>
      </c>
      <c r="G65" s="43">
        <v>50</v>
      </c>
      <c r="H65" s="43">
        <f t="shared" si="11"/>
        <v>500</v>
      </c>
      <c r="I65" s="43">
        <v>0</v>
      </c>
      <c r="J65" s="36">
        <f t="shared" si="7"/>
        <v>3081.29</v>
      </c>
      <c r="K65" s="36">
        <f t="shared" si="8"/>
        <v>136.75</v>
      </c>
      <c r="L65" s="36">
        <v>0</v>
      </c>
      <c r="M65" s="36">
        <f t="shared" si="9"/>
        <v>136.75</v>
      </c>
      <c r="N65" s="36">
        <f t="shared" si="10"/>
        <v>2944.54</v>
      </c>
      <c r="O65" s="36">
        <v>0</v>
      </c>
      <c r="P65" s="217"/>
      <c r="Q65" s="217"/>
      <c r="R65" s="217"/>
      <c r="S65" s="217"/>
      <c r="T65" s="217"/>
      <c r="U65" s="217"/>
      <c r="V65" s="217"/>
      <c r="W65" s="217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</row>
    <row r="66" spans="1:39" s="180" customFormat="1" x14ac:dyDescent="0.2">
      <c r="A66" s="213">
        <v>56</v>
      </c>
      <c r="B66" s="214" t="s">
        <v>1035</v>
      </c>
      <c r="C66" s="214" t="s">
        <v>306</v>
      </c>
      <c r="D66" s="43">
        <v>71.400000000000006</v>
      </c>
      <c r="E66" s="43">
        <v>250</v>
      </c>
      <c r="F66" s="215">
        <v>31</v>
      </c>
      <c r="G66" s="43">
        <v>50</v>
      </c>
      <c r="H66" s="43">
        <f t="shared" si="11"/>
        <v>500</v>
      </c>
      <c r="I66" s="43">
        <v>0</v>
      </c>
      <c r="J66" s="36">
        <f t="shared" si="7"/>
        <v>3013.4</v>
      </c>
      <c r="K66" s="36">
        <f t="shared" si="8"/>
        <v>133.47</v>
      </c>
      <c r="L66" s="36">
        <f>(J66-E66)*11%</f>
        <v>303.97000000000003</v>
      </c>
      <c r="M66" s="36">
        <f t="shared" si="9"/>
        <v>437.44</v>
      </c>
      <c r="N66" s="36">
        <f t="shared" si="10"/>
        <v>2575.96</v>
      </c>
      <c r="O66" s="36">
        <v>0</v>
      </c>
      <c r="P66" s="217"/>
      <c r="Q66" s="217"/>
      <c r="R66" s="217"/>
      <c r="S66" s="217"/>
      <c r="T66" s="217"/>
      <c r="U66" s="217"/>
      <c r="V66" s="217"/>
      <c r="W66" s="217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</row>
    <row r="67" spans="1:39" s="180" customFormat="1" ht="25.5" x14ac:dyDescent="0.2">
      <c r="A67" s="213">
        <v>57</v>
      </c>
      <c r="B67" s="214" t="s">
        <v>1036</v>
      </c>
      <c r="C67" s="214" t="s">
        <v>306</v>
      </c>
      <c r="D67" s="43">
        <v>71.400000000000006</v>
      </c>
      <c r="E67" s="43">
        <v>250</v>
      </c>
      <c r="F67" s="215">
        <v>31</v>
      </c>
      <c r="G67" s="43">
        <v>0</v>
      </c>
      <c r="H67" s="43">
        <f t="shared" si="11"/>
        <v>500</v>
      </c>
      <c r="I67" s="43">
        <v>0</v>
      </c>
      <c r="J67" s="36">
        <f t="shared" si="7"/>
        <v>2963.4</v>
      </c>
      <c r="K67" s="36">
        <f t="shared" si="8"/>
        <v>131.06</v>
      </c>
      <c r="L67" s="36">
        <v>0</v>
      </c>
      <c r="M67" s="36">
        <f t="shared" si="9"/>
        <v>131.06</v>
      </c>
      <c r="N67" s="36">
        <f t="shared" si="10"/>
        <v>2832.34</v>
      </c>
      <c r="O67" s="36">
        <v>0</v>
      </c>
      <c r="P67" s="217"/>
      <c r="Q67" s="217"/>
      <c r="R67" s="217"/>
      <c r="S67" s="217"/>
      <c r="T67" s="217"/>
      <c r="U67" s="217"/>
      <c r="V67" s="217"/>
      <c r="W67" s="217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</row>
    <row r="68" spans="1:39" s="180" customFormat="1" x14ac:dyDescent="0.2">
      <c r="A68" s="213">
        <v>58</v>
      </c>
      <c r="B68" s="214" t="s">
        <v>1037</v>
      </c>
      <c r="C68" s="214" t="s">
        <v>306</v>
      </c>
      <c r="D68" s="43">
        <v>71.400000000000006</v>
      </c>
      <c r="E68" s="43">
        <v>250</v>
      </c>
      <c r="F68" s="215">
        <v>31</v>
      </c>
      <c r="G68" s="43">
        <v>50</v>
      </c>
      <c r="H68" s="43">
        <f t="shared" si="11"/>
        <v>500</v>
      </c>
      <c r="I68" s="43">
        <v>0</v>
      </c>
      <c r="J68" s="36">
        <f t="shared" si="7"/>
        <v>3013.4</v>
      </c>
      <c r="K68" s="36">
        <f t="shared" si="8"/>
        <v>133.47</v>
      </c>
      <c r="L68" s="36">
        <f>(J68-E68)*11%</f>
        <v>303.97000000000003</v>
      </c>
      <c r="M68" s="36">
        <f t="shared" si="9"/>
        <v>437.44</v>
      </c>
      <c r="N68" s="36">
        <f t="shared" si="10"/>
        <v>2575.96</v>
      </c>
      <c r="O68" s="36">
        <v>0</v>
      </c>
      <c r="P68" s="217"/>
      <c r="Q68" s="217"/>
      <c r="R68" s="217"/>
      <c r="S68" s="217"/>
      <c r="T68" s="217"/>
      <c r="U68" s="217"/>
      <c r="V68" s="217"/>
      <c r="W68" s="217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</row>
    <row r="69" spans="1:39" s="180" customFormat="1" x14ac:dyDescent="0.2">
      <c r="A69" s="213">
        <v>59</v>
      </c>
      <c r="B69" s="53" t="s">
        <v>1038</v>
      </c>
      <c r="C69" s="53" t="s">
        <v>579</v>
      </c>
      <c r="D69" s="43">
        <v>72.540000000000006</v>
      </c>
      <c r="E69" s="43">
        <v>250</v>
      </c>
      <c r="F69" s="215">
        <v>31</v>
      </c>
      <c r="G69" s="224"/>
      <c r="H69" s="43">
        <f t="shared" si="11"/>
        <v>500</v>
      </c>
      <c r="I69" s="43">
        <v>0</v>
      </c>
      <c r="J69" s="36">
        <f t="shared" si="7"/>
        <v>2998.74</v>
      </c>
      <c r="K69" s="36">
        <f t="shared" si="8"/>
        <v>132.76</v>
      </c>
      <c r="L69" s="36">
        <v>0</v>
      </c>
      <c r="M69" s="36">
        <f t="shared" si="9"/>
        <v>132.76</v>
      </c>
      <c r="N69" s="36">
        <f t="shared" si="10"/>
        <v>2865.98</v>
      </c>
      <c r="O69" s="36">
        <v>0</v>
      </c>
      <c r="P69" s="217"/>
      <c r="Q69" s="217"/>
      <c r="R69" s="217"/>
      <c r="S69" s="217"/>
      <c r="T69" s="217"/>
      <c r="U69" s="217"/>
      <c r="V69" s="217"/>
      <c r="W69" s="217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</row>
    <row r="70" spans="1:39" s="180" customFormat="1" ht="25.5" x14ac:dyDescent="0.2">
      <c r="A70" s="213">
        <v>60</v>
      </c>
      <c r="B70" s="221" t="s">
        <v>1039</v>
      </c>
      <c r="C70" s="214" t="s">
        <v>965</v>
      </c>
      <c r="D70" s="43">
        <v>74.63</v>
      </c>
      <c r="E70" s="43">
        <v>250</v>
      </c>
      <c r="F70" s="215">
        <v>31</v>
      </c>
      <c r="G70" s="43">
        <v>0</v>
      </c>
      <c r="H70" s="43">
        <f t="shared" si="11"/>
        <v>500</v>
      </c>
      <c r="I70" s="43">
        <v>0</v>
      </c>
      <c r="J70" s="36">
        <f t="shared" si="7"/>
        <v>3063.53</v>
      </c>
      <c r="K70" s="36">
        <f t="shared" si="8"/>
        <v>135.88999999999999</v>
      </c>
      <c r="L70" s="36">
        <v>0</v>
      </c>
      <c r="M70" s="36">
        <f t="shared" si="9"/>
        <v>135.88999999999999</v>
      </c>
      <c r="N70" s="36">
        <f t="shared" si="10"/>
        <v>2927.64</v>
      </c>
      <c r="O70" s="36">
        <v>0</v>
      </c>
      <c r="P70" s="217"/>
      <c r="Q70" s="217"/>
      <c r="R70" s="217"/>
      <c r="S70" s="217"/>
      <c r="T70" s="217"/>
      <c r="U70" s="217"/>
      <c r="V70" s="217"/>
      <c r="W70" s="217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</row>
    <row r="71" spans="1:39" s="180" customFormat="1" x14ac:dyDescent="0.2">
      <c r="A71" s="213">
        <v>61</v>
      </c>
      <c r="B71" s="214" t="s">
        <v>1040</v>
      </c>
      <c r="C71" s="214" t="s">
        <v>969</v>
      </c>
      <c r="D71" s="43">
        <v>72.540000000000006</v>
      </c>
      <c r="E71" s="43">
        <v>250</v>
      </c>
      <c r="F71" s="215">
        <v>31</v>
      </c>
      <c r="G71" s="43">
        <v>0</v>
      </c>
      <c r="H71" s="43">
        <f t="shared" si="11"/>
        <v>500</v>
      </c>
      <c r="I71" s="43">
        <v>0</v>
      </c>
      <c r="J71" s="36">
        <f t="shared" si="7"/>
        <v>2998.74</v>
      </c>
      <c r="K71" s="36">
        <f t="shared" si="8"/>
        <v>132.76</v>
      </c>
      <c r="L71" s="36">
        <v>0</v>
      </c>
      <c r="M71" s="36">
        <f t="shared" si="9"/>
        <v>132.76</v>
      </c>
      <c r="N71" s="36">
        <f t="shared" si="10"/>
        <v>2865.98</v>
      </c>
      <c r="O71" s="36">
        <v>0</v>
      </c>
      <c r="P71" s="217"/>
      <c r="Q71" s="217"/>
      <c r="R71" s="217"/>
      <c r="S71" s="217"/>
      <c r="T71" s="217"/>
      <c r="U71" s="217"/>
      <c r="V71" s="217"/>
      <c r="W71" s="217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</row>
    <row r="72" spans="1:39" s="180" customFormat="1" ht="25.5" x14ac:dyDescent="0.2">
      <c r="A72" s="213">
        <v>62</v>
      </c>
      <c r="B72" s="53" t="s">
        <v>1041</v>
      </c>
      <c r="C72" s="111" t="s">
        <v>969</v>
      </c>
      <c r="D72" s="43">
        <v>72.540000000000006</v>
      </c>
      <c r="E72" s="43">
        <v>250</v>
      </c>
      <c r="F72" s="215">
        <v>31</v>
      </c>
      <c r="G72" s="43">
        <v>0</v>
      </c>
      <c r="H72" s="43">
        <f t="shared" si="11"/>
        <v>500</v>
      </c>
      <c r="I72" s="43">
        <v>0</v>
      </c>
      <c r="J72" s="36">
        <f t="shared" si="7"/>
        <v>2998.74</v>
      </c>
      <c r="K72" s="36">
        <f t="shared" si="8"/>
        <v>132.76</v>
      </c>
      <c r="L72" s="36">
        <f>(J72-E72)*11%</f>
        <v>302.36</v>
      </c>
      <c r="M72" s="36">
        <f t="shared" si="9"/>
        <v>435.12</v>
      </c>
      <c r="N72" s="36">
        <f t="shared" si="10"/>
        <v>2563.62</v>
      </c>
      <c r="O72" s="36">
        <v>0</v>
      </c>
      <c r="P72" s="217"/>
      <c r="Q72" s="217"/>
      <c r="R72" s="217"/>
      <c r="S72" s="217"/>
      <c r="T72" s="217"/>
      <c r="U72" s="217"/>
      <c r="V72" s="217"/>
      <c r="W72" s="217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</row>
    <row r="73" spans="1:39" s="180" customFormat="1" ht="25.5" x14ac:dyDescent="0.2">
      <c r="A73" s="213">
        <v>63</v>
      </c>
      <c r="B73" s="214" t="s">
        <v>1042</v>
      </c>
      <c r="C73" s="214" t="s">
        <v>967</v>
      </c>
      <c r="D73" s="43">
        <v>75.64</v>
      </c>
      <c r="E73" s="43">
        <v>250</v>
      </c>
      <c r="F73" s="215">
        <v>31</v>
      </c>
      <c r="G73" s="43">
        <v>0</v>
      </c>
      <c r="H73" s="43">
        <f t="shared" si="11"/>
        <v>500</v>
      </c>
      <c r="I73" s="43">
        <v>0</v>
      </c>
      <c r="J73" s="36">
        <f t="shared" si="7"/>
        <v>3094.84</v>
      </c>
      <c r="K73" s="36">
        <f t="shared" si="8"/>
        <v>137.41</v>
      </c>
      <c r="L73" s="36">
        <v>0</v>
      </c>
      <c r="M73" s="36">
        <f t="shared" si="9"/>
        <v>137.41</v>
      </c>
      <c r="N73" s="36">
        <f t="shared" si="10"/>
        <v>2957.43</v>
      </c>
      <c r="O73" s="36">
        <v>0</v>
      </c>
      <c r="P73" s="217"/>
      <c r="Q73" s="217"/>
      <c r="R73" s="217"/>
      <c r="S73" s="217"/>
      <c r="T73" s="217"/>
      <c r="U73" s="217"/>
      <c r="V73" s="217"/>
      <c r="W73" s="217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</row>
    <row r="74" spans="1:39" s="180" customFormat="1" x14ac:dyDescent="0.2">
      <c r="A74" s="213">
        <v>64</v>
      </c>
      <c r="B74" s="214" t="s">
        <v>1043</v>
      </c>
      <c r="C74" s="214" t="s">
        <v>965</v>
      </c>
      <c r="D74" s="43">
        <v>74.63</v>
      </c>
      <c r="E74" s="43">
        <v>250</v>
      </c>
      <c r="F74" s="215">
        <v>31</v>
      </c>
      <c r="G74" s="43">
        <f>35</f>
        <v>35</v>
      </c>
      <c r="H74" s="43">
        <f t="shared" si="11"/>
        <v>500</v>
      </c>
      <c r="I74" s="43">
        <v>0</v>
      </c>
      <c r="J74" s="36">
        <f t="shared" si="7"/>
        <v>3098.53</v>
      </c>
      <c r="K74" s="36">
        <f t="shared" si="8"/>
        <v>137.58000000000001</v>
      </c>
      <c r="L74" s="36">
        <v>0</v>
      </c>
      <c r="M74" s="36">
        <f t="shared" si="9"/>
        <v>137.58000000000001</v>
      </c>
      <c r="N74" s="36">
        <f t="shared" si="10"/>
        <v>2960.95</v>
      </c>
      <c r="O74" s="36">
        <v>0</v>
      </c>
      <c r="P74" s="217"/>
      <c r="Q74" s="217"/>
      <c r="R74" s="217"/>
      <c r="S74" s="217"/>
      <c r="T74" s="217"/>
      <c r="U74" s="217"/>
      <c r="V74" s="217"/>
      <c r="W74" s="217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</row>
    <row r="75" spans="1:39" s="180" customFormat="1" x14ac:dyDescent="0.2">
      <c r="A75" s="213">
        <v>65</v>
      </c>
      <c r="B75" s="214" t="s">
        <v>1044</v>
      </c>
      <c r="C75" s="214" t="s">
        <v>967</v>
      </c>
      <c r="D75" s="43">
        <v>75.64</v>
      </c>
      <c r="E75" s="43">
        <v>250</v>
      </c>
      <c r="F75" s="215">
        <v>31</v>
      </c>
      <c r="G75" s="43">
        <v>50</v>
      </c>
      <c r="H75" s="43">
        <f t="shared" si="11"/>
        <v>500</v>
      </c>
      <c r="I75" s="43">
        <v>0</v>
      </c>
      <c r="J75" s="36">
        <f t="shared" si="7"/>
        <v>3144.84</v>
      </c>
      <c r="K75" s="36">
        <f t="shared" si="8"/>
        <v>139.82</v>
      </c>
      <c r="L75" s="36">
        <v>0</v>
      </c>
      <c r="M75" s="36">
        <f t="shared" si="9"/>
        <v>139.82</v>
      </c>
      <c r="N75" s="36">
        <f t="shared" si="10"/>
        <v>3005.02</v>
      </c>
      <c r="O75" s="36">
        <v>0</v>
      </c>
      <c r="P75" s="217"/>
      <c r="Q75" s="217"/>
      <c r="R75" s="217"/>
      <c r="S75" s="217"/>
      <c r="T75" s="217"/>
      <c r="U75" s="217"/>
      <c r="V75" s="217"/>
      <c r="W75" s="217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</row>
    <row r="76" spans="1:39" s="180" customFormat="1" x14ac:dyDescent="0.2">
      <c r="A76" s="213">
        <v>66</v>
      </c>
      <c r="B76" s="221" t="s">
        <v>1045</v>
      </c>
      <c r="C76" s="214" t="s">
        <v>967</v>
      </c>
      <c r="D76" s="43">
        <v>75.64</v>
      </c>
      <c r="E76" s="43">
        <v>250</v>
      </c>
      <c r="F76" s="215">
        <v>31</v>
      </c>
      <c r="G76" s="43">
        <v>0</v>
      </c>
      <c r="H76" s="43">
        <f t="shared" si="11"/>
        <v>500</v>
      </c>
      <c r="I76" s="43">
        <v>0</v>
      </c>
      <c r="J76" s="36">
        <f t="shared" si="7"/>
        <v>3094.84</v>
      </c>
      <c r="K76" s="36">
        <f t="shared" si="8"/>
        <v>137.41</v>
      </c>
      <c r="L76" s="36">
        <v>0</v>
      </c>
      <c r="M76" s="36">
        <f t="shared" si="9"/>
        <v>137.41</v>
      </c>
      <c r="N76" s="36">
        <f t="shared" si="10"/>
        <v>2957.43</v>
      </c>
      <c r="O76" s="36">
        <v>0</v>
      </c>
      <c r="P76" s="217"/>
      <c r="Q76" s="217"/>
      <c r="R76" s="217"/>
      <c r="S76" s="217"/>
      <c r="T76" s="217"/>
      <c r="U76" s="217"/>
      <c r="V76" s="217"/>
      <c r="W76" s="217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</row>
    <row r="77" spans="1:39" s="180" customFormat="1" x14ac:dyDescent="0.2">
      <c r="A77" s="213">
        <v>67</v>
      </c>
      <c r="B77" s="221" t="s">
        <v>1046</v>
      </c>
      <c r="C77" s="214" t="s">
        <v>967</v>
      </c>
      <c r="D77" s="43">
        <v>75.64</v>
      </c>
      <c r="E77" s="43">
        <v>250</v>
      </c>
      <c r="F77" s="215">
        <v>31</v>
      </c>
      <c r="G77" s="43">
        <v>0</v>
      </c>
      <c r="H77" s="43">
        <f t="shared" si="11"/>
        <v>500</v>
      </c>
      <c r="I77" s="43">
        <v>0</v>
      </c>
      <c r="J77" s="36">
        <f t="shared" si="7"/>
        <v>3094.84</v>
      </c>
      <c r="K77" s="36">
        <f t="shared" si="8"/>
        <v>137.41</v>
      </c>
      <c r="L77" s="36">
        <v>0</v>
      </c>
      <c r="M77" s="36">
        <f t="shared" si="9"/>
        <v>137.41</v>
      </c>
      <c r="N77" s="36">
        <f t="shared" si="10"/>
        <v>2957.43</v>
      </c>
      <c r="O77" s="36">
        <v>0</v>
      </c>
      <c r="P77" s="217"/>
      <c r="Q77" s="217"/>
      <c r="R77" s="217"/>
      <c r="S77" s="217"/>
      <c r="T77" s="217"/>
      <c r="U77" s="217"/>
      <c r="V77" s="217"/>
      <c r="W77" s="217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</row>
    <row r="78" spans="1:39" s="180" customFormat="1" x14ac:dyDescent="0.2">
      <c r="A78" s="213">
        <v>68</v>
      </c>
      <c r="B78" s="214" t="s">
        <v>1047</v>
      </c>
      <c r="C78" s="214" t="s">
        <v>982</v>
      </c>
      <c r="D78" s="43">
        <v>74.63</v>
      </c>
      <c r="E78" s="43">
        <v>250</v>
      </c>
      <c r="F78" s="215">
        <v>31</v>
      </c>
      <c r="G78" s="43">
        <v>0</v>
      </c>
      <c r="H78" s="43">
        <f t="shared" si="11"/>
        <v>500</v>
      </c>
      <c r="I78" s="43">
        <v>0</v>
      </c>
      <c r="J78" s="36">
        <f t="shared" si="7"/>
        <v>3063.53</v>
      </c>
      <c r="K78" s="36">
        <f t="shared" si="8"/>
        <v>135.88999999999999</v>
      </c>
      <c r="L78" s="36">
        <v>0</v>
      </c>
      <c r="M78" s="36">
        <f t="shared" si="9"/>
        <v>135.88999999999999</v>
      </c>
      <c r="N78" s="36">
        <f t="shared" si="10"/>
        <v>2927.64</v>
      </c>
      <c r="O78" s="36">
        <v>0</v>
      </c>
      <c r="P78" s="217"/>
      <c r="Q78" s="217"/>
      <c r="R78" s="217"/>
      <c r="S78" s="217"/>
      <c r="T78" s="217"/>
      <c r="U78" s="217"/>
      <c r="V78" s="217"/>
      <c r="W78" s="217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</row>
    <row r="79" spans="1:39" s="180" customFormat="1" ht="25.5" x14ac:dyDescent="0.2">
      <c r="A79" s="213">
        <v>69</v>
      </c>
      <c r="B79" s="214" t="s">
        <v>1048</v>
      </c>
      <c r="C79" s="214" t="s">
        <v>306</v>
      </c>
      <c r="D79" s="43">
        <v>71.400000000000006</v>
      </c>
      <c r="E79" s="43">
        <v>250</v>
      </c>
      <c r="F79" s="215">
        <v>31</v>
      </c>
      <c r="G79" s="43">
        <v>0</v>
      </c>
      <c r="H79" s="43">
        <f t="shared" si="11"/>
        <v>500</v>
      </c>
      <c r="I79" s="43">
        <v>0</v>
      </c>
      <c r="J79" s="36">
        <f t="shared" si="7"/>
        <v>2963.4</v>
      </c>
      <c r="K79" s="36">
        <f t="shared" si="8"/>
        <v>131.06</v>
      </c>
      <c r="L79" s="36">
        <v>0</v>
      </c>
      <c r="M79" s="36">
        <f t="shared" si="9"/>
        <v>131.06</v>
      </c>
      <c r="N79" s="36">
        <f t="shared" si="10"/>
        <v>2832.34</v>
      </c>
      <c r="O79" s="36">
        <v>0</v>
      </c>
      <c r="P79" s="217"/>
      <c r="Q79" s="217"/>
      <c r="R79" s="217"/>
      <c r="S79" s="217"/>
      <c r="T79" s="217"/>
      <c r="U79" s="217"/>
      <c r="V79" s="217"/>
      <c r="W79" s="217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</row>
    <row r="80" spans="1:39" s="180" customFormat="1" x14ac:dyDescent="0.2">
      <c r="A80" s="213">
        <v>70</v>
      </c>
      <c r="B80" s="214" t="s">
        <v>1049</v>
      </c>
      <c r="C80" s="214" t="s">
        <v>967</v>
      </c>
      <c r="D80" s="43">
        <v>75.64</v>
      </c>
      <c r="E80" s="43">
        <v>250</v>
      </c>
      <c r="F80" s="215">
        <v>31</v>
      </c>
      <c r="G80" s="43">
        <f>35</f>
        <v>35</v>
      </c>
      <c r="H80" s="43">
        <f t="shared" si="11"/>
        <v>500</v>
      </c>
      <c r="I80" s="43">
        <v>0</v>
      </c>
      <c r="J80" s="36">
        <f t="shared" si="7"/>
        <v>3129.84</v>
      </c>
      <c r="K80" s="36">
        <f t="shared" si="8"/>
        <v>139.1</v>
      </c>
      <c r="L80" s="36">
        <v>0</v>
      </c>
      <c r="M80" s="36">
        <f t="shared" si="9"/>
        <v>139.1</v>
      </c>
      <c r="N80" s="36">
        <f t="shared" si="10"/>
        <v>2990.74</v>
      </c>
      <c r="O80" s="36">
        <v>0</v>
      </c>
      <c r="P80" s="217"/>
      <c r="Q80" s="217"/>
      <c r="R80" s="217"/>
      <c r="S80" s="217"/>
      <c r="T80" s="217"/>
      <c r="U80" s="217"/>
      <c r="V80" s="217"/>
      <c r="W80" s="217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</row>
    <row r="81" spans="1:39" s="180" customFormat="1" x14ac:dyDescent="0.2">
      <c r="A81" s="213">
        <v>71</v>
      </c>
      <c r="B81" s="221" t="s">
        <v>1050</v>
      </c>
      <c r="C81" s="214" t="s">
        <v>965</v>
      </c>
      <c r="D81" s="43">
        <v>74.63</v>
      </c>
      <c r="E81" s="43">
        <v>250</v>
      </c>
      <c r="F81" s="215">
        <v>31</v>
      </c>
      <c r="G81" s="43">
        <v>0</v>
      </c>
      <c r="H81" s="43">
        <f t="shared" si="11"/>
        <v>500</v>
      </c>
      <c r="I81" s="43">
        <v>0</v>
      </c>
      <c r="J81" s="36">
        <f t="shared" si="7"/>
        <v>3063.53</v>
      </c>
      <c r="K81" s="36">
        <f t="shared" si="8"/>
        <v>135.88999999999999</v>
      </c>
      <c r="L81" s="36">
        <v>0</v>
      </c>
      <c r="M81" s="36">
        <f t="shared" si="9"/>
        <v>135.88999999999999</v>
      </c>
      <c r="N81" s="36">
        <f t="shared" si="10"/>
        <v>2927.64</v>
      </c>
      <c r="O81" s="36">
        <v>0</v>
      </c>
      <c r="P81" s="217"/>
      <c r="Q81" s="217"/>
      <c r="R81" s="217"/>
      <c r="S81" s="217"/>
      <c r="T81" s="217"/>
      <c r="U81" s="217"/>
      <c r="V81" s="217"/>
      <c r="W81" s="217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</row>
    <row r="82" spans="1:39" s="180" customFormat="1" ht="25.5" customHeight="1" x14ac:dyDescent="0.2">
      <c r="A82" s="213">
        <v>72</v>
      </c>
      <c r="B82" s="225" t="s">
        <v>1051</v>
      </c>
      <c r="C82" s="214" t="s">
        <v>967</v>
      </c>
      <c r="D82" s="43">
        <v>75.64</v>
      </c>
      <c r="E82" s="43">
        <v>250</v>
      </c>
      <c r="F82" s="215">
        <v>31</v>
      </c>
      <c r="G82" s="43">
        <v>0</v>
      </c>
      <c r="H82" s="43">
        <v>0</v>
      </c>
      <c r="I82" s="43">
        <v>0</v>
      </c>
      <c r="J82" s="36">
        <f t="shared" si="7"/>
        <v>2594.84</v>
      </c>
      <c r="K82" s="36">
        <f t="shared" si="8"/>
        <v>113.26</v>
      </c>
      <c r="L82" s="36">
        <v>0</v>
      </c>
      <c r="M82" s="36">
        <f t="shared" si="9"/>
        <v>113.26</v>
      </c>
      <c r="N82" s="36">
        <f t="shared" si="10"/>
        <v>2481.58</v>
      </c>
      <c r="O82" s="36">
        <v>0</v>
      </c>
      <c r="P82" s="217"/>
      <c r="Q82" s="217"/>
      <c r="R82" s="217"/>
      <c r="S82" s="217"/>
      <c r="T82" s="217"/>
      <c r="U82" s="217"/>
      <c r="V82" s="217"/>
      <c r="W82" s="217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</row>
    <row r="83" spans="1:39" ht="13.5" customHeight="1" x14ac:dyDescent="0.2">
      <c r="A83" s="251" t="s">
        <v>438</v>
      </c>
      <c r="B83" s="251"/>
      <c r="C83" s="251"/>
      <c r="D83" s="251"/>
      <c r="E83" s="226">
        <f>SUM(E11:E82)</f>
        <v>17750</v>
      </c>
      <c r="F83" s="226"/>
      <c r="G83" s="226">
        <f t="shared" ref="G83:O83" si="15">SUM(G11:G82)</f>
        <v>1310</v>
      </c>
      <c r="H83" s="226">
        <f t="shared" si="15"/>
        <v>34500</v>
      </c>
      <c r="I83" s="226">
        <f t="shared" si="15"/>
        <v>0</v>
      </c>
      <c r="J83" s="226">
        <f t="shared" si="15"/>
        <v>214551.67999999999</v>
      </c>
      <c r="K83" s="226">
        <f t="shared" si="15"/>
        <v>9505.49</v>
      </c>
      <c r="L83" s="226">
        <f t="shared" si="15"/>
        <v>5288.97</v>
      </c>
      <c r="M83" s="226">
        <f t="shared" si="15"/>
        <v>14794.46</v>
      </c>
      <c r="N83" s="226">
        <f t="shared" si="15"/>
        <v>199757.22</v>
      </c>
      <c r="O83" s="227">
        <f t="shared" si="15"/>
        <v>0</v>
      </c>
      <c r="P83" s="228"/>
      <c r="Q83" s="228"/>
      <c r="R83" s="228"/>
      <c r="S83" s="228"/>
      <c r="T83" s="228"/>
      <c r="U83" s="228"/>
      <c r="V83" s="228"/>
      <c r="W83" s="228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</row>
    <row r="84" spans="1:39" x14ac:dyDescent="0.2">
      <c r="A84" s="76"/>
      <c r="B84" s="229"/>
      <c r="C84" s="172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</row>
    <row r="85" spans="1:39" x14ac:dyDescent="0.2">
      <c r="A85" s="76"/>
      <c r="B85" s="229"/>
      <c r="C85" s="172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</row>
    <row r="86" spans="1:39" ht="50.25" customHeight="1" x14ac:dyDescent="0.2">
      <c r="A86" s="230" t="s">
        <v>1052</v>
      </c>
      <c r="B86" s="252" t="s">
        <v>1053</v>
      </c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28"/>
      <c r="Q86" s="228"/>
      <c r="R86" s="228"/>
      <c r="S86" s="228"/>
      <c r="T86" s="228"/>
      <c r="U86" s="228"/>
      <c r="V86" s="228"/>
      <c r="W86" s="228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</row>
    <row r="278" ht="25.5" customHeight="1" x14ac:dyDescent="0.2"/>
  </sheetData>
  <sheetProtection selectLockedCells="1" selectUnlockedCells="1"/>
  <mergeCells count="16">
    <mergeCell ref="N9:N10"/>
    <mergeCell ref="O9:O10"/>
    <mergeCell ref="A83:D83"/>
    <mergeCell ref="B86:O86"/>
    <mergeCell ref="A9:A10"/>
    <mergeCell ref="B9:B10"/>
    <mergeCell ref="C9:C10"/>
    <mergeCell ref="D9:D10"/>
    <mergeCell ref="E9:J9"/>
    <mergeCell ref="K9:M9"/>
    <mergeCell ref="A2:O2"/>
    <mergeCell ref="A3:O3"/>
    <mergeCell ref="A4:O4"/>
    <mergeCell ref="A5:O5"/>
    <mergeCell ref="A6:O6"/>
    <mergeCell ref="A7:O7"/>
  </mergeCells>
  <pageMargins left="0.70833333333333337" right="0.70833333333333337" top="1.2993055555555555" bottom="0.74791666666666667" header="0.51180555555555551" footer="0.51180555555555551"/>
  <pageSetup paperSize="5" scale="70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I74"/>
  <sheetViews>
    <sheetView workbookViewId="0">
      <selection activeCell="A17" sqref="A17"/>
    </sheetView>
  </sheetViews>
  <sheetFormatPr baseColWidth="10" defaultRowHeight="12.75" x14ac:dyDescent="0.2"/>
  <cols>
    <col min="2" max="2" width="45.140625" customWidth="1"/>
    <col min="3" max="3" width="30.5703125" style="283" customWidth="1"/>
    <col min="4" max="4" width="23.85546875" customWidth="1"/>
    <col min="5" max="5" width="21.140625" customWidth="1"/>
  </cols>
  <sheetData>
    <row r="2" spans="1:9" x14ac:dyDescent="0.2">
      <c r="A2" s="253" t="s">
        <v>1054</v>
      </c>
      <c r="B2" s="253"/>
      <c r="C2" s="253"/>
      <c r="D2" s="253"/>
      <c r="E2" s="253"/>
    </row>
    <row r="3" spans="1:9" x14ac:dyDescent="0.2">
      <c r="A3" s="249" t="s">
        <v>1055</v>
      </c>
      <c r="B3" s="249"/>
      <c r="C3" s="249"/>
      <c r="D3" s="249"/>
      <c r="E3" s="249"/>
    </row>
    <row r="4" spans="1:9" x14ac:dyDescent="0.2">
      <c r="A4" s="254" t="s">
        <v>1056</v>
      </c>
      <c r="B4" s="254"/>
      <c r="C4" s="254"/>
      <c r="D4" s="254"/>
      <c r="E4" s="254"/>
    </row>
    <row r="5" spans="1:9" x14ac:dyDescent="0.2">
      <c r="A5" s="255"/>
      <c r="B5" s="249" t="s">
        <v>1057</v>
      </c>
      <c r="C5" s="249"/>
      <c r="D5" s="249"/>
      <c r="E5" s="249"/>
      <c r="F5" s="8"/>
      <c r="G5" s="8"/>
      <c r="H5" s="8"/>
      <c r="I5" s="8"/>
    </row>
    <row r="6" spans="1:9" x14ac:dyDescent="0.2">
      <c r="A6" s="255"/>
      <c r="B6" s="249" t="s">
        <v>1058</v>
      </c>
      <c r="C6" s="249"/>
      <c r="D6" s="249"/>
      <c r="E6" s="249"/>
      <c r="F6" s="8"/>
      <c r="G6" s="8"/>
      <c r="H6" s="8"/>
      <c r="I6" s="8"/>
    </row>
    <row r="7" spans="1:9" x14ac:dyDescent="0.2">
      <c r="A7" s="256" t="s">
        <v>1059</v>
      </c>
      <c r="B7" s="256"/>
      <c r="C7" s="256"/>
      <c r="D7" s="256"/>
      <c r="E7" s="256"/>
      <c r="F7" s="8"/>
      <c r="G7" s="8"/>
      <c r="H7" s="8"/>
      <c r="I7" s="8"/>
    </row>
    <row r="8" spans="1:9" ht="13.5" thickBot="1" x14ac:dyDescent="0.25">
      <c r="A8" s="8"/>
      <c r="B8" s="8"/>
      <c r="D8" s="8"/>
      <c r="E8" s="8"/>
      <c r="F8" s="8"/>
      <c r="G8" s="8"/>
      <c r="H8" s="8"/>
      <c r="I8" s="8"/>
    </row>
    <row r="9" spans="1:9" ht="13.5" thickBot="1" x14ac:dyDescent="0.25">
      <c r="A9" s="257" t="s">
        <v>7</v>
      </c>
      <c r="B9" s="258" t="s">
        <v>8</v>
      </c>
      <c r="C9" s="258" t="s">
        <v>1060</v>
      </c>
      <c r="D9" s="259" t="s">
        <v>9</v>
      </c>
      <c r="E9" s="259" t="s">
        <v>1061</v>
      </c>
    </row>
    <row r="10" spans="1:9" x14ac:dyDescent="0.2">
      <c r="A10" s="260"/>
      <c r="B10" s="261"/>
      <c r="C10" s="262"/>
      <c r="D10" s="263"/>
      <c r="E10" s="263"/>
    </row>
    <row r="11" spans="1:9" x14ac:dyDescent="0.2">
      <c r="A11" s="264">
        <v>1</v>
      </c>
      <c r="B11" s="265" t="s">
        <v>1062</v>
      </c>
      <c r="C11" s="284" t="s">
        <v>1063</v>
      </c>
      <c r="D11" s="266" t="s">
        <v>1064</v>
      </c>
      <c r="E11" s="267">
        <v>9000</v>
      </c>
      <c r="F11" s="268"/>
      <c r="G11" s="269"/>
      <c r="H11" s="269"/>
      <c r="I11" s="269"/>
    </row>
    <row r="12" spans="1:9" x14ac:dyDescent="0.2">
      <c r="A12" s="264">
        <v>2</v>
      </c>
      <c r="B12" s="270" t="s">
        <v>1065</v>
      </c>
      <c r="C12" s="272" t="s">
        <v>1066</v>
      </c>
      <c r="D12" s="272" t="s">
        <v>1064</v>
      </c>
      <c r="E12" s="273">
        <v>5072</v>
      </c>
      <c r="F12" s="269"/>
      <c r="G12" s="269"/>
      <c r="H12" s="269"/>
      <c r="I12" s="269"/>
    </row>
    <row r="13" spans="1:9" x14ac:dyDescent="0.2">
      <c r="A13" s="274">
        <v>3</v>
      </c>
      <c r="B13" s="270" t="s">
        <v>1067</v>
      </c>
      <c r="C13" s="272" t="s">
        <v>1066</v>
      </c>
      <c r="D13" s="271" t="s">
        <v>1068</v>
      </c>
      <c r="E13" s="273">
        <v>8000</v>
      </c>
      <c r="F13" s="275"/>
      <c r="G13" s="275"/>
      <c r="H13" s="275"/>
      <c r="I13" s="275"/>
    </row>
    <row r="14" spans="1:9" x14ac:dyDescent="0.2">
      <c r="A14" s="264">
        <v>4</v>
      </c>
      <c r="B14" s="270" t="s">
        <v>1069</v>
      </c>
      <c r="C14" s="272" t="s">
        <v>1066</v>
      </c>
      <c r="D14" s="271" t="s">
        <v>1064</v>
      </c>
      <c r="E14" s="273">
        <v>5101</v>
      </c>
      <c r="F14" s="275"/>
      <c r="G14" s="275"/>
      <c r="H14" s="275"/>
      <c r="I14" s="275"/>
    </row>
    <row r="15" spans="1:9" x14ac:dyDescent="0.2">
      <c r="A15" s="264">
        <v>5</v>
      </c>
      <c r="B15" s="270" t="s">
        <v>1070</v>
      </c>
      <c r="C15" s="272" t="s">
        <v>1066</v>
      </c>
      <c r="D15" s="271" t="s">
        <v>1064</v>
      </c>
      <c r="E15" s="273">
        <v>5432</v>
      </c>
      <c r="F15" s="275"/>
      <c r="G15" s="275"/>
      <c r="H15" s="275"/>
      <c r="I15" s="275"/>
    </row>
    <row r="16" spans="1:9" x14ac:dyDescent="0.2">
      <c r="A16" s="276">
        <v>6</v>
      </c>
      <c r="B16" s="270" t="s">
        <v>1071</v>
      </c>
      <c r="C16" s="272" t="s">
        <v>1066</v>
      </c>
      <c r="D16" s="271" t="s">
        <v>1068</v>
      </c>
      <c r="E16" s="273">
        <v>5643</v>
      </c>
      <c r="F16" s="275"/>
      <c r="G16" s="275"/>
      <c r="H16" s="275"/>
      <c r="I16" s="275"/>
    </row>
    <row r="17" spans="1:9" x14ac:dyDescent="0.2">
      <c r="A17" s="276">
        <v>7</v>
      </c>
      <c r="B17" s="270" t="s">
        <v>1072</v>
      </c>
      <c r="C17" s="272" t="s">
        <v>1066</v>
      </c>
      <c r="D17" s="271" t="s">
        <v>1068</v>
      </c>
      <c r="E17" s="273">
        <v>8000</v>
      </c>
      <c r="F17" s="275"/>
      <c r="G17" s="275"/>
      <c r="H17" s="275"/>
      <c r="I17" s="275"/>
    </row>
    <row r="18" spans="1:9" x14ac:dyDescent="0.2">
      <c r="A18" s="274">
        <v>8</v>
      </c>
      <c r="B18" s="270" t="s">
        <v>1073</v>
      </c>
      <c r="C18" s="272" t="s">
        <v>1063</v>
      </c>
      <c r="D18" s="271" t="s">
        <v>1064</v>
      </c>
      <c r="E18" s="273">
        <v>12250</v>
      </c>
      <c r="F18" s="275"/>
      <c r="G18" s="275"/>
      <c r="H18" s="275"/>
      <c r="I18" s="275"/>
    </row>
    <row r="19" spans="1:9" x14ac:dyDescent="0.2">
      <c r="A19" s="264">
        <v>9</v>
      </c>
      <c r="B19" s="270" t="s">
        <v>1074</v>
      </c>
      <c r="C19" s="272" t="s">
        <v>1066</v>
      </c>
      <c r="D19" s="271" t="s">
        <v>1064</v>
      </c>
      <c r="E19" s="273">
        <v>6805</v>
      </c>
      <c r="F19" s="275"/>
      <c r="G19" s="275"/>
      <c r="H19" s="275"/>
      <c r="I19" s="275"/>
    </row>
    <row r="20" spans="1:9" x14ac:dyDescent="0.2">
      <c r="A20" s="264">
        <v>10</v>
      </c>
      <c r="B20" s="270" t="s">
        <v>1075</v>
      </c>
      <c r="C20" s="272" t="s">
        <v>1066</v>
      </c>
      <c r="D20" s="271" t="s">
        <v>1064</v>
      </c>
      <c r="E20" s="273">
        <v>3264</v>
      </c>
      <c r="F20" s="179"/>
      <c r="G20" s="179"/>
      <c r="H20" s="179"/>
      <c r="I20" s="179"/>
    </row>
    <row r="21" spans="1:9" x14ac:dyDescent="0.2">
      <c r="A21" s="276">
        <v>11</v>
      </c>
      <c r="B21" s="270" t="s">
        <v>1076</v>
      </c>
      <c r="C21" s="272" t="s">
        <v>1066</v>
      </c>
      <c r="D21" s="271" t="s">
        <v>1064</v>
      </c>
      <c r="E21" s="273">
        <v>6102</v>
      </c>
      <c r="F21" s="179"/>
      <c r="G21" s="179"/>
      <c r="H21" s="179"/>
      <c r="I21" s="179"/>
    </row>
    <row r="22" spans="1:9" x14ac:dyDescent="0.2">
      <c r="A22" s="276">
        <v>12</v>
      </c>
      <c r="B22" s="270" t="s">
        <v>1077</v>
      </c>
      <c r="C22" s="272" t="s">
        <v>1066</v>
      </c>
      <c r="D22" s="271" t="s">
        <v>1064</v>
      </c>
      <c r="E22" s="273">
        <v>15000</v>
      </c>
      <c r="F22" s="179"/>
      <c r="G22" s="179"/>
      <c r="H22" s="179"/>
      <c r="I22" s="179"/>
    </row>
    <row r="23" spans="1:9" x14ac:dyDescent="0.2">
      <c r="A23" s="274">
        <v>13</v>
      </c>
      <c r="B23" s="270" t="s">
        <v>1078</v>
      </c>
      <c r="C23" s="272" t="s">
        <v>1066</v>
      </c>
      <c r="D23" s="271" t="s">
        <v>1064</v>
      </c>
      <c r="E23" s="273">
        <v>4600</v>
      </c>
      <c r="F23" s="179"/>
      <c r="G23" s="179"/>
      <c r="H23" s="179"/>
      <c r="I23" s="179"/>
    </row>
    <row r="24" spans="1:9" x14ac:dyDescent="0.2">
      <c r="A24" s="264">
        <v>14</v>
      </c>
      <c r="B24" s="270" t="s">
        <v>1079</v>
      </c>
      <c r="C24" s="272" t="s">
        <v>1066</v>
      </c>
      <c r="D24" s="271" t="s">
        <v>1064</v>
      </c>
      <c r="E24" s="273">
        <v>5861</v>
      </c>
      <c r="F24" s="179"/>
      <c r="G24" s="179"/>
      <c r="H24" s="179"/>
      <c r="I24" s="179"/>
    </row>
    <row r="25" spans="1:9" x14ac:dyDescent="0.2">
      <c r="A25" s="264">
        <v>15</v>
      </c>
      <c r="B25" s="270" t="s">
        <v>1080</v>
      </c>
      <c r="C25" s="272" t="s">
        <v>1066</v>
      </c>
      <c r="D25" s="271" t="s">
        <v>1064</v>
      </c>
      <c r="E25" s="273">
        <v>4200</v>
      </c>
      <c r="F25" s="179"/>
      <c r="G25" s="179"/>
      <c r="H25" s="179"/>
      <c r="I25" s="179"/>
    </row>
    <row r="26" spans="1:9" x14ac:dyDescent="0.2">
      <c r="A26" s="276">
        <v>16</v>
      </c>
      <c r="B26" s="270" t="s">
        <v>1081</v>
      </c>
      <c r="C26" s="272" t="s">
        <v>1066</v>
      </c>
      <c r="D26" s="271" t="s">
        <v>1064</v>
      </c>
      <c r="E26" s="273">
        <v>26900</v>
      </c>
      <c r="F26" s="179"/>
      <c r="G26" s="179"/>
      <c r="H26" s="179"/>
      <c r="I26" s="179"/>
    </row>
    <row r="27" spans="1:9" x14ac:dyDescent="0.2">
      <c r="A27" s="276">
        <v>17</v>
      </c>
      <c r="B27" s="270" t="s">
        <v>1082</v>
      </c>
      <c r="C27" s="272" t="s">
        <v>1066</v>
      </c>
      <c r="D27" s="271" t="s">
        <v>1064</v>
      </c>
      <c r="E27" s="273">
        <v>5101</v>
      </c>
      <c r="F27" s="179"/>
      <c r="G27" s="179"/>
      <c r="H27" s="179"/>
      <c r="I27" s="179"/>
    </row>
    <row r="28" spans="1:9" x14ac:dyDescent="0.2">
      <c r="A28" s="264">
        <v>18</v>
      </c>
      <c r="B28" s="270" t="s">
        <v>1083</v>
      </c>
      <c r="C28" s="272" t="s">
        <v>1066</v>
      </c>
      <c r="D28" s="271" t="s">
        <v>1068</v>
      </c>
      <c r="E28" s="273">
        <v>10000</v>
      </c>
      <c r="F28" s="179"/>
      <c r="G28" s="179"/>
      <c r="H28" s="179"/>
      <c r="I28" s="179"/>
    </row>
    <row r="29" spans="1:9" x14ac:dyDescent="0.2">
      <c r="A29" s="276">
        <v>19</v>
      </c>
      <c r="B29" s="270" t="s">
        <v>1084</v>
      </c>
      <c r="C29" s="272" t="s">
        <v>1063</v>
      </c>
      <c r="D29" s="271" t="s">
        <v>1064</v>
      </c>
      <c r="E29" s="273">
        <v>5500</v>
      </c>
      <c r="F29" s="179"/>
      <c r="G29" s="179"/>
      <c r="H29" s="179"/>
      <c r="I29" s="179"/>
    </row>
    <row r="30" spans="1:9" ht="25.5" x14ac:dyDescent="0.2">
      <c r="A30" s="276">
        <v>20</v>
      </c>
      <c r="B30" s="270" t="s">
        <v>1085</v>
      </c>
      <c r="C30" s="272" t="s">
        <v>1086</v>
      </c>
      <c r="D30" s="271" t="s">
        <v>1068</v>
      </c>
      <c r="E30" s="273">
        <v>44825</v>
      </c>
      <c r="F30" s="179"/>
      <c r="G30" s="179"/>
      <c r="H30" s="179"/>
      <c r="I30" s="179"/>
    </row>
    <row r="31" spans="1:9" x14ac:dyDescent="0.2">
      <c r="A31" s="264">
        <v>21</v>
      </c>
      <c r="B31" s="270" t="s">
        <v>1087</v>
      </c>
      <c r="C31" s="272" t="s">
        <v>1088</v>
      </c>
      <c r="D31" s="271" t="s">
        <v>1068</v>
      </c>
      <c r="E31" s="273">
        <v>10605</v>
      </c>
      <c r="F31" s="179"/>
      <c r="G31" s="179"/>
      <c r="H31" s="179"/>
      <c r="I31" s="179"/>
    </row>
    <row r="32" spans="1:9" x14ac:dyDescent="0.2">
      <c r="A32" s="264">
        <v>22</v>
      </c>
      <c r="B32" s="270" t="s">
        <v>1089</v>
      </c>
      <c r="C32" s="272" t="s">
        <v>1066</v>
      </c>
      <c r="D32" s="271" t="s">
        <v>1064</v>
      </c>
      <c r="E32" s="273">
        <v>8020</v>
      </c>
      <c r="F32" s="179"/>
      <c r="G32" s="179"/>
      <c r="H32" s="179"/>
      <c r="I32" s="179"/>
    </row>
    <row r="33" spans="1:9" x14ac:dyDescent="0.2">
      <c r="A33" s="276">
        <v>23</v>
      </c>
      <c r="B33" s="270" t="s">
        <v>1090</v>
      </c>
      <c r="C33" s="272" t="s">
        <v>1091</v>
      </c>
      <c r="D33" s="271" t="s">
        <v>1064</v>
      </c>
      <c r="E33" s="273">
        <v>6000</v>
      </c>
      <c r="F33" s="179"/>
      <c r="G33" s="179"/>
      <c r="H33" s="179"/>
      <c r="I33" s="179"/>
    </row>
    <row r="34" spans="1:9" x14ac:dyDescent="0.2">
      <c r="A34" s="276">
        <v>24</v>
      </c>
      <c r="B34" s="270" t="s">
        <v>1092</v>
      </c>
      <c r="C34" s="272" t="s">
        <v>1091</v>
      </c>
      <c r="D34" s="271" t="s">
        <v>1064</v>
      </c>
      <c r="E34" s="273">
        <v>6000</v>
      </c>
      <c r="F34" s="179"/>
      <c r="G34" s="179"/>
      <c r="H34" s="179"/>
      <c r="I34" s="179"/>
    </row>
    <row r="35" spans="1:9" x14ac:dyDescent="0.2">
      <c r="A35" s="264">
        <v>25</v>
      </c>
      <c r="B35" s="270" t="s">
        <v>1093</v>
      </c>
      <c r="C35" s="272" t="s">
        <v>1091</v>
      </c>
      <c r="D35" s="271" t="s">
        <v>1064</v>
      </c>
      <c r="E35" s="273">
        <v>6500</v>
      </c>
      <c r="F35" s="179"/>
      <c r="G35" s="179"/>
      <c r="H35" s="179"/>
      <c r="I35" s="179"/>
    </row>
    <row r="36" spans="1:9" x14ac:dyDescent="0.2">
      <c r="A36" s="264">
        <v>26</v>
      </c>
      <c r="B36" s="270" t="s">
        <v>1094</v>
      </c>
      <c r="C36" s="272" t="s">
        <v>1066</v>
      </c>
      <c r="D36" s="271" t="s">
        <v>1064</v>
      </c>
      <c r="E36" s="273">
        <v>6102</v>
      </c>
      <c r="F36" s="179"/>
      <c r="G36" s="179"/>
      <c r="H36" s="179"/>
      <c r="I36" s="179"/>
    </row>
    <row r="37" spans="1:9" x14ac:dyDescent="0.2">
      <c r="A37" s="276">
        <v>27</v>
      </c>
      <c r="B37" s="270" t="s">
        <v>1095</v>
      </c>
      <c r="C37" s="272" t="s">
        <v>1096</v>
      </c>
      <c r="D37" s="271" t="s">
        <v>1068</v>
      </c>
      <c r="E37" s="273">
        <v>9600</v>
      </c>
      <c r="F37" s="179"/>
      <c r="G37" s="179"/>
      <c r="H37" s="179"/>
      <c r="I37" s="179"/>
    </row>
    <row r="38" spans="1:9" x14ac:dyDescent="0.2">
      <c r="A38" s="276">
        <v>28</v>
      </c>
      <c r="B38" s="270" t="s">
        <v>1097</v>
      </c>
      <c r="C38" s="272" t="s">
        <v>1066</v>
      </c>
      <c r="D38" s="271" t="s">
        <v>1064</v>
      </c>
      <c r="E38" s="273">
        <v>5445</v>
      </c>
      <c r="F38" s="179"/>
      <c r="G38" s="179"/>
      <c r="H38" s="179"/>
      <c r="I38" s="179"/>
    </row>
    <row r="39" spans="1:9" x14ac:dyDescent="0.2">
      <c r="A39" s="264">
        <v>29</v>
      </c>
      <c r="B39" s="270" t="s">
        <v>1098</v>
      </c>
      <c r="C39" s="272" t="s">
        <v>1066</v>
      </c>
      <c r="D39" s="271" t="s">
        <v>1064</v>
      </c>
      <c r="E39" s="273">
        <v>6102</v>
      </c>
      <c r="F39" s="179"/>
      <c r="G39" s="179"/>
      <c r="H39" s="179"/>
      <c r="I39" s="179"/>
    </row>
    <row r="40" spans="1:9" x14ac:dyDescent="0.2">
      <c r="A40" s="264">
        <v>30</v>
      </c>
      <c r="B40" s="270" t="s">
        <v>1099</v>
      </c>
      <c r="C40" s="272" t="s">
        <v>1066</v>
      </c>
      <c r="D40" s="271" t="s">
        <v>1064</v>
      </c>
      <c r="E40" s="273">
        <v>6102</v>
      </c>
      <c r="F40" s="179"/>
      <c r="G40" s="179"/>
      <c r="H40" s="179"/>
      <c r="I40" s="179"/>
    </row>
    <row r="41" spans="1:9" x14ac:dyDescent="0.2">
      <c r="A41" s="276">
        <v>31</v>
      </c>
      <c r="B41" s="270" t="s">
        <v>1100</v>
      </c>
      <c r="C41" s="272" t="s">
        <v>1066</v>
      </c>
      <c r="D41" s="271" t="s">
        <v>1064</v>
      </c>
      <c r="E41" s="273">
        <v>5101</v>
      </c>
      <c r="F41" s="179"/>
      <c r="G41" s="179"/>
      <c r="H41" s="179"/>
      <c r="I41" s="179"/>
    </row>
    <row r="42" spans="1:9" x14ac:dyDescent="0.2">
      <c r="A42" s="276">
        <v>32</v>
      </c>
      <c r="B42" s="270" t="s">
        <v>1101</v>
      </c>
      <c r="C42" s="272" t="s">
        <v>1066</v>
      </c>
      <c r="D42" s="271" t="s">
        <v>1064</v>
      </c>
      <c r="E42" s="273">
        <v>15000</v>
      </c>
      <c r="F42" s="179"/>
      <c r="G42" s="179"/>
      <c r="H42" s="179"/>
      <c r="I42" s="179"/>
    </row>
    <row r="43" spans="1:9" x14ac:dyDescent="0.2">
      <c r="A43" s="276">
        <v>33</v>
      </c>
      <c r="B43" s="277" t="s">
        <v>1102</v>
      </c>
      <c r="C43" s="272" t="s">
        <v>1066</v>
      </c>
      <c r="D43" s="271" t="s">
        <v>1064</v>
      </c>
      <c r="E43" s="278">
        <v>6571</v>
      </c>
      <c r="F43" s="179"/>
      <c r="G43" s="179"/>
      <c r="H43" s="179"/>
      <c r="I43" s="179"/>
    </row>
    <row r="44" spans="1:9" x14ac:dyDescent="0.2">
      <c r="A44" s="276">
        <v>34</v>
      </c>
      <c r="B44" s="279" t="s">
        <v>1103</v>
      </c>
      <c r="C44" s="285" t="s">
        <v>1066</v>
      </c>
      <c r="D44" s="279" t="s">
        <v>1064</v>
      </c>
      <c r="E44" s="278">
        <v>4447</v>
      </c>
      <c r="F44" s="179"/>
      <c r="G44" s="179"/>
      <c r="H44" s="179"/>
      <c r="I44" s="179"/>
    </row>
    <row r="45" spans="1:9" x14ac:dyDescent="0.2">
      <c r="A45" s="276">
        <v>35</v>
      </c>
      <c r="B45" s="279" t="s">
        <v>1104</v>
      </c>
      <c r="C45" s="285" t="s">
        <v>1066</v>
      </c>
      <c r="D45" s="279" t="s">
        <v>1064</v>
      </c>
      <c r="E45" s="278">
        <v>5006</v>
      </c>
      <c r="F45" s="179"/>
      <c r="G45" s="179"/>
      <c r="H45" s="179"/>
      <c r="I45" s="179"/>
    </row>
    <row r="46" spans="1:9" x14ac:dyDescent="0.2">
      <c r="A46" s="276">
        <v>36</v>
      </c>
      <c r="B46" s="279" t="s">
        <v>1105</v>
      </c>
      <c r="C46" s="285" t="s">
        <v>1066</v>
      </c>
      <c r="D46" s="279" t="s">
        <v>1064</v>
      </c>
      <c r="E46" s="278">
        <v>6805</v>
      </c>
      <c r="F46" s="179"/>
      <c r="G46" s="179"/>
      <c r="H46" s="179"/>
      <c r="I46" s="179"/>
    </row>
    <row r="47" spans="1:9" x14ac:dyDescent="0.2">
      <c r="A47" s="276">
        <v>37</v>
      </c>
      <c r="B47" s="279" t="s">
        <v>1106</v>
      </c>
      <c r="C47" s="285" t="s">
        <v>1066</v>
      </c>
      <c r="D47" s="279" t="s">
        <v>1064</v>
      </c>
      <c r="E47" s="278">
        <v>6102</v>
      </c>
      <c r="F47" s="179"/>
      <c r="G47" s="179"/>
      <c r="H47" s="179"/>
      <c r="I47" s="179"/>
    </row>
    <row r="48" spans="1:9" x14ac:dyDescent="0.2">
      <c r="A48" s="276">
        <v>38</v>
      </c>
      <c r="B48" s="279" t="s">
        <v>1107</v>
      </c>
      <c r="C48" s="285" t="s">
        <v>1066</v>
      </c>
      <c r="D48" s="279" t="s">
        <v>1064</v>
      </c>
      <c r="E48" s="278">
        <v>13300</v>
      </c>
      <c r="F48" s="179"/>
      <c r="G48" s="179"/>
      <c r="H48" s="179"/>
      <c r="I48" s="179"/>
    </row>
    <row r="49" spans="1:9" x14ac:dyDescent="0.2">
      <c r="A49" s="276">
        <v>39</v>
      </c>
      <c r="B49" s="279" t="s">
        <v>1108</v>
      </c>
      <c r="C49" s="285" t="s">
        <v>1066</v>
      </c>
      <c r="D49" s="279" t="s">
        <v>1064</v>
      </c>
      <c r="E49" s="278">
        <v>5200</v>
      </c>
      <c r="F49" s="179"/>
      <c r="G49" s="179"/>
      <c r="H49" s="179"/>
      <c r="I49" s="179"/>
    </row>
    <row r="50" spans="1:9" x14ac:dyDescent="0.2">
      <c r="A50" s="276">
        <v>40</v>
      </c>
      <c r="B50" s="279" t="s">
        <v>1109</v>
      </c>
      <c r="C50" s="285" t="s">
        <v>1066</v>
      </c>
      <c r="D50" s="279" t="s">
        <v>1064</v>
      </c>
      <c r="E50" s="278">
        <v>5388</v>
      </c>
      <c r="F50" s="179"/>
      <c r="G50" s="179"/>
      <c r="H50" s="179"/>
      <c r="I50" s="179"/>
    </row>
    <row r="51" spans="1:9" x14ac:dyDescent="0.2">
      <c r="A51" s="276">
        <v>41</v>
      </c>
      <c r="B51" s="279" t="s">
        <v>1110</v>
      </c>
      <c r="C51" s="285" t="s">
        <v>1066</v>
      </c>
      <c r="D51" s="279" t="s">
        <v>1064</v>
      </c>
      <c r="E51" s="278">
        <v>8020</v>
      </c>
      <c r="F51" s="179"/>
      <c r="G51" s="179"/>
      <c r="H51" s="179"/>
      <c r="I51" s="179"/>
    </row>
    <row r="52" spans="1:9" x14ac:dyDescent="0.2">
      <c r="A52" s="276">
        <v>42</v>
      </c>
      <c r="B52" s="279" t="s">
        <v>1111</v>
      </c>
      <c r="C52" s="285" t="s">
        <v>1066</v>
      </c>
      <c r="D52" s="279" t="s">
        <v>1064</v>
      </c>
      <c r="E52" s="278">
        <v>4200</v>
      </c>
      <c r="F52" s="179"/>
      <c r="G52" s="179"/>
      <c r="H52" s="179"/>
      <c r="I52" s="179"/>
    </row>
    <row r="53" spans="1:9" x14ac:dyDescent="0.2">
      <c r="A53" s="276">
        <v>43</v>
      </c>
      <c r="B53" s="279" t="s">
        <v>1112</v>
      </c>
      <c r="C53" s="285" t="s">
        <v>1066</v>
      </c>
      <c r="D53" s="279" t="s">
        <v>1064</v>
      </c>
      <c r="E53" s="278">
        <v>5861</v>
      </c>
      <c r="F53" s="179"/>
      <c r="G53" s="179"/>
      <c r="H53" s="179"/>
      <c r="I53" s="179"/>
    </row>
    <row r="54" spans="1:9" x14ac:dyDescent="0.2">
      <c r="A54" s="280">
        <v>44</v>
      </c>
      <c r="B54" s="281" t="s">
        <v>1113</v>
      </c>
      <c r="C54" s="286" t="s">
        <v>1096</v>
      </c>
      <c r="D54" s="281" t="s">
        <v>1068</v>
      </c>
      <c r="E54" s="278">
        <v>27000</v>
      </c>
      <c r="F54" s="179"/>
      <c r="G54" s="179"/>
      <c r="H54" s="179"/>
      <c r="I54" s="179"/>
    </row>
    <row r="55" spans="1:9" x14ac:dyDescent="0.2">
      <c r="A55" s="276">
        <v>45</v>
      </c>
      <c r="B55" s="279" t="s">
        <v>1114</v>
      </c>
      <c r="C55" s="285" t="s">
        <v>1096</v>
      </c>
      <c r="D55" s="279" t="s">
        <v>1064</v>
      </c>
      <c r="E55" s="278">
        <v>12000</v>
      </c>
      <c r="F55" s="179"/>
      <c r="G55" s="179"/>
      <c r="H55" s="179"/>
      <c r="I55" s="179"/>
    </row>
    <row r="56" spans="1:9" x14ac:dyDescent="0.2">
      <c r="A56" s="276">
        <v>46</v>
      </c>
      <c r="B56" s="279" t="s">
        <v>1115</v>
      </c>
      <c r="C56" s="285" t="s">
        <v>1066</v>
      </c>
      <c r="D56" s="279" t="s">
        <v>1064</v>
      </c>
      <c r="E56" s="278">
        <v>4943</v>
      </c>
      <c r="F56" s="179"/>
      <c r="G56" s="179"/>
      <c r="H56" s="179"/>
      <c r="I56" s="179"/>
    </row>
    <row r="57" spans="1:9" x14ac:dyDescent="0.2">
      <c r="A57" s="276">
        <v>47</v>
      </c>
      <c r="B57" s="279" t="s">
        <v>1116</v>
      </c>
      <c r="C57" s="285" t="s">
        <v>1066</v>
      </c>
      <c r="D57" s="279" t="s">
        <v>1064</v>
      </c>
      <c r="E57" s="278">
        <v>7800</v>
      </c>
      <c r="F57" s="179"/>
      <c r="G57" s="179"/>
      <c r="H57" s="179"/>
      <c r="I57" s="179"/>
    </row>
    <row r="58" spans="1:9" x14ac:dyDescent="0.2">
      <c r="A58" s="276">
        <v>48</v>
      </c>
      <c r="B58" s="279" t="s">
        <v>1117</v>
      </c>
      <c r="C58" s="285" t="s">
        <v>1066</v>
      </c>
      <c r="D58" s="279" t="s">
        <v>1064</v>
      </c>
      <c r="E58" s="278">
        <v>8419</v>
      </c>
      <c r="F58" s="179"/>
      <c r="G58" s="179"/>
      <c r="H58" s="179"/>
      <c r="I58" s="179"/>
    </row>
    <row r="59" spans="1:9" x14ac:dyDescent="0.2">
      <c r="A59" s="276">
        <v>49</v>
      </c>
      <c r="B59" s="279" t="s">
        <v>1118</v>
      </c>
      <c r="C59" s="285" t="s">
        <v>1066</v>
      </c>
      <c r="D59" s="279" t="s">
        <v>1064</v>
      </c>
      <c r="E59" s="278">
        <v>9700</v>
      </c>
      <c r="F59" s="179"/>
      <c r="G59" s="179"/>
      <c r="H59" s="179"/>
      <c r="I59" s="179"/>
    </row>
    <row r="60" spans="1:9" x14ac:dyDescent="0.2">
      <c r="A60" s="276">
        <v>50</v>
      </c>
      <c r="B60" s="279" t="s">
        <v>1119</v>
      </c>
      <c r="C60" s="285" t="s">
        <v>1066</v>
      </c>
      <c r="D60" s="279" t="s">
        <v>1064</v>
      </c>
      <c r="E60" s="278">
        <v>6102</v>
      </c>
      <c r="F60" s="179"/>
      <c r="G60" s="179"/>
      <c r="H60" s="179"/>
      <c r="I60" s="179"/>
    </row>
    <row r="61" spans="1:9" x14ac:dyDescent="0.2">
      <c r="A61" s="276">
        <v>51</v>
      </c>
      <c r="B61" s="279" t="s">
        <v>1120</v>
      </c>
      <c r="C61" s="285" t="s">
        <v>1066</v>
      </c>
      <c r="D61" s="279" t="s">
        <v>1064</v>
      </c>
      <c r="E61" s="278">
        <v>4900</v>
      </c>
      <c r="F61" s="179"/>
      <c r="G61" s="179"/>
      <c r="H61" s="179"/>
      <c r="I61" s="179"/>
    </row>
    <row r="62" spans="1:9" x14ac:dyDescent="0.2">
      <c r="A62" s="276">
        <v>52</v>
      </c>
      <c r="B62" s="279" t="s">
        <v>1121</v>
      </c>
      <c r="C62" s="285" t="s">
        <v>1066</v>
      </c>
      <c r="D62" s="279" t="s">
        <v>1064</v>
      </c>
      <c r="E62" s="278">
        <v>5861</v>
      </c>
      <c r="F62" s="179"/>
      <c r="G62" s="179"/>
      <c r="H62" s="179"/>
      <c r="I62" s="179"/>
    </row>
    <row r="63" spans="1:9" x14ac:dyDescent="0.2">
      <c r="A63" s="276">
        <v>53</v>
      </c>
      <c r="B63" s="279" t="s">
        <v>1122</v>
      </c>
      <c r="C63" s="285" t="s">
        <v>1066</v>
      </c>
      <c r="D63" s="279" t="s">
        <v>1064</v>
      </c>
      <c r="E63" s="278">
        <v>8020</v>
      </c>
      <c r="F63" s="179"/>
      <c r="G63" s="179"/>
      <c r="H63" s="179"/>
      <c r="I63" s="179"/>
    </row>
    <row r="64" spans="1:9" x14ac:dyDescent="0.2">
      <c r="A64" s="276">
        <v>54</v>
      </c>
      <c r="B64" s="279" t="s">
        <v>1123</v>
      </c>
      <c r="C64" s="285" t="s">
        <v>1066</v>
      </c>
      <c r="D64" s="279" t="s">
        <v>1064</v>
      </c>
      <c r="E64" s="278">
        <v>6806</v>
      </c>
      <c r="F64" s="179"/>
      <c r="G64" s="179"/>
      <c r="H64" s="179"/>
      <c r="I64" s="179"/>
    </row>
    <row r="65" spans="1:9" x14ac:dyDescent="0.2">
      <c r="A65" s="276">
        <v>55</v>
      </c>
      <c r="B65" s="279" t="s">
        <v>1124</v>
      </c>
      <c r="C65" s="285" t="s">
        <v>1066</v>
      </c>
      <c r="D65" s="279" t="s">
        <v>1064</v>
      </c>
      <c r="E65" s="278">
        <v>6102</v>
      </c>
      <c r="F65" s="179"/>
      <c r="G65" s="179"/>
      <c r="H65" s="179"/>
      <c r="I65" s="179"/>
    </row>
    <row r="66" spans="1:9" x14ac:dyDescent="0.2">
      <c r="A66" s="276">
        <v>56</v>
      </c>
      <c r="B66" s="279" t="s">
        <v>1125</v>
      </c>
      <c r="C66" s="285" t="s">
        <v>1066</v>
      </c>
      <c r="D66" s="279" t="s">
        <v>1064</v>
      </c>
      <c r="E66" s="278">
        <v>5000</v>
      </c>
      <c r="F66" s="179"/>
      <c r="G66" s="179"/>
      <c r="H66" s="179"/>
      <c r="I66" s="179"/>
    </row>
    <row r="67" spans="1:9" x14ac:dyDescent="0.2">
      <c r="A67" s="276">
        <v>57</v>
      </c>
      <c r="B67" s="279" t="s">
        <v>1126</v>
      </c>
      <c r="C67" s="285" t="s">
        <v>1066</v>
      </c>
      <c r="D67" s="279" t="s">
        <v>1064</v>
      </c>
      <c r="E67" s="278">
        <v>6102</v>
      </c>
      <c r="F67" s="179"/>
      <c r="G67" s="179"/>
      <c r="H67" s="179"/>
      <c r="I67" s="179"/>
    </row>
    <row r="68" spans="1:9" x14ac:dyDescent="0.2">
      <c r="A68" s="276">
        <v>58</v>
      </c>
      <c r="B68" s="279" t="s">
        <v>1127</v>
      </c>
      <c r="C68" s="285" t="s">
        <v>1066</v>
      </c>
      <c r="D68" s="279" t="s">
        <v>1064</v>
      </c>
      <c r="E68" s="278">
        <v>6102</v>
      </c>
      <c r="F68" s="179"/>
      <c r="G68" s="179"/>
      <c r="H68" s="179"/>
      <c r="I68" s="179"/>
    </row>
    <row r="69" spans="1:9" x14ac:dyDescent="0.2">
      <c r="A69" s="276">
        <v>59</v>
      </c>
      <c r="B69" s="279" t="s">
        <v>1128</v>
      </c>
      <c r="C69" s="285" t="s">
        <v>1066</v>
      </c>
      <c r="D69" s="279" t="s">
        <v>1064</v>
      </c>
      <c r="E69" s="278">
        <v>6805</v>
      </c>
      <c r="F69" s="179"/>
      <c r="G69" s="179"/>
      <c r="H69" s="179"/>
      <c r="I69" s="179"/>
    </row>
    <row r="70" spans="1:9" x14ac:dyDescent="0.2">
      <c r="A70" s="276">
        <v>60</v>
      </c>
      <c r="B70" s="279" t="s">
        <v>1129</v>
      </c>
      <c r="C70" s="285" t="s">
        <v>1066</v>
      </c>
      <c r="D70" s="279" t="s">
        <v>1064</v>
      </c>
      <c r="E70" s="278">
        <v>6180</v>
      </c>
      <c r="F70" s="179"/>
      <c r="G70" s="179"/>
      <c r="H70" s="179"/>
      <c r="I70" s="179"/>
    </row>
    <row r="71" spans="1:9" x14ac:dyDescent="0.2">
      <c r="A71" s="276">
        <v>61</v>
      </c>
      <c r="B71" s="279" t="s">
        <v>1130</v>
      </c>
      <c r="C71" s="285" t="s">
        <v>1066</v>
      </c>
      <c r="D71" s="279" t="s">
        <v>1064</v>
      </c>
      <c r="E71" s="278">
        <v>5989</v>
      </c>
      <c r="F71" s="179"/>
      <c r="G71" s="179"/>
      <c r="H71" s="179"/>
      <c r="I71" s="179"/>
    </row>
    <row r="72" spans="1:9" x14ac:dyDescent="0.2">
      <c r="A72" s="280">
        <v>62</v>
      </c>
      <c r="B72" s="282" t="s">
        <v>1131</v>
      </c>
      <c r="C72" s="287" t="s">
        <v>1066</v>
      </c>
      <c r="D72" s="282" t="s">
        <v>1064</v>
      </c>
      <c r="E72" s="278">
        <v>4370</v>
      </c>
      <c r="F72" s="179"/>
      <c r="G72" s="179"/>
      <c r="H72" s="179"/>
      <c r="I72" s="179"/>
    </row>
    <row r="73" spans="1:9" x14ac:dyDescent="0.2">
      <c r="A73" s="276">
        <v>63</v>
      </c>
      <c r="B73" s="279" t="s">
        <v>1132</v>
      </c>
      <c r="C73" s="285" t="s">
        <v>1066</v>
      </c>
      <c r="D73" s="279" t="s">
        <v>1064</v>
      </c>
      <c r="E73" s="278">
        <v>6805</v>
      </c>
      <c r="F73" s="179"/>
      <c r="G73" s="179"/>
      <c r="H73" s="179"/>
      <c r="I73" s="179"/>
    </row>
    <row r="74" spans="1:9" x14ac:dyDescent="0.2">
      <c r="A74" s="79"/>
      <c r="B74" s="79"/>
      <c r="C74" s="288"/>
      <c r="D74" s="79"/>
      <c r="E74" s="267"/>
      <c r="F74" s="179"/>
      <c r="G74" s="179"/>
      <c r="H74" s="179"/>
      <c r="I74" s="179"/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RENGLON 011</vt:lpstr>
      <vt:lpstr>RENGLON 021</vt:lpstr>
      <vt:lpstr>RENGLON 022</vt:lpstr>
      <vt:lpstr>RENGLON 029</vt:lpstr>
      <vt:lpstr>RENGLON 031</vt:lpstr>
      <vt:lpstr>SUBGRUPO 18</vt:lpstr>
      <vt:lpstr>'RENGLON 011'!Excel_BuiltIn__FilterDatabase</vt:lpstr>
      <vt:lpstr>'RENGLON 021'!Excel_BuiltIn__FilterDatabase</vt:lpstr>
      <vt:lpstr>'RENGLON 029'!Excel_BuiltIn__FilterDatabase</vt:lpstr>
      <vt:lpstr>'RENGLON 031'!Excel_BuiltIn__FilterDatabase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dcterms:created xsi:type="dcterms:W3CDTF">2017-06-09T16:57:43Z</dcterms:created>
  <dcterms:modified xsi:type="dcterms:W3CDTF">2017-06-09T16:57:43Z</dcterms:modified>
</cp:coreProperties>
</file>