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mperez\Documents\UIP_compartida\2017\INFORMACION PUBLICA DE OFICIO\3. ARTES\6. JUNIO\"/>
    </mc:Choice>
  </mc:AlternateContent>
  <bookViews>
    <workbookView xWindow="0" yWindow="0" windowWidth="20490" windowHeight="7665"/>
  </bookViews>
  <sheets>
    <sheet name="RENGLON 011" sheetId="10" r:id="rId1"/>
    <sheet name="RENGLON 021" sheetId="11" r:id="rId2"/>
    <sheet name="RENGLON 022" sheetId="3" r:id="rId3"/>
    <sheet name="RENGLON 029" sheetId="4" r:id="rId4"/>
    <sheet name="RENGLON 031" sheetId="9" r:id="rId5"/>
    <sheet name="SUBGRUPO 18" sheetId="12" r:id="rId6"/>
  </sheets>
  <definedNames>
    <definedName name="_xlnm._FilterDatabase" localSheetId="0" hidden="1">'RENGLON 011'!$A$8:$W$336</definedName>
    <definedName name="_xlnm._FilterDatabase" localSheetId="1" hidden="1">'RENGLON 021'!$A$9:$P$385</definedName>
    <definedName name="_xlnm._FilterDatabase" localSheetId="3" hidden="1">'RENGLON 029'!$A$9:$H$57</definedName>
    <definedName name="_xlnm._FilterDatabase" localSheetId="4" hidden="1">'RENGLON 031'!$A$9:$O$83</definedName>
  </definedNames>
  <calcPr calcId="152511" fullPrecision="0"/>
</workbook>
</file>

<file path=xl/calcChain.xml><?xml version="1.0" encoding="utf-8"?>
<calcChain xmlns="http://schemas.openxmlformats.org/spreadsheetml/2006/main">
  <c r="P51" i="11" l="1"/>
  <c r="P378" i="11"/>
  <c r="P60" i="11"/>
  <c r="P189" i="11"/>
  <c r="P373" i="11"/>
  <c r="Q11" i="3"/>
  <c r="P375" i="11"/>
  <c r="W262" i="10"/>
  <c r="P246" i="11"/>
  <c r="W132" i="10"/>
  <c r="W308" i="10"/>
  <c r="W102" i="10"/>
  <c r="W66" i="10"/>
  <c r="P120" i="11"/>
  <c r="W286" i="10"/>
  <c r="W257" i="10"/>
  <c r="W321" i="10"/>
  <c r="W322" i="10"/>
  <c r="W309" i="10"/>
  <c r="W157" i="10"/>
  <c r="W246" i="10"/>
  <c r="W183" i="10"/>
  <c r="W248" i="10"/>
  <c r="W171" i="10"/>
  <c r="P131" i="11"/>
  <c r="W88" i="10"/>
  <c r="W40" i="10"/>
  <c r="P370" i="11"/>
  <c r="W87" i="10"/>
  <c r="P336" i="11"/>
  <c r="W247" i="10"/>
  <c r="W241" i="10"/>
  <c r="W326" i="10"/>
  <c r="P211" i="11"/>
  <c r="P190" i="11"/>
  <c r="P226" i="11"/>
  <c r="W45" i="10"/>
  <c r="P244" i="11"/>
  <c r="W25" i="10"/>
  <c r="W222" i="10"/>
  <c r="W224" i="10"/>
  <c r="W62" i="10"/>
  <c r="W50" i="10"/>
  <c r="W146" i="10"/>
  <c r="W75" i="10"/>
  <c r="W12" i="10"/>
  <c r="P222" i="11"/>
  <c r="W14" i="10"/>
  <c r="W38" i="10"/>
  <c r="W229" i="10"/>
  <c r="W127" i="10"/>
  <c r="W100" i="10"/>
  <c r="W29" i="10"/>
  <c r="W131" i="10"/>
  <c r="P197" i="11"/>
  <c r="P253" i="11"/>
  <c r="P301" i="11"/>
  <c r="W115" i="10"/>
  <c r="P220" i="11"/>
  <c r="Q12" i="3"/>
  <c r="P99" i="11"/>
  <c r="W48" i="10"/>
  <c r="W33" i="10"/>
  <c r="P183" i="11"/>
  <c r="W206" i="10"/>
  <c r="P169" i="11"/>
  <c r="P29" i="11"/>
  <c r="P247" i="11"/>
  <c r="P26" i="11"/>
  <c r="W41" i="10"/>
  <c r="P167" i="11"/>
  <c r="P252" i="11"/>
  <c r="W290" i="10"/>
  <c r="P105" i="11"/>
  <c r="W89" i="10"/>
  <c r="W98" i="10"/>
  <c r="W44" i="10"/>
  <c r="P81" i="11"/>
  <c r="W311" i="10"/>
  <c r="W203" i="10"/>
  <c r="W236" i="10"/>
  <c r="W178" i="10"/>
  <c r="W164" i="10"/>
  <c r="W331" i="10"/>
  <c r="W119" i="10"/>
  <c r="P208" i="11"/>
  <c r="W43" i="10"/>
  <c r="P294" i="11"/>
  <c r="W59" i="10"/>
  <c r="W314" i="10"/>
  <c r="P230" i="11"/>
  <c r="P224" i="11"/>
  <c r="P86" i="11"/>
  <c r="W212" i="10"/>
  <c r="W135" i="10"/>
  <c r="W235" i="10"/>
  <c r="P206" i="11"/>
  <c r="P46" i="11"/>
  <c r="W64" i="10"/>
  <c r="P296" i="11"/>
  <c r="W281" i="10"/>
  <c r="W34" i="10"/>
  <c r="W168" i="10"/>
  <c r="W108" i="10"/>
  <c r="W230" i="10"/>
  <c r="D78" i="10"/>
  <c r="G72" i="4"/>
  <c r="D72" i="4"/>
  <c r="K164" i="11"/>
  <c r="I164" i="11"/>
  <c r="J164" i="11"/>
  <c r="N164" i="11"/>
  <c r="H11" i="9"/>
  <c r="J11" i="9"/>
  <c r="K11" i="9"/>
  <c r="M11" i="9"/>
  <c r="N11" i="9"/>
  <c r="G12" i="9"/>
  <c r="H12" i="9"/>
  <c r="J12" i="9"/>
  <c r="K12" i="9"/>
  <c r="H13" i="9"/>
  <c r="J13" i="9"/>
  <c r="K13" i="9"/>
  <c r="M13" i="9"/>
  <c r="N13" i="9"/>
  <c r="H14" i="9"/>
  <c r="J14" i="9"/>
  <c r="K14" i="9"/>
  <c r="L14" i="9"/>
  <c r="H15" i="9"/>
  <c r="H16" i="9"/>
  <c r="G17" i="9"/>
  <c r="H17" i="9"/>
  <c r="J17" i="9"/>
  <c r="K17" i="9"/>
  <c r="M17" i="9"/>
  <c r="N17" i="9"/>
  <c r="G18" i="9"/>
  <c r="H18" i="9"/>
  <c r="K18" i="9"/>
  <c r="H19" i="9"/>
  <c r="G20" i="9"/>
  <c r="H20" i="9"/>
  <c r="J20" i="9"/>
  <c r="G21" i="9"/>
  <c r="H21" i="9"/>
  <c r="H22" i="9"/>
  <c r="G23" i="9"/>
  <c r="H23" i="9"/>
  <c r="J23" i="9"/>
  <c r="L23" i="9"/>
  <c r="K23" i="9"/>
  <c r="M23" i="9"/>
  <c r="N23" i="9"/>
  <c r="H24" i="9"/>
  <c r="J24" i="9"/>
  <c r="K24" i="9"/>
  <c r="M24" i="9"/>
  <c r="N24" i="9"/>
  <c r="H25" i="9"/>
  <c r="J25" i="9"/>
  <c r="K25" i="9"/>
  <c r="M25" i="9"/>
  <c r="H26" i="9"/>
  <c r="H27" i="9"/>
  <c r="K27" i="9"/>
  <c r="M27" i="9"/>
  <c r="J27" i="9"/>
  <c r="N27" i="9"/>
  <c r="H28" i="9"/>
  <c r="J30" i="9"/>
  <c r="K30" i="9"/>
  <c r="M30" i="9"/>
  <c r="N30" i="9"/>
  <c r="H31" i="9"/>
  <c r="J31" i="9"/>
  <c r="K31" i="9"/>
  <c r="M31" i="9"/>
  <c r="G32" i="9"/>
  <c r="H32" i="9"/>
  <c r="H33" i="9"/>
  <c r="H34" i="9"/>
  <c r="J34" i="9"/>
  <c r="K34" i="9"/>
  <c r="M34" i="9"/>
  <c r="G35" i="9"/>
  <c r="H35" i="9"/>
  <c r="H36" i="9"/>
  <c r="J36" i="9"/>
  <c r="L36" i="9"/>
  <c r="K36" i="9"/>
  <c r="M36" i="9"/>
  <c r="N36" i="9"/>
  <c r="G37" i="9"/>
  <c r="H37" i="9"/>
  <c r="H38" i="9"/>
  <c r="J38" i="9"/>
  <c r="K38" i="9"/>
  <c r="M38" i="9"/>
  <c r="H39" i="9"/>
  <c r="H40" i="9"/>
  <c r="H41" i="9"/>
  <c r="H42" i="9"/>
  <c r="J42" i="9"/>
  <c r="K42" i="9"/>
  <c r="M42" i="9"/>
  <c r="H43" i="9"/>
  <c r="J43" i="9"/>
  <c r="L43" i="9"/>
  <c r="K43" i="9"/>
  <c r="M43" i="9"/>
  <c r="N43" i="9"/>
  <c r="G44" i="9"/>
  <c r="H44" i="9"/>
  <c r="J44" i="9"/>
  <c r="N44" i="9"/>
  <c r="K44" i="9"/>
  <c r="M44" i="9"/>
  <c r="G45" i="9"/>
  <c r="H45" i="9"/>
  <c r="J45" i="9"/>
  <c r="H46" i="9"/>
  <c r="J46" i="9"/>
  <c r="K46" i="9"/>
  <c r="M46" i="9"/>
  <c r="G47" i="9"/>
  <c r="K47" i="9"/>
  <c r="H47" i="9"/>
  <c r="J47" i="9"/>
  <c r="H48" i="9"/>
  <c r="J48" i="9"/>
  <c r="N48" i="9"/>
  <c r="K48" i="9"/>
  <c r="M48" i="9"/>
  <c r="H49" i="9"/>
  <c r="J49" i="9"/>
  <c r="N49" i="9"/>
  <c r="K49" i="9"/>
  <c r="M49" i="9"/>
  <c r="G50" i="9"/>
  <c r="H50" i="9"/>
  <c r="K50" i="9"/>
  <c r="M50" i="9"/>
  <c r="H51" i="9"/>
  <c r="J51" i="9"/>
  <c r="K51" i="9"/>
  <c r="M51" i="9"/>
  <c r="H52" i="9"/>
  <c r="K52" i="9"/>
  <c r="M52" i="9"/>
  <c r="J52" i="9"/>
  <c r="N52" i="9"/>
  <c r="H53" i="9"/>
  <c r="G54" i="9"/>
  <c r="H54" i="9"/>
  <c r="H55" i="9"/>
  <c r="K55" i="9"/>
  <c r="J55" i="9"/>
  <c r="M55" i="9"/>
  <c r="N55" i="9"/>
  <c r="H56" i="9"/>
  <c r="J56" i="9"/>
  <c r="K56" i="9"/>
  <c r="M56" i="9"/>
  <c r="N56" i="9"/>
  <c r="H57" i="9"/>
  <c r="J57" i="9"/>
  <c r="K57" i="9"/>
  <c r="M57" i="9"/>
  <c r="H58" i="9"/>
  <c r="J58" i="9"/>
  <c r="K58" i="9"/>
  <c r="M58" i="9"/>
  <c r="N58" i="9"/>
  <c r="H59" i="9"/>
  <c r="K59" i="9"/>
  <c r="J59" i="9"/>
  <c r="L59" i="9"/>
  <c r="M59" i="9"/>
  <c r="H60" i="9"/>
  <c r="J60" i="9"/>
  <c r="K60" i="9"/>
  <c r="M60" i="9"/>
  <c r="H61" i="9"/>
  <c r="H62" i="9"/>
  <c r="K62" i="9"/>
  <c r="J62" i="9"/>
  <c r="M62" i="9"/>
  <c r="H63" i="9"/>
  <c r="J63" i="9"/>
  <c r="K63" i="9"/>
  <c r="L63" i="9"/>
  <c r="H64" i="9"/>
  <c r="H65" i="9"/>
  <c r="K65" i="9"/>
  <c r="M65" i="9"/>
  <c r="J65" i="9"/>
  <c r="N65" i="9"/>
  <c r="H66" i="9"/>
  <c r="H67" i="9"/>
  <c r="J67" i="9"/>
  <c r="N67" i="9"/>
  <c r="K67" i="9"/>
  <c r="M67" i="9"/>
  <c r="H68" i="9"/>
  <c r="H69" i="9"/>
  <c r="J69" i="9"/>
  <c r="K69" i="9"/>
  <c r="M69" i="9"/>
  <c r="H70" i="9"/>
  <c r="H71" i="9"/>
  <c r="K71" i="9"/>
  <c r="M71" i="9"/>
  <c r="J71" i="9"/>
  <c r="N71" i="9"/>
  <c r="H72" i="9"/>
  <c r="J72" i="9"/>
  <c r="H73" i="9"/>
  <c r="K73" i="9"/>
  <c r="M73" i="9"/>
  <c r="J73" i="9"/>
  <c r="N73" i="9"/>
  <c r="G74" i="9"/>
  <c r="H74" i="9"/>
  <c r="H75" i="9"/>
  <c r="J75" i="9"/>
  <c r="K75" i="9"/>
  <c r="M75" i="9"/>
  <c r="H76" i="9"/>
  <c r="H77" i="9"/>
  <c r="H78" i="9"/>
  <c r="H79" i="9"/>
  <c r="J79" i="9"/>
  <c r="K79" i="9"/>
  <c r="M79" i="9"/>
  <c r="G80" i="9"/>
  <c r="K80" i="9"/>
  <c r="H80" i="9"/>
  <c r="J80" i="9"/>
  <c r="N80" i="9"/>
  <c r="M80" i="9"/>
  <c r="H81" i="9"/>
  <c r="J81" i="9"/>
  <c r="K81" i="9"/>
  <c r="M81" i="9"/>
  <c r="N81" i="9"/>
  <c r="J82" i="9"/>
  <c r="K82" i="9"/>
  <c r="M82" i="9"/>
  <c r="N82" i="9"/>
  <c r="E83" i="9"/>
  <c r="I83" i="9"/>
  <c r="O83" i="9"/>
  <c r="J11" i="3"/>
  <c r="J14" i="3"/>
  <c r="K11" i="3"/>
  <c r="L11" i="3"/>
  <c r="O11" i="3"/>
  <c r="P11" i="3"/>
  <c r="J12" i="3"/>
  <c r="K12" i="3"/>
  <c r="L12" i="3"/>
  <c r="J13" i="3"/>
  <c r="K13" i="3"/>
  <c r="L13" i="3"/>
  <c r="D14" i="3"/>
  <c r="E14" i="3"/>
  <c r="F14" i="3"/>
  <c r="G14" i="3"/>
  <c r="H14" i="3"/>
  <c r="I14" i="3"/>
  <c r="K14" i="3"/>
  <c r="M14" i="3"/>
  <c r="N14" i="3"/>
  <c r="I11" i="11"/>
  <c r="J11" i="11"/>
  <c r="K11" i="11"/>
  <c r="I12" i="11"/>
  <c r="J12" i="11"/>
  <c r="N12" i="11"/>
  <c r="O12" i="11"/>
  <c r="K12" i="11"/>
  <c r="I13" i="11"/>
  <c r="J13" i="11"/>
  <c r="N13" i="11"/>
  <c r="O13" i="11"/>
  <c r="K13" i="11"/>
  <c r="I14" i="11"/>
  <c r="J14" i="11"/>
  <c r="N14" i="11"/>
  <c r="O14" i="11"/>
  <c r="K14" i="11"/>
  <c r="I15" i="11"/>
  <c r="J15" i="11"/>
  <c r="K15" i="11"/>
  <c r="N15" i="11"/>
  <c r="O15" i="11"/>
  <c r="I16" i="11"/>
  <c r="J16" i="11"/>
  <c r="N16" i="11"/>
  <c r="O16" i="11"/>
  <c r="K16" i="11"/>
  <c r="I17" i="11"/>
  <c r="J17" i="11"/>
  <c r="N17" i="11"/>
  <c r="O17" i="11"/>
  <c r="K17" i="11"/>
  <c r="I18" i="11"/>
  <c r="J18" i="11"/>
  <c r="N18" i="11"/>
  <c r="O18" i="11"/>
  <c r="K18" i="11"/>
  <c r="I19" i="11"/>
  <c r="O19" i="11"/>
  <c r="J19" i="11"/>
  <c r="K19" i="11"/>
  <c r="N19" i="11"/>
  <c r="I20" i="11"/>
  <c r="J20" i="11"/>
  <c r="N20" i="11"/>
  <c r="O20" i="11"/>
  <c r="K20" i="11"/>
  <c r="E21" i="11"/>
  <c r="K21" i="11"/>
  <c r="I21" i="11"/>
  <c r="O21" i="11"/>
  <c r="J21" i="11"/>
  <c r="N21" i="11"/>
  <c r="I22" i="11"/>
  <c r="O22" i="11"/>
  <c r="J22" i="11"/>
  <c r="N22" i="11"/>
  <c r="I23" i="11"/>
  <c r="J23" i="11"/>
  <c r="K23" i="11"/>
  <c r="N23" i="11"/>
  <c r="I24" i="11"/>
  <c r="J24" i="11"/>
  <c r="N24" i="11"/>
  <c r="O24" i="11"/>
  <c r="K24" i="11"/>
  <c r="I25" i="11"/>
  <c r="O25" i="11"/>
  <c r="J25" i="11"/>
  <c r="N25" i="11"/>
  <c r="K25" i="11"/>
  <c r="I26" i="11"/>
  <c r="J26" i="11"/>
  <c r="N26" i="11"/>
  <c r="K26" i="11"/>
  <c r="I27" i="11"/>
  <c r="J27" i="11"/>
  <c r="K27" i="11"/>
  <c r="N27" i="11"/>
  <c r="O27" i="11"/>
  <c r="I28" i="11"/>
  <c r="J28" i="11"/>
  <c r="K28" i="11"/>
  <c r="N28" i="11"/>
  <c r="O28" i="11"/>
  <c r="I29" i="11"/>
  <c r="J29" i="11"/>
  <c r="K29" i="11"/>
  <c r="I30" i="11"/>
  <c r="J30" i="11"/>
  <c r="K30" i="11"/>
  <c r="N30" i="11"/>
  <c r="O30" i="11"/>
  <c r="I31" i="11"/>
  <c r="J31" i="11"/>
  <c r="K31" i="11"/>
  <c r="N31" i="11"/>
  <c r="O31" i="11"/>
  <c r="I32" i="11"/>
  <c r="J32" i="11"/>
  <c r="K32" i="11"/>
  <c r="I33" i="11"/>
  <c r="O33" i="11"/>
  <c r="J33" i="11"/>
  <c r="N33" i="11"/>
  <c r="K33" i="11"/>
  <c r="E34" i="11"/>
  <c r="I34" i="11"/>
  <c r="I35" i="11"/>
  <c r="J35" i="11"/>
  <c r="N35" i="11"/>
  <c r="O35" i="11"/>
  <c r="K35" i="11"/>
  <c r="I36" i="11"/>
  <c r="O36" i="11"/>
  <c r="J36" i="11"/>
  <c r="N36" i="11"/>
  <c r="K36" i="11"/>
  <c r="I37" i="11"/>
  <c r="O37" i="11"/>
  <c r="J37" i="11"/>
  <c r="N37" i="11"/>
  <c r="K37" i="11"/>
  <c r="I38" i="11"/>
  <c r="J38" i="11"/>
  <c r="K38" i="11"/>
  <c r="N38" i="11"/>
  <c r="O38" i="11"/>
  <c r="I39" i="11"/>
  <c r="J39" i="11"/>
  <c r="K39" i="11"/>
  <c r="N39" i="11"/>
  <c r="O39" i="11"/>
  <c r="I40" i="11"/>
  <c r="J40" i="11"/>
  <c r="K40" i="11"/>
  <c r="I41" i="11"/>
  <c r="J41" i="11"/>
  <c r="K41" i="11"/>
  <c r="N41" i="11"/>
  <c r="O41" i="11"/>
  <c r="I42" i="11"/>
  <c r="J42" i="11"/>
  <c r="K42" i="11"/>
  <c r="N42" i="11"/>
  <c r="O42" i="11"/>
  <c r="I43" i="11"/>
  <c r="J43" i="11"/>
  <c r="K43" i="11"/>
  <c r="N43" i="11"/>
  <c r="O43" i="11"/>
  <c r="I44" i="11"/>
  <c r="J44" i="11"/>
  <c r="N44" i="11"/>
  <c r="K44" i="11"/>
  <c r="O44" i="11"/>
  <c r="I45" i="11"/>
  <c r="J45" i="11"/>
  <c r="K45" i="11"/>
  <c r="N45" i="11"/>
  <c r="O45" i="11"/>
  <c r="I46" i="11"/>
  <c r="J46" i="11"/>
  <c r="K46" i="11"/>
  <c r="N46" i="11"/>
  <c r="O46" i="11"/>
  <c r="I47" i="11"/>
  <c r="J47" i="11"/>
  <c r="N47" i="11"/>
  <c r="O47" i="11"/>
  <c r="K47" i="11"/>
  <c r="I48" i="11"/>
  <c r="J48" i="11"/>
  <c r="N48" i="11"/>
  <c r="O48" i="11"/>
  <c r="K48" i="11"/>
  <c r="I49" i="11"/>
  <c r="J49" i="11"/>
  <c r="N49" i="11"/>
  <c r="O49" i="11"/>
  <c r="K49" i="11"/>
  <c r="I50" i="11"/>
  <c r="O50" i="11"/>
  <c r="J50" i="11"/>
  <c r="K50" i="11"/>
  <c r="N50" i="11"/>
  <c r="I51" i="11"/>
  <c r="J51" i="11"/>
  <c r="N51" i="11"/>
  <c r="O51" i="11"/>
  <c r="K51" i="11"/>
  <c r="I52" i="11"/>
  <c r="J52" i="11"/>
  <c r="N52" i="11"/>
  <c r="K52" i="11"/>
  <c r="I53" i="11"/>
  <c r="O53" i="11"/>
  <c r="J53" i="11"/>
  <c r="N53" i="11"/>
  <c r="K53" i="11"/>
  <c r="I54" i="11"/>
  <c r="J54" i="11"/>
  <c r="K54" i="11"/>
  <c r="N54" i="11"/>
  <c r="O54" i="11"/>
  <c r="I55" i="11"/>
  <c r="J55" i="11"/>
  <c r="K55" i="11"/>
  <c r="N55" i="11"/>
  <c r="O55" i="11"/>
  <c r="I56" i="11"/>
  <c r="J56" i="11"/>
  <c r="K56" i="11"/>
  <c r="I57" i="11"/>
  <c r="J57" i="11"/>
  <c r="K57" i="11"/>
  <c r="N57" i="11"/>
  <c r="O57" i="11"/>
  <c r="I58" i="11"/>
  <c r="J58" i="11"/>
  <c r="K58" i="11"/>
  <c r="I59" i="11"/>
  <c r="J59" i="11"/>
  <c r="K59" i="11"/>
  <c r="N59" i="11"/>
  <c r="O59" i="11"/>
  <c r="I60" i="11"/>
  <c r="J60" i="11"/>
  <c r="N60" i="11"/>
  <c r="O60" i="11"/>
  <c r="I61" i="11"/>
  <c r="J61" i="11"/>
  <c r="K61" i="11"/>
  <c r="N61" i="11"/>
  <c r="O61" i="11"/>
  <c r="I62" i="11"/>
  <c r="J62" i="11"/>
  <c r="N62" i="11"/>
  <c r="O62" i="11"/>
  <c r="K62" i="11"/>
  <c r="I63" i="11"/>
  <c r="J63" i="11"/>
  <c r="N63" i="11"/>
  <c r="K63" i="11"/>
  <c r="I64" i="11"/>
  <c r="J64" i="11"/>
  <c r="N64" i="11"/>
  <c r="K64" i="11"/>
  <c r="O64" i="11"/>
  <c r="I65" i="11"/>
  <c r="J65" i="11"/>
  <c r="K65" i="11"/>
  <c r="N65" i="11"/>
  <c r="O65" i="11"/>
  <c r="I66" i="11"/>
  <c r="J66" i="11"/>
  <c r="K66" i="11"/>
  <c r="N66" i="11"/>
  <c r="O66" i="11"/>
  <c r="I67" i="11"/>
  <c r="J67" i="11"/>
  <c r="K67" i="11"/>
  <c r="I68" i="11"/>
  <c r="J68" i="11"/>
  <c r="K68" i="11"/>
  <c r="N68" i="11"/>
  <c r="O68" i="11"/>
  <c r="I69" i="11"/>
  <c r="J69" i="11"/>
  <c r="K69" i="11"/>
  <c r="N69" i="11"/>
  <c r="O69" i="11"/>
  <c r="I70" i="11"/>
  <c r="J70" i="11"/>
  <c r="N70" i="11"/>
  <c r="O70" i="11"/>
  <c r="K70" i="11"/>
  <c r="I71" i="11"/>
  <c r="O71" i="11"/>
  <c r="J71" i="11"/>
  <c r="N71" i="11"/>
  <c r="K71" i="11"/>
  <c r="I72" i="11"/>
  <c r="O72" i="11"/>
  <c r="J72" i="11"/>
  <c r="N72" i="11"/>
  <c r="K72" i="11"/>
  <c r="I73" i="11"/>
  <c r="J73" i="11"/>
  <c r="K73" i="11"/>
  <c r="N73" i="11"/>
  <c r="O73" i="11"/>
  <c r="I74" i="11"/>
  <c r="J74" i="11"/>
  <c r="K74" i="11"/>
  <c r="N74" i="11"/>
  <c r="O74" i="11"/>
  <c r="I75" i="11"/>
  <c r="J75" i="11"/>
  <c r="K75" i="11"/>
  <c r="I76" i="11"/>
  <c r="J76" i="11"/>
  <c r="K76" i="11"/>
  <c r="N76" i="11"/>
  <c r="O76" i="11"/>
  <c r="I77" i="11"/>
  <c r="J77" i="11"/>
  <c r="K77" i="11"/>
  <c r="N77" i="11"/>
  <c r="O77" i="11"/>
  <c r="I78" i="11"/>
  <c r="J78" i="11"/>
  <c r="N78" i="11"/>
  <c r="O78" i="11"/>
  <c r="K78" i="11"/>
  <c r="I79" i="11"/>
  <c r="J79" i="11"/>
  <c r="N79" i="11"/>
  <c r="K79" i="11"/>
  <c r="I80" i="11"/>
  <c r="J80" i="11"/>
  <c r="N80" i="11"/>
  <c r="K80" i="11"/>
  <c r="O80" i="11"/>
  <c r="I81" i="11"/>
  <c r="J81" i="11"/>
  <c r="K81" i="11"/>
  <c r="N81" i="11"/>
  <c r="O81" i="11"/>
  <c r="I82" i="11"/>
  <c r="J82" i="11"/>
  <c r="K82" i="11"/>
  <c r="N82" i="11"/>
  <c r="O82" i="11"/>
  <c r="I83" i="11"/>
  <c r="J83" i="11"/>
  <c r="K83" i="11"/>
  <c r="I84" i="11"/>
  <c r="J84" i="11"/>
  <c r="K84" i="11"/>
  <c r="I85" i="11"/>
  <c r="J85" i="11"/>
  <c r="N85" i="11"/>
  <c r="K85" i="11"/>
  <c r="O85" i="11"/>
  <c r="I86" i="11"/>
  <c r="J86" i="11"/>
  <c r="K86" i="11"/>
  <c r="N86" i="11"/>
  <c r="O86" i="11"/>
  <c r="I87" i="11"/>
  <c r="J87" i="11"/>
  <c r="K87" i="11"/>
  <c r="N87" i="11"/>
  <c r="O87" i="11"/>
  <c r="I88" i="11"/>
  <c r="J88" i="11"/>
  <c r="K88" i="11"/>
  <c r="I89" i="11"/>
  <c r="J89" i="11"/>
  <c r="K89" i="11"/>
  <c r="I90" i="11"/>
  <c r="J90" i="11"/>
  <c r="N90" i="11"/>
  <c r="O90" i="11"/>
  <c r="K90" i="11"/>
  <c r="I91" i="11"/>
  <c r="O91" i="11"/>
  <c r="J91" i="11"/>
  <c r="K91" i="11"/>
  <c r="N91" i="11"/>
  <c r="I92" i="11"/>
  <c r="J92" i="11"/>
  <c r="K92" i="11"/>
  <c r="N92" i="11"/>
  <c r="O92" i="11"/>
  <c r="I93" i="11"/>
  <c r="O93" i="11"/>
  <c r="J93" i="11"/>
  <c r="N93" i="11"/>
  <c r="K93" i="11"/>
  <c r="I94" i="11"/>
  <c r="J94" i="11"/>
  <c r="K94" i="11"/>
  <c r="N94" i="11"/>
  <c r="O94" i="11"/>
  <c r="I95" i="11"/>
  <c r="J95" i="11"/>
  <c r="K95" i="11"/>
  <c r="N95" i="11"/>
  <c r="O95" i="11"/>
  <c r="I96" i="11"/>
  <c r="J96" i="11"/>
  <c r="K96" i="11"/>
  <c r="I97" i="11"/>
  <c r="J97" i="11"/>
  <c r="N97" i="11"/>
  <c r="O97" i="11"/>
  <c r="K97" i="11"/>
  <c r="I98" i="11"/>
  <c r="J98" i="11"/>
  <c r="N98" i="11"/>
  <c r="O98" i="11"/>
  <c r="K98" i="11"/>
  <c r="I99" i="11"/>
  <c r="J99" i="11"/>
  <c r="K99" i="11"/>
  <c r="N99" i="11"/>
  <c r="O99" i="11"/>
  <c r="I100" i="11"/>
  <c r="J100" i="11"/>
  <c r="K100" i="11"/>
  <c r="N100" i="11"/>
  <c r="O100" i="11"/>
  <c r="I101" i="11"/>
  <c r="J101" i="11"/>
  <c r="N101" i="11"/>
  <c r="K101" i="11"/>
  <c r="O101" i="11"/>
  <c r="I102" i="11"/>
  <c r="J102" i="11"/>
  <c r="K102" i="11"/>
  <c r="N102" i="11"/>
  <c r="O102" i="11"/>
  <c r="I103" i="11"/>
  <c r="J103" i="11"/>
  <c r="K103" i="11"/>
  <c r="N103" i="11"/>
  <c r="O103" i="11"/>
  <c r="I104" i="11"/>
  <c r="J104" i="11"/>
  <c r="K104" i="11"/>
  <c r="I105" i="11"/>
  <c r="J105" i="11"/>
  <c r="K105" i="11"/>
  <c r="I106" i="11"/>
  <c r="J106" i="11"/>
  <c r="N106" i="11"/>
  <c r="O106" i="11"/>
  <c r="K106" i="11"/>
  <c r="I107" i="11"/>
  <c r="O107" i="11"/>
  <c r="J107" i="11"/>
  <c r="K107" i="11"/>
  <c r="N107" i="11"/>
  <c r="I108" i="11"/>
  <c r="J108" i="11"/>
  <c r="K108" i="11"/>
  <c r="N108" i="11"/>
  <c r="O108" i="11"/>
  <c r="I109" i="11"/>
  <c r="O109" i="11"/>
  <c r="J109" i="11"/>
  <c r="N109" i="11"/>
  <c r="K109" i="11"/>
  <c r="I110" i="11"/>
  <c r="I385" i="11"/>
  <c r="J110" i="11"/>
  <c r="K110" i="11"/>
  <c r="N110" i="11"/>
  <c r="O110" i="11"/>
  <c r="I111" i="11"/>
  <c r="J111" i="11"/>
  <c r="K111" i="11"/>
  <c r="N111" i="11"/>
  <c r="O111" i="11"/>
  <c r="I112" i="11"/>
  <c r="J112" i="11"/>
  <c r="K112" i="11"/>
  <c r="I113" i="11"/>
  <c r="J113" i="11"/>
  <c r="N113" i="11"/>
  <c r="O113" i="11"/>
  <c r="K113" i="11"/>
  <c r="I114" i="11"/>
  <c r="J114" i="11"/>
  <c r="N114" i="11"/>
  <c r="O114" i="11"/>
  <c r="K114" i="11"/>
  <c r="I115" i="11"/>
  <c r="J115" i="11"/>
  <c r="K115" i="11"/>
  <c r="N115" i="11"/>
  <c r="O115" i="11"/>
  <c r="I116" i="11"/>
  <c r="J116" i="11"/>
  <c r="K116" i="11"/>
  <c r="N116" i="11"/>
  <c r="O116" i="11"/>
  <c r="I117" i="11"/>
  <c r="J117" i="11"/>
  <c r="N117" i="11"/>
  <c r="K117" i="11"/>
  <c r="O117" i="11"/>
  <c r="I118" i="11"/>
  <c r="J118" i="11"/>
  <c r="K118" i="11"/>
  <c r="N118" i="11"/>
  <c r="O118" i="11"/>
  <c r="I119" i="11"/>
  <c r="J119" i="11"/>
  <c r="K119" i="11"/>
  <c r="N119" i="11"/>
  <c r="O119" i="11"/>
  <c r="I120" i="11"/>
  <c r="J120" i="11"/>
  <c r="K120" i="11"/>
  <c r="I121" i="11"/>
  <c r="J121" i="11"/>
  <c r="K121" i="11"/>
  <c r="I122" i="11"/>
  <c r="J122" i="11"/>
  <c r="K122" i="11"/>
  <c r="I123" i="11"/>
  <c r="O123" i="11"/>
  <c r="J123" i="11"/>
  <c r="K123" i="11"/>
  <c r="N123" i="11"/>
  <c r="I124" i="11"/>
  <c r="J124" i="11"/>
  <c r="K124" i="11"/>
  <c r="N124" i="11"/>
  <c r="O124" i="11"/>
  <c r="I125" i="11"/>
  <c r="O125" i="11"/>
  <c r="J125" i="11"/>
  <c r="N125" i="11"/>
  <c r="K125" i="11"/>
  <c r="I126" i="11"/>
  <c r="J126" i="11"/>
  <c r="K126" i="11"/>
  <c r="N126" i="11"/>
  <c r="O126" i="11"/>
  <c r="I127" i="11"/>
  <c r="J127" i="11"/>
  <c r="K127" i="11"/>
  <c r="N127" i="11"/>
  <c r="O127" i="11"/>
  <c r="I128" i="11"/>
  <c r="J128" i="11"/>
  <c r="N128" i="11"/>
  <c r="O128" i="11"/>
  <c r="I129" i="11"/>
  <c r="J129" i="11"/>
  <c r="N129" i="11"/>
  <c r="O129" i="11"/>
  <c r="I130" i="11"/>
  <c r="J130" i="11"/>
  <c r="K130" i="11"/>
  <c r="I131" i="11"/>
  <c r="J131" i="11"/>
  <c r="K131" i="11"/>
  <c r="I132" i="11"/>
  <c r="J132" i="11"/>
  <c r="N132" i="11"/>
  <c r="O132" i="11"/>
  <c r="K132" i="11"/>
  <c r="I133" i="11"/>
  <c r="O133" i="11"/>
  <c r="J133" i="11"/>
  <c r="K133" i="11"/>
  <c r="N133" i="11"/>
  <c r="I134" i="11"/>
  <c r="J134" i="11"/>
  <c r="K134" i="11"/>
  <c r="N134" i="11"/>
  <c r="O134" i="11"/>
  <c r="I135" i="11"/>
  <c r="O135" i="11"/>
  <c r="J135" i="11"/>
  <c r="N135" i="11"/>
  <c r="K135" i="11"/>
  <c r="I136" i="11"/>
  <c r="J136" i="11"/>
  <c r="K136" i="11"/>
  <c r="N136" i="11"/>
  <c r="O136" i="11"/>
  <c r="I137" i="11"/>
  <c r="J137" i="11"/>
  <c r="K137" i="11"/>
  <c r="N137" i="11"/>
  <c r="O137" i="11"/>
  <c r="I138" i="11"/>
  <c r="J138" i="11"/>
  <c r="K138" i="11"/>
  <c r="I139" i="11"/>
  <c r="J139" i="11"/>
  <c r="N139" i="11"/>
  <c r="O139" i="11"/>
  <c r="K139" i="11"/>
  <c r="I140" i="11"/>
  <c r="J140" i="11"/>
  <c r="N140" i="11"/>
  <c r="O140" i="11"/>
  <c r="K140" i="11"/>
  <c r="I141" i="11"/>
  <c r="J141" i="11"/>
  <c r="K141" i="11"/>
  <c r="N141" i="11"/>
  <c r="O141" i="11"/>
  <c r="I142" i="11"/>
  <c r="J142" i="11"/>
  <c r="K142" i="11"/>
  <c r="N142" i="11"/>
  <c r="O142" i="11"/>
  <c r="I143" i="11"/>
  <c r="J143" i="11"/>
  <c r="N143" i="11"/>
  <c r="K143" i="11"/>
  <c r="O143" i="11"/>
  <c r="I144" i="11"/>
  <c r="J144" i="11"/>
  <c r="K144" i="11"/>
  <c r="N144" i="11"/>
  <c r="O144" i="11"/>
  <c r="I145" i="11"/>
  <c r="J145" i="11"/>
  <c r="K145" i="11"/>
  <c r="N145" i="11"/>
  <c r="O145" i="11"/>
  <c r="I146" i="11"/>
  <c r="J146" i="11"/>
  <c r="K146" i="11"/>
  <c r="I147" i="11"/>
  <c r="J147" i="11"/>
  <c r="K147" i="11"/>
  <c r="I148" i="11"/>
  <c r="J148" i="11"/>
  <c r="N148" i="11"/>
  <c r="O148" i="11"/>
  <c r="K148" i="11"/>
  <c r="I149" i="11"/>
  <c r="O149" i="11"/>
  <c r="J149" i="11"/>
  <c r="K149" i="11"/>
  <c r="N149" i="11"/>
  <c r="I150" i="11"/>
  <c r="J150" i="11"/>
  <c r="K150" i="11"/>
  <c r="N150" i="11"/>
  <c r="O150" i="11"/>
  <c r="I151" i="11"/>
  <c r="O151" i="11"/>
  <c r="J151" i="11"/>
  <c r="N151" i="11"/>
  <c r="K151" i="11"/>
  <c r="I152" i="11"/>
  <c r="J152" i="11"/>
  <c r="K152" i="11"/>
  <c r="N152" i="11"/>
  <c r="O152" i="11"/>
  <c r="I153" i="11"/>
  <c r="J153" i="11"/>
  <c r="K153" i="11"/>
  <c r="N153" i="11"/>
  <c r="O153" i="11"/>
  <c r="I154" i="11"/>
  <c r="J154" i="11"/>
  <c r="N154" i="11"/>
  <c r="O154" i="11"/>
  <c r="I155" i="11"/>
  <c r="J155" i="11"/>
  <c r="N155" i="11"/>
  <c r="O155" i="11"/>
  <c r="K155" i="11"/>
  <c r="I156" i="11"/>
  <c r="J156" i="11"/>
  <c r="N156" i="11"/>
  <c r="O156" i="11"/>
  <c r="K156" i="11"/>
  <c r="I157" i="11"/>
  <c r="J157" i="11"/>
  <c r="N157" i="11"/>
  <c r="O157" i="11"/>
  <c r="K157" i="11"/>
  <c r="I158" i="11"/>
  <c r="J158" i="11"/>
  <c r="K158" i="11"/>
  <c r="N158" i="11"/>
  <c r="O158" i="11"/>
  <c r="I159" i="11"/>
  <c r="J159" i="11"/>
  <c r="K159" i="11"/>
  <c r="N159" i="11"/>
  <c r="O159" i="11"/>
  <c r="I160" i="11"/>
  <c r="J160" i="11"/>
  <c r="N160" i="11"/>
  <c r="K160" i="11"/>
  <c r="O160" i="11"/>
  <c r="I161" i="11"/>
  <c r="J161" i="11"/>
  <c r="K161" i="11"/>
  <c r="N161" i="11"/>
  <c r="O161" i="11"/>
  <c r="I162" i="11"/>
  <c r="J162" i="11"/>
  <c r="K162" i="11"/>
  <c r="N162" i="11"/>
  <c r="O162" i="11"/>
  <c r="I163" i="11"/>
  <c r="J163" i="11"/>
  <c r="N163" i="11"/>
  <c r="O163" i="11"/>
  <c r="K163" i="11"/>
  <c r="I165" i="11"/>
  <c r="J165" i="11"/>
  <c r="K165" i="11"/>
  <c r="I166" i="11"/>
  <c r="J166" i="11"/>
  <c r="N166" i="11"/>
  <c r="O166" i="11"/>
  <c r="K166" i="11"/>
  <c r="I167" i="11"/>
  <c r="O167" i="11"/>
  <c r="J167" i="11"/>
  <c r="K167" i="11"/>
  <c r="N167" i="11"/>
  <c r="I168" i="11"/>
  <c r="J168" i="11"/>
  <c r="N168" i="11"/>
  <c r="O168" i="11"/>
  <c r="K168" i="11"/>
  <c r="I169" i="11"/>
  <c r="J169" i="11"/>
  <c r="N169" i="11"/>
  <c r="K169" i="11"/>
  <c r="I170" i="11"/>
  <c r="J170" i="11"/>
  <c r="N170" i="11"/>
  <c r="O170" i="11"/>
  <c r="K170" i="11"/>
  <c r="I171" i="11"/>
  <c r="J171" i="11"/>
  <c r="K171" i="11"/>
  <c r="N171" i="11"/>
  <c r="O171" i="11"/>
  <c r="I172" i="11"/>
  <c r="J172" i="11"/>
  <c r="K172" i="11"/>
  <c r="N172" i="11"/>
  <c r="O172" i="11"/>
  <c r="I173" i="11"/>
  <c r="J173" i="11"/>
  <c r="K173" i="11"/>
  <c r="I174" i="11"/>
  <c r="J174" i="11"/>
  <c r="K174" i="11"/>
  <c r="N174" i="11"/>
  <c r="O174" i="11"/>
  <c r="I175" i="11"/>
  <c r="J175" i="11"/>
  <c r="K175" i="11"/>
  <c r="N175" i="11"/>
  <c r="O175" i="11"/>
  <c r="I176" i="11"/>
  <c r="J176" i="11"/>
  <c r="K176" i="11"/>
  <c r="N176" i="11"/>
  <c r="O176" i="11"/>
  <c r="I177" i="11"/>
  <c r="J177" i="11"/>
  <c r="N177" i="11"/>
  <c r="K177" i="11"/>
  <c r="O177" i="11"/>
  <c r="I178" i="11"/>
  <c r="J178" i="11"/>
  <c r="K178" i="11"/>
  <c r="N178" i="11"/>
  <c r="O178" i="11"/>
  <c r="I179" i="11"/>
  <c r="J179" i="11"/>
  <c r="K179" i="11"/>
  <c r="N179" i="11"/>
  <c r="O179" i="11"/>
  <c r="E180" i="11"/>
  <c r="I180" i="11"/>
  <c r="J180" i="11"/>
  <c r="N180" i="11"/>
  <c r="K180" i="11"/>
  <c r="I181" i="11"/>
  <c r="J181" i="11"/>
  <c r="N181" i="11"/>
  <c r="O181" i="11"/>
  <c r="I182" i="11"/>
  <c r="J182" i="11"/>
  <c r="K182" i="11"/>
  <c r="N182" i="11"/>
  <c r="O182" i="11"/>
  <c r="I183" i="11"/>
  <c r="J183" i="11"/>
  <c r="K183" i="11"/>
  <c r="N183" i="11"/>
  <c r="O183" i="11"/>
  <c r="I184" i="11"/>
  <c r="J184" i="11"/>
  <c r="K184" i="11"/>
  <c r="N184" i="11"/>
  <c r="O184" i="11"/>
  <c r="I185" i="11"/>
  <c r="J185" i="11"/>
  <c r="N185" i="11"/>
  <c r="K185" i="11"/>
  <c r="O185" i="11"/>
  <c r="I186" i="11"/>
  <c r="J186" i="11"/>
  <c r="K186" i="11"/>
  <c r="N186" i="11"/>
  <c r="O186" i="11"/>
  <c r="I187" i="11"/>
  <c r="J187" i="11"/>
  <c r="K187" i="11"/>
  <c r="N187" i="11"/>
  <c r="O187" i="11"/>
  <c r="I188" i="11"/>
  <c r="J188" i="11"/>
  <c r="N188" i="11"/>
  <c r="O188" i="11"/>
  <c r="K188" i="11"/>
  <c r="I189" i="11"/>
  <c r="J189" i="11"/>
  <c r="N189" i="11"/>
  <c r="O189" i="11"/>
  <c r="K189" i="11"/>
  <c r="I190" i="11"/>
  <c r="J190" i="11"/>
  <c r="N190" i="11"/>
  <c r="O190" i="11"/>
  <c r="K190" i="11"/>
  <c r="I191" i="11"/>
  <c r="O191" i="11"/>
  <c r="J191" i="11"/>
  <c r="K191" i="11"/>
  <c r="N191" i="11"/>
  <c r="I192" i="11"/>
  <c r="J192" i="11"/>
  <c r="N192" i="11"/>
  <c r="O192" i="11"/>
  <c r="K192" i="11"/>
  <c r="I193" i="11"/>
  <c r="O193" i="11"/>
  <c r="J193" i="11"/>
  <c r="N193" i="11"/>
  <c r="K193" i="11"/>
  <c r="I194" i="11"/>
  <c r="J194" i="11"/>
  <c r="N194" i="11"/>
  <c r="O194" i="11"/>
  <c r="K194" i="11"/>
  <c r="I195" i="11"/>
  <c r="J195" i="11"/>
  <c r="K195" i="11"/>
  <c r="N195" i="11"/>
  <c r="O195" i="11"/>
  <c r="I196" i="11"/>
  <c r="J196" i="11"/>
  <c r="K196" i="11"/>
  <c r="N196" i="11"/>
  <c r="O196" i="11"/>
  <c r="I197" i="11"/>
  <c r="J197" i="11"/>
  <c r="K197" i="11"/>
  <c r="I198" i="11"/>
  <c r="J198" i="11"/>
  <c r="K198" i="11"/>
  <c r="N198" i="11"/>
  <c r="O198" i="11"/>
  <c r="I199" i="11"/>
  <c r="J199" i="11"/>
  <c r="K199" i="11"/>
  <c r="N199" i="11"/>
  <c r="O199" i="11"/>
  <c r="E200" i="11"/>
  <c r="I200" i="11"/>
  <c r="J200" i="11"/>
  <c r="K200" i="11"/>
  <c r="I201" i="11"/>
  <c r="J201" i="11"/>
  <c r="K201" i="11"/>
  <c r="N201" i="11"/>
  <c r="O201" i="11"/>
  <c r="I202" i="11"/>
  <c r="J202" i="11"/>
  <c r="K202" i="11"/>
  <c r="N202" i="11"/>
  <c r="O202" i="11"/>
  <c r="I203" i="11"/>
  <c r="J203" i="11"/>
  <c r="N203" i="11"/>
  <c r="O203" i="11"/>
  <c r="K203" i="11"/>
  <c r="I204" i="11"/>
  <c r="J204" i="11"/>
  <c r="N204" i="11"/>
  <c r="K204" i="11"/>
  <c r="I205" i="11"/>
  <c r="J205" i="11"/>
  <c r="N205" i="11"/>
  <c r="K205" i="11"/>
  <c r="O205" i="11"/>
  <c r="I206" i="11"/>
  <c r="J206" i="11"/>
  <c r="K206" i="11"/>
  <c r="N206" i="11"/>
  <c r="O206" i="11"/>
  <c r="I207" i="11"/>
  <c r="J207" i="11"/>
  <c r="K207" i="11"/>
  <c r="N207" i="11"/>
  <c r="O207" i="11"/>
  <c r="I208" i="11"/>
  <c r="J208" i="11"/>
  <c r="K208" i="11"/>
  <c r="I209" i="11"/>
  <c r="J209" i="11"/>
  <c r="K209" i="11"/>
  <c r="N209" i="11"/>
  <c r="O209" i="11"/>
  <c r="I210" i="11"/>
  <c r="J210" i="11"/>
  <c r="K210" i="11"/>
  <c r="N210" i="11"/>
  <c r="O210" i="11"/>
  <c r="I211" i="11"/>
  <c r="J211" i="11"/>
  <c r="N211" i="11"/>
  <c r="O211" i="11"/>
  <c r="K211" i="11"/>
  <c r="I212" i="11"/>
  <c r="J212" i="11"/>
  <c r="N212" i="11"/>
  <c r="K212" i="11"/>
  <c r="E213" i="11"/>
  <c r="J213" i="11"/>
  <c r="I213" i="11"/>
  <c r="K213" i="11"/>
  <c r="I214" i="11"/>
  <c r="J214" i="11"/>
  <c r="K214" i="11"/>
  <c r="N214" i="11"/>
  <c r="O214" i="11"/>
  <c r="I215" i="11"/>
  <c r="J215" i="11"/>
  <c r="N215" i="11"/>
  <c r="K215" i="11"/>
  <c r="O215" i="11"/>
  <c r="I216" i="11"/>
  <c r="J216" i="11"/>
  <c r="K216" i="11"/>
  <c r="N216" i="11"/>
  <c r="O216" i="11"/>
  <c r="I217" i="11"/>
  <c r="J217" i="11"/>
  <c r="K217" i="11"/>
  <c r="N217" i="11"/>
  <c r="O217" i="11"/>
  <c r="I218" i="11"/>
  <c r="J218" i="11"/>
  <c r="N218" i="11"/>
  <c r="O218" i="11"/>
  <c r="K218" i="11"/>
  <c r="I219" i="11"/>
  <c r="J219" i="11"/>
  <c r="N219" i="11"/>
  <c r="O219" i="11"/>
  <c r="K219" i="11"/>
  <c r="I220" i="11"/>
  <c r="J220" i="11"/>
  <c r="N220" i="11"/>
  <c r="O220" i="11"/>
  <c r="K220" i="11"/>
  <c r="I221" i="11"/>
  <c r="O221" i="11"/>
  <c r="J221" i="11"/>
  <c r="K221" i="11"/>
  <c r="N221" i="11"/>
  <c r="I222" i="11"/>
  <c r="J222" i="11"/>
  <c r="N222" i="11"/>
  <c r="O222" i="11"/>
  <c r="K222" i="11"/>
  <c r="I223" i="11"/>
  <c r="O223" i="11"/>
  <c r="J223" i="11"/>
  <c r="N223" i="11"/>
  <c r="K223" i="11"/>
  <c r="I224" i="11"/>
  <c r="O224" i="11"/>
  <c r="J224" i="11"/>
  <c r="N224" i="11"/>
  <c r="K224" i="11"/>
  <c r="I225" i="11"/>
  <c r="J225" i="11"/>
  <c r="K225" i="11"/>
  <c r="N225" i="11"/>
  <c r="O225" i="11"/>
  <c r="I226" i="11"/>
  <c r="J226" i="11"/>
  <c r="K226" i="11"/>
  <c r="N226" i="11"/>
  <c r="O226" i="11"/>
  <c r="I227" i="11"/>
  <c r="J227" i="11"/>
  <c r="K227" i="11"/>
  <c r="I228" i="11"/>
  <c r="J228" i="11"/>
  <c r="K228" i="11"/>
  <c r="N228" i="11"/>
  <c r="O228" i="11"/>
  <c r="I229" i="11"/>
  <c r="J229" i="11"/>
  <c r="K229" i="11"/>
  <c r="N229" i="11"/>
  <c r="O229" i="11"/>
  <c r="I230" i="11"/>
  <c r="J230" i="11"/>
  <c r="K230" i="11"/>
  <c r="N230" i="11"/>
  <c r="O230" i="11"/>
  <c r="I231" i="11"/>
  <c r="J231" i="11"/>
  <c r="N231" i="11"/>
  <c r="K231" i="11"/>
  <c r="O231" i="11"/>
  <c r="I232" i="11"/>
  <c r="J232" i="11"/>
  <c r="K232" i="11"/>
  <c r="N232" i="11"/>
  <c r="O232" i="11"/>
  <c r="I233" i="11"/>
  <c r="J233" i="11"/>
  <c r="K233" i="11"/>
  <c r="N233" i="11"/>
  <c r="O233" i="11"/>
  <c r="I234" i="11"/>
  <c r="J234" i="11"/>
  <c r="N234" i="11"/>
  <c r="O234" i="11"/>
  <c r="K234" i="11"/>
  <c r="I235" i="11"/>
  <c r="J235" i="11"/>
  <c r="N235" i="11"/>
  <c r="O235" i="11"/>
  <c r="K235" i="11"/>
  <c r="I236" i="11"/>
  <c r="J236" i="11"/>
  <c r="N236" i="11"/>
  <c r="O236" i="11"/>
  <c r="K236" i="11"/>
  <c r="I237" i="11"/>
  <c r="O237" i="11"/>
  <c r="J237" i="11"/>
  <c r="K237" i="11"/>
  <c r="N237" i="11"/>
  <c r="I238" i="11"/>
  <c r="J238" i="11"/>
  <c r="N238" i="11"/>
  <c r="O238" i="11"/>
  <c r="K238" i="11"/>
  <c r="I239" i="11"/>
  <c r="J239" i="11"/>
  <c r="N239" i="11"/>
  <c r="K239" i="11"/>
  <c r="I240" i="11"/>
  <c r="J240" i="11"/>
  <c r="N240" i="11"/>
  <c r="O240" i="11"/>
  <c r="K240" i="11"/>
  <c r="I241" i="11"/>
  <c r="J241" i="11"/>
  <c r="K241" i="11"/>
  <c r="N241" i="11"/>
  <c r="O241" i="11"/>
  <c r="I242" i="11"/>
  <c r="J242" i="11"/>
  <c r="K242" i="11"/>
  <c r="N242" i="11"/>
  <c r="O242" i="11"/>
  <c r="I243" i="11"/>
  <c r="J243" i="11"/>
  <c r="K243" i="11"/>
  <c r="I244" i="11"/>
  <c r="J244" i="11"/>
  <c r="K244" i="11"/>
  <c r="N244" i="11"/>
  <c r="O244" i="11"/>
  <c r="I245" i="11"/>
  <c r="J245" i="11"/>
  <c r="K245" i="11"/>
  <c r="N245" i="11"/>
  <c r="O245" i="11"/>
  <c r="I246" i="11"/>
  <c r="J246" i="11"/>
  <c r="K246" i="11"/>
  <c r="N246" i="11"/>
  <c r="O246" i="11"/>
  <c r="I247" i="11"/>
  <c r="J247" i="11"/>
  <c r="N247" i="11"/>
  <c r="K247" i="11"/>
  <c r="O247" i="11"/>
  <c r="I248" i="11"/>
  <c r="J248" i="11"/>
  <c r="K248" i="11"/>
  <c r="N248" i="11"/>
  <c r="O248" i="11"/>
  <c r="I249" i="11"/>
  <c r="J249" i="11"/>
  <c r="K249" i="11"/>
  <c r="N249" i="11"/>
  <c r="O249" i="11"/>
  <c r="I250" i="11"/>
  <c r="J250" i="11"/>
  <c r="N250" i="11"/>
  <c r="O250" i="11"/>
  <c r="K250" i="11"/>
  <c r="I251" i="11"/>
  <c r="J251" i="11"/>
  <c r="N251" i="11"/>
  <c r="O251" i="11"/>
  <c r="K251" i="11"/>
  <c r="I252" i="11"/>
  <c r="J252" i="11"/>
  <c r="N252" i="11"/>
  <c r="O252" i="11"/>
  <c r="K252" i="11"/>
  <c r="I253" i="11"/>
  <c r="O253" i="11"/>
  <c r="J253" i="11"/>
  <c r="K253" i="11"/>
  <c r="N253" i="11"/>
  <c r="I254" i="11"/>
  <c r="J254" i="11"/>
  <c r="N254" i="11"/>
  <c r="O254" i="11"/>
  <c r="K254" i="11"/>
  <c r="I255" i="11"/>
  <c r="O255" i="11"/>
  <c r="J255" i="11"/>
  <c r="N255" i="11"/>
  <c r="K255" i="11"/>
  <c r="I256" i="11"/>
  <c r="O256" i="11"/>
  <c r="J256" i="11"/>
  <c r="N256" i="11"/>
  <c r="K256" i="11"/>
  <c r="I257" i="11"/>
  <c r="J257" i="11"/>
  <c r="K257" i="11"/>
  <c r="N257" i="11"/>
  <c r="O257" i="11"/>
  <c r="I258" i="11"/>
  <c r="J258" i="11"/>
  <c r="N258" i="11"/>
  <c r="O258" i="11"/>
  <c r="I259" i="11"/>
  <c r="J259" i="11"/>
  <c r="K259" i="11"/>
  <c r="N259" i="11"/>
  <c r="O259" i="11"/>
  <c r="I260" i="11"/>
  <c r="J260" i="11"/>
  <c r="K260" i="11"/>
  <c r="I261" i="11"/>
  <c r="J261" i="11"/>
  <c r="K261" i="11"/>
  <c r="N261" i="11"/>
  <c r="O261" i="11"/>
  <c r="I262" i="11"/>
  <c r="J262" i="11"/>
  <c r="K262" i="11"/>
  <c r="N262" i="11"/>
  <c r="O262" i="11"/>
  <c r="I263" i="11"/>
  <c r="J263" i="11"/>
  <c r="K263" i="11"/>
  <c r="N263" i="11"/>
  <c r="O263" i="11"/>
  <c r="I264" i="11"/>
  <c r="J264" i="11"/>
  <c r="N264" i="11"/>
  <c r="K264" i="11"/>
  <c r="O264" i="11"/>
  <c r="I265" i="11"/>
  <c r="J265" i="11"/>
  <c r="K265" i="11"/>
  <c r="N265" i="11"/>
  <c r="O265" i="11"/>
  <c r="I266" i="11"/>
  <c r="J266" i="11"/>
  <c r="K266" i="11"/>
  <c r="N266" i="11"/>
  <c r="O266" i="11"/>
  <c r="I267" i="11"/>
  <c r="J267" i="11"/>
  <c r="K267" i="11"/>
  <c r="I268" i="11"/>
  <c r="J268" i="11"/>
  <c r="N268" i="11"/>
  <c r="O268" i="11"/>
  <c r="K268" i="11"/>
  <c r="I269" i="11"/>
  <c r="J269" i="11"/>
  <c r="N269" i="11"/>
  <c r="O269" i="11"/>
  <c r="K269" i="11"/>
  <c r="I270" i="11"/>
  <c r="O270" i="11"/>
  <c r="J270" i="11"/>
  <c r="K270" i="11"/>
  <c r="N270" i="11"/>
  <c r="I271" i="11"/>
  <c r="J271" i="11"/>
  <c r="N271" i="11"/>
  <c r="O271" i="11"/>
  <c r="K271" i="11"/>
  <c r="I272" i="11"/>
  <c r="J272" i="11"/>
  <c r="N272" i="11"/>
  <c r="K272" i="11"/>
  <c r="I273" i="11"/>
  <c r="J273" i="11"/>
  <c r="N273" i="11"/>
  <c r="O273" i="11"/>
  <c r="K273" i="11"/>
  <c r="I274" i="11"/>
  <c r="J274" i="11"/>
  <c r="K274" i="11"/>
  <c r="N274" i="11"/>
  <c r="O274" i="11"/>
  <c r="I275" i="11"/>
  <c r="J275" i="11"/>
  <c r="K275" i="11"/>
  <c r="N275" i="11"/>
  <c r="O275" i="11"/>
  <c r="I276" i="11"/>
  <c r="J276" i="11"/>
  <c r="K276" i="11"/>
  <c r="I277" i="11"/>
  <c r="J277" i="11"/>
  <c r="K277" i="11"/>
  <c r="N277" i="11"/>
  <c r="O277" i="11"/>
  <c r="I278" i="11"/>
  <c r="J278" i="11"/>
  <c r="K278" i="11"/>
  <c r="N278" i="11"/>
  <c r="O278" i="11"/>
  <c r="I279" i="11"/>
  <c r="J279" i="11"/>
  <c r="K279" i="11"/>
  <c r="N279" i="11"/>
  <c r="O279" i="11"/>
  <c r="I280" i="11"/>
  <c r="J280" i="11"/>
  <c r="N280" i="11"/>
  <c r="K280" i="11"/>
  <c r="O280" i="11"/>
  <c r="I281" i="11"/>
  <c r="J281" i="11"/>
  <c r="K281" i="11"/>
  <c r="N281" i="11"/>
  <c r="O281" i="11"/>
  <c r="I282" i="11"/>
  <c r="J282" i="11"/>
  <c r="K282" i="11"/>
  <c r="N282" i="11"/>
  <c r="O282" i="11"/>
  <c r="I283" i="11"/>
  <c r="J283" i="11"/>
  <c r="N283" i="11"/>
  <c r="O283" i="11"/>
  <c r="K283" i="11"/>
  <c r="I284" i="11"/>
  <c r="J284" i="11"/>
  <c r="N284" i="11"/>
  <c r="O284" i="11"/>
  <c r="K284" i="11"/>
  <c r="I285" i="11"/>
  <c r="J285" i="11"/>
  <c r="N285" i="11"/>
  <c r="O285" i="11"/>
  <c r="K285" i="11"/>
  <c r="I286" i="11"/>
  <c r="O286" i="11"/>
  <c r="J286" i="11"/>
  <c r="K286" i="11"/>
  <c r="N286" i="11"/>
  <c r="I287" i="11"/>
  <c r="J287" i="11"/>
  <c r="N287" i="11"/>
  <c r="O287" i="11"/>
  <c r="K287" i="11"/>
  <c r="I288" i="11"/>
  <c r="O288" i="11"/>
  <c r="J288" i="11"/>
  <c r="N288" i="11"/>
  <c r="K288" i="11"/>
  <c r="I289" i="11"/>
  <c r="J289" i="11"/>
  <c r="N289" i="11"/>
  <c r="K289" i="11"/>
  <c r="O289" i="11"/>
  <c r="I290" i="11"/>
  <c r="J290" i="11"/>
  <c r="K290" i="11"/>
  <c r="N290" i="11"/>
  <c r="O290" i="11"/>
  <c r="I291" i="11"/>
  <c r="J291" i="11"/>
  <c r="K291" i="11"/>
  <c r="N291" i="11"/>
  <c r="O291" i="11"/>
  <c r="I292" i="11"/>
  <c r="J292" i="11"/>
  <c r="K292" i="11"/>
  <c r="I293" i="11"/>
  <c r="J293" i="11"/>
  <c r="K293" i="11"/>
  <c r="N293" i="11"/>
  <c r="O293" i="11"/>
  <c r="I294" i="11"/>
  <c r="J294" i="11"/>
  <c r="K294" i="11"/>
  <c r="N294" i="11"/>
  <c r="O294" i="11"/>
  <c r="I295" i="11"/>
  <c r="J295" i="11"/>
  <c r="K295" i="11"/>
  <c r="N295" i="11"/>
  <c r="O295" i="11"/>
  <c r="I296" i="11"/>
  <c r="J296" i="11"/>
  <c r="N296" i="11"/>
  <c r="K296" i="11"/>
  <c r="O296" i="11"/>
  <c r="I297" i="11"/>
  <c r="J297" i="11"/>
  <c r="K297" i="11"/>
  <c r="N297" i="11"/>
  <c r="O297" i="11"/>
  <c r="I298" i="11"/>
  <c r="J298" i="11"/>
  <c r="K298" i="11"/>
  <c r="N298" i="11"/>
  <c r="O298" i="11"/>
  <c r="I299" i="11"/>
  <c r="J299" i="11"/>
  <c r="N299" i="11"/>
  <c r="O299" i="11"/>
  <c r="K299" i="11"/>
  <c r="I300" i="11"/>
  <c r="O300" i="11"/>
  <c r="J300" i="11"/>
  <c r="N300" i="11"/>
  <c r="K300" i="11"/>
  <c r="I301" i="11"/>
  <c r="J301" i="11"/>
  <c r="N301" i="11"/>
  <c r="O301" i="11"/>
  <c r="K301" i="11"/>
  <c r="I302" i="11"/>
  <c r="J302" i="11"/>
  <c r="K302" i="11"/>
  <c r="N302" i="11"/>
  <c r="O302" i="11"/>
  <c r="I303" i="11"/>
  <c r="J303" i="11"/>
  <c r="K303" i="11"/>
  <c r="N303" i="11"/>
  <c r="O303" i="11"/>
  <c r="I304" i="11"/>
  <c r="J304" i="11"/>
  <c r="K304" i="11"/>
  <c r="I305" i="11"/>
  <c r="J305" i="11"/>
  <c r="K305" i="11"/>
  <c r="N305" i="11"/>
  <c r="O305" i="11"/>
  <c r="I306" i="11"/>
  <c r="J306" i="11"/>
  <c r="K306" i="11"/>
  <c r="N306" i="11"/>
  <c r="O306" i="11"/>
  <c r="I307" i="11"/>
  <c r="J307" i="11"/>
  <c r="N307" i="11"/>
  <c r="O307" i="11"/>
  <c r="K307" i="11"/>
  <c r="I308" i="11"/>
  <c r="O308" i="11"/>
  <c r="J308" i="11"/>
  <c r="N308" i="11"/>
  <c r="K308" i="11"/>
  <c r="I309" i="11"/>
  <c r="J309" i="11"/>
  <c r="N309" i="11"/>
  <c r="K309" i="11"/>
  <c r="O309" i="11"/>
  <c r="I310" i="11"/>
  <c r="J310" i="11"/>
  <c r="K310" i="11"/>
  <c r="N310" i="11"/>
  <c r="O310" i="11"/>
  <c r="I311" i="11"/>
  <c r="J311" i="11"/>
  <c r="K311" i="11"/>
  <c r="N311" i="11"/>
  <c r="O311" i="11"/>
  <c r="I312" i="11"/>
  <c r="J312" i="11"/>
  <c r="K312" i="11"/>
  <c r="I313" i="11"/>
  <c r="J313" i="11"/>
  <c r="K313" i="11"/>
  <c r="N313" i="11"/>
  <c r="O313" i="11"/>
  <c r="I314" i="11"/>
  <c r="J314" i="11"/>
  <c r="K314" i="11"/>
  <c r="N314" i="11"/>
  <c r="O314" i="11"/>
  <c r="I315" i="11"/>
  <c r="J315" i="11"/>
  <c r="N315" i="11"/>
  <c r="O315" i="11"/>
  <c r="K315" i="11"/>
  <c r="I316" i="11"/>
  <c r="O316" i="11"/>
  <c r="J316" i="11"/>
  <c r="N316" i="11"/>
  <c r="K316" i="11"/>
  <c r="I318" i="11"/>
  <c r="J318" i="11"/>
  <c r="N318" i="11"/>
  <c r="O318" i="11"/>
  <c r="K318" i="11"/>
  <c r="I319" i="11"/>
  <c r="J319" i="11"/>
  <c r="K319" i="11"/>
  <c r="N319" i="11"/>
  <c r="O319" i="11"/>
  <c r="I320" i="11"/>
  <c r="J320" i="11"/>
  <c r="K320" i="11"/>
  <c r="N320" i="11"/>
  <c r="O320" i="11"/>
  <c r="I321" i="11"/>
  <c r="J321" i="11"/>
  <c r="K321" i="11"/>
  <c r="I322" i="11"/>
  <c r="J322" i="11"/>
  <c r="K322" i="11"/>
  <c r="N322" i="11"/>
  <c r="O322" i="11"/>
  <c r="I323" i="11"/>
  <c r="J323" i="11"/>
  <c r="K323" i="11"/>
  <c r="N323" i="11"/>
  <c r="O323" i="11"/>
  <c r="I324" i="11"/>
  <c r="J324" i="11"/>
  <c r="N324" i="11"/>
  <c r="O324" i="11"/>
  <c r="K324" i="11"/>
  <c r="I325" i="11"/>
  <c r="O325" i="11"/>
  <c r="J325" i="11"/>
  <c r="N325" i="11"/>
  <c r="K325" i="11"/>
  <c r="I326" i="11"/>
  <c r="J326" i="11"/>
  <c r="N326" i="11"/>
  <c r="K326" i="11"/>
  <c r="O326" i="11"/>
  <c r="I327" i="11"/>
  <c r="J327" i="11"/>
  <c r="K327" i="11"/>
  <c r="N327" i="11"/>
  <c r="O327" i="11"/>
  <c r="I328" i="11"/>
  <c r="J328" i="11"/>
  <c r="K328" i="11"/>
  <c r="N328" i="11"/>
  <c r="O328" i="11"/>
  <c r="I329" i="11"/>
  <c r="J329" i="11"/>
  <c r="K329" i="11"/>
  <c r="I330" i="11"/>
  <c r="J330" i="11"/>
  <c r="K330" i="11"/>
  <c r="N330" i="11"/>
  <c r="O330" i="11"/>
  <c r="I331" i="11"/>
  <c r="J331" i="11"/>
  <c r="K331" i="11"/>
  <c r="N331" i="11"/>
  <c r="O331" i="11"/>
  <c r="I332" i="11"/>
  <c r="J332" i="11"/>
  <c r="N332" i="11"/>
  <c r="O332" i="11"/>
  <c r="K332" i="11"/>
  <c r="I333" i="11"/>
  <c r="O333" i="11"/>
  <c r="J333" i="11"/>
  <c r="N333" i="11"/>
  <c r="K333" i="11"/>
  <c r="I334" i="11"/>
  <c r="J334" i="11"/>
  <c r="N334" i="11"/>
  <c r="O334" i="11"/>
  <c r="K334" i="11"/>
  <c r="I335" i="11"/>
  <c r="J335" i="11"/>
  <c r="K335" i="11"/>
  <c r="N335" i="11"/>
  <c r="O335" i="11"/>
  <c r="I336" i="11"/>
  <c r="J336" i="11"/>
  <c r="K336" i="11"/>
  <c r="N336" i="11"/>
  <c r="O336" i="11"/>
  <c r="I337" i="11"/>
  <c r="J337" i="11"/>
  <c r="K337" i="11"/>
  <c r="I338" i="11"/>
  <c r="J338" i="11"/>
  <c r="K338" i="11"/>
  <c r="N338" i="11"/>
  <c r="O338" i="11"/>
  <c r="I339" i="11"/>
  <c r="J339" i="11"/>
  <c r="K339" i="11"/>
  <c r="N339" i="11"/>
  <c r="O339" i="11"/>
  <c r="I340" i="11"/>
  <c r="J340" i="11"/>
  <c r="N340" i="11"/>
  <c r="O340" i="11"/>
  <c r="K340" i="11"/>
  <c r="I341" i="11"/>
  <c r="O341" i="11"/>
  <c r="J341" i="11"/>
  <c r="N341" i="11"/>
  <c r="K341" i="11"/>
  <c r="I342" i="11"/>
  <c r="J342" i="11"/>
  <c r="N342" i="11"/>
  <c r="K342" i="11"/>
  <c r="O342" i="11"/>
  <c r="I343" i="11"/>
  <c r="J343" i="11"/>
  <c r="K343" i="11"/>
  <c r="N343" i="11"/>
  <c r="O343" i="11"/>
  <c r="I344" i="11"/>
  <c r="J344" i="11"/>
  <c r="K344" i="11"/>
  <c r="N344" i="11"/>
  <c r="O344" i="11"/>
  <c r="I345" i="11"/>
  <c r="J345" i="11"/>
  <c r="K345" i="11"/>
  <c r="I346" i="11"/>
  <c r="J346" i="11"/>
  <c r="K346" i="11"/>
  <c r="N346" i="11"/>
  <c r="O346" i="11"/>
  <c r="I347" i="11"/>
  <c r="J347" i="11"/>
  <c r="K347" i="11"/>
  <c r="N347" i="11"/>
  <c r="O347" i="11"/>
  <c r="I348" i="11"/>
  <c r="J348" i="11"/>
  <c r="N348" i="11"/>
  <c r="O348" i="11"/>
  <c r="K348" i="11"/>
  <c r="I349" i="11"/>
  <c r="O349" i="11"/>
  <c r="J349" i="11"/>
  <c r="N349" i="11"/>
  <c r="K349" i="11"/>
  <c r="I350" i="11"/>
  <c r="J350" i="11"/>
  <c r="N350" i="11"/>
  <c r="O350" i="11"/>
  <c r="K350" i="11"/>
  <c r="I351" i="11"/>
  <c r="J351" i="11"/>
  <c r="K351" i="11"/>
  <c r="N351" i="11"/>
  <c r="O351" i="11"/>
  <c r="I352" i="11"/>
  <c r="J352" i="11"/>
  <c r="K352" i="11"/>
  <c r="N352" i="11"/>
  <c r="O352" i="11"/>
  <c r="I353" i="11"/>
  <c r="J353" i="11"/>
  <c r="N353" i="11"/>
  <c r="O353" i="11"/>
  <c r="K353" i="11"/>
  <c r="I354" i="11"/>
  <c r="J354" i="11"/>
  <c r="N354" i="11"/>
  <c r="O354" i="11"/>
  <c r="K354" i="11"/>
  <c r="I355" i="11"/>
  <c r="O355" i="11"/>
  <c r="J355" i="11"/>
  <c r="K355" i="11"/>
  <c r="N355" i="11"/>
  <c r="I356" i="11"/>
  <c r="J356" i="11"/>
  <c r="N356" i="11"/>
  <c r="O356" i="11"/>
  <c r="K356" i="11"/>
  <c r="I357" i="11"/>
  <c r="J357" i="11"/>
  <c r="N357" i="11"/>
  <c r="K357" i="11"/>
  <c r="I358" i="11"/>
  <c r="J358" i="11"/>
  <c r="N358" i="11"/>
  <c r="K358" i="11"/>
  <c r="O358" i="11"/>
  <c r="I359" i="11"/>
  <c r="J359" i="11"/>
  <c r="K359" i="11"/>
  <c r="N359" i="11"/>
  <c r="O359" i="11"/>
  <c r="I360" i="11"/>
  <c r="J360" i="11"/>
  <c r="K360" i="11"/>
  <c r="N360" i="11"/>
  <c r="O360" i="11"/>
  <c r="I361" i="11"/>
  <c r="J361" i="11"/>
  <c r="K361" i="11"/>
  <c r="I362" i="11"/>
  <c r="J362" i="11"/>
  <c r="K362" i="11"/>
  <c r="N362" i="11"/>
  <c r="O362" i="11"/>
  <c r="I363" i="11"/>
  <c r="J363" i="11"/>
  <c r="K363" i="11"/>
  <c r="N363" i="11"/>
  <c r="O363" i="11"/>
  <c r="I364" i="11"/>
  <c r="J364" i="11"/>
  <c r="K364" i="11"/>
  <c r="N364" i="11"/>
  <c r="O364" i="11"/>
  <c r="I365" i="11"/>
  <c r="J365" i="11"/>
  <c r="N365" i="11"/>
  <c r="K365" i="11"/>
  <c r="O365" i="11"/>
  <c r="I366" i="11"/>
  <c r="J366" i="11"/>
  <c r="K366" i="11"/>
  <c r="N366" i="11"/>
  <c r="O366" i="11"/>
  <c r="I367" i="11"/>
  <c r="J367" i="11"/>
  <c r="K367" i="11"/>
  <c r="N367" i="11"/>
  <c r="O367" i="11"/>
  <c r="I368" i="11"/>
  <c r="J368" i="11"/>
  <c r="N368" i="11"/>
  <c r="O368" i="11"/>
  <c r="K368" i="11"/>
  <c r="I369" i="11"/>
  <c r="J369" i="11"/>
  <c r="N369" i="11"/>
  <c r="O369" i="11"/>
  <c r="K369" i="11"/>
  <c r="I370" i="11"/>
  <c r="J370" i="11"/>
  <c r="K370" i="11"/>
  <c r="I371" i="11"/>
  <c r="O371" i="11"/>
  <c r="J371" i="11"/>
  <c r="K371" i="11"/>
  <c r="N371" i="11"/>
  <c r="I372" i="11"/>
  <c r="J372" i="11"/>
  <c r="K372" i="11"/>
  <c r="I373" i="11"/>
  <c r="O373" i="11"/>
  <c r="J373" i="11"/>
  <c r="N373" i="11"/>
  <c r="K373" i="11"/>
  <c r="I374" i="11"/>
  <c r="O374" i="11"/>
  <c r="J374" i="11"/>
  <c r="N374" i="11"/>
  <c r="K374" i="11"/>
  <c r="I375" i="11"/>
  <c r="O375" i="11"/>
  <c r="J375" i="11"/>
  <c r="K375" i="11"/>
  <c r="N375" i="11"/>
  <c r="I376" i="11"/>
  <c r="J376" i="11"/>
  <c r="K376" i="11"/>
  <c r="N376" i="11"/>
  <c r="O376" i="11"/>
  <c r="I377" i="11"/>
  <c r="J377" i="11"/>
  <c r="K377" i="11"/>
  <c r="I378" i="11"/>
  <c r="J378" i="11"/>
  <c r="K378" i="11"/>
  <c r="N378" i="11"/>
  <c r="O378" i="11"/>
  <c r="I379" i="11"/>
  <c r="J379" i="11"/>
  <c r="K379" i="11"/>
  <c r="N379" i="11"/>
  <c r="O379" i="11"/>
  <c r="I380" i="11"/>
  <c r="J380" i="11"/>
  <c r="K380" i="11"/>
  <c r="N380" i="11"/>
  <c r="O380" i="11"/>
  <c r="I381" i="11"/>
  <c r="J381" i="11"/>
  <c r="N381" i="11"/>
  <c r="K381" i="11"/>
  <c r="O381" i="11"/>
  <c r="I382" i="11"/>
  <c r="J382" i="11"/>
  <c r="K382" i="11"/>
  <c r="N382" i="11"/>
  <c r="O382" i="11"/>
  <c r="I383" i="11"/>
  <c r="J383" i="11"/>
  <c r="K383" i="11"/>
  <c r="N383" i="11"/>
  <c r="O383" i="11"/>
  <c r="I384" i="11"/>
  <c r="J384" i="11"/>
  <c r="N384" i="11"/>
  <c r="O384" i="11"/>
  <c r="K384" i="11"/>
  <c r="D385" i="11"/>
  <c r="E385" i="11"/>
  <c r="F385" i="11"/>
  <c r="G385" i="11"/>
  <c r="H385" i="11"/>
  <c r="L385" i="11"/>
  <c r="M385" i="11"/>
  <c r="P10" i="10"/>
  <c r="Q10" i="10"/>
  <c r="R10" i="10"/>
  <c r="U10" i="10"/>
  <c r="V10" i="10"/>
  <c r="P11" i="10"/>
  <c r="Q11" i="10"/>
  <c r="R11" i="10"/>
  <c r="U11" i="10"/>
  <c r="V11" i="10"/>
  <c r="P12" i="10"/>
  <c r="Q12" i="10"/>
  <c r="U12" i="10"/>
  <c r="V12" i="10"/>
  <c r="R12" i="10"/>
  <c r="P13" i="10"/>
  <c r="Q13" i="10"/>
  <c r="R13" i="10"/>
  <c r="P14" i="10"/>
  <c r="Q14" i="10"/>
  <c r="U14" i="10"/>
  <c r="R14" i="10"/>
  <c r="V14" i="10"/>
  <c r="P15" i="10"/>
  <c r="Q15" i="10"/>
  <c r="R15" i="10"/>
  <c r="U15" i="10"/>
  <c r="V15" i="10"/>
  <c r="P16" i="10"/>
  <c r="Q16" i="10"/>
  <c r="R16" i="10"/>
  <c r="U16" i="10"/>
  <c r="V16" i="10"/>
  <c r="P17" i="10"/>
  <c r="Q17" i="10"/>
  <c r="R17" i="10"/>
  <c r="P18" i="10"/>
  <c r="Q18" i="10"/>
  <c r="R18" i="10"/>
  <c r="U18" i="10"/>
  <c r="V18" i="10"/>
  <c r="P19" i="10"/>
  <c r="Q19" i="10"/>
  <c r="R19" i="10"/>
  <c r="U19" i="10"/>
  <c r="V19" i="10"/>
  <c r="P20" i="10"/>
  <c r="Q20" i="10"/>
  <c r="U20" i="10"/>
  <c r="V20" i="10"/>
  <c r="R20" i="10"/>
  <c r="P21" i="10"/>
  <c r="Q21" i="10"/>
  <c r="U21" i="10"/>
  <c r="R21" i="10"/>
  <c r="P22" i="10"/>
  <c r="Q22" i="10"/>
  <c r="U22" i="10"/>
  <c r="R22" i="10"/>
  <c r="V22" i="10"/>
  <c r="P23" i="10"/>
  <c r="Q23" i="10"/>
  <c r="R23" i="10"/>
  <c r="U23" i="10"/>
  <c r="V23" i="10"/>
  <c r="P24" i="10"/>
  <c r="Q24" i="10"/>
  <c r="U24" i="10"/>
  <c r="V24" i="10"/>
  <c r="R24" i="10"/>
  <c r="P25" i="10"/>
  <c r="Q25" i="10"/>
  <c r="R25" i="10"/>
  <c r="P26" i="10"/>
  <c r="Q26" i="10"/>
  <c r="U26" i="10"/>
  <c r="V26" i="10"/>
  <c r="R26" i="10"/>
  <c r="P27" i="10"/>
  <c r="Q27" i="10"/>
  <c r="R27" i="10"/>
  <c r="U27" i="10"/>
  <c r="P28" i="10"/>
  <c r="Q28" i="10"/>
  <c r="R28" i="10"/>
  <c r="U28" i="10"/>
  <c r="V28" i="10"/>
  <c r="P29" i="10"/>
  <c r="V29" i="10"/>
  <c r="Q29" i="10"/>
  <c r="U29" i="10"/>
  <c r="R29" i="10"/>
  <c r="P30" i="10"/>
  <c r="V30" i="10"/>
  <c r="Q30" i="10"/>
  <c r="R30" i="10"/>
  <c r="U30" i="10"/>
  <c r="D31" i="10"/>
  <c r="F31" i="10"/>
  <c r="P31" i="10"/>
  <c r="Q31" i="10"/>
  <c r="U31" i="10"/>
  <c r="R31" i="10"/>
  <c r="D32" i="10"/>
  <c r="F32" i="10"/>
  <c r="P33" i="10"/>
  <c r="Q33" i="10"/>
  <c r="U33" i="10"/>
  <c r="R33" i="10"/>
  <c r="V33" i="10"/>
  <c r="P34" i="10"/>
  <c r="Q34" i="10"/>
  <c r="R34" i="10"/>
  <c r="U34" i="10"/>
  <c r="V34" i="10"/>
  <c r="P35" i="10"/>
  <c r="Q35" i="10"/>
  <c r="R35" i="10"/>
  <c r="U35" i="10"/>
  <c r="V35" i="10"/>
  <c r="E36" i="10"/>
  <c r="P36" i="10"/>
  <c r="Q36" i="10"/>
  <c r="U36" i="10"/>
  <c r="R36" i="10"/>
  <c r="P37" i="10"/>
  <c r="Q37" i="10"/>
  <c r="U37" i="10"/>
  <c r="V37" i="10"/>
  <c r="R37" i="10"/>
  <c r="P38" i="10"/>
  <c r="Q38" i="10"/>
  <c r="R38" i="10"/>
  <c r="U38" i="10"/>
  <c r="V38" i="10"/>
  <c r="E39" i="10"/>
  <c r="I39" i="10"/>
  <c r="R39" i="10"/>
  <c r="P39" i="10"/>
  <c r="V39" i="10"/>
  <c r="Q39" i="10"/>
  <c r="U39" i="10"/>
  <c r="P40" i="10"/>
  <c r="V40" i="10"/>
  <c r="Q40" i="10"/>
  <c r="R40" i="10"/>
  <c r="U40" i="10"/>
  <c r="P41" i="10"/>
  <c r="Q41" i="10"/>
  <c r="R41" i="10"/>
  <c r="U41" i="10"/>
  <c r="V41" i="10"/>
  <c r="P42" i="10"/>
  <c r="V42" i="10"/>
  <c r="Q42" i="10"/>
  <c r="U42" i="10"/>
  <c r="R42" i="10"/>
  <c r="P43" i="10"/>
  <c r="V43" i="10"/>
  <c r="Q43" i="10"/>
  <c r="R43" i="10"/>
  <c r="U43" i="10"/>
  <c r="P44" i="10"/>
  <c r="Q44" i="10"/>
  <c r="R44" i="10"/>
  <c r="U44" i="10"/>
  <c r="V44" i="10"/>
  <c r="P45" i="10"/>
  <c r="Q45" i="10"/>
  <c r="U45" i="10"/>
  <c r="V45" i="10"/>
  <c r="R45" i="10"/>
  <c r="P46" i="10"/>
  <c r="Q46" i="10"/>
  <c r="U46" i="10"/>
  <c r="V46" i="10"/>
  <c r="R46" i="10"/>
  <c r="P47" i="10"/>
  <c r="Q47" i="10"/>
  <c r="U47" i="10"/>
  <c r="V47" i="10"/>
  <c r="R47" i="10"/>
  <c r="P48" i="10"/>
  <c r="Q48" i="10"/>
  <c r="R48" i="10"/>
  <c r="U48" i="10"/>
  <c r="V48" i="10"/>
  <c r="P49" i="10"/>
  <c r="Q49" i="10"/>
  <c r="R49" i="10"/>
  <c r="U49" i="10"/>
  <c r="V49" i="10"/>
  <c r="P50" i="10"/>
  <c r="Q50" i="10"/>
  <c r="U50" i="10"/>
  <c r="R50" i="10"/>
  <c r="V50" i="10"/>
  <c r="P51" i="10"/>
  <c r="Q51" i="10"/>
  <c r="R51" i="10"/>
  <c r="U51" i="10"/>
  <c r="V51" i="10"/>
  <c r="D52" i="10"/>
  <c r="F52" i="10"/>
  <c r="P52" i="10"/>
  <c r="V52" i="10"/>
  <c r="Q52" i="10"/>
  <c r="U52" i="10"/>
  <c r="R52" i="10"/>
  <c r="D53" i="10"/>
  <c r="D336" i="10"/>
  <c r="P53" i="10"/>
  <c r="D54" i="10"/>
  <c r="F54" i="10"/>
  <c r="R54" i="10"/>
  <c r="Q54" i="10"/>
  <c r="U54" i="10"/>
  <c r="P55" i="10"/>
  <c r="Q55" i="10"/>
  <c r="R55" i="10"/>
  <c r="U55" i="10"/>
  <c r="V55" i="10"/>
  <c r="P56" i="10"/>
  <c r="Q56" i="10"/>
  <c r="U56" i="10"/>
  <c r="V56" i="10"/>
  <c r="R56" i="10"/>
  <c r="P57" i="10"/>
  <c r="V57" i="10"/>
  <c r="Q57" i="10"/>
  <c r="U57" i="10"/>
  <c r="R57" i="10"/>
  <c r="E58" i="10"/>
  <c r="I58" i="10"/>
  <c r="I336" i="10"/>
  <c r="P59" i="10"/>
  <c r="Q59" i="10"/>
  <c r="U59" i="10"/>
  <c r="R59" i="10"/>
  <c r="V59" i="10"/>
  <c r="P60" i="10"/>
  <c r="Q60" i="10"/>
  <c r="R60" i="10"/>
  <c r="U60" i="10"/>
  <c r="V60" i="10"/>
  <c r="P61" i="10"/>
  <c r="Q61" i="10"/>
  <c r="R61" i="10"/>
  <c r="U61" i="10"/>
  <c r="V61" i="10"/>
  <c r="P62" i="10"/>
  <c r="Q62" i="10"/>
  <c r="U62" i="10"/>
  <c r="V62" i="10"/>
  <c r="R62" i="10"/>
  <c r="P63" i="10"/>
  <c r="Q63" i="10"/>
  <c r="R63" i="10"/>
  <c r="P64" i="10"/>
  <c r="Q64" i="10"/>
  <c r="U64" i="10"/>
  <c r="V64" i="10"/>
  <c r="R64" i="10"/>
  <c r="P65" i="10"/>
  <c r="V65" i="10"/>
  <c r="Q65" i="10"/>
  <c r="R65" i="10"/>
  <c r="U65" i="10"/>
  <c r="P66" i="10"/>
  <c r="Q66" i="10"/>
  <c r="R66" i="10"/>
  <c r="U66" i="10"/>
  <c r="V66" i="10"/>
  <c r="P67" i="10"/>
  <c r="V67" i="10"/>
  <c r="Q67" i="10"/>
  <c r="U67" i="10"/>
  <c r="R67" i="10"/>
  <c r="D68" i="10"/>
  <c r="P69" i="10"/>
  <c r="Q69" i="10"/>
  <c r="R69" i="10"/>
  <c r="U69" i="10"/>
  <c r="V69" i="10"/>
  <c r="P70" i="10"/>
  <c r="Q70" i="10"/>
  <c r="R70" i="10"/>
  <c r="P71" i="10"/>
  <c r="Q71" i="10"/>
  <c r="R71" i="10"/>
  <c r="U71" i="10"/>
  <c r="V71" i="10"/>
  <c r="P72" i="10"/>
  <c r="Q72" i="10"/>
  <c r="R72" i="10"/>
  <c r="U72" i="10"/>
  <c r="V72" i="10"/>
  <c r="P73" i="10"/>
  <c r="Q73" i="10"/>
  <c r="U73" i="10"/>
  <c r="V73" i="10"/>
  <c r="R73" i="10"/>
  <c r="P74" i="10"/>
  <c r="V74" i="10"/>
  <c r="Q74" i="10"/>
  <c r="U74" i="10"/>
  <c r="R74" i="10"/>
  <c r="P75" i="10"/>
  <c r="V75" i="10"/>
  <c r="Q75" i="10"/>
  <c r="U75" i="10"/>
  <c r="R75" i="10"/>
  <c r="P76" i="10"/>
  <c r="V76" i="10"/>
  <c r="Q76" i="10"/>
  <c r="R76" i="10"/>
  <c r="U76" i="10"/>
  <c r="P77" i="10"/>
  <c r="Q77" i="10"/>
  <c r="R77" i="10"/>
  <c r="U77" i="10"/>
  <c r="V77" i="10"/>
  <c r="P78" i="10"/>
  <c r="Q78" i="10"/>
  <c r="R78" i="10"/>
  <c r="P79" i="10"/>
  <c r="Q79" i="10"/>
  <c r="R79" i="10"/>
  <c r="U79" i="10"/>
  <c r="V79" i="10"/>
  <c r="P80" i="10"/>
  <c r="Q80" i="10"/>
  <c r="U80" i="10"/>
  <c r="V80" i="10"/>
  <c r="R80" i="10"/>
  <c r="P81" i="10"/>
  <c r="Q81" i="10"/>
  <c r="U81" i="10"/>
  <c r="R81" i="10"/>
  <c r="P82" i="10"/>
  <c r="Q82" i="10"/>
  <c r="U82" i="10"/>
  <c r="V82" i="10"/>
  <c r="R82" i="10"/>
  <c r="P83" i="10"/>
  <c r="Q83" i="10"/>
  <c r="R83" i="10"/>
  <c r="U83" i="10"/>
  <c r="V83" i="10"/>
  <c r="P84" i="10"/>
  <c r="Q84" i="10"/>
  <c r="R84" i="10"/>
  <c r="U84" i="10"/>
  <c r="V84" i="10"/>
  <c r="P85" i="10"/>
  <c r="Q85" i="10"/>
  <c r="R85" i="10"/>
  <c r="P86" i="10"/>
  <c r="Q86" i="10"/>
  <c r="R86" i="10"/>
  <c r="U86" i="10"/>
  <c r="V86" i="10"/>
  <c r="P87" i="10"/>
  <c r="Q87" i="10"/>
  <c r="R87" i="10"/>
  <c r="U87" i="10"/>
  <c r="V87" i="10"/>
  <c r="P88" i="10"/>
  <c r="Q88" i="10"/>
  <c r="U88" i="10"/>
  <c r="V88" i="10"/>
  <c r="R88" i="10"/>
  <c r="P89" i="10"/>
  <c r="V89" i="10"/>
  <c r="Q89" i="10"/>
  <c r="U89" i="10"/>
  <c r="R89" i="10"/>
  <c r="I90" i="10"/>
  <c r="P91" i="10"/>
  <c r="Q91" i="10"/>
  <c r="R91" i="10"/>
  <c r="U91" i="10"/>
  <c r="V91" i="10"/>
  <c r="P92" i="10"/>
  <c r="V92" i="10"/>
  <c r="Q92" i="10"/>
  <c r="U92" i="10"/>
  <c r="R92" i="10"/>
  <c r="P93" i="10"/>
  <c r="Q93" i="10"/>
  <c r="R93" i="10"/>
  <c r="U93" i="10"/>
  <c r="V93" i="10"/>
  <c r="D94" i="10"/>
  <c r="P94" i="10"/>
  <c r="R94" i="10"/>
  <c r="P95" i="10"/>
  <c r="Q95" i="10"/>
  <c r="R95" i="10"/>
  <c r="P96" i="10"/>
  <c r="Q96" i="10"/>
  <c r="R96" i="10"/>
  <c r="U96" i="10"/>
  <c r="V96" i="10"/>
  <c r="P97" i="10"/>
  <c r="Q97" i="10"/>
  <c r="R97" i="10"/>
  <c r="U97" i="10"/>
  <c r="V97" i="10"/>
  <c r="P98" i="10"/>
  <c r="Q98" i="10"/>
  <c r="U98" i="10"/>
  <c r="V98" i="10"/>
  <c r="R98" i="10"/>
  <c r="P99" i="10"/>
  <c r="V99" i="10"/>
  <c r="Q99" i="10"/>
  <c r="U99" i="10"/>
  <c r="R99" i="10"/>
  <c r="P100" i="10"/>
  <c r="V100" i="10"/>
  <c r="Q100" i="10"/>
  <c r="U100" i="10"/>
  <c r="R100" i="10"/>
  <c r="P101" i="10"/>
  <c r="V101" i="10"/>
  <c r="Q101" i="10"/>
  <c r="R101" i="10"/>
  <c r="U101" i="10"/>
  <c r="P102" i="10"/>
  <c r="Q102" i="10"/>
  <c r="R102" i="10"/>
  <c r="U102" i="10"/>
  <c r="V102" i="10"/>
  <c r="P103" i="10"/>
  <c r="Q103" i="10"/>
  <c r="R103" i="10"/>
  <c r="D104" i="10"/>
  <c r="Q104" i="10"/>
  <c r="R104" i="10"/>
  <c r="U104" i="10"/>
  <c r="P105" i="10"/>
  <c r="Q105" i="10"/>
  <c r="U105" i="10"/>
  <c r="V105" i="10"/>
  <c r="R105" i="10"/>
  <c r="P106" i="10"/>
  <c r="Q106" i="10"/>
  <c r="U106" i="10"/>
  <c r="V106" i="10"/>
  <c r="R106" i="10"/>
  <c r="P107" i="10"/>
  <c r="Q107" i="10"/>
  <c r="U107" i="10"/>
  <c r="V107" i="10"/>
  <c r="R107" i="10"/>
  <c r="P108" i="10"/>
  <c r="Q108" i="10"/>
  <c r="R108" i="10"/>
  <c r="U108" i="10"/>
  <c r="V108" i="10"/>
  <c r="P109" i="10"/>
  <c r="Q109" i="10"/>
  <c r="R109" i="10"/>
  <c r="U109" i="10"/>
  <c r="V109" i="10"/>
  <c r="P110" i="10"/>
  <c r="Q110" i="10"/>
  <c r="U110" i="10"/>
  <c r="R110" i="10"/>
  <c r="V110" i="10"/>
  <c r="P111" i="10"/>
  <c r="Q111" i="10"/>
  <c r="R111" i="10"/>
  <c r="U111" i="10"/>
  <c r="V111" i="10"/>
  <c r="P112" i="10"/>
  <c r="Q112" i="10"/>
  <c r="R112" i="10"/>
  <c r="U112" i="10"/>
  <c r="V112" i="10"/>
  <c r="P113" i="10"/>
  <c r="Q113" i="10"/>
  <c r="R113" i="10"/>
  <c r="P114" i="10"/>
  <c r="Q114" i="10"/>
  <c r="R114" i="10"/>
  <c r="P115" i="10"/>
  <c r="Q115" i="10"/>
  <c r="U115" i="10"/>
  <c r="V115" i="10"/>
  <c r="R115" i="10"/>
  <c r="P116" i="10"/>
  <c r="V116" i="10"/>
  <c r="Q116" i="10"/>
  <c r="R116" i="10"/>
  <c r="U116" i="10"/>
  <c r="P117" i="10"/>
  <c r="Q117" i="10"/>
  <c r="R117" i="10"/>
  <c r="U117" i="10"/>
  <c r="V117" i="10"/>
  <c r="P118" i="10"/>
  <c r="V118" i="10"/>
  <c r="Q118" i="10"/>
  <c r="U118" i="10"/>
  <c r="R118" i="10"/>
  <c r="P119" i="10"/>
  <c r="Q119" i="10"/>
  <c r="R119" i="10"/>
  <c r="U119" i="10"/>
  <c r="V119" i="10"/>
  <c r="E120" i="10"/>
  <c r="I120" i="10"/>
  <c r="P120" i="10"/>
  <c r="Q120" i="10"/>
  <c r="U120" i="10"/>
  <c r="R120" i="10"/>
  <c r="P121" i="10"/>
  <c r="Q121" i="10"/>
  <c r="U121" i="10"/>
  <c r="R121" i="10"/>
  <c r="V121" i="10"/>
  <c r="P122" i="10"/>
  <c r="Q122" i="10"/>
  <c r="R122" i="10"/>
  <c r="U122" i="10"/>
  <c r="V122" i="10"/>
  <c r="I123" i="10"/>
  <c r="P123" i="10"/>
  <c r="Q123" i="10"/>
  <c r="U123" i="10"/>
  <c r="V123" i="10"/>
  <c r="R123" i="10"/>
  <c r="P124" i="10"/>
  <c r="Q124" i="10"/>
  <c r="U124" i="10"/>
  <c r="V124" i="10"/>
  <c r="R124" i="10"/>
  <c r="D125" i="10"/>
  <c r="F125" i="10"/>
  <c r="R125" i="10"/>
  <c r="D126" i="10"/>
  <c r="P126" i="10"/>
  <c r="F126" i="10"/>
  <c r="Q126" i="10"/>
  <c r="R126" i="10"/>
  <c r="P127" i="10"/>
  <c r="Q127" i="10"/>
  <c r="R127" i="10"/>
  <c r="P128" i="10"/>
  <c r="Q128" i="10"/>
  <c r="U128" i="10"/>
  <c r="V128" i="10"/>
  <c r="R128" i="10"/>
  <c r="P129" i="10"/>
  <c r="V129" i="10"/>
  <c r="Q129" i="10"/>
  <c r="R129" i="10"/>
  <c r="U129" i="10"/>
  <c r="D130" i="10"/>
  <c r="F130" i="10"/>
  <c r="R130" i="10"/>
  <c r="Q130" i="10"/>
  <c r="U130" i="10"/>
  <c r="P131" i="10"/>
  <c r="Q131" i="10"/>
  <c r="R131" i="10"/>
  <c r="U131" i="10"/>
  <c r="V131" i="10"/>
  <c r="P132" i="10"/>
  <c r="Q132" i="10"/>
  <c r="U132" i="10"/>
  <c r="V132" i="10"/>
  <c r="R132" i="10"/>
  <c r="P133" i="10"/>
  <c r="V133" i="10"/>
  <c r="Q133" i="10"/>
  <c r="U133" i="10"/>
  <c r="R133" i="10"/>
  <c r="P134" i="10"/>
  <c r="V134" i="10"/>
  <c r="Q134" i="10"/>
  <c r="U134" i="10"/>
  <c r="R134" i="10"/>
  <c r="P135" i="10"/>
  <c r="V135" i="10"/>
  <c r="Q135" i="10"/>
  <c r="R135" i="10"/>
  <c r="U135" i="10"/>
  <c r="D136" i="10"/>
  <c r="P136" i="10"/>
  <c r="Q136" i="10"/>
  <c r="R136" i="10"/>
  <c r="P137" i="10"/>
  <c r="Q137" i="10"/>
  <c r="U137" i="10"/>
  <c r="V137" i="10"/>
  <c r="R137" i="10"/>
  <c r="P138" i="10"/>
  <c r="V138" i="10"/>
  <c r="Q138" i="10"/>
  <c r="R138" i="10"/>
  <c r="U138" i="10"/>
  <c r="D139" i="10"/>
  <c r="P139" i="10"/>
  <c r="Q139" i="10"/>
  <c r="R139" i="10"/>
  <c r="P140" i="10"/>
  <c r="Q140" i="10"/>
  <c r="R140" i="10"/>
  <c r="U140" i="10"/>
  <c r="V140" i="10"/>
  <c r="P141" i="10"/>
  <c r="Q141" i="10"/>
  <c r="R141" i="10"/>
  <c r="U141" i="10"/>
  <c r="V141" i="10"/>
  <c r="P142" i="10"/>
  <c r="Q142" i="10"/>
  <c r="U142" i="10"/>
  <c r="V142" i="10"/>
  <c r="R142" i="10"/>
  <c r="P143" i="10"/>
  <c r="Q143" i="10"/>
  <c r="U143" i="10"/>
  <c r="R143" i="10"/>
  <c r="D144" i="10"/>
  <c r="F144" i="10"/>
  <c r="T144" i="10"/>
  <c r="D145" i="10"/>
  <c r="Q145" i="10"/>
  <c r="R145" i="10"/>
  <c r="U145" i="10"/>
  <c r="P146" i="10"/>
  <c r="Q146" i="10"/>
  <c r="R146" i="10"/>
  <c r="P147" i="10"/>
  <c r="Q147" i="10"/>
  <c r="U147" i="10"/>
  <c r="V147" i="10"/>
  <c r="R147" i="10"/>
  <c r="P148" i="10"/>
  <c r="Q148" i="10"/>
  <c r="U148" i="10"/>
  <c r="V148" i="10"/>
  <c r="R148" i="10"/>
  <c r="P149" i="10"/>
  <c r="Q149" i="10"/>
  <c r="R149" i="10"/>
  <c r="U149" i="10"/>
  <c r="V149" i="10"/>
  <c r="D150" i="10"/>
  <c r="F150" i="10"/>
  <c r="R150" i="10"/>
  <c r="Q150" i="10"/>
  <c r="U150" i="10"/>
  <c r="T150" i="10"/>
  <c r="P151" i="10"/>
  <c r="Q151" i="10"/>
  <c r="U151" i="10"/>
  <c r="V151" i="10"/>
  <c r="R151" i="10"/>
  <c r="D152" i="10"/>
  <c r="F152" i="10"/>
  <c r="P153" i="10"/>
  <c r="Q153" i="10"/>
  <c r="R153" i="10"/>
  <c r="U153" i="10"/>
  <c r="V153" i="10"/>
  <c r="P154" i="10"/>
  <c r="Q154" i="10"/>
  <c r="R154" i="10"/>
  <c r="P155" i="10"/>
  <c r="Q155" i="10"/>
  <c r="R155" i="10"/>
  <c r="U155" i="10"/>
  <c r="V155" i="10"/>
  <c r="D156" i="10"/>
  <c r="F156" i="10"/>
  <c r="P156" i="10"/>
  <c r="V156" i="10"/>
  <c r="Q156" i="10"/>
  <c r="U156" i="10"/>
  <c r="R156" i="10"/>
  <c r="P157" i="10"/>
  <c r="V157" i="10"/>
  <c r="Q157" i="10"/>
  <c r="R157" i="10"/>
  <c r="U157" i="10"/>
  <c r="D158" i="10"/>
  <c r="F158" i="10"/>
  <c r="P158" i="10"/>
  <c r="Q158" i="10"/>
  <c r="U158" i="10"/>
  <c r="V158" i="10"/>
  <c r="R158" i="10"/>
  <c r="T158" i="10"/>
  <c r="P159" i="10"/>
  <c r="Q159" i="10"/>
  <c r="R159" i="10"/>
  <c r="U159" i="10"/>
  <c r="V159" i="10"/>
  <c r="P160" i="10"/>
  <c r="Q160" i="10"/>
  <c r="U160" i="10"/>
  <c r="V160" i="10"/>
  <c r="R160" i="10"/>
  <c r="P161" i="10"/>
  <c r="Q161" i="10"/>
  <c r="U161" i="10"/>
  <c r="V161" i="10"/>
  <c r="R161" i="10"/>
  <c r="I162" i="10"/>
  <c r="Q162" i="10"/>
  <c r="P162" i="10"/>
  <c r="R162" i="10"/>
  <c r="U162" i="10"/>
  <c r="P163" i="10"/>
  <c r="Q163" i="10"/>
  <c r="U163" i="10"/>
  <c r="V163" i="10"/>
  <c r="R163" i="10"/>
  <c r="P164" i="10"/>
  <c r="V164" i="10"/>
  <c r="Q164" i="10"/>
  <c r="U164" i="10"/>
  <c r="R164" i="10"/>
  <c r="P165" i="10"/>
  <c r="V165" i="10"/>
  <c r="Q165" i="10"/>
  <c r="U165" i="10"/>
  <c r="R165" i="10"/>
  <c r="P166" i="10"/>
  <c r="V166" i="10"/>
  <c r="Q166" i="10"/>
  <c r="R166" i="10"/>
  <c r="U166" i="10"/>
  <c r="P167" i="10"/>
  <c r="Q167" i="10"/>
  <c r="R167" i="10"/>
  <c r="U167" i="10"/>
  <c r="V167" i="10"/>
  <c r="P168" i="10"/>
  <c r="Q168" i="10"/>
  <c r="R168" i="10"/>
  <c r="P169" i="10"/>
  <c r="Q169" i="10"/>
  <c r="R169" i="10"/>
  <c r="U169" i="10"/>
  <c r="V169" i="10"/>
  <c r="P170" i="10"/>
  <c r="Q170" i="10"/>
  <c r="R170" i="10"/>
  <c r="U170" i="10"/>
  <c r="V170" i="10"/>
  <c r="P171" i="10"/>
  <c r="Q171" i="10"/>
  <c r="U171" i="10"/>
  <c r="V171" i="10"/>
  <c r="R171" i="10"/>
  <c r="P172" i="10"/>
  <c r="Q172" i="10"/>
  <c r="U172" i="10"/>
  <c r="R172" i="10"/>
  <c r="D173" i="10"/>
  <c r="P173" i="10"/>
  <c r="P174" i="10"/>
  <c r="Q174" i="10"/>
  <c r="R174" i="10"/>
  <c r="U174" i="10"/>
  <c r="V174" i="10"/>
  <c r="D175" i="10"/>
  <c r="F175" i="10"/>
  <c r="P176" i="10"/>
  <c r="Q176" i="10"/>
  <c r="U176" i="10"/>
  <c r="V176" i="10"/>
  <c r="R176" i="10"/>
  <c r="P177" i="10"/>
  <c r="Q177" i="10"/>
  <c r="U177" i="10"/>
  <c r="V177" i="10"/>
  <c r="R177" i="10"/>
  <c r="P178" i="10"/>
  <c r="Q178" i="10"/>
  <c r="U178" i="10"/>
  <c r="V178" i="10"/>
  <c r="R178" i="10"/>
  <c r="P179" i="10"/>
  <c r="Q179" i="10"/>
  <c r="R179" i="10"/>
  <c r="U179" i="10"/>
  <c r="V179" i="10"/>
  <c r="P180" i="10"/>
  <c r="Q180" i="10"/>
  <c r="R180" i="10"/>
  <c r="U180" i="10"/>
  <c r="V180" i="10"/>
  <c r="D181" i="10"/>
  <c r="P182" i="10"/>
  <c r="Q182" i="10"/>
  <c r="R182" i="10"/>
  <c r="U182" i="10"/>
  <c r="V182" i="10"/>
  <c r="P183" i="10"/>
  <c r="Q183" i="10"/>
  <c r="U183" i="10"/>
  <c r="V183" i="10"/>
  <c r="R183" i="10"/>
  <c r="D184" i="10"/>
  <c r="F184" i="10"/>
  <c r="R184" i="10"/>
  <c r="P185" i="10"/>
  <c r="Q185" i="10"/>
  <c r="R185" i="10"/>
  <c r="U185" i="10"/>
  <c r="V185" i="10"/>
  <c r="P186" i="10"/>
  <c r="V186" i="10"/>
  <c r="Q186" i="10"/>
  <c r="U186" i="10"/>
  <c r="R186" i="10"/>
  <c r="P187" i="10"/>
  <c r="Q187" i="10"/>
  <c r="R187" i="10"/>
  <c r="U187" i="10"/>
  <c r="V187" i="10"/>
  <c r="P188" i="10"/>
  <c r="Q188" i="10"/>
  <c r="R188" i="10"/>
  <c r="U188" i="10"/>
  <c r="V188" i="10"/>
  <c r="P189" i="10"/>
  <c r="Q189" i="10"/>
  <c r="U189" i="10"/>
  <c r="V189" i="10"/>
  <c r="R189" i="10"/>
  <c r="P190" i="10"/>
  <c r="Q190" i="10"/>
  <c r="U190" i="10"/>
  <c r="V190" i="10"/>
  <c r="R190" i="10"/>
  <c r="P191" i="10"/>
  <c r="Q191" i="10"/>
  <c r="U191" i="10"/>
  <c r="V191" i="10"/>
  <c r="R191" i="10"/>
  <c r="P192" i="10"/>
  <c r="Q192" i="10"/>
  <c r="R192" i="10"/>
  <c r="U192" i="10"/>
  <c r="V192" i="10"/>
  <c r="P193" i="10"/>
  <c r="Q193" i="10"/>
  <c r="R193" i="10"/>
  <c r="U193" i="10"/>
  <c r="V193" i="10"/>
  <c r="E194" i="10"/>
  <c r="I194" i="10"/>
  <c r="R194" i="10"/>
  <c r="P195" i="10"/>
  <c r="Q195" i="10"/>
  <c r="R195" i="10"/>
  <c r="P196" i="10"/>
  <c r="Q196" i="10"/>
  <c r="U196" i="10"/>
  <c r="V196" i="10"/>
  <c r="R196" i="10"/>
  <c r="D197" i="10"/>
  <c r="Q197" i="10"/>
  <c r="P197" i="10"/>
  <c r="V197" i="10"/>
  <c r="R197" i="10"/>
  <c r="U197" i="10"/>
  <c r="P198" i="10"/>
  <c r="Q198" i="10"/>
  <c r="U198" i="10"/>
  <c r="V198" i="10"/>
  <c r="R198" i="10"/>
  <c r="P199" i="10"/>
  <c r="V199" i="10"/>
  <c r="Q199" i="10"/>
  <c r="U199" i="10"/>
  <c r="R199" i="10"/>
  <c r="E200" i="10"/>
  <c r="P201" i="10"/>
  <c r="Q201" i="10"/>
  <c r="R201" i="10"/>
  <c r="U201" i="10"/>
  <c r="V201" i="10"/>
  <c r="P202" i="10"/>
  <c r="V202" i="10"/>
  <c r="Q202" i="10"/>
  <c r="U202" i="10"/>
  <c r="R202" i="10"/>
  <c r="P203" i="10"/>
  <c r="Q203" i="10"/>
  <c r="R203" i="10"/>
  <c r="U203" i="10"/>
  <c r="V203" i="10"/>
  <c r="E204" i="10"/>
  <c r="I204" i="10"/>
  <c r="P204" i="10"/>
  <c r="Q204" i="10"/>
  <c r="U204" i="10"/>
  <c r="R204" i="10"/>
  <c r="P205" i="10"/>
  <c r="Q205" i="10"/>
  <c r="U205" i="10"/>
  <c r="R205" i="10"/>
  <c r="V205" i="10"/>
  <c r="P206" i="10"/>
  <c r="Q206" i="10"/>
  <c r="R206" i="10"/>
  <c r="U206" i="10"/>
  <c r="V206" i="10"/>
  <c r="P207" i="10"/>
  <c r="Q207" i="10"/>
  <c r="R207" i="10"/>
  <c r="U207" i="10"/>
  <c r="V207" i="10"/>
  <c r="P208" i="10"/>
  <c r="Q208" i="10"/>
  <c r="R208" i="10"/>
  <c r="P209" i="10"/>
  <c r="Q209" i="10"/>
  <c r="R209" i="10"/>
  <c r="U209" i="10"/>
  <c r="V209" i="10"/>
  <c r="P210" i="10"/>
  <c r="Q210" i="10"/>
  <c r="R210" i="10"/>
  <c r="U210" i="10"/>
  <c r="V210" i="10"/>
  <c r="P211" i="10"/>
  <c r="Q211" i="10"/>
  <c r="U211" i="10"/>
  <c r="V211" i="10"/>
  <c r="R211" i="10"/>
  <c r="P212" i="10"/>
  <c r="V212" i="10"/>
  <c r="Q212" i="10"/>
  <c r="U212" i="10"/>
  <c r="R212" i="10"/>
  <c r="P213" i="10"/>
  <c r="V213" i="10"/>
  <c r="Q213" i="10"/>
  <c r="U213" i="10"/>
  <c r="R213" i="10"/>
  <c r="E214" i="10"/>
  <c r="P214" i="10"/>
  <c r="I214" i="10"/>
  <c r="P215" i="10"/>
  <c r="Q215" i="10"/>
  <c r="U215" i="10"/>
  <c r="V215" i="10"/>
  <c r="R215" i="10"/>
  <c r="P216" i="10"/>
  <c r="Q216" i="10"/>
  <c r="R216" i="10"/>
  <c r="U216" i="10"/>
  <c r="V216" i="10"/>
  <c r="P217" i="10"/>
  <c r="Q217" i="10"/>
  <c r="R217" i="10"/>
  <c r="U217" i="10"/>
  <c r="V217" i="10"/>
  <c r="P218" i="10"/>
  <c r="Q218" i="10"/>
  <c r="U218" i="10"/>
  <c r="R218" i="10"/>
  <c r="V218" i="10"/>
  <c r="P219" i="10"/>
  <c r="Q219" i="10"/>
  <c r="R219" i="10"/>
  <c r="U219" i="10"/>
  <c r="V219" i="10"/>
  <c r="P220" i="10"/>
  <c r="Q220" i="10"/>
  <c r="R220" i="10"/>
  <c r="U220" i="10"/>
  <c r="V220" i="10"/>
  <c r="P221" i="10"/>
  <c r="Q221" i="10"/>
  <c r="U221" i="10"/>
  <c r="V221" i="10"/>
  <c r="R221" i="10"/>
  <c r="P222" i="10"/>
  <c r="Q222" i="10"/>
  <c r="R222" i="10"/>
  <c r="P223" i="10"/>
  <c r="Q223" i="10"/>
  <c r="U223" i="10"/>
  <c r="V223" i="10"/>
  <c r="R223" i="10"/>
  <c r="P224" i="10"/>
  <c r="V224" i="10"/>
  <c r="Q224" i="10"/>
  <c r="R224" i="10"/>
  <c r="U224" i="10"/>
  <c r="E225" i="10"/>
  <c r="I225" i="10"/>
  <c r="R225" i="10"/>
  <c r="Q225" i="10"/>
  <c r="U225" i="10"/>
  <c r="P226" i="10"/>
  <c r="Q226" i="10"/>
  <c r="R226" i="10"/>
  <c r="U226" i="10"/>
  <c r="V226" i="10"/>
  <c r="P227" i="10"/>
  <c r="Q227" i="10"/>
  <c r="U227" i="10"/>
  <c r="V227" i="10"/>
  <c r="R227" i="10"/>
  <c r="P228" i="10"/>
  <c r="Q228" i="10"/>
  <c r="U228" i="10"/>
  <c r="R228" i="10"/>
  <c r="P229" i="10"/>
  <c r="Q229" i="10"/>
  <c r="U229" i="10"/>
  <c r="R229" i="10"/>
  <c r="V229" i="10"/>
  <c r="P230" i="10"/>
  <c r="Q230" i="10"/>
  <c r="R230" i="10"/>
  <c r="U230" i="10"/>
  <c r="V230" i="10"/>
  <c r="P231" i="10"/>
  <c r="Q231" i="10"/>
  <c r="R231" i="10"/>
  <c r="U231" i="10"/>
  <c r="V231" i="10"/>
  <c r="P232" i="10"/>
  <c r="Q232" i="10"/>
  <c r="R232" i="10"/>
  <c r="P233" i="10"/>
  <c r="Q233" i="10"/>
  <c r="R233" i="10"/>
  <c r="U233" i="10"/>
  <c r="V233" i="10"/>
  <c r="P234" i="10"/>
  <c r="Q234" i="10"/>
  <c r="R234" i="10"/>
  <c r="U234" i="10"/>
  <c r="V234" i="10"/>
  <c r="P235" i="10"/>
  <c r="Q235" i="10"/>
  <c r="U235" i="10"/>
  <c r="V235" i="10"/>
  <c r="R235" i="10"/>
  <c r="P236" i="10"/>
  <c r="V236" i="10"/>
  <c r="Q236" i="10"/>
  <c r="U236" i="10"/>
  <c r="R236" i="10"/>
  <c r="P237" i="10"/>
  <c r="V237" i="10"/>
  <c r="Q237" i="10"/>
  <c r="U237" i="10"/>
  <c r="R237" i="10"/>
  <c r="P238" i="10"/>
  <c r="Q238" i="10"/>
  <c r="R238" i="10"/>
  <c r="U238" i="10"/>
  <c r="V238" i="10"/>
  <c r="P239" i="10"/>
  <c r="Q239" i="10"/>
  <c r="R239" i="10"/>
  <c r="U239" i="10"/>
  <c r="V239" i="10"/>
  <c r="P240" i="10"/>
  <c r="Q240" i="10"/>
  <c r="R240" i="10"/>
  <c r="P241" i="10"/>
  <c r="Q241" i="10"/>
  <c r="R241" i="10"/>
  <c r="U241" i="10"/>
  <c r="V241" i="10"/>
  <c r="P242" i="10"/>
  <c r="Q242" i="10"/>
  <c r="R242" i="10"/>
  <c r="V242" i="10"/>
  <c r="P243" i="10"/>
  <c r="Q243" i="10"/>
  <c r="R243" i="10"/>
  <c r="U243" i="10"/>
  <c r="V243" i="10"/>
  <c r="P244" i="10"/>
  <c r="Q244" i="10"/>
  <c r="U244" i="10"/>
  <c r="V244" i="10"/>
  <c r="R244" i="10"/>
  <c r="P245" i="10"/>
  <c r="Q245" i="10"/>
  <c r="U245" i="10"/>
  <c r="R245" i="10"/>
  <c r="P246" i="10"/>
  <c r="Q246" i="10"/>
  <c r="U246" i="10"/>
  <c r="R246" i="10"/>
  <c r="V246" i="10"/>
  <c r="P247" i="10"/>
  <c r="Q247" i="10"/>
  <c r="R247" i="10"/>
  <c r="U247" i="10"/>
  <c r="V247" i="10"/>
  <c r="P248" i="10"/>
  <c r="Q248" i="10"/>
  <c r="R248" i="10"/>
  <c r="U248" i="10"/>
  <c r="V248" i="10"/>
  <c r="P249" i="10"/>
  <c r="Q249" i="10"/>
  <c r="R249" i="10"/>
  <c r="P250" i="10"/>
  <c r="Q250" i="10"/>
  <c r="R250" i="10"/>
  <c r="U250" i="10"/>
  <c r="V250" i="10"/>
  <c r="D251" i="10"/>
  <c r="P251" i="10"/>
  <c r="Q251" i="10"/>
  <c r="R251" i="10"/>
  <c r="P252" i="10"/>
  <c r="Q252" i="10"/>
  <c r="R252" i="10"/>
  <c r="P253" i="10"/>
  <c r="Q253" i="10"/>
  <c r="U253" i="10"/>
  <c r="V253" i="10"/>
  <c r="R253" i="10"/>
  <c r="P254" i="10"/>
  <c r="V254" i="10"/>
  <c r="Q254" i="10"/>
  <c r="R254" i="10"/>
  <c r="U254" i="10"/>
  <c r="P255" i="10"/>
  <c r="Q255" i="10"/>
  <c r="R255" i="10"/>
  <c r="U255" i="10"/>
  <c r="V255" i="10"/>
  <c r="P256" i="10"/>
  <c r="V256" i="10"/>
  <c r="Q256" i="10"/>
  <c r="U256" i="10"/>
  <c r="R256" i="10"/>
  <c r="P257" i="10"/>
  <c r="Q257" i="10"/>
  <c r="R257" i="10"/>
  <c r="U257" i="10"/>
  <c r="V257" i="10"/>
  <c r="D258" i="10"/>
  <c r="P258" i="10"/>
  <c r="R258" i="10"/>
  <c r="P259" i="10"/>
  <c r="Q259" i="10"/>
  <c r="R259" i="10"/>
  <c r="P260" i="10"/>
  <c r="Q260" i="10"/>
  <c r="R260" i="10"/>
  <c r="U260" i="10"/>
  <c r="V260" i="10"/>
  <c r="P261" i="10"/>
  <c r="Q261" i="10"/>
  <c r="R261" i="10"/>
  <c r="U261" i="10"/>
  <c r="V261" i="10"/>
  <c r="P262" i="10"/>
  <c r="Q262" i="10"/>
  <c r="U262" i="10"/>
  <c r="V262" i="10"/>
  <c r="R262" i="10"/>
  <c r="P263" i="10"/>
  <c r="V263" i="10"/>
  <c r="Q263" i="10"/>
  <c r="U263" i="10"/>
  <c r="R263" i="10"/>
  <c r="P264" i="10"/>
  <c r="V264" i="10"/>
  <c r="Q264" i="10"/>
  <c r="U264" i="10"/>
  <c r="R264" i="10"/>
  <c r="P265" i="10"/>
  <c r="V265" i="10"/>
  <c r="Q265" i="10"/>
  <c r="R265" i="10"/>
  <c r="U265" i="10"/>
  <c r="P266" i="10"/>
  <c r="Q266" i="10"/>
  <c r="R266" i="10"/>
  <c r="U266" i="10"/>
  <c r="V266" i="10"/>
  <c r="P267" i="10"/>
  <c r="Q267" i="10"/>
  <c r="R267" i="10"/>
  <c r="P268" i="10"/>
  <c r="Q268" i="10"/>
  <c r="R268" i="10"/>
  <c r="U268" i="10"/>
  <c r="V268" i="10"/>
  <c r="P269" i="10"/>
  <c r="Q269" i="10"/>
  <c r="R269" i="10"/>
  <c r="U269" i="10"/>
  <c r="V269" i="10"/>
  <c r="P270" i="10"/>
  <c r="Q270" i="10"/>
  <c r="U270" i="10"/>
  <c r="V270" i="10"/>
  <c r="R270" i="10"/>
  <c r="P271" i="10"/>
  <c r="Q271" i="10"/>
  <c r="U271" i="10"/>
  <c r="R271" i="10"/>
  <c r="P272" i="10"/>
  <c r="Q272" i="10"/>
  <c r="U272" i="10"/>
  <c r="V272" i="10"/>
  <c r="R272" i="10"/>
  <c r="P273" i="10"/>
  <c r="Q273" i="10"/>
  <c r="R273" i="10"/>
  <c r="U273" i="10"/>
  <c r="V273" i="10"/>
  <c r="P274" i="10"/>
  <c r="Q274" i="10"/>
  <c r="R274" i="10"/>
  <c r="U274" i="10"/>
  <c r="V274" i="10"/>
  <c r="P275" i="10"/>
  <c r="Q275" i="10"/>
  <c r="R275" i="10"/>
  <c r="P276" i="10"/>
  <c r="Q276" i="10"/>
  <c r="R276" i="10"/>
  <c r="U276" i="10"/>
  <c r="V276" i="10"/>
  <c r="P277" i="10"/>
  <c r="Q277" i="10"/>
  <c r="R277" i="10"/>
  <c r="U277" i="10"/>
  <c r="V277" i="10"/>
  <c r="P278" i="10"/>
  <c r="Q278" i="10"/>
  <c r="U278" i="10"/>
  <c r="V278" i="10"/>
  <c r="R278" i="10"/>
  <c r="D279" i="10"/>
  <c r="F279" i="10"/>
  <c r="P280" i="10"/>
  <c r="Q280" i="10"/>
  <c r="R280" i="10"/>
  <c r="U280" i="10"/>
  <c r="V280" i="10"/>
  <c r="P281" i="10"/>
  <c r="Q281" i="10"/>
  <c r="R281" i="10"/>
  <c r="P282" i="10"/>
  <c r="Q282" i="10"/>
  <c r="R282" i="10"/>
  <c r="U282" i="10"/>
  <c r="V282" i="10"/>
  <c r="P283" i="10"/>
  <c r="Q283" i="10"/>
  <c r="R283" i="10"/>
  <c r="U283" i="10"/>
  <c r="V283" i="10"/>
  <c r="P284" i="10"/>
  <c r="Q284" i="10"/>
  <c r="U284" i="10"/>
  <c r="V284" i="10"/>
  <c r="R284" i="10"/>
  <c r="P285" i="10"/>
  <c r="Q285" i="10"/>
  <c r="U285" i="10"/>
  <c r="R285" i="10"/>
  <c r="P286" i="10"/>
  <c r="Q286" i="10"/>
  <c r="U286" i="10"/>
  <c r="V286" i="10"/>
  <c r="R286" i="10"/>
  <c r="E287" i="10"/>
  <c r="P287" i="10"/>
  <c r="I287" i="10"/>
  <c r="Q287" i="10"/>
  <c r="U287" i="10"/>
  <c r="R287" i="10"/>
  <c r="D288" i="10"/>
  <c r="F288" i="10"/>
  <c r="R288" i="10"/>
  <c r="Q288" i="10"/>
  <c r="U288" i="10"/>
  <c r="P289" i="10"/>
  <c r="V289" i="10"/>
  <c r="Q289" i="10"/>
  <c r="U289" i="10"/>
  <c r="R289" i="10"/>
  <c r="P290" i="10"/>
  <c r="V290" i="10"/>
  <c r="Q290" i="10"/>
  <c r="U290" i="10"/>
  <c r="R290" i="10"/>
  <c r="P291" i="10"/>
  <c r="Q291" i="10"/>
  <c r="R291" i="10"/>
  <c r="U291" i="10"/>
  <c r="V291" i="10"/>
  <c r="P292" i="10"/>
  <c r="Q292" i="10"/>
  <c r="R292" i="10"/>
  <c r="U292" i="10"/>
  <c r="V292" i="10"/>
  <c r="D293" i="10"/>
  <c r="F293" i="10"/>
  <c r="P293" i="10"/>
  <c r="T293" i="10"/>
  <c r="P294" i="10"/>
  <c r="Q294" i="10"/>
  <c r="R294" i="10"/>
  <c r="P295" i="10"/>
  <c r="Q295" i="10"/>
  <c r="U295" i="10"/>
  <c r="R295" i="10"/>
  <c r="V295" i="10"/>
  <c r="P296" i="10"/>
  <c r="Q296" i="10"/>
  <c r="R296" i="10"/>
  <c r="U296" i="10"/>
  <c r="V296" i="10"/>
  <c r="P297" i="10"/>
  <c r="Q297" i="10"/>
  <c r="R297" i="10"/>
  <c r="U297" i="10"/>
  <c r="V297" i="10"/>
  <c r="P298" i="10"/>
  <c r="Q298" i="10"/>
  <c r="R298" i="10"/>
  <c r="D299" i="10"/>
  <c r="P299" i="10"/>
  <c r="P300" i="10"/>
  <c r="Q300" i="10"/>
  <c r="R300" i="10"/>
  <c r="U300" i="10"/>
  <c r="V300" i="10"/>
  <c r="P301" i="10"/>
  <c r="Q301" i="10"/>
  <c r="R301" i="10"/>
  <c r="P302" i="10"/>
  <c r="V302" i="10"/>
  <c r="Q302" i="10"/>
  <c r="U302" i="10"/>
  <c r="R302" i="10"/>
  <c r="P303" i="10"/>
  <c r="V303" i="10"/>
  <c r="Q303" i="10"/>
  <c r="R303" i="10"/>
  <c r="U303" i="10"/>
  <c r="P304" i="10"/>
  <c r="Q304" i="10"/>
  <c r="R304" i="10"/>
  <c r="U304" i="10"/>
  <c r="V304" i="10"/>
  <c r="P305" i="10"/>
  <c r="Q305" i="10"/>
  <c r="R305" i="10"/>
  <c r="P306" i="10"/>
  <c r="V306" i="10"/>
  <c r="Q306" i="10"/>
  <c r="U306" i="10"/>
  <c r="R306" i="10"/>
  <c r="P307" i="10"/>
  <c r="Q307" i="10"/>
  <c r="R307" i="10"/>
  <c r="U307" i="10"/>
  <c r="V307" i="10"/>
  <c r="P308" i="10"/>
  <c r="Q308" i="10"/>
  <c r="R308" i="10"/>
  <c r="U308" i="10"/>
  <c r="V308" i="10"/>
  <c r="P309" i="10"/>
  <c r="Q309" i="10"/>
  <c r="R309" i="10"/>
  <c r="D310" i="10"/>
  <c r="F310" i="10"/>
  <c r="P311" i="10"/>
  <c r="Q311" i="10"/>
  <c r="U311" i="10"/>
  <c r="V311" i="10"/>
  <c r="R311" i="10"/>
  <c r="P312" i="10"/>
  <c r="V312" i="10"/>
  <c r="Q312" i="10"/>
  <c r="U312" i="10"/>
  <c r="R312" i="10"/>
  <c r="P313" i="10"/>
  <c r="Q313" i="10"/>
  <c r="R313" i="10"/>
  <c r="U313" i="10"/>
  <c r="V313" i="10"/>
  <c r="P314" i="10"/>
  <c r="Q314" i="10"/>
  <c r="R314" i="10"/>
  <c r="U314" i="10"/>
  <c r="V314" i="10"/>
  <c r="P315" i="10"/>
  <c r="Q315" i="10"/>
  <c r="U315" i="10"/>
  <c r="V315" i="10"/>
  <c r="R315" i="10"/>
  <c r="P316" i="10"/>
  <c r="V316" i="10"/>
  <c r="Q316" i="10"/>
  <c r="U316" i="10"/>
  <c r="R316" i="10"/>
  <c r="P317" i="10"/>
  <c r="V317" i="10"/>
  <c r="Q317" i="10"/>
  <c r="R317" i="10"/>
  <c r="U317" i="10"/>
  <c r="D318" i="10"/>
  <c r="P318" i="10"/>
  <c r="V318" i="10"/>
  <c r="Q318" i="10"/>
  <c r="U318" i="10"/>
  <c r="R318" i="10"/>
  <c r="P319" i="10"/>
  <c r="V319" i="10"/>
  <c r="Q319" i="10"/>
  <c r="U319" i="10"/>
  <c r="R319" i="10"/>
  <c r="P320" i="10"/>
  <c r="Q320" i="10"/>
  <c r="R320" i="10"/>
  <c r="U320" i="10"/>
  <c r="V320" i="10"/>
  <c r="P321" i="10"/>
  <c r="Q321" i="10"/>
  <c r="R321" i="10"/>
  <c r="U321" i="10"/>
  <c r="V321" i="10"/>
  <c r="P322" i="10"/>
  <c r="Q322" i="10"/>
  <c r="U322" i="10"/>
  <c r="V322" i="10"/>
  <c r="R322" i="10"/>
  <c r="D323" i="10"/>
  <c r="P323" i="10"/>
  <c r="P324" i="10"/>
  <c r="Q324" i="10"/>
  <c r="R324" i="10"/>
  <c r="U324" i="10"/>
  <c r="V324" i="10"/>
  <c r="I325" i="10"/>
  <c r="P325" i="10"/>
  <c r="V325" i="10"/>
  <c r="Q325" i="10"/>
  <c r="U325" i="10"/>
  <c r="R325" i="10"/>
  <c r="P326" i="10"/>
  <c r="Q326" i="10"/>
  <c r="R326" i="10"/>
  <c r="U326" i="10"/>
  <c r="V326" i="10"/>
  <c r="P327" i="10"/>
  <c r="Q327" i="10"/>
  <c r="R327" i="10"/>
  <c r="U327" i="10"/>
  <c r="V327" i="10"/>
  <c r="P328" i="10"/>
  <c r="Q328" i="10"/>
  <c r="R328" i="10"/>
  <c r="P329" i="10"/>
  <c r="V329" i="10"/>
  <c r="Q329" i="10"/>
  <c r="U329" i="10"/>
  <c r="R329" i="10"/>
  <c r="P330" i="10"/>
  <c r="V330" i="10"/>
  <c r="Q330" i="10"/>
  <c r="R330" i="10"/>
  <c r="U330" i="10"/>
  <c r="P331" i="10"/>
  <c r="Q331" i="10"/>
  <c r="R331" i="10"/>
  <c r="U331" i="10"/>
  <c r="V331" i="10"/>
  <c r="I332" i="10"/>
  <c r="P332" i="10"/>
  <c r="Q332" i="10"/>
  <c r="U332" i="10"/>
  <c r="V332" i="10"/>
  <c r="R332" i="10"/>
  <c r="P333" i="10"/>
  <c r="Q333" i="10"/>
  <c r="R333" i="10"/>
  <c r="U333" i="10"/>
  <c r="V333" i="10"/>
  <c r="P334" i="10"/>
  <c r="Q334" i="10"/>
  <c r="R334" i="10"/>
  <c r="U334" i="10"/>
  <c r="V334" i="10"/>
  <c r="P335" i="10"/>
  <c r="Q335" i="10"/>
  <c r="U335" i="10"/>
  <c r="V335" i="10"/>
  <c r="R335" i="10"/>
  <c r="G336" i="10"/>
  <c r="H336" i="10"/>
  <c r="J336" i="10"/>
  <c r="K336" i="10"/>
  <c r="L336" i="10"/>
  <c r="M336" i="10"/>
  <c r="N336" i="10"/>
  <c r="O336" i="10"/>
  <c r="S336" i="10"/>
  <c r="T336" i="10"/>
  <c r="P310" i="10"/>
  <c r="Q310" i="10"/>
  <c r="U310" i="10"/>
  <c r="Q200" i="10"/>
  <c r="U200" i="10"/>
  <c r="R200" i="10"/>
  <c r="Q175" i="10"/>
  <c r="P175" i="10"/>
  <c r="Q90" i="10"/>
  <c r="U90" i="10"/>
  <c r="R90" i="10"/>
  <c r="N370" i="11"/>
  <c r="O370" i="11"/>
  <c r="U298" i="10"/>
  <c r="V298" i="10"/>
  <c r="V162" i="10"/>
  <c r="V143" i="10"/>
  <c r="U126" i="10"/>
  <c r="V126" i="10"/>
  <c r="U113" i="10"/>
  <c r="V113" i="10"/>
  <c r="U63" i="10"/>
  <c r="V63" i="10"/>
  <c r="V36" i="10"/>
  <c r="V31" i="10"/>
  <c r="V27" i="10"/>
  <c r="O239" i="11"/>
  <c r="U328" i="10"/>
  <c r="V328" i="10"/>
  <c r="R310" i="10"/>
  <c r="U309" i="10"/>
  <c r="V309" i="10"/>
  <c r="U305" i="10"/>
  <c r="V305" i="10"/>
  <c r="U301" i="10"/>
  <c r="V301" i="10"/>
  <c r="Q293" i="10"/>
  <c r="R293" i="10"/>
  <c r="V287" i="10"/>
  <c r="U252" i="10"/>
  <c r="V252" i="10"/>
  <c r="V245" i="10"/>
  <c r="V228" i="10"/>
  <c r="R214" i="10"/>
  <c r="V204" i="10"/>
  <c r="U195" i="10"/>
  <c r="V195" i="10"/>
  <c r="R175" i="10"/>
  <c r="V172" i="10"/>
  <c r="U146" i="10"/>
  <c r="V146" i="10"/>
  <c r="P144" i="10"/>
  <c r="Q144" i="10"/>
  <c r="R144" i="10"/>
  <c r="U127" i="10"/>
  <c r="V127" i="10"/>
  <c r="V120" i="10"/>
  <c r="U114" i="10"/>
  <c r="V114" i="10"/>
  <c r="P32" i="10"/>
  <c r="Q32" i="10"/>
  <c r="U32" i="10"/>
  <c r="R32" i="10"/>
  <c r="U13" i="10"/>
  <c r="O372" i="11"/>
  <c r="N372" i="11"/>
  <c r="O357" i="11"/>
  <c r="O272" i="11"/>
  <c r="K61" i="9"/>
  <c r="M61" i="9"/>
  <c r="J61" i="9"/>
  <c r="Q68" i="10"/>
  <c r="P68" i="10"/>
  <c r="R68" i="10"/>
  <c r="J37" i="9"/>
  <c r="K37" i="9"/>
  <c r="M37" i="9"/>
  <c r="P385" i="11"/>
  <c r="W336" i="10"/>
  <c r="E336" i="10"/>
  <c r="Q323" i="10"/>
  <c r="R323" i="10"/>
  <c r="U294" i="10"/>
  <c r="V294" i="10"/>
  <c r="V285" i="10"/>
  <c r="V271" i="10"/>
  <c r="U251" i="10"/>
  <c r="U222" i="10"/>
  <c r="V222" i="10"/>
  <c r="U136" i="10"/>
  <c r="V136" i="10"/>
  <c r="V81" i="10"/>
  <c r="P58" i="10"/>
  <c r="Q58" i="10"/>
  <c r="R58" i="10"/>
  <c r="Q53" i="10"/>
  <c r="U53" i="10"/>
  <c r="V53" i="10"/>
  <c r="R53" i="10"/>
  <c r="F336" i="10"/>
  <c r="U25" i="10"/>
  <c r="V25" i="10"/>
  <c r="Q299" i="10"/>
  <c r="R299" i="10"/>
  <c r="Q279" i="10"/>
  <c r="U279" i="10"/>
  <c r="P279" i="10"/>
  <c r="R279" i="10"/>
  <c r="Q214" i="10"/>
  <c r="U214" i="10"/>
  <c r="V214" i="10"/>
  <c r="P200" i="10"/>
  <c r="V200" i="10"/>
  <c r="Q194" i="10"/>
  <c r="U194" i="10"/>
  <c r="P194" i="10"/>
  <c r="V194" i="10"/>
  <c r="P184" i="10"/>
  <c r="V184" i="10"/>
  <c r="R181" i="10"/>
  <c r="P181" i="10"/>
  <c r="Q181" i="10"/>
  <c r="Q173" i="10"/>
  <c r="R173" i="10"/>
  <c r="R336" i="10"/>
  <c r="Q152" i="10"/>
  <c r="P152" i="10"/>
  <c r="R152" i="10"/>
  <c r="P125" i="10"/>
  <c r="V125" i="10"/>
  <c r="Q125" i="10"/>
  <c r="U125" i="10"/>
  <c r="P90" i="10"/>
  <c r="O200" i="11"/>
  <c r="J76" i="9"/>
  <c r="N76" i="9"/>
  <c r="K76" i="9"/>
  <c r="M76" i="9"/>
  <c r="O180" i="11"/>
  <c r="N165" i="11"/>
  <c r="O165" i="11"/>
  <c r="N146" i="11"/>
  <c r="O146" i="11"/>
  <c r="N130" i="11"/>
  <c r="O130" i="11"/>
  <c r="J74" i="9"/>
  <c r="K74" i="9"/>
  <c r="M74" i="9"/>
  <c r="J19" i="9"/>
  <c r="K19" i="9"/>
  <c r="M19" i="9"/>
  <c r="M12" i="9"/>
  <c r="P288" i="10"/>
  <c r="V288" i="10"/>
  <c r="U281" i="10"/>
  <c r="V281" i="10"/>
  <c r="U275" i="10"/>
  <c r="V275" i="10"/>
  <c r="U267" i="10"/>
  <c r="V267" i="10"/>
  <c r="U259" i="10"/>
  <c r="V259" i="10"/>
  <c r="Q258" i="10"/>
  <c r="U258" i="10"/>
  <c r="V251" i="10"/>
  <c r="U249" i="10"/>
  <c r="V249" i="10"/>
  <c r="U240" i="10"/>
  <c r="V240" i="10"/>
  <c r="U232" i="10"/>
  <c r="V232" i="10"/>
  <c r="P225" i="10"/>
  <c r="V225" i="10"/>
  <c r="U208" i="10"/>
  <c r="V208" i="10"/>
  <c r="Q184" i="10"/>
  <c r="U184" i="10"/>
  <c r="U168" i="10"/>
  <c r="V168" i="10"/>
  <c r="U154" i="10"/>
  <c r="V154" i="10"/>
  <c r="P150" i="10"/>
  <c r="V150" i="10"/>
  <c r="P145" i="10"/>
  <c r="V145" i="10"/>
  <c r="U139" i="10"/>
  <c r="V139" i="10"/>
  <c r="P130" i="10"/>
  <c r="V130" i="10"/>
  <c r="P104" i="10"/>
  <c r="V104" i="10"/>
  <c r="U103" i="10"/>
  <c r="V103" i="10"/>
  <c r="U95" i="10"/>
  <c r="V95" i="10"/>
  <c r="Q94" i="10"/>
  <c r="U94" i="10"/>
  <c r="U85" i="10"/>
  <c r="V85" i="10"/>
  <c r="U78" i="10"/>
  <c r="V78" i="10"/>
  <c r="U70" i="10"/>
  <c r="V70" i="10"/>
  <c r="P54" i="10"/>
  <c r="V54" i="10"/>
  <c r="V21" i="10"/>
  <c r="N377" i="11"/>
  <c r="O377" i="11"/>
  <c r="N361" i="11"/>
  <c r="O361" i="11"/>
  <c r="O169" i="11"/>
  <c r="N120" i="11"/>
  <c r="O120" i="11"/>
  <c r="N104" i="11"/>
  <c r="O104" i="11"/>
  <c r="N88" i="11"/>
  <c r="O88" i="11"/>
  <c r="O26" i="11"/>
  <c r="N11" i="11"/>
  <c r="O12" i="3"/>
  <c r="L14" i="3"/>
  <c r="J78" i="9"/>
  <c r="K78" i="9"/>
  <c r="M78" i="9"/>
  <c r="J39" i="9"/>
  <c r="N39" i="9"/>
  <c r="K39" i="9"/>
  <c r="M39" i="9"/>
  <c r="V258" i="10"/>
  <c r="V94" i="10"/>
  <c r="N267" i="11"/>
  <c r="O267" i="11"/>
  <c r="L47" i="9"/>
  <c r="M47" i="9"/>
  <c r="N47" i="9"/>
  <c r="N345" i="11"/>
  <c r="O345" i="11"/>
  <c r="N337" i="11"/>
  <c r="O337" i="11"/>
  <c r="N329" i="11"/>
  <c r="O329" i="11"/>
  <c r="N321" i="11"/>
  <c r="O321" i="11"/>
  <c r="N312" i="11"/>
  <c r="O312" i="11"/>
  <c r="N304" i="11"/>
  <c r="O304" i="11"/>
  <c r="N292" i="11"/>
  <c r="O292" i="11"/>
  <c r="N276" i="11"/>
  <c r="O276" i="11"/>
  <c r="N260" i="11"/>
  <c r="O260" i="11"/>
  <c r="N243" i="11"/>
  <c r="O243" i="11"/>
  <c r="N227" i="11"/>
  <c r="O227" i="11"/>
  <c r="O212" i="11"/>
  <c r="O204" i="11"/>
  <c r="N197" i="11"/>
  <c r="O197" i="11"/>
  <c r="N147" i="11"/>
  <c r="O147" i="11"/>
  <c r="N131" i="11"/>
  <c r="O131" i="11"/>
  <c r="N121" i="11"/>
  <c r="O121" i="11"/>
  <c r="N105" i="11"/>
  <c r="O105" i="11"/>
  <c r="N89" i="11"/>
  <c r="O89" i="11"/>
  <c r="O79" i="11"/>
  <c r="O63" i="11"/>
  <c r="J34" i="11"/>
  <c r="K34" i="11"/>
  <c r="K385" i="11"/>
  <c r="J64" i="9"/>
  <c r="N64" i="9"/>
  <c r="K64" i="9"/>
  <c r="M64" i="9"/>
  <c r="K53" i="9"/>
  <c r="M53" i="9"/>
  <c r="J53" i="9"/>
  <c r="N53" i="9"/>
  <c r="J41" i="9"/>
  <c r="N41" i="9"/>
  <c r="K41" i="9"/>
  <c r="M41" i="9"/>
  <c r="K26" i="9"/>
  <c r="M26" i="9"/>
  <c r="J26" i="9"/>
  <c r="N26" i="9"/>
  <c r="N20" i="9"/>
  <c r="H83" i="9"/>
  <c r="L12" i="9"/>
  <c r="N12" i="9"/>
  <c r="O164" i="11"/>
  <c r="U17" i="10"/>
  <c r="V17" i="10"/>
  <c r="N213" i="11"/>
  <c r="O213" i="11"/>
  <c r="N173" i="11"/>
  <c r="O173" i="11"/>
  <c r="N138" i="11"/>
  <c r="O138" i="11"/>
  <c r="N122" i="11"/>
  <c r="O122" i="11"/>
  <c r="N112" i="11"/>
  <c r="O112" i="11"/>
  <c r="N96" i="11"/>
  <c r="O96" i="11"/>
  <c r="O52" i="11"/>
  <c r="J66" i="9"/>
  <c r="K66" i="9"/>
  <c r="N62" i="9"/>
  <c r="L45" i="9"/>
  <c r="K35" i="9"/>
  <c r="J35" i="9"/>
  <c r="G83" i="9"/>
  <c r="J28" i="9"/>
  <c r="K28" i="9"/>
  <c r="M28" i="9"/>
  <c r="N208" i="11"/>
  <c r="O208" i="11"/>
  <c r="N200" i="11"/>
  <c r="N83" i="11"/>
  <c r="O83" i="11"/>
  <c r="N75" i="11"/>
  <c r="O75" i="11"/>
  <c r="N67" i="11"/>
  <c r="O67" i="11"/>
  <c r="N58" i="11"/>
  <c r="O58" i="11"/>
  <c r="N56" i="11"/>
  <c r="O56" i="11"/>
  <c r="N40" i="11"/>
  <c r="O40" i="11"/>
  <c r="N32" i="11"/>
  <c r="O32" i="11"/>
  <c r="O23" i="11"/>
  <c r="K72" i="9"/>
  <c r="K68" i="9"/>
  <c r="J68" i="9"/>
  <c r="M63" i="9"/>
  <c r="K40" i="9"/>
  <c r="M40" i="9"/>
  <c r="J40" i="9"/>
  <c r="N40" i="9"/>
  <c r="J33" i="9"/>
  <c r="N33" i="9"/>
  <c r="K33" i="9"/>
  <c r="M33" i="9"/>
  <c r="K32" i="9"/>
  <c r="M32" i="9"/>
  <c r="J32" i="9"/>
  <c r="N32" i="9"/>
  <c r="K77" i="9"/>
  <c r="M77" i="9"/>
  <c r="J77" i="9"/>
  <c r="N77" i="9"/>
  <c r="L72" i="9"/>
  <c r="K70" i="9"/>
  <c r="M70" i="9"/>
  <c r="J70" i="9"/>
  <c r="N70" i="9"/>
  <c r="J54" i="9"/>
  <c r="K54" i="9"/>
  <c r="N51" i="9"/>
  <c r="K22" i="9"/>
  <c r="J22" i="9"/>
  <c r="K21" i="9"/>
  <c r="J21" i="9"/>
  <c r="J16" i="9"/>
  <c r="K16" i="9"/>
  <c r="M16" i="9"/>
  <c r="N29" i="11"/>
  <c r="O29" i="11"/>
  <c r="N69" i="9"/>
  <c r="N63" i="9"/>
  <c r="N60" i="9"/>
  <c r="N59" i="9"/>
  <c r="N57" i="9"/>
  <c r="J50" i="9"/>
  <c r="N50" i="9"/>
  <c r="K45" i="9"/>
  <c r="M45" i="9"/>
  <c r="N45" i="9"/>
  <c r="N31" i="9"/>
  <c r="N25" i="9"/>
  <c r="K15" i="9"/>
  <c r="M15" i="9"/>
  <c r="J15" i="9"/>
  <c r="N15" i="9"/>
  <c r="O13" i="3"/>
  <c r="P13" i="3"/>
  <c r="N79" i="9"/>
  <c r="N75" i="9"/>
  <c r="N46" i="9"/>
  <c r="N42" i="9"/>
  <c r="N38" i="9"/>
  <c r="N34" i="9"/>
  <c r="K20" i="9"/>
  <c r="M20" i="9"/>
  <c r="J18" i="9"/>
  <c r="M14" i="9"/>
  <c r="N14" i="9"/>
  <c r="L18" i="9"/>
  <c r="M18" i="9"/>
  <c r="N18" i="9"/>
  <c r="L68" i="9"/>
  <c r="N68" i="9"/>
  <c r="L35" i="9"/>
  <c r="M35" i="9"/>
  <c r="N35" i="9"/>
  <c r="P12" i="3"/>
  <c r="P14" i="3"/>
  <c r="O14" i="3"/>
  <c r="K83" i="9"/>
  <c r="P336" i="10"/>
  <c r="L22" i="9"/>
  <c r="L54" i="9"/>
  <c r="M54" i="9"/>
  <c r="N54" i="9"/>
  <c r="M68" i="9"/>
  <c r="N74" i="9"/>
  <c r="U173" i="10"/>
  <c r="V173" i="10"/>
  <c r="U323" i="10"/>
  <c r="V323" i="10"/>
  <c r="V32" i="10"/>
  <c r="Q336" i="10"/>
  <c r="V175" i="10"/>
  <c r="J83" i="9"/>
  <c r="N16" i="9"/>
  <c r="M22" i="9"/>
  <c r="N22" i="9"/>
  <c r="M72" i="9"/>
  <c r="N72" i="9"/>
  <c r="N28" i="9"/>
  <c r="L66" i="9"/>
  <c r="M66" i="9"/>
  <c r="N66" i="9"/>
  <c r="N34" i="11"/>
  <c r="O34" i="11"/>
  <c r="N78" i="9"/>
  <c r="O11" i="11"/>
  <c r="O385" i="11"/>
  <c r="N385" i="11"/>
  <c r="V90" i="10"/>
  <c r="U181" i="10"/>
  <c r="V181" i="10"/>
  <c r="U299" i="10"/>
  <c r="V299" i="10"/>
  <c r="U58" i="10"/>
  <c r="N37" i="9"/>
  <c r="U68" i="10"/>
  <c r="U336" i="10"/>
  <c r="U144" i="10"/>
  <c r="V144" i="10"/>
  <c r="U175" i="10"/>
  <c r="V310" i="10"/>
  <c r="L21" i="9"/>
  <c r="L83" i="9"/>
  <c r="J385" i="11"/>
  <c r="V13" i="10"/>
  <c r="N19" i="9"/>
  <c r="U152" i="10"/>
  <c r="V152" i="10"/>
  <c r="V279" i="10"/>
  <c r="V58" i="10"/>
  <c r="N61" i="9"/>
  <c r="U293" i="10"/>
  <c r="V293" i="10"/>
  <c r="N83" i="9"/>
  <c r="M21" i="9"/>
  <c r="N21" i="9"/>
  <c r="V68" i="10"/>
  <c r="V336" i="10"/>
  <c r="M83" i="9"/>
</calcChain>
</file>

<file path=xl/comments1.xml><?xml version="1.0" encoding="utf-8"?>
<comments xmlns="http://schemas.openxmlformats.org/spreadsheetml/2006/main">
  <authors>
    <author>Alejandro</author>
  </authors>
  <commentList>
    <comment ref="E8" authorId="0" shapeId="0">
      <text>
        <r>
          <rPr>
            <b/>
            <sz val="9"/>
            <color indexed="81"/>
            <rFont val="Tahoma"/>
            <family val="2"/>
          </rPr>
          <t>Alejandro:</t>
        </r>
        <r>
          <rPr>
            <sz val="9"/>
            <color indexed="81"/>
            <rFont val="Tahoma"/>
            <family val="2"/>
          </rPr>
          <t xml:space="preserve">
</t>
        </r>
      </text>
    </comment>
  </commentList>
</comments>
</file>

<file path=xl/comments2.xml><?xml version="1.0" encoding="utf-8"?>
<comments xmlns="http://schemas.openxmlformats.org/spreadsheetml/2006/main">
  <authors>
    <author>Artes</author>
  </authors>
  <commentList>
    <comment ref="A9" authorId="0" shapeId="0">
      <text>
        <r>
          <rPr>
            <b/>
            <sz val="9"/>
            <color indexed="81"/>
            <rFont val="Tahoma"/>
            <family val="2"/>
          </rPr>
          <t>Artes:</t>
        </r>
        <r>
          <rPr>
            <sz val="9"/>
            <color indexed="81"/>
            <rFont val="Tahoma"/>
            <family val="2"/>
          </rPr>
          <t xml:space="preserve">
</t>
        </r>
      </text>
    </comment>
  </commentList>
</comments>
</file>

<file path=xl/sharedStrings.xml><?xml version="1.0" encoding="utf-8"?>
<sst xmlns="http://schemas.openxmlformats.org/spreadsheetml/2006/main" count="2040" uniqueCount="1160">
  <si>
    <t xml:space="preserve">          UNIDAD DE INFORMACION PUBLICA</t>
  </si>
  <si>
    <t xml:space="preserve">          MINISTERIO DE CULTURA Y DEPORTES</t>
  </si>
  <si>
    <t>FAUSTINO RAMON FUENTES DE LEON</t>
  </si>
  <si>
    <t>BONOS Y OTRAS REMUNERACIONES</t>
  </si>
  <si>
    <t>MINISTERIO DE CULTURA Y DEPORTES</t>
  </si>
  <si>
    <t>UNIDAD DE INFORMACION PUBLICA</t>
  </si>
  <si>
    <t>NUMERAL 4 ARTICULO 10</t>
  </si>
  <si>
    <t>No.</t>
  </si>
  <si>
    <t>TOTAL</t>
  </si>
  <si>
    <t>RENGLON 021</t>
  </si>
  <si>
    <t>RENGLON 022</t>
  </si>
  <si>
    <t>RENGLON 029</t>
  </si>
  <si>
    <t>RENGLON 031</t>
  </si>
  <si>
    <t>APELLIDOS Y NOMBRES</t>
  </si>
  <si>
    <t>CARGO</t>
  </si>
  <si>
    <t>SALARIO BASE</t>
  </si>
  <si>
    <t>Bono MCD</t>
  </si>
  <si>
    <t>Bono Profesional</t>
  </si>
  <si>
    <t>Bono de Antigüedad</t>
  </si>
  <si>
    <t>66-2000</t>
  </si>
  <si>
    <t>IGSS</t>
  </si>
  <si>
    <t>MONTEPÍO</t>
  </si>
  <si>
    <t>ISR</t>
  </si>
  <si>
    <t>TOTAL DE DESCUENTOS</t>
  </si>
  <si>
    <t>LÍQUIDO</t>
  </si>
  <si>
    <t>DESCUENTOS</t>
  </si>
  <si>
    <t>Complemento Personal</t>
  </si>
  <si>
    <t>Monto Viáticos</t>
  </si>
  <si>
    <t>ANA KARINA ZEBADUA BLANCO</t>
  </si>
  <si>
    <t>CONSERJE</t>
  </si>
  <si>
    <t>TRAMOYISTA</t>
  </si>
  <si>
    <t>DIRECCIÓN GENERAL DE LAS ARTES</t>
  </si>
  <si>
    <t>HANIA CORINA CASTAÑEDA RUIZ</t>
  </si>
  <si>
    <t>ANGEL GABRIEL TEPEU TURUY</t>
  </si>
  <si>
    <t>LESVIA LISETH ALONZO NAVAS DE RODAS</t>
  </si>
  <si>
    <t>OSCAR LEONEL CULAJAY CHACACH</t>
  </si>
  <si>
    <t>CARMEN PETRONA AJCUC TEPEU DE AJCUC</t>
  </si>
  <si>
    <t>MAYRA MARIBEL MENDOZA VALENZUELA</t>
  </si>
  <si>
    <t>LUIS ISAIAS ZAPETA SAQUIC</t>
  </si>
  <si>
    <t>ANA KARINA PINZON FUSTER DE CATALAN</t>
  </si>
  <si>
    <t>MARLIS YAZMIN ALBUREZ ALECIO</t>
  </si>
  <si>
    <t>OTTO RENE ARANA MELCHOL</t>
  </si>
  <si>
    <t>ELIZARDO SALVADOR DIEGUEZ CABALLEROS</t>
  </si>
  <si>
    <t>ELIZABETH BELINDA GABRIEL OTZOY</t>
  </si>
  <si>
    <t>HEYLIM ARLEMY VALENZUELA MORALES DE RAZULEU</t>
  </si>
  <si>
    <t>JOHNATAN EDIBERTO POLANCO ALONZO</t>
  </si>
  <si>
    <t>ALEJANDRO BARRIENTOS ESTRADA</t>
  </si>
  <si>
    <t>LUIS EDUARDO PINEDA CERMEÑO</t>
  </si>
  <si>
    <t>MYNOR  BELICE CRUZ QUEVEDO</t>
  </si>
  <si>
    <t>MYNOR DAGOBERTO BARILLAS CASTAÑEDA</t>
  </si>
  <si>
    <t>DIEGO CIPRIANO SOLIZ</t>
  </si>
  <si>
    <t>LAURA ALEJANDRA MORALES SAZO</t>
  </si>
  <si>
    <t xml:space="preserve">CARLOS BENITO CONCOGUA </t>
  </si>
  <si>
    <t>JUAN CARLOS ESCOBAR TRUJILLO</t>
  </si>
  <si>
    <t>LUIS DE JESUS SALUCIO JERONIMO</t>
  </si>
  <si>
    <t>DORA ABELINA CORZANTES VARGAS</t>
  </si>
  <si>
    <t>MANUEL GUZMAN COJ</t>
  </si>
  <si>
    <t xml:space="preserve">IGNACIO GUZMAN COJ </t>
  </si>
  <si>
    <t>VIGILANTE (0000) SIN ESPECIALIDAD (0000)</t>
  </si>
  <si>
    <t>OSCAR ANIBAL CONTRERAS ALAY</t>
  </si>
  <si>
    <t>KIMBERLY AMARILIS FLORES MORALES</t>
  </si>
  <si>
    <t>LUIS ALBERTO CIFUENTES ORTIZ</t>
  </si>
  <si>
    <t>MONICA LISSETH VALLEGOS MUÑOZ</t>
  </si>
  <si>
    <t>ESPERANZA JUDITH RAMIREZ GALINDO</t>
  </si>
  <si>
    <t>JUAN GABRIEL CALEL ROQUEL</t>
  </si>
  <si>
    <t>MARIA DEL CARMEN BOCEL HOM DE BOCEL</t>
  </si>
  <si>
    <t>JULIANA ROSA ALONZO COCHOJIL</t>
  </si>
  <si>
    <t>SANDRA ELIZABETH ESTRADA SOLIS</t>
  </si>
  <si>
    <t>FAUSTINO VALENZUELA SOLARES</t>
  </si>
  <si>
    <t>KAREN FAVIOLA AGUILAR CANEL</t>
  </si>
  <si>
    <t>OPERADOR DE EQUIPO</t>
  </si>
  <si>
    <t>KAREN JESSENIA MELGAR MORALES</t>
  </si>
  <si>
    <t>ARNOLDO ROEL CASTILLO CASTILLO</t>
  </si>
  <si>
    <t>FEDERICO RODOLFO MURALLES</t>
  </si>
  <si>
    <t>DANIS AMADO MORALES CAMPOSECO</t>
  </si>
  <si>
    <t>FRANCISCO EMIGDIO SERECH PAR</t>
  </si>
  <si>
    <t>FERNANDO VALDIVIEZO QUINTANA</t>
  </si>
  <si>
    <t>DIEGO ISRAEL OXCAL MONROY</t>
  </si>
  <si>
    <t>FREDY MANUEL BUENAFE TORRES</t>
  </si>
  <si>
    <t>DOMINGO ISAAC CHAVAJAY BIXCUL</t>
  </si>
  <si>
    <t xml:space="preserve">MARIA CAROLINA PALOMO CAJAS </t>
  </si>
  <si>
    <t xml:space="preserve">LUIS ALEJANDRO OCAÑA AJCIP </t>
  </si>
  <si>
    <t>EDUARDO PALAX GUARCAX</t>
  </si>
  <si>
    <t>DIEGO ARMANDO SANTOS SALQUIL</t>
  </si>
  <si>
    <t>JEREMIAS MATEO GASPAR</t>
  </si>
  <si>
    <t>DIRLYN SAMARY CANO VILLATORO</t>
  </si>
  <si>
    <t>ANA LIGIA FELIPE PANIAGUA DE CAZZALY</t>
  </si>
  <si>
    <t>MAYRA LISSETH OLA LUNA DE BARRIENTOS</t>
  </si>
  <si>
    <t>EDGAR EDUARDO PIRIR YOC</t>
  </si>
  <si>
    <t>NIMROD LIMA OVANDO</t>
  </si>
  <si>
    <t>MELVY ROXANA PEÑATE CHINCHILLA</t>
  </si>
  <si>
    <t xml:space="preserve">LUIS ANGEL TARACENA BETANCOURTH </t>
  </si>
  <si>
    <t>OLIVER MARCELINO SIVESTRE DELGADO</t>
  </si>
  <si>
    <t>LUIS ALFREDO MORALES LEMUS</t>
  </si>
  <si>
    <t xml:space="preserve">LUIS ROBERTO AQUINO FIGUEROA </t>
  </si>
  <si>
    <t>PABLO CHOC CAAL</t>
  </si>
  <si>
    <t xml:space="preserve">AMADEO SALGUERO REYES </t>
  </si>
  <si>
    <t>IDELFONSO SONTAY IXCOY</t>
  </si>
  <si>
    <t>OLGA YESENIA ALVARADO SIS</t>
  </si>
  <si>
    <t>DIAHANN ANDREA COBOS FLORES</t>
  </si>
  <si>
    <t xml:space="preserve">MARIO SANTIAGO LEY BUCH </t>
  </si>
  <si>
    <t xml:space="preserve">JAIME LEONEL RUCAL SINTO </t>
  </si>
  <si>
    <t>EDY RIGOBERTO PASCUAL ABELAR</t>
  </si>
  <si>
    <t>MARCO ANTONIO MUZUL MENDEZ</t>
  </si>
  <si>
    <t>KEVIN RONALDO BARILLAS SOTO</t>
  </si>
  <si>
    <t>AMALIA EUGENIA OSORIO LUX</t>
  </si>
  <si>
    <t xml:space="preserve">NERY ALFREDO MULUL CASTRO </t>
  </si>
  <si>
    <t>ASISTENTE ADMINISTRATIVO I (0000) SIN ESPECIALIDAD (0000)</t>
  </si>
  <si>
    <t xml:space="preserve">COORDINADOR ADMINISTRATIVO (0000) SIN ESPECIALIDAD (0000) </t>
  </si>
  <si>
    <t>ANALISTA DE RECURSOS HUMANOS I (0000) SIN ESPECIALIDAD (0000)</t>
  </si>
  <si>
    <t>ASISTENTE DE CONTABILIDAD II (0000) SIN ESPECIALIDAD (0000)</t>
  </si>
  <si>
    <t>AUXILIAR I (0000) SIN ESPECIALIDAD (0000)</t>
  </si>
  <si>
    <t>ASISTENTE ADMINISTRATIVO II (0000) SIN ESPECIALIDAD (0000)</t>
  </si>
  <si>
    <t>CONSERJE (0000) SIN ESPECIALIDAD (0000)</t>
  </si>
  <si>
    <t>BORIS GILLERMO RIZO PANIAGUA</t>
  </si>
  <si>
    <t>TRAMOYISTA (0000) SIN ESPECIALIDAD (0000)</t>
  </si>
  <si>
    <t>FREDY ORLANDO SAGASTUME VELÁSQUEZ</t>
  </si>
  <si>
    <t>LORENZO FROILÁN TISTOJ CHAN</t>
  </si>
  <si>
    <t>OLGA AMALIA MARGARITA LIGORRÍA DÍAZ</t>
  </si>
  <si>
    <t xml:space="preserve">CARLOS ALFONSO QUEJ XUC </t>
  </si>
  <si>
    <t>GUILLERMO VINICIO QUEZADA MONZÓN</t>
  </si>
  <si>
    <t>SANDRA VERONICA CORONADO PAREDES</t>
  </si>
  <si>
    <t>WINGSTON OSWALDO GONZÁLEZ REYES</t>
  </si>
  <si>
    <t xml:space="preserve">MARTÍN ESTUARDO DE JESÚS DÍAZ VALDÉS </t>
  </si>
  <si>
    <t>MARIO ENRIQUE CAXAJ RODRIGUEZ</t>
  </si>
  <si>
    <t>BENVENUTO CHAVAJAY GONZÁLEZ</t>
  </si>
  <si>
    <t>OTTO AMILCAR AZURDIA LEIVA</t>
  </si>
  <si>
    <t>JOSE GABRIEL OZAETA GARCÍA</t>
  </si>
  <si>
    <t>OSCAR JUAN PABLO CASTILLO AROCHE</t>
  </si>
  <si>
    <t>LAZARO JAIRO RAMIREZ BALTAZAR</t>
  </si>
  <si>
    <t>GUSTAVO ADOLFO MARTINEZ ROMERO</t>
  </si>
  <si>
    <t>RICARDO HUMBERTO TAQUEZ YUCUTE</t>
  </si>
  <si>
    <t>DANIEL ESTUARDO CHINCHILLA PALACIOS</t>
  </si>
  <si>
    <t>EFRAIN CHICOP PEC</t>
  </si>
  <si>
    <t>MARIO RENE DONIS</t>
  </si>
  <si>
    <t>ANTONIO IXJOTOP QUEL</t>
  </si>
  <si>
    <t>EDGAR ROLANDO JOLOM ALTAN</t>
  </si>
  <si>
    <t>BRAYAM ARIEL LETONA LIMA</t>
  </si>
  <si>
    <t>MIGUEL ARNULFO LUNA SOTO</t>
  </si>
  <si>
    <t>DIANA JUDITH PINEDA ORTEGA</t>
  </si>
  <si>
    <t>ALEJANDRO MIGUEL REYES MARTÍNEZ</t>
  </si>
  <si>
    <t>EUSEBIO POR CULAJAY</t>
  </si>
  <si>
    <t>SANTOS TAQUEZ QUEL</t>
  </si>
  <si>
    <t>HENRY DAVID LOPEZ REYES</t>
  </si>
  <si>
    <t>FRANCISCO QUEL CHICOP</t>
  </si>
  <si>
    <t>EDWIN ORLANDO MONTENEGRO MURALLES</t>
  </si>
  <si>
    <t>ALIDA MARIBEL BARRIOS MORALES</t>
  </si>
  <si>
    <t>FRANCISCO ORLANDO SEQUEN RAC</t>
  </si>
  <si>
    <t>GUILLERMO ANTONIO GONZALEZ RODRIGUEZ</t>
  </si>
  <si>
    <t>IVAN ESTUARDO RECINOS RODRÌGUEZ</t>
  </si>
  <si>
    <t>LUIS ALBERTO TOJINO JULAJU</t>
  </si>
  <si>
    <t>MARTHA JULIA PEREZ POYON DE DE SIMON</t>
  </si>
  <si>
    <t>FIANZA</t>
  </si>
  <si>
    <t>KIMBERLY MARIBEL CORCUERA VALDEZ</t>
  </si>
  <si>
    <t>ASISTENTE DE PLANIFICACION II (000), SIN ESPECIALIDAD (000)</t>
  </si>
  <si>
    <t>ASISTENTE DE ADQUISICIONES II (0000), SIN ESPECIALIDAD (0000)</t>
  </si>
  <si>
    <t>ASISTENTE FINANCIERO II (0000), SIN ESPECIALIDAD (0000)</t>
  </si>
  <si>
    <t>JEFE DE DEPARTAMENTO SUSTANTIVO II (0000), SIN ESPECIALIDAD (0000)</t>
  </si>
  <si>
    <t>HERNAN OMMAR DIAZ MUÑOZ</t>
  </si>
  <si>
    <t>MERCEDES IXCACOJ QUEL</t>
  </si>
  <si>
    <t>NORMA ELIZABETH AREVALO SUTUJ DE MORALES</t>
  </si>
  <si>
    <t>SERGIO EMMANUEL ARRIOLA ROMERO</t>
  </si>
  <si>
    <t>EDGAR LEONEL CARIAS ALARCON</t>
  </si>
  <si>
    <t>JUAN SALVADOR SANDOVAL GUZMÁN</t>
  </si>
  <si>
    <t>Bono MCD Y Bono Administrativo del CCMA</t>
  </si>
  <si>
    <t>HERIBERTO ADAN SILVESTRE ALVAREZ TOMAS</t>
  </si>
  <si>
    <t>JORGE LEONIDAS CUC CHIROY</t>
  </si>
  <si>
    <t>JULIO FERNANDO ARIAS CHACON</t>
  </si>
  <si>
    <t>MARIO FERNANDO FERNANDEZ RIVAS</t>
  </si>
  <si>
    <t>MARIO ROBERTO AYAPAN JOCOP</t>
  </si>
  <si>
    <t>PEON VIGILANTE V</t>
  </si>
  <si>
    <t>ELECTRICISTA II</t>
  </si>
  <si>
    <t>PEON VIGILANTE IV</t>
  </si>
  <si>
    <t>TRABAJADORA VIVANDERA</t>
  </si>
  <si>
    <t>HERRERO II</t>
  </si>
  <si>
    <t>HERRERO III</t>
  </si>
  <si>
    <t>MENSAJERO II</t>
  </si>
  <si>
    <t>ENCARGADO II DE OPERACIONES DE MAQUINARIA Y EQUIPO</t>
  </si>
  <si>
    <t>JARDINERO II</t>
  </si>
  <si>
    <t>ELECTRICISTA III</t>
  </si>
  <si>
    <t xml:space="preserve">JARDINERO I </t>
  </si>
  <si>
    <t xml:space="preserve">GEORGINA ESMERALDA ABAJ XILOJ </t>
  </si>
  <si>
    <t>JORGE ANIBAL TOT GUERRA</t>
  </si>
  <si>
    <t>KATHERINE PAMELA CORDOVA</t>
  </si>
  <si>
    <t>ASTRID FABIOLA MONROY LEIVA</t>
  </si>
  <si>
    <t>CARLOS ALEXIS MALDONADO SAMAYOA</t>
  </si>
  <si>
    <t>DOMINGO ANTONIO VASQUEZ GONZALEZ</t>
  </si>
  <si>
    <t>DULCE ROSMERY TASUY CAJAS</t>
  </si>
  <si>
    <t>GERSON GEOVANI CAP AC</t>
  </si>
  <si>
    <t>GERTRUDIS PUAC MENDEZ</t>
  </si>
  <si>
    <t>JULIA ADRIANA CHINCHILLA LEMUS</t>
  </si>
  <si>
    <t>MARIO DAGOBERTO CRISOSTOMO MACARIO</t>
  </si>
  <si>
    <t>ALBERTO SANDOVAL SANTIAGO</t>
  </si>
  <si>
    <t>ELMER FELIPE RODAS</t>
  </si>
  <si>
    <t>LESLIE XIOMARA LÓPEZ CHACÓN</t>
  </si>
  <si>
    <t>MIRIAM SUSANA ARGÜELLO</t>
  </si>
  <si>
    <t>ROGER UNBERTO CASTRO MARTINES</t>
  </si>
  <si>
    <t xml:space="preserve">ASESOR PROFESIONAL ESPECIALIDADO IV </t>
  </si>
  <si>
    <t xml:space="preserve">ASESOR PROFESIONAL ESPECIALIZADO II </t>
  </si>
  <si>
    <t>ALMA SARA VAZQUEZ GRAMAJO</t>
  </si>
  <si>
    <t>DIRECTOR TECNICO I</t>
  </si>
  <si>
    <t>PROFESIONAL FINANCIERO I (0000) SIN ESPECIALIDAD (0000)</t>
  </si>
  <si>
    <t xml:space="preserve">PEDRO LAZARO SUAREZ PEREZ </t>
  </si>
  <si>
    <t xml:space="preserve">RIGOBERTO ARMANDO SEB COC </t>
  </si>
  <si>
    <t xml:space="preserve">ROBERTO ANDRE FRANCO </t>
  </si>
  <si>
    <t>ROBERTO FRANCISCO ACU CASTILLO</t>
  </si>
  <si>
    <t>ENCARGADO DE CALIFICAR ESPECTACULOS (0000) SIN ESPECIALIDAD (0000)</t>
  </si>
  <si>
    <t>ROLANDO CALLEJAS OJOT</t>
  </si>
  <si>
    <t>RONNIE EDUARDO GONZALEZ RAMOS</t>
  </si>
  <si>
    <t>ROSELIA ALVARADO BARRIOS DE MONROY</t>
  </si>
  <si>
    <t>SERGIO RAFAEL PAZ MALDONADO</t>
  </si>
  <si>
    <t>SEVERIANO YOTZ UJPAN</t>
  </si>
  <si>
    <t>SHERLIN VIRGINIA JAUCH AGUSTIN</t>
  </si>
  <si>
    <t>SILVIA VICTORIA ALVARADO BARILLAS</t>
  </si>
  <si>
    <t>SONIA MARITZA AGUILAR DE COLINDRES</t>
  </si>
  <si>
    <t xml:space="preserve">TORIBIO AJ CANIL </t>
  </si>
  <si>
    <t>VANIA ISABEL VARGAS MORALES</t>
  </si>
  <si>
    <t xml:space="preserve">VICTOR YOL QUISQUINAY </t>
  </si>
  <si>
    <t>VIDAL ESTUARDO SARAVIA CASTILLO</t>
  </si>
  <si>
    <t>WALTER FERNANDO MAYEN CATALAN</t>
  </si>
  <si>
    <t>WALTER RENE SAUCEDO RODRIGUEZ</t>
  </si>
  <si>
    <t>WILFRIDO ORIEL ALVAREZ LOPEZ</t>
  </si>
  <si>
    <t>WILLIAMS AUGUSTO CORADO MENA</t>
  </si>
  <si>
    <t>WILSON DANIEL IXCOY MORAN</t>
  </si>
  <si>
    <t>ZAIDA ELIZABETH QUIÑONEZ AJVIX DE ALONZO</t>
  </si>
  <si>
    <t>ZOILA MARISOL ZEPEDA QUIÑONEZ</t>
  </si>
  <si>
    <t>LESLIE MATILDE ZAMORA TRINIDAD DE ESTRADA</t>
  </si>
  <si>
    <t>CARLOS HUMBERTO MURALLES VASQUEZ</t>
  </si>
  <si>
    <t>AMILCAR ANTONIO ROSALES MIRANDA</t>
  </si>
  <si>
    <t>NELSON GEOVANY CETINO CETINO</t>
  </si>
  <si>
    <t>ADIN GIANCARLO RUBIO TREJO</t>
  </si>
  <si>
    <t>VICTOR ARMANDO RUIZ MINER</t>
  </si>
  <si>
    <t>MARVIN ESTEBAN CORTEZ BAC</t>
  </si>
  <si>
    <t>MIGUEL ANGEL GUZMAN ALVARADO</t>
  </si>
  <si>
    <t>ROCIO RIVAS TOMAS</t>
  </si>
  <si>
    <t>JAVIER ELISEO TENAS GONZALEZ</t>
  </si>
  <si>
    <t>BRAYAN LEONEL SEGURA MAZARIEGOS</t>
  </si>
  <si>
    <t>LUIS FREDERICK VANEGAS ALVARADO</t>
  </si>
  <si>
    <t>WILLIAM RICARDO SARMIENTOS CASTILLO</t>
  </si>
  <si>
    <t>PILOTO II</t>
  </si>
  <si>
    <t>JUVENTINO CHAVAC SET</t>
  </si>
  <si>
    <t>BODEGUERO IV</t>
  </si>
  <si>
    <t>WALTER ADOLFO ORELLANA SANDOVAL</t>
  </si>
  <si>
    <t>FRANCISCO MORALES SANTOS</t>
  </si>
  <si>
    <t>SEBASTIANA LASTOR MENDEZ</t>
  </si>
  <si>
    <t>HEBER DANIEL POGGIO COLINDRES</t>
  </si>
  <si>
    <t>IVAN POZO GONZALEZ</t>
  </si>
  <si>
    <t>CRISTOBAL ROLANDO VEGA CARRILLO</t>
  </si>
  <si>
    <t>MANUEL ABELARDO CANIZALES CRUZ</t>
  </si>
  <si>
    <t>MARIO FERNANDO CARDONA RIOS</t>
  </si>
  <si>
    <t>DANIEL ROBERTO CUX NOTZ</t>
  </si>
  <si>
    <t>MARIELA DEL ROSARIO CHOJLAN COJULUM DE QUISQUE</t>
  </si>
  <si>
    <t>ANGEL MANUEL CHAVEZ VASQUEZ</t>
  </si>
  <si>
    <t xml:space="preserve">AURA ELIZABETH FERNANDEZ  CASTELLANOS DE RUEDAS </t>
  </si>
  <si>
    <t>BLANCA ESTELA MORAN MUÑOZ</t>
  </si>
  <si>
    <t>BLANDINA LUDIBEL PELAEZ HERRERA</t>
  </si>
  <si>
    <t xml:space="preserve">CARLOS ARMANDO ORTEGA GONZALEZ </t>
  </si>
  <si>
    <t xml:space="preserve">CRISTIAN ESTUARDO TOLEDO GUZMAN </t>
  </si>
  <si>
    <t>DANNERY MARTALILIA PAIZ FLORES</t>
  </si>
  <si>
    <t>DAVID ESTUARDO GONZALEZ TORRES</t>
  </si>
  <si>
    <t>EDGAR LEONEL ARTIGA JUAREZ</t>
  </si>
  <si>
    <t>EDGAR TOMAS PERUCH HERRERA</t>
  </si>
  <si>
    <t>EDGAR VICTORIANO OSORIO GONZALEZ</t>
  </si>
  <si>
    <t>ELDER LEONEL MORALES VASQUEZ</t>
  </si>
  <si>
    <t xml:space="preserve">ESTUARDO ELISEO TOMAS VELASQUEZ </t>
  </si>
  <si>
    <t xml:space="preserve">ESVIN OBDULIO ROSALES QUIXTAN </t>
  </si>
  <si>
    <t xml:space="preserve">EVELYN ODETH GONZALEZ BOCHE </t>
  </si>
  <si>
    <t>FLOR DE MARIA VIELMAN VASQUEZ</t>
  </si>
  <si>
    <t>FRANCISCO JAVIER GAITAN PEREZ</t>
  </si>
  <si>
    <t>GABRIELA ALEJANDRA MORALES CHAVEZ</t>
  </si>
  <si>
    <t>GRISELDA LISSETTE GONZALEZ VEGA</t>
  </si>
  <si>
    <t xml:space="preserve">HEVER IVAN HERNANDEZ JUAREZ </t>
  </si>
  <si>
    <t>ISAIAS IVAN CASTILLO GONZALEZ</t>
  </si>
  <si>
    <t>JENNIFER LORENA GONZALES SOLARES</t>
  </si>
  <si>
    <t>JORGE LUIS RODRIGUEZ VELASQUEZ</t>
  </si>
  <si>
    <t>JUAN FRANCISCO VELASQUEZ CAMAJA</t>
  </si>
  <si>
    <t>LOIDY ABIGAIL CITALAN PAC</t>
  </si>
  <si>
    <t>LUIS ALEJANDRO GONZALEZ HERNANDEZ</t>
  </si>
  <si>
    <t>MARTIN  RANCHO CONCOGUA</t>
  </si>
  <si>
    <t>MINOR ENRIQUE HERNANDEZ ROSALES</t>
  </si>
  <si>
    <t>NIMEIRY MORALES  GUZMAN</t>
  </si>
  <si>
    <t>OSMAR ESTUARDO MELIA GRIFFTH</t>
  </si>
  <si>
    <t>ASISTENTE EDITOR DE ARTES GRAFICAS IV (0000), SIN ESPECIALIDAD (0000)</t>
  </si>
  <si>
    <t>VICENTE RUFINO GONZALEZ OBANDO</t>
  </si>
  <si>
    <t>VICENTE VENANCIO SANTIZO VELASQUEZ</t>
  </si>
  <si>
    <t>EVER ALFONSO RAMOS HERNANDEZ</t>
  </si>
  <si>
    <t>MARVIN ESTUARDO SEQUEN BOROR</t>
  </si>
  <si>
    <t>ANA GALVEZ SUN</t>
  </si>
  <si>
    <t xml:space="preserve">TECNICO DEL CENTRO (0000) SIN ESPECIALIDAD (0000) </t>
  </si>
  <si>
    <t>TECNICO DE ESCUELA (0000) SIN ESPECIALIDAD (0000)</t>
  </si>
  <si>
    <t xml:space="preserve">CARLOS JAVIER PEREZ CORZANTES </t>
  </si>
  <si>
    <t xml:space="preserve">EDGAR NOE XALIX ESQUIT </t>
  </si>
  <si>
    <t>EDWIN JAHZEEL ESTRADA JIMENEZ</t>
  </si>
  <si>
    <t>ELFIDO JOSE AYALA LIMA</t>
  </si>
  <si>
    <t xml:space="preserve">EMILIANO PEREZ SICA </t>
  </si>
  <si>
    <t xml:space="preserve">FATIMA YOLISETH GUERRA PEREZ DE REYES </t>
  </si>
  <si>
    <t>TECNICO DE CONTABILIDAD I (0000), SIN ESPECIALIDAD (0000)</t>
  </si>
  <si>
    <t>FULVIA GREIS SIM CUCA DE PEREZ</t>
  </si>
  <si>
    <t>HECTOR HERMAN ALVAREZ OROZCO</t>
  </si>
  <si>
    <t xml:space="preserve">JAIME JOSE ANDRES IXCOL VELASQUEZ </t>
  </si>
  <si>
    <t>JENNIFER IVONNE CASTILLO MERIDA</t>
  </si>
  <si>
    <t>JORGE AUGUSTO PEREZ LUNA</t>
  </si>
  <si>
    <t>JOSE  DAMIAN CUMES TUY</t>
  </si>
  <si>
    <t xml:space="preserve">JOSE ARMANDO MUÑOZ MOLINA </t>
  </si>
  <si>
    <t>JOSE FERNANDO AGUILAR FERRER</t>
  </si>
  <si>
    <t>JOSE LUIS VELASQUEZ CIFUENTES</t>
  </si>
  <si>
    <t xml:space="preserve">JOSE RAYMUNDO BAMAC </t>
  </si>
  <si>
    <t>JOSE ROLANDO CANTEO PIRIR</t>
  </si>
  <si>
    <t>JUAN JOSE CHANCHAVAC POROJ</t>
  </si>
  <si>
    <t>JUAN JOSE ESCOBAR MOX</t>
  </si>
  <si>
    <t>JULIAN COCHE MENDOZA</t>
  </si>
  <si>
    <t>JULIO CESAR NAVAS MENDEZ</t>
  </si>
  <si>
    <t>KEVIN OSMAN PEREZ QUIÑONEZ</t>
  </si>
  <si>
    <t>LILY ONELIA MENDEZ SARAT</t>
  </si>
  <si>
    <t>LUIS FERNANDO PEREZ MOLINA</t>
  </si>
  <si>
    <t>MARIO NOE MENDEZ MORALES</t>
  </si>
  <si>
    <t>MAYNOR MAURICIO PEREZ HERNANDEZ</t>
  </si>
  <si>
    <t>PABLO NOEL ALVA MERIDA</t>
  </si>
  <si>
    <t xml:space="preserve">PATRICIA EMIGDIA ROBLERO PEREZ </t>
  </si>
  <si>
    <t>TECNICO DE SONIDO II (0000) SIN ESPECIALIDAD (0000)</t>
  </si>
  <si>
    <t>ROXANA MARIBEL VALDEZ BARRIOS</t>
  </si>
  <si>
    <t>JOSE MIGUEL RECINOS BOCHE</t>
  </si>
  <si>
    <t>JEFE DE DEPARTAMENTO TECNICO II (0000) SIN ESPECIALIDAD (0000)</t>
  </si>
  <si>
    <t>JOSE RICARDO SANTOS AGUILAR</t>
  </si>
  <si>
    <t>SILVIA CAROLINA JEREZ CRUZ</t>
  </si>
  <si>
    <t>HUGO LEONEL ARENAS AMEZQUITA</t>
  </si>
  <si>
    <t>LIQUIDO</t>
  </si>
  <si>
    <t>MONTEPIO</t>
  </si>
  <si>
    <t>DOCENTE ARTISTICO 25 PERIODOS (0000) SIN ESPECIALIDAD (0000)</t>
  </si>
  <si>
    <t xml:space="preserve">ALFREDO DAVID CHOLOTIO VASQUEZ </t>
  </si>
  <si>
    <t xml:space="preserve">ALOM MARIELA ESTRADA GARCIA </t>
  </si>
  <si>
    <t>DOCENTE ARTISTICO 20 PERIODOS (0000) SIN ESPECIALIDAD (0000)</t>
  </si>
  <si>
    <t>ANA PATRICIA MARROQUIN ACUÑA</t>
  </si>
  <si>
    <t>ANGEL BAUDILIO CANREY MARROQUIN</t>
  </si>
  <si>
    <t>ARNOLDO JOSE HERNANDEZ DIAZ</t>
  </si>
  <si>
    <t>AUGUSTO RENE YOL ORTIZ</t>
  </si>
  <si>
    <t>ASISTENTE ARTISTICO III (0000) SIN ESPECIALIDAD (0000)</t>
  </si>
  <si>
    <t>DOCENTE ARTISTICO 22 PERIODOS (0000) SIN ESPECIALIDAD (0000)</t>
  </si>
  <si>
    <t>CONRADO ROVELSI AGUSTIN GARCIA</t>
  </si>
  <si>
    <t>CRISTINA FLORIDALMA RAMIREZ FLORES DE ESPAÑA</t>
  </si>
  <si>
    <t>DINA RUBALI OCHOA ESCOBAR</t>
  </si>
  <si>
    <t>EDDY ALEXANDER DIAZ DE LA ROCA</t>
  </si>
  <si>
    <t>ELIAS NEHEMIAS JIMENEZ TRACHTENBERG</t>
  </si>
  <si>
    <t>EMILDA MARIA ALEJANDRA FLORES GARCIA</t>
  </si>
  <si>
    <t xml:space="preserve">ERWIN ANTONIO MARTINEZ SANDOVAL </t>
  </si>
  <si>
    <t>FERNANDO ROBERTO DIAZ DUARTE</t>
  </si>
  <si>
    <t>DOCENTE ARTISTICO 21 PERIODOS (0000) SIN ESPECIALIDAD (0000)</t>
  </si>
  <si>
    <t xml:space="preserve">GASPAR IGNACIO CHOLOTIO CHOLOTIO </t>
  </si>
  <si>
    <t>JENER SEBASTIAN ACEYTUNO GARCIA</t>
  </si>
  <si>
    <t>JOSE ARMANDO CHACACH CALI</t>
  </si>
  <si>
    <t>JOSE BENITO GARCIA</t>
  </si>
  <si>
    <t>DOCENTE ARTISTICO 17 PERIODOS (0000) SIN ESPECIALIDAD (0000)</t>
  </si>
  <si>
    <t>JUAN ALEXANDER SALAZAR RAMIREZ</t>
  </si>
  <si>
    <t>JUAN MANUEL MAGAÑA MEJIA</t>
  </si>
  <si>
    <t>DOCENTE ARTISTICO 14 PERIODOS (0000) SIN ESPECIALIDAD (0000)</t>
  </si>
  <si>
    <t>LIGIA MARIA RENEE SALAZAR FLORES</t>
  </si>
  <si>
    <t>LUIS ALBERTO VALENZUELA RAMIREZ</t>
  </si>
  <si>
    <t>LUIS HUMBERTO MARTINEZ VELASQUEZ</t>
  </si>
  <si>
    <t>MARIA FELISSA TURCIOS PARADA</t>
  </si>
  <si>
    <t>MARIA JOSE DIAZ MENDEZ DE TEZEN</t>
  </si>
  <si>
    <t xml:space="preserve">MARIA JOSE GONZALEZ CASTILLO </t>
  </si>
  <si>
    <t>MARIA MORALES PANJOJ</t>
  </si>
  <si>
    <t>MARIA SANTOS IQUITE SEQUEN</t>
  </si>
  <si>
    <t>MARICRUZ DIAZ ARANA</t>
  </si>
  <si>
    <t>MARIO RENE BATZIN SICAJAU</t>
  </si>
  <si>
    <t>MARLON DAVID GUZMAN PEREZ</t>
  </si>
  <si>
    <t>MARVIN ARTURO ESCOBAR MARROQUIN</t>
  </si>
  <si>
    <t>MAYRA PATRICIA MARTINEZ GALEANO</t>
  </si>
  <si>
    <t>MAYTE MANUELA SANDOVAL ECHEVERRIA</t>
  </si>
  <si>
    <t>NERY ESTUARDO ESCOBAR MARROQUIN</t>
  </si>
  <si>
    <t>REBECA MONTEAGUDO RODRIGUEZ</t>
  </si>
  <si>
    <t>ROLAND STEPHEN AGUSTIN GARCIA</t>
  </si>
  <si>
    <t>ROMEO ESTUARDO GONZALEZ MEJIA</t>
  </si>
  <si>
    <t>ROSA MARGARITA SILVESTRE DIAZ</t>
  </si>
  <si>
    <t>RUTH NOEMI CONDE RUSTRIAN</t>
  </si>
  <si>
    <t>RUTH NOEMI PORRES RUIZ DE CASTAÑEDA</t>
  </si>
  <si>
    <t>SEBASTIANA MARCELINA IXMUCANE MARTIN VENTURA</t>
  </si>
  <si>
    <t>WILSON GUILLERMO AMILCAR ORTIZ ORDOÑEZ</t>
  </si>
  <si>
    <t>WAINER BRILLANI SAENZ MARTINEZ</t>
  </si>
  <si>
    <t>RUBEN DARIO RAMIREZ Y RAMIREZ</t>
  </si>
  <si>
    <t>MARCO TULIO RAMIREZ HERNANDEZ</t>
  </si>
  <si>
    <t>DIRECCION GENERAL DE LAS ARTES</t>
  </si>
  <si>
    <t>ABEL ELISEO PEREZ LOPEZ</t>
  </si>
  <si>
    <t>ALAN XAVIER GOMEZ ORELLANA</t>
  </si>
  <si>
    <t>ALMA MANUELA CASTRO GOMEZ</t>
  </si>
  <si>
    <t>ARON EMILIO ARMAS MENDOZA</t>
  </si>
  <si>
    <t>BRENDA LUCRECIA DE LEON BLANCO</t>
  </si>
  <si>
    <t>CARLOS BRYANNT ALEJANDRO LOPEZ RODAS</t>
  </si>
  <si>
    <t>CARLOS VINICIO MEJIA GOMEZ</t>
  </si>
  <si>
    <t>CLAUDIA VERONICA LOPEZ GUILLEN</t>
  </si>
  <si>
    <t>CONCEPCION SUQUE CONCOGUA</t>
  </si>
  <si>
    <t>DAVID GERARDO SANTIZO CHAJON</t>
  </si>
  <si>
    <t>EDGAR LEONEL LOPEZ VICENTE</t>
  </si>
  <si>
    <t>EDNA YESENIA CAMO ALDANA</t>
  </si>
  <si>
    <t>JEFE DE SECCION DE SERVICIOS GENERALES (0000), SIN ESPECIALIDAD (0000)</t>
  </si>
  <si>
    <t xml:space="preserve">ELY NEFTALY DE LEON MEDINA </t>
  </si>
  <si>
    <t>ENMA ANITA ESTRADA LOPEZ DE CALDERON</t>
  </si>
  <si>
    <t>ERICK AMILCAR PEREZ LOPEZ</t>
  </si>
  <si>
    <t>ERWIN DANILO CARCAMO LOPEZ</t>
  </si>
  <si>
    <t xml:space="preserve">ESTUARDO ADOLFO LOPEZ CHIAN </t>
  </si>
  <si>
    <t xml:space="preserve">EVA MARIA DE LEON BLANCO </t>
  </si>
  <si>
    <t>FELIX ANTONIO MERIDA LOPEZ</t>
  </si>
  <si>
    <t xml:space="preserve">FRESCIA ZULEMA ESTRADA LOPEZ </t>
  </si>
  <si>
    <t>GERMAN FERNANDO RAXON  EQUITE</t>
  </si>
  <si>
    <t xml:space="preserve">GERSON PASCUAL LOPEZ JACINTO </t>
  </si>
  <si>
    <t>GLENDY PAOLA PALACIOS GOMEZ DE CASTILLO</t>
  </si>
  <si>
    <t>HECTOR ROMEO LOPEZ PORON</t>
  </si>
  <si>
    <t>INGRID JOHANA CHAJON TOXCON</t>
  </si>
  <si>
    <t xml:space="preserve">IRMA YOLANDA LOPEZ VARGAS </t>
  </si>
  <si>
    <t>JEFE DE SECCION DE INVENTARIOS (0000), SIN ESPECIALIDAD (0000)</t>
  </si>
  <si>
    <t>JACKELLINE SUCELI ESTEBAN MONZON</t>
  </si>
  <si>
    <t xml:space="preserve">JEDLEY ESTIVENS LOPEZ ARDON </t>
  </si>
  <si>
    <t>JORGE ERNESTO RODAS LOPEZ</t>
  </si>
  <si>
    <t>JOSUE EMERSON CHICOL SIMON</t>
  </si>
  <si>
    <t>JUVENTINO CORONADO LOPEZ</t>
  </si>
  <si>
    <t>LEDY DINAEL GOMEZ APEN</t>
  </si>
  <si>
    <t>JEFE DE SECCION DE TESORERIA (0000) SIN ESPECIALIDA (0000)</t>
  </si>
  <si>
    <t>JEFE SECCION DE PRESUPUESTO (0000) SIN ESPECIALIDAD (0000)</t>
  </si>
  <si>
    <t>LUIS EDUARDO DIEGUEZ LOPEZ</t>
  </si>
  <si>
    <t>MAINOR RAMON CABRERA GOMEZ</t>
  </si>
  <si>
    <t>MANUELA CONCEPCION LOPEZ COLOP</t>
  </si>
  <si>
    <t>MARCOS ESTEBAN SAQUICH LOPEZ</t>
  </si>
  <si>
    <t>MARGARITO LOPEZ GARCIA</t>
  </si>
  <si>
    <t>MARIO FERNANDO LOPEZ CLARA</t>
  </si>
  <si>
    <t>MARTA YOLANDA MOGOLLON</t>
  </si>
  <si>
    <t>NICOLASA MARIBEL GARCIA LOPEZ</t>
  </si>
  <si>
    <t>PABLO JOSE LOPEZ MATEO</t>
  </si>
  <si>
    <t>SHIRLEY PATRICIA PANTALEON OROZCO</t>
  </si>
  <si>
    <t>YESSICA REBECA MONZON SANCHEZ</t>
  </si>
  <si>
    <t>JOSE FERNANDO LOPEZ ORTIZ</t>
  </si>
  <si>
    <t>DEMECIO DARIO HIDALGO GOMEZ</t>
  </si>
  <si>
    <t>SHARON KATHERINE AVILA CALDERON</t>
  </si>
  <si>
    <t>ABELINO TOT (UNICO APELLIDO)</t>
  </si>
  <si>
    <t>ANA LUCINDA URQUIZU SANCHEZ</t>
  </si>
  <si>
    <t>CARLOS DE JESUS SANTOS SACU</t>
  </si>
  <si>
    <t>CHRISTIAN RODOLFO FERRER BERDUO</t>
  </si>
  <si>
    <t>EDGAR FRANCISCO PU ROSALES</t>
  </si>
  <si>
    <t>LORENZO VELASQUEZ (UNICO APELLIDO)</t>
  </si>
  <si>
    <t>OLIVER JESUS RIVAS VASQUEZ</t>
  </si>
  <si>
    <t>PEDRO ALFONSO GOMEZ (UNICO APELLIDO)</t>
  </si>
  <si>
    <t xml:space="preserve">RAUL ANTONIO LOARCA CASTILLO </t>
  </si>
  <si>
    <t>ROBERTO CHUB (UNICO APELLIDO)</t>
  </si>
  <si>
    <t>ROGER DAVID GUZMAN MORALES</t>
  </si>
  <si>
    <t xml:space="preserve">ZUSI ESMERALDA DE LEON MERIDA DE ROLDAN </t>
  </si>
  <si>
    <t>HELEN SUSANA ENRIQUEZ LOPEZ</t>
  </si>
  <si>
    <t>JESUS ANTONIO ORTIZ LAPOYEU</t>
  </si>
  <si>
    <t>FELIPE DE JESUS CHOCOYO SIAN</t>
  </si>
  <si>
    <t>FRED ADONIRAM BOROR EQUITE</t>
  </si>
  <si>
    <t>DOCENTE ARTISTICO 18 PERIODOS -SIN ESPECIALIDAD-</t>
  </si>
  <si>
    <t>MADELEIN ALEJANDRA ESCOBAR ORELLANA</t>
  </si>
  <si>
    <t>GABRIELA DEL ROSARIO ZAMORA ARENALES</t>
  </si>
  <si>
    <t>MANUEL ANTONIO DE LEON ESTRADA</t>
  </si>
  <si>
    <t>VICTOR MANUEL SOLIS RAMOS</t>
  </si>
  <si>
    <t>MARLON PAUL DONIS MARTINEZ</t>
  </si>
  <si>
    <t>LUCAS ANANIAS XURUC ROSALES</t>
  </si>
  <si>
    <t>NEVALI ISMAEL GONZALEZ GONZALEZ</t>
  </si>
  <si>
    <t>GANDHI EMANUEL PONCE JUAREZ</t>
  </si>
  <si>
    <t xml:space="preserve">IGNACIO VICENTE COJON </t>
  </si>
  <si>
    <t>DIRECTOR TECNICO II</t>
  </si>
  <si>
    <t>JORGE ABEL MONTERROSO SANTIZO</t>
  </si>
  <si>
    <t>FRANCISCO JAVIER VEGA ALVIZURES</t>
  </si>
  <si>
    <t>SAQUEO DOMINGO PEREZ CHOLOTIO</t>
  </si>
  <si>
    <t>SHEILA VERONICA RAMIREZ DE ALONZO</t>
  </si>
  <si>
    <t>ALVA CONSUELO LOPEZ MORENO DE VIDES</t>
  </si>
  <si>
    <t>LUIS FELIPE GOMEZ CADENAS</t>
  </si>
  <si>
    <t>MANUELA ANTONIA SARA MENDOZA LOPEZ</t>
  </si>
  <si>
    <t>TOTALES</t>
  </si>
  <si>
    <t>SERVICIOS PROFESIONALES</t>
  </si>
  <si>
    <t>ALVARO ENRIQUE VELIZ ROSALES</t>
  </si>
  <si>
    <t>LUCIA DOLORES ARMAS GALVEZ</t>
  </si>
  <si>
    <t xml:space="preserve">DIRECTOR TECNICO II </t>
  </si>
  <si>
    <t>ASISTENTE ADMINISTRATIVO IV (0000) SIN ESPECIALIDAD (0000)</t>
  </si>
  <si>
    <t>OSCAR REYNALDO ORELLANA RUBIO</t>
  </si>
  <si>
    <t>YOSSEF GABRIEL RIVAS LOARCA</t>
  </si>
  <si>
    <t>OSCAR EDUARDO DAVILA GOMEZ</t>
  </si>
  <si>
    <t>ZONIA DALILA ERAZO CRUZ</t>
  </si>
  <si>
    <t>COORDINADOR DE ACADEMIAS (0000) SIN ESPECIALIDAD (0000)</t>
  </si>
  <si>
    <t>CARLOS ALBERTO DONIS GONZALEZ</t>
  </si>
  <si>
    <t>LESLIE ANELISSE ROMERO HERNANDEZ</t>
  </si>
  <si>
    <t>ANA LUCIA MENDIZABAL RUIZ</t>
  </si>
  <si>
    <t>OSWALDO ANTONIO OLIVAREZ MORENO</t>
  </si>
  <si>
    <t>JORGE ANTONIO CHUB POP</t>
  </si>
  <si>
    <t>HUGO ARMANDO GUTIERREZ  MORALES</t>
  </si>
  <si>
    <t>SILVIA PAMELA DOMINGUEZ MÉNDEZ DE ESCOBAR</t>
  </si>
  <si>
    <t>ASISTENTE DE PRESUPUESTO II (0000) SIN ESPECIALIDAD (0000)</t>
  </si>
  <si>
    <t>CLESMY CARMINA LÓPEZ DE LEMUS</t>
  </si>
  <si>
    <t>OLGA LORENA CIFUENTES GARCIA DE CIFUENTES</t>
  </si>
  <si>
    <t>ASISTENTE ADMINISTRATIVO III (0000) SIN ESPECIALIDAD (0000)</t>
  </si>
  <si>
    <t>ASISTENTE ADMINISTRATIVO V (0000) SIN ESPECIALIDAD (0000)</t>
  </si>
  <si>
    <t>ASISTENTE ARTISTICO IV (0000) SIN ESPECIALIDAD (0000)</t>
  </si>
  <si>
    <t xml:space="preserve">ASISTENTE DE RECURSOS HUMANOS II (0000) SIN ESPECIALIDAD (0000)  </t>
  </si>
  <si>
    <t>ASISTENTE DE RECURSOS HUMANOS I (0000) SIN ESPECIALIDAD (0000)</t>
  </si>
  <si>
    <t>ASISTENTE DE RELACIONES PUBLICAS  (0000) SIN ESPECIALIDAD (0000)</t>
  </si>
  <si>
    <t>AUXILIAR II (0000) SIN ESPECIALIDAD (0000)</t>
  </si>
  <si>
    <t>AUXILIAR PROFESIONAL ADMINISTRATIVO I (0000) SIN ESPECIALIDAD (0000)</t>
  </si>
  <si>
    <t>DIRECTOR ARTISTICO (0000) SIN ESPECIALIDAD (0000)</t>
  </si>
  <si>
    <t>DOCENTE ARTISTICO 24 PERIODOS (000) SIN ESPECIALIDAD (0000)</t>
  </si>
  <si>
    <t>ESCENOGRAFO (0000) SIN ESPECIALIDAD (0000)</t>
  </si>
  <si>
    <t>INSPECTOR DE ESPECTACULOS (0000) SIN ESPECIALIDAD (0000)</t>
  </si>
  <si>
    <t>JEFE ARTISTICO I (0000) SIN ESPECIALIDAD (0000)</t>
  </si>
  <si>
    <t>JEFE DE CONSERVATORIO NACIONAL (0000) SIN ESPECIALIDAD (0000)</t>
  </si>
  <si>
    <t>JEFE SECCION DE ALMACEN (0000) SIN ESPECIALIDAD (0000)</t>
  </si>
  <si>
    <t>MAESTRO ARTISTICO III (0000) SIN ESPECIALIDAD (0000)</t>
  </si>
  <si>
    <t xml:space="preserve">MENSAJERO I (0000) SIN ESPECIALIDAD (0000)  </t>
  </si>
  <si>
    <t>PROFESIONAL JURIDICO I(0000) SIN ESPECIALIDAD (0000)</t>
  </si>
  <si>
    <t>PROMOTOR ARTISTICO (0000) SIN ESPECIALIDAD (0000)</t>
  </si>
  <si>
    <t>SUBJEFE DE DEPARTAMENTO TECNICO II (0000) SIN ESPECIALIDAD (0000)</t>
  </si>
  <si>
    <t>SUPERVISOR DE TAQUILLA (0000) SIN ESPECIALIDAD (0000)</t>
  </si>
  <si>
    <t>TECNICO DE ALMACEN I (0000) SIN ESPECIALIDAD (0000)</t>
  </si>
  <si>
    <t>TRABAJADOR ESPECIALIZADO III (0000) SIN ESPECIALIDAD (0000)</t>
  </si>
  <si>
    <t>VIGILANTE JEFE (0000) SIN ESPECIALIDAD (0000)</t>
  </si>
  <si>
    <t>RAQUEL YESICA RAFAELA ARGUETA VELÁSQUEZ</t>
  </si>
  <si>
    <t>TOTAL  DESCUENTOS</t>
  </si>
  <si>
    <t>HILARIA MARÍA GUZMÁN HERNÁNDEZ</t>
  </si>
  <si>
    <t>ASISTENTE PEDAGOGO</t>
  </si>
  <si>
    <t>VILMA ARACELY ORELLANA RECINOS DE HERRERA</t>
  </si>
  <si>
    <t>HECTOR MACZ TOC</t>
  </si>
  <si>
    <t>ADRIANA MARIA VALDEZ DARDÓN</t>
  </si>
  <si>
    <t>DIRECTOR ARTÍSTICO</t>
  </si>
  <si>
    <t>MARY ALEJANDRA MANCILLA BALCÁRCEL</t>
  </si>
  <si>
    <t>MARIA GUISELA RODRIGUEZ CHACON</t>
  </si>
  <si>
    <t>ALFREDO LEMUS VASQUEZ</t>
  </si>
  <si>
    <t>ANTONIO CACERES</t>
  </si>
  <si>
    <t>ELVIS BERTONI FIGUEROA JUAREZ</t>
  </si>
  <si>
    <t>IRMA YOLANDA DE PAZ GONZALEZ</t>
  </si>
  <si>
    <t>LORENZO GRANDE AVILA</t>
  </si>
  <si>
    <t>MIGUEL ANGEL VELASQUEZ</t>
  </si>
  <si>
    <t>YANIS AHILIN POL VASQUEZ</t>
  </si>
  <si>
    <t>CESAR AUGUSTO BORRAYO ORDOÑEZ</t>
  </si>
  <si>
    <t>EMILIO CHAVEZ CHAMALE</t>
  </si>
  <si>
    <t>FABIAN CAPEN REYES</t>
  </si>
  <si>
    <t>HECTOR ROLANDO ZACARIAS RODRIGUEZ</t>
  </si>
  <si>
    <t>MIGUEL ANGEL PEREZ OSORIO</t>
  </si>
  <si>
    <t>ALEJANDRO DIAZ SOCOREC</t>
  </si>
  <si>
    <t>ANA MARIA PATZAN IQUITE</t>
  </si>
  <si>
    <t>EFRAIN RODRIGUEZ CANO</t>
  </si>
  <si>
    <t>ELIAS CHICOP YUCUTE</t>
  </si>
  <si>
    <t>ELISA MARIA ALEJANDRA ESCOBAR CASTAÑEDA</t>
  </si>
  <si>
    <t>IRMA MARIVEL DIAZ RAMIREZ</t>
  </si>
  <si>
    <t>LEONEL DIAZ OROZCO</t>
  </si>
  <si>
    <t>MARIA DEL CARMEN CAAL POP</t>
  </si>
  <si>
    <t>MARIA FERNANDA GARCIA MIRANDA</t>
  </si>
  <si>
    <t>VICTOR BATZIN QUEL</t>
  </si>
  <si>
    <t>ALEJANDRO TELON SIMON</t>
  </si>
  <si>
    <t>ANA GABRIELA RAMIREZ  GOMEZ</t>
  </si>
  <si>
    <t>CONCEPCION CUC CHICOP</t>
  </si>
  <si>
    <t>DIANA MARITZA SAMAYOA CASTRO DE LOPEZ</t>
  </si>
  <si>
    <t>ELVIS ORLANDO SENTE CORDON</t>
  </si>
  <si>
    <t>ESTUARDO AUGUSTO PEÑATE CORDON</t>
  </si>
  <si>
    <t>ISRAEL SICAJAU JOLON</t>
  </si>
  <si>
    <t>JERONIMO RODRIGUEZ IXPATAJ</t>
  </si>
  <si>
    <t>JOSE ALBERTO GIRON CANTE</t>
  </si>
  <si>
    <t>JOSE RAMON AGUILAR ARISANDIETA</t>
  </si>
  <si>
    <t xml:space="preserve">LEON MUCUR IXJOTOP </t>
  </si>
  <si>
    <t>MILAGRO GOMEZ CABRERA</t>
  </si>
  <si>
    <t>NORMA JAQUELINE ARAGON</t>
  </si>
  <si>
    <t>SELVIN OTONIEL LOPEZ MIRANDA</t>
  </si>
  <si>
    <t>DANIEL CHOXIN BUCU</t>
  </si>
  <si>
    <t>OSCAR LEONEL SOCOREC BUCU</t>
  </si>
  <si>
    <t>SAUL ANTONIO BARRERA</t>
  </si>
  <si>
    <t>MARVIN ROLANDO YUCUTE CHICOP</t>
  </si>
  <si>
    <t>MARIELLA ODILIA MARISOL RODRIGUEZ GAMBONI</t>
  </si>
  <si>
    <t>Complemento Salarial</t>
  </si>
  <si>
    <t>Escalafon</t>
  </si>
  <si>
    <t>Bosa</t>
  </si>
  <si>
    <t>Bosin/ Bosia/Bosin 2</t>
  </si>
  <si>
    <t>Gastos de Representación</t>
  </si>
  <si>
    <t>Fianza</t>
  </si>
  <si>
    <t>ABEL ENRIQUE SANTOS GONZALEZ</t>
  </si>
  <si>
    <t>JEFE TECNICO ARTISTICO I</t>
  </si>
  <si>
    <t>se le descuenta en el Ministerio de Educación</t>
  </si>
  <si>
    <t>ABRAHAM CON CULAJAY</t>
  </si>
  <si>
    <t>TRABAJADOR OPERATIVO III</t>
  </si>
  <si>
    <t>ADA ABIGAIL CHITAY BAUTISTA</t>
  </si>
  <si>
    <t>TECNICO ARTISTICO II, MUSICA</t>
  </si>
  <si>
    <t>ADAN DE JESUS FIGUEROA RAMIREZ</t>
  </si>
  <si>
    <t>TECNICO ARTISTICO II</t>
  </si>
  <si>
    <t>ADRIANA BEATRIZ IXCOT REYES</t>
  </si>
  <si>
    <t>ALBERTO CUC SACTIC</t>
  </si>
  <si>
    <t xml:space="preserve">ALCIDES RENE ARGUETA  FERNANDEZ </t>
  </si>
  <si>
    <t>ALEX JOB SIS MORALES</t>
  </si>
  <si>
    <t>TECNICO ARTISTICO III</t>
  </si>
  <si>
    <t>ALEXIS RIGOBERTO MENDEZ HERNANDEZ</t>
  </si>
  <si>
    <t>ALFREDO QUEZADA PEREIRA</t>
  </si>
  <si>
    <t>ALMA ROSA ANA GAITAN DAVILA DE AREVALO</t>
  </si>
  <si>
    <t>ALVARO ALEXANDER REYES SAGASTUME</t>
  </si>
  <si>
    <t>ALVARO ANIBAL ORTIZ MARTINEZ</t>
  </si>
  <si>
    <t>TECNICO ARTISTICO I</t>
  </si>
  <si>
    <t>ALVARO DAVID  MENDEZ JERONIMO</t>
  </si>
  <si>
    <t>ALVARO DAVID CATE CHALI</t>
  </si>
  <si>
    <t>AMADEO ALVIZURES GARCIA</t>
  </si>
  <si>
    <t>ANA ALICIA VILLALTA SURUY</t>
  </si>
  <si>
    <t>TRABAJADOR OPERATIVO IV</t>
  </si>
  <si>
    <t>ANA GABRIELA MAZARIEGOS MORALES</t>
  </si>
  <si>
    <t>TECNICO ARTISTICO III 4 HRS.</t>
  </si>
  <si>
    <t>ANA LUCRECIA VELEZ PALACIOS</t>
  </si>
  <si>
    <t>TECNICO ARTISTICO II 5 PERIODOS</t>
  </si>
  <si>
    <t>ANA MARYLENA JEREZ MARROQUIN</t>
  </si>
  <si>
    <t>ANA SOFIA REYES GIL</t>
  </si>
  <si>
    <t>ANA SOFIA VILLAR ALVARADO</t>
  </si>
  <si>
    <t>ANDREA ALVAREZ QUIÑONEZ</t>
  </si>
  <si>
    <t>ANDREA MARIA GALDAMEZ CASTILLO</t>
  </si>
  <si>
    <t>ANGEL ROBERTO PEREZ CHAMALE</t>
  </si>
  <si>
    <t>ANGELICA CAROLINA GOMEZ ESTRADA</t>
  </si>
  <si>
    <t>ARMANDO HERNANDEZ GARCIA</t>
  </si>
  <si>
    <t>JEFE TECNICO ARTISTICO II</t>
  </si>
  <si>
    <t>AROLDO RAMON VICENTE PEREZ</t>
  </si>
  <si>
    <t>TRABAJADOR ESPECIALIZADO III</t>
  </si>
  <si>
    <t>ASTRID GEORGINE MARROQUIN</t>
  </si>
  <si>
    <t>AURA MARINA GOMEZ MAZATE</t>
  </si>
  <si>
    <t>PROFESIONAL II, ADMINISTRACION</t>
  </si>
  <si>
    <t>BAYRON RENE DARDON</t>
  </si>
  <si>
    <t>BLANCA ILEANA  FLORES MACARIO</t>
  </si>
  <si>
    <t>BLANCA LUZ DELGADO MORALES</t>
  </si>
  <si>
    <t>BYRON ABRAHAM GARCIA RECINOS</t>
  </si>
  <si>
    <t>TECNICO I</t>
  </si>
  <si>
    <t>CARLA EUGENIA JEREZ</t>
  </si>
  <si>
    <t>CARLOS EDUARDO GONZALEZ DE PAZ</t>
  </si>
  <si>
    <t>CARLOS ENRIQUE AJUCHAN CHOC</t>
  </si>
  <si>
    <t>CARLOS ENRIQUE GALDAMEZ CASTILLO</t>
  </si>
  <si>
    <t>CARLOS ESTUARDO GOMEZ MARTINEZ</t>
  </si>
  <si>
    <t>CARLOS OTONIEL GOMEZ TEXAJ</t>
  </si>
  <si>
    <t>CARLOS RAMIRO VIVAR AGUILAR</t>
  </si>
  <si>
    <t xml:space="preserve">TECNICO ARTISTICO II 5 PERIODOS Y JEFE TECNICO ARTISTICO I </t>
  </si>
  <si>
    <t>CARLOS ROBERTO CHALI CUJCUJ</t>
  </si>
  <si>
    <t>CARMEN ADELA HERNANDEZ LUNA</t>
  </si>
  <si>
    <t>CAROLA MISHELL MERIDA SAZO DE ARBIZU</t>
  </si>
  <si>
    <t>TECNICO ARTISTICO I, DANZA</t>
  </si>
  <si>
    <t>CARY MARYLIS MELENDEZ GARCIA</t>
  </si>
  <si>
    <t>TECNICO ARTISTICO I-DANZA</t>
  </si>
  <si>
    <t>CESAR ARMANDO ESTRADA DE LEON</t>
  </si>
  <si>
    <t xml:space="preserve">CESAR AUGUSTO AJAU BURRION </t>
  </si>
  <si>
    <t>TRABAJADOR ESPECIALIZADO II</t>
  </si>
  <si>
    <t>CESAR AUGUSTO MORALES PEREZ</t>
  </si>
  <si>
    <t>CESAR HIDARIO CANREY MARROQUIN</t>
  </si>
  <si>
    <t>CHRISTIAN ESCOBAR PALACIOS</t>
  </si>
  <si>
    <t>CINTIA PAOLA FLOR MARIA ALEJANDRA RAMIREZ URIZAR</t>
  </si>
  <si>
    <t>ASISTENTE PROFESIONAL IV</t>
  </si>
  <si>
    <t>CLAUDIA ISABEL LAMADRID AJANEL DE AZURDIA</t>
  </si>
  <si>
    <t>CLAUDIA KARINA SEGURA AFRE</t>
  </si>
  <si>
    <t>CLAUDIA LUCRECIA GARCIA GUTIERREZ</t>
  </si>
  <si>
    <t>CLAUDIA MARIA CHINCHILLA VETTORAZI DE DIAZ</t>
  </si>
  <si>
    <t>TECNICO ARTISTICO II 5 PERIODOS, 4 PLAZAS</t>
  </si>
  <si>
    <t>CLAUDIA MARIA GUADALUPE YAX ROSALES</t>
  </si>
  <si>
    <t>CRISTOBAL BUCU PUAC</t>
  </si>
  <si>
    <t>DAFNNE LISSETH FLORES LOPEZ</t>
  </si>
  <si>
    <t>DANIELA CELESTE ARRECIS HERNANDEZ</t>
  </si>
  <si>
    <t>DANY MOISES BARTOLOMIN MUTZUTZ</t>
  </si>
  <si>
    <t>DARIL RAMIRO OLIVA SIERRA</t>
  </si>
  <si>
    <t>DINA ANELISE SANTA CRUZ GALVEZ DE AGUILAR</t>
  </si>
  <si>
    <t>DISRAEL DARIN MANFREDY JOM HERNANDEZ</t>
  </si>
  <si>
    <t>TECNICO ARTISTICO II 25 PERIODOS</t>
  </si>
  <si>
    <t>DOMINGO ALEXANDER SOTZ LOPEZ</t>
  </si>
  <si>
    <t>EDDY LEONEL MONTENEGRO MORATAYA</t>
  </si>
  <si>
    <t>EDDY RENE YANTUCHE CUYAN</t>
  </si>
  <si>
    <t>EDGAR DIONICIO QUISQUINAY ALCOR</t>
  </si>
  <si>
    <t>EDGAR LEONEL SILVA GARCIA</t>
  </si>
  <si>
    <t>EDGAR RENE QUIÑONEZ PEREZ</t>
  </si>
  <si>
    <t>EDGAR RODOLFO ORTEGA MOLINA</t>
  </si>
  <si>
    <t>EDITH ALEIDA ZUCELY LOPEZ VASQUEZ</t>
  </si>
  <si>
    <t>TECNICO PROFESIONAL I</t>
  </si>
  <si>
    <t>EDWIN ALEXANDER MORA GUZMAN</t>
  </si>
  <si>
    <t>EDVIN ROLANDO MORA GUZMAN</t>
  </si>
  <si>
    <t>EDWIN ARNOLDO RAMIREZ MUÑOZ</t>
  </si>
  <si>
    <t>EDWIN ERNESTO CRUZ GONZALEZ</t>
  </si>
  <si>
    <t>EDWIN GIOVANNI CANO SALAZAR</t>
  </si>
  <si>
    <t>TRABAJADOR OPERATIVO II</t>
  </si>
  <si>
    <t>EDWIN HAROLD GUERRA BAÑOS</t>
  </si>
  <si>
    <t>ELVIA MARGOTH SANABRIA HERNANDEZ</t>
  </si>
  <si>
    <t xml:space="preserve">EMILIA COSIGUA SICAJAU </t>
  </si>
  <si>
    <t>ERICK DOUGLAS CORDOVA ARRIAZA</t>
  </si>
  <si>
    <t>ERICK ROLANDO PANIAGUA</t>
  </si>
  <si>
    <t>ERVIN MANUEL AJQUILL VELASQUEZ</t>
  </si>
  <si>
    <t>ESTHER OBREGON OLAYA DE FLORES</t>
  </si>
  <si>
    <t>EVELYN LUCIA HERNANDEZ LOPEZ</t>
  </si>
  <si>
    <t>OFICINISTA IV</t>
  </si>
  <si>
    <t>EVELYN SHIVONEE GODINEZ OROZCO</t>
  </si>
  <si>
    <t>EVERILDO VICTOR PEREZ CORONADO</t>
  </si>
  <si>
    <t>FELIPE SAULO RODRIGUEZ JERONIMO</t>
  </si>
  <si>
    <t>TECNICO ARTISTICO II 5 PERIODOS-EDUCACION ARTISTICA-429095</t>
  </si>
  <si>
    <t>FELIX ALBERTO AZURDIA MEJIA</t>
  </si>
  <si>
    <t>FERNANDO ISABEL VASQUEZ HERNANDEZ</t>
  </si>
  <si>
    <t>FIELDIN UDINE ROLDAN LEMUS</t>
  </si>
  <si>
    <t>FRANCISCO ALEJANDRO CASTRO ORDOÑEZ</t>
  </si>
  <si>
    <t>FRANCISCO JAVIER CASADO OCHOA</t>
  </si>
  <si>
    <t>FRANCISCO OTZOY TZAJ</t>
  </si>
  <si>
    <t>FRANQUIL RAUL DE LEON</t>
  </si>
  <si>
    <t>GABINO CHICOP YUCUTE</t>
  </si>
  <si>
    <t>GABRIELA MARIA CORLETO ORANTES</t>
  </si>
  <si>
    <t>GAD ESAU ECHEVERRIA GARCIA</t>
  </si>
  <si>
    <t>GERONIMO BACA SIQUE</t>
  </si>
  <si>
    <t xml:space="preserve">GERSON ANIBAL MALIN HERNANDEZ </t>
  </si>
  <si>
    <t>GIDIA MARILA GALVEZ QUIM</t>
  </si>
  <si>
    <t>OFICINISTA I</t>
  </si>
  <si>
    <t>GIOVANNI CLEMENTINO CIFUENTES DE LEON</t>
  </si>
  <si>
    <t>GLADYS ELIZABETH GARCIA ACEITUNO</t>
  </si>
  <si>
    <t>GRETCHEN FABIOLA BARNEOND MARTÍNEZ</t>
  </si>
  <si>
    <t>GREG JOSE DANIEL CISNEROS ARRIAGA</t>
  </si>
  <si>
    <t>TRABAJADO OPERATIVO  III</t>
  </si>
  <si>
    <t>GRUSCHENKA PAOLA SANDOVAL TOSCANO</t>
  </si>
  <si>
    <t>GUILLERMO ANTONIO LOPEZ JIMENEZ</t>
  </si>
  <si>
    <t>GUSTAVO ADOLFO GOMEZ GARCIA</t>
  </si>
  <si>
    <t>TECNICO ARTISTICO II 5 PERIODOS Y TECNICO ARTISTICO II</t>
  </si>
  <si>
    <t>HECTOR MAXIMILIANO CASTRO ZAYAS</t>
  </si>
  <si>
    <t>TECNICO ARTISTICO II 5 PERIODOS Y JEFE TECNICO ARTISTICO II</t>
  </si>
  <si>
    <t>HECTOR RENE MALDONADO SANDOVAL</t>
  </si>
  <si>
    <t>HECTOR ROLANDO AGUILAR OROZCO</t>
  </si>
  <si>
    <t>JEFE TECNICO ARTISTICO I-ADMINISTRACION EDUCATIVA</t>
  </si>
  <si>
    <t>HECTOR ROLANDO VELASQUEZ SAMAYOA</t>
  </si>
  <si>
    <t>TECNICO ARTISTICO II 1 HRA.Y JEFE ARTISTICO I</t>
  </si>
  <si>
    <t>HECTOR VINICIO SALAZAR MENENDEZ</t>
  </si>
  <si>
    <t>HEIDI ELENA CORZO PINEDA</t>
  </si>
  <si>
    <t>HELBER AMAURI ANGEL FIGUEROA</t>
  </si>
  <si>
    <t>HERBERT HERMELINDO BOCHE LOPEZ</t>
  </si>
  <si>
    <t>HILARIO ALEJANDRO HERNANADEZ SANTIZO</t>
  </si>
  <si>
    <t>TECNICO ARTISTICO II, 4 HORAS, EDUCACION ARTISTICA</t>
  </si>
  <si>
    <t>HUGO RENE GUDIEL RAMIREZ</t>
  </si>
  <si>
    <t>ILEANA CRISTHEL YAT OLIVA</t>
  </si>
  <si>
    <t>TECNICO ARTISTICO II 25 PERIOD-EDUCACION ARTISTICA</t>
  </si>
  <si>
    <t>INGRID ELIZABETH MARTINEZ MERIDA</t>
  </si>
  <si>
    <t>TECNICO ARTISTICO II 5 PERIODOS-EDUCACION ARTISTICA</t>
  </si>
  <si>
    <t>INGRID ERNESTINA MORALES PEREZ</t>
  </si>
  <si>
    <t>ISABEL DE LOS ANGELES RUANO FLORES</t>
  </si>
  <si>
    <t>ISRAEL DEL PILAR RAMIREZ VARELA</t>
  </si>
  <si>
    <t>IUNUHE DE GANDARIAS LOPEZ</t>
  </si>
  <si>
    <t>IVAN MARTIN MARTINEZ PALMA</t>
  </si>
  <si>
    <t>JOAQUIN OSVALDO MARTINEZ HERNANDEZ</t>
  </si>
  <si>
    <t>JOHN RICHARDS TZUL IGNACIO</t>
  </si>
  <si>
    <t>JORGE ADALBERTO AJAU BURRION</t>
  </si>
  <si>
    <t>JORGE ALFREDO PORRAS SEAGRAVE-SMITH</t>
  </si>
  <si>
    <t>JORGE AURELIO FLORES ARRAZOLA</t>
  </si>
  <si>
    <t>JORGE EMILIO URRUTIA MEDINA</t>
  </si>
  <si>
    <t>JORGE FERNANDO DE LEON FLORES</t>
  </si>
  <si>
    <t>JORGE LEONEL VILLATORO VALDES</t>
  </si>
  <si>
    <t>TECNICO ARTISTICO II 25 PERIOD</t>
  </si>
  <si>
    <t>JORGE MARIO MARTINEZ CHAY</t>
  </si>
  <si>
    <t>JORGE OVIDIO JOLON ITZOL</t>
  </si>
  <si>
    <t>JORGE VINICIO SANCHEZ AGUILAR</t>
  </si>
  <si>
    <t>JOSE ARMANDO AJUCHAN LAROJ</t>
  </si>
  <si>
    <t>JOSE CRISTOBAL SUCUC BAL</t>
  </si>
  <si>
    <t>JOSE DOMINGO VELASQUEZ MIRANDA</t>
  </si>
  <si>
    <t>JOSE FRANCISCO HERNANDEZ LUNA</t>
  </si>
  <si>
    <t>JOSE LUIS LOPEZ</t>
  </si>
  <si>
    <t>JOSE REANDA MENDOZA</t>
  </si>
  <si>
    <t>JOSEFINA MORALES TAHON</t>
  </si>
  <si>
    <t>TRABAJADOR OPERATIVO II, CONSERJERIA</t>
  </si>
  <si>
    <t>JOSUE ELI BARRIOS ROMERO</t>
  </si>
  <si>
    <t>JOSUE SAUL VASQUEZ GARCIA</t>
  </si>
  <si>
    <t xml:space="preserve">JOYCE SHARON CRUZ ARGUELLO </t>
  </si>
  <si>
    <t>TECNICO ARTÍSTICO I, ESPECIALIDAD DANZA</t>
  </si>
  <si>
    <t>JUAN ANTONIO SEQUEN RAC</t>
  </si>
  <si>
    <t>JUAN CARLOS FRANCO CISNEROS</t>
  </si>
  <si>
    <t>JUAN DANILO RAYMUNDO SACALXOT</t>
  </si>
  <si>
    <t>TECNICO ARTISTICO II 25 PERIODOS Y TECNICO ARTISTICO II 4 PERIODOS-EDUCACION ARTISTICA</t>
  </si>
  <si>
    <t>JUAN DE JESUS DIAZ BAQUE</t>
  </si>
  <si>
    <t>JUAN GABRIEL YELA LOPEZ</t>
  </si>
  <si>
    <t>TECNICO ARTISTICO II 5 PERIODOS Y JEFE TECNICO ARTISTICO I</t>
  </si>
  <si>
    <t>JUAN JOSE GARCIA MORALES</t>
  </si>
  <si>
    <t>JUAN PABLO GUDIEL PEREZ</t>
  </si>
  <si>
    <t>JUAN SELVIN VELASQUEZ ANDRADE</t>
  </si>
  <si>
    <t>JUANA CELIA GUZMAN VIRULA</t>
  </si>
  <si>
    <t>JUANA MIGDALIA RUIZ BARRERA</t>
  </si>
  <si>
    <t>JULIO ALFONSO LIMA MARTINEZ</t>
  </si>
  <si>
    <t>JULIO CESAR FLORES HERNANDEZ</t>
  </si>
  <si>
    <t>JULIO CESAR GARCIA JUARROZ</t>
  </si>
  <si>
    <t>JULIO CESAR LOPEZ HERRERA</t>
  </si>
  <si>
    <t>JULIO CESAR RAMIREZ GONZALEZ</t>
  </si>
  <si>
    <t>JULIO CESAR SANTOS CAMPOS</t>
  </si>
  <si>
    <t>JULIO CESAR VILLALOBOS ARROYO</t>
  </si>
  <si>
    <t>JULIO DAVID GALLARDO REYES</t>
  </si>
  <si>
    <t>JULIO RAFAEL OLIVA MORALES</t>
  </si>
  <si>
    <t>JULIO RENE FUENTES LOPEZ</t>
  </si>
  <si>
    <t>KARLA MAGALI SALAS  DE ALVAREZ</t>
  </si>
  <si>
    <t>KARLA MARIA DARDON RIVAS DE HERNANDEZ</t>
  </si>
  <si>
    <t>KENNETH ERICKSON VASQUEZ VILLAGRAN</t>
  </si>
  <si>
    <t>LAURA CRISTINA PELLECER GONZALEZ</t>
  </si>
  <si>
    <t>LAURA ISABEL CORONADO GONZALEZ</t>
  </si>
  <si>
    <t>LESLI DOLORES LOPEZ MORENO</t>
  </si>
  <si>
    <t>LESLIE CLARISSA QUECHE GUITZOL</t>
  </si>
  <si>
    <t>LIGIA CELESTE LOPEZ VELASQUEZ</t>
  </si>
  <si>
    <t>LIGIA IRENE ALVARADO ESTRADA</t>
  </si>
  <si>
    <t>OFICINISTA II</t>
  </si>
  <si>
    <t>LILIANA MARITZA MURGA ARMAS</t>
  </si>
  <si>
    <t>LINDA PATRICIA MOLINA VALENZUELA DE ENRIQUEZ</t>
  </si>
  <si>
    <t>LIZY ANNEL ROMAN MORALES</t>
  </si>
  <si>
    <t>LUCIA ESTER QUINTANA DUBON</t>
  </si>
  <si>
    <t>LUCY YESENIA ZUÑIGA REVOLORIO</t>
  </si>
  <si>
    <t>LUDWIN CONSTANTINO VASQUEZ GOMEZ</t>
  </si>
  <si>
    <t>LUIS ADOLFO MIJANGOS RECINOS</t>
  </si>
  <si>
    <t>TECNICO ARTISTICO II-MUSICA</t>
  </si>
  <si>
    <t>LUIS ALBERTO DEL AGUILA GONZALEZ</t>
  </si>
  <si>
    <t>LUIS ALBERTO TALA DE LA CRUZ</t>
  </si>
  <si>
    <t>LUIS FERNANDO JUAREZ</t>
  </si>
  <si>
    <t>LUIS RENE MOSCOSO ORELLANA</t>
  </si>
  <si>
    <t>LUISA BEATRIZ CHALULEU BAEZA</t>
  </si>
  <si>
    <t>MACARIO DANIEL LIMATUJ VALDEZ</t>
  </si>
  <si>
    <t>MAINOR IBAN PINEDA GRANADOS</t>
  </si>
  <si>
    <t>MANFER ENRIQUE GOMEZ CISNEROS</t>
  </si>
  <si>
    <t>TRABAJADOR ESPECIALIZADO JEFE I</t>
  </si>
  <si>
    <t>MANUEL ANGEL CELADA CARTAGENA</t>
  </si>
  <si>
    <t>MANUEL DE JESUS CATU VASQUEZ</t>
  </si>
  <si>
    <t>MANUEL MATEO SUAR</t>
  </si>
  <si>
    <t>MARCIO SANTIAGO CHAMALE ORTIZ</t>
  </si>
  <si>
    <t>MARCO ANTONIO BARRIOS RENDON</t>
  </si>
  <si>
    <t>MARCO VINICIO BARRIOS HERRERA</t>
  </si>
  <si>
    <t>MARIA ALEJANDRA RIZZO ARRIVILLAGA</t>
  </si>
  <si>
    <t>MARIA ANTONIETA BRAN ANDRADE DE CHARNAUD</t>
  </si>
  <si>
    <t>MARIA DEL ROSARIO MORALES SOLORZANO</t>
  </si>
  <si>
    <t>MARIA DEL ROSARIO VASQUEZ GARCIA</t>
  </si>
  <si>
    <t>MARIA DOLORES MENDOZA GALVEZ  DE VALENCIA</t>
  </si>
  <si>
    <t>MARIA ESTEFANI MONTUFAR CASTRO DE CASTRO</t>
  </si>
  <si>
    <t>MARIA ESTELA BOCHE RECINOS</t>
  </si>
  <si>
    <t>MARIA ESTELA COLINDRES CONTRERAS</t>
  </si>
  <si>
    <t>MARIA EUGENIA CUA</t>
  </si>
  <si>
    <t>MARIA ISABEL CAC CASTRO</t>
  </si>
  <si>
    <t>MARIA JOSE MAGAÑA COUTIÑO</t>
  </si>
  <si>
    <t>MARIA LUISA GUARCAS CAAL</t>
  </si>
  <si>
    <t>MARIA VICTORIA SANTIZO URIZAR</t>
  </si>
  <si>
    <t>MARIAJOSE MANCILLA GOMEZ</t>
  </si>
  <si>
    <t>MARINA YOLANDA LEMUS GARCIA</t>
  </si>
  <si>
    <t>MARIO EDUARDO FAJARDO CONTRERAS</t>
  </si>
  <si>
    <t>MARIO OSWALDO CUBUR QUEXEL</t>
  </si>
  <si>
    <t>MARTHA LUCIA RIVERA MANSILLA</t>
  </si>
  <si>
    <t>MARVIN ARDANY LOPEZ ALVARADO</t>
  </si>
  <si>
    <t>MARVIN ARTURO CABRERA GUERRERO</t>
  </si>
  <si>
    <t>MARVIN GEOVANNI FUENTES RAMIREZ</t>
  </si>
  <si>
    <t>MAYNOR ANIBAL FUENTES RAMIREZ</t>
  </si>
  <si>
    <t>MAYNOR RENE ORDOÑEZ FLORES</t>
  </si>
  <si>
    <t>MAYRA ALEJANDRA SANTIZO CHAVEZ</t>
  </si>
  <si>
    <t>MIGUEL ANGEL  ROMERO ZETINA</t>
  </si>
  <si>
    <t>MIGUEL ANGEL JUAREZ GONZALEZ</t>
  </si>
  <si>
    <t>MILTON GUSTAVO  SANCHEZ GARCIA</t>
  </si>
  <si>
    <t>TRABAJADOR OPERATIVO II-CONSERJERIA</t>
  </si>
  <si>
    <t>MIRIAM CARLOTA MAZARIEGOS GARCIA</t>
  </si>
  <si>
    <t>MIRIAM ELIZABETH ALDANA SALGUERO</t>
  </si>
  <si>
    <t>MIRIAN CATALINA GIRON GONZALEZ</t>
  </si>
  <si>
    <t>MIRNA CONCEPCION GOMEZ CADENAS</t>
  </si>
  <si>
    <t>MIRNA ELIZABETH DE LEON DIAZ</t>
  </si>
  <si>
    <t>MOISES AARON RAMIREZ OLIVA</t>
  </si>
  <si>
    <t>MOISES ABRAHAM LOPEZ JIMENEZ</t>
  </si>
  <si>
    <t>MONICA IVONNE ORTIZ LOPEZ</t>
  </si>
  <si>
    <t>MONICA ROSA VICTORIA LOU GARRIDO</t>
  </si>
  <si>
    <t>MONICA SARMIENTOS ROLDAN</t>
  </si>
  <si>
    <t>NANCY ELIZABETH ACHIBI MARTINEZ</t>
  </si>
  <si>
    <t>NATANAEL JERONIMO TAQUEZ</t>
  </si>
  <si>
    <t>NERY ADOLFO  PINEDA</t>
  </si>
  <si>
    <t>TRABAJADOR OPERATIVO III-OPERACION EQUIPO PROYECCION</t>
  </si>
  <si>
    <t>NERY ROLANDO AGUILAR SANCHEZ</t>
  </si>
  <si>
    <t>TECNICO ARTISTICO II 5 PERIODOS, 2 PLAZAS</t>
  </si>
  <si>
    <t>NORIA SAMANTHA SANTANA MUÑOZ</t>
  </si>
  <si>
    <t>ODILIA JEREZ SANTIZO  DE GUZMAN</t>
  </si>
  <si>
    <t>OSCAR ANIVAL LEON GONZALEZ</t>
  </si>
  <si>
    <t>OSCAR EUSEBIO RAFAEL PUAC</t>
  </si>
  <si>
    <t>TRABAJADOR ESPECIALIZADO I</t>
  </si>
  <si>
    <t>OSMAR ESTUARDO CORTES BARRIOS</t>
  </si>
  <si>
    <t>OSWALDO ENRIQUE VALLADARES</t>
  </si>
  <si>
    <t>OTTO ARNOLDO LEMUS BENITEZ</t>
  </si>
  <si>
    <t>OTTO DANILO HERNANDEZ XITUMUL</t>
  </si>
  <si>
    <t>OTTO RENATO AROCHE ZAMORA</t>
  </si>
  <si>
    <t>PEDRO ADALBERTO VELASQUEZ MORENO</t>
  </si>
  <si>
    <t>PEDRO ALBERTO JAYES GUEVARA</t>
  </si>
  <si>
    <t>PEDRO JULIO AJIN HERNANDEZ</t>
  </si>
  <si>
    <t>TECNICO ARTISTICO II 1 HRA.</t>
  </si>
  <si>
    <t>RAFAEL ARCANGEL PEREZ MARTINEZ</t>
  </si>
  <si>
    <t>RAQUEL VICTORIA BETSABE SANTOS AZURDIA</t>
  </si>
  <si>
    <t>RAUL YOSIMAR CHOY CAMEY</t>
  </si>
  <si>
    <t>RENE ALBERTO CASTRO HEINEMANN</t>
  </si>
  <si>
    <t>RENE HAROLDO RAMIREZ HERNANDEZ</t>
  </si>
  <si>
    <t>REYNA ISABEL HERCULES PEREZ</t>
  </si>
  <si>
    <t>REYNA PATRICIA SANTIZO URIZAR</t>
  </si>
  <si>
    <t>REYNALDO BENJAMIN CALDERON CASTILLO</t>
  </si>
  <si>
    <t>RICARDO JOSE DEL CARMEN FORTUNY</t>
  </si>
  <si>
    <t>RICARDO SOLORZANO GOMEZ</t>
  </si>
  <si>
    <t>RITA CLARISSA SANTIZO CASTELLANOS</t>
  </si>
  <si>
    <t>ROBERTA REYNA BARRIOS GOMEZ</t>
  </si>
  <si>
    <t>RODOLFO ARMANDO OLIVA LEON</t>
  </si>
  <si>
    <t>ROGER FEDERICO OVALLE RODAS</t>
  </si>
  <si>
    <t>TECNICO ARTISTICO II 5 PERIODOS Y TECNICO ARTISTICO III-ESCENOGRAFIA</t>
  </si>
  <si>
    <t>ROLAN DAVID CASASOLA MAZARIEGOS</t>
  </si>
  <si>
    <t>ROSALIA MANUELA MENDEZ MACARIO</t>
  </si>
  <si>
    <t>ROSALIO EDUARDO SAC RACANCOJ</t>
  </si>
  <si>
    <t>ROY ALEXANDER GALVEZ MOYA</t>
  </si>
  <si>
    <t>TECNICO PROFESIONAL I, CONTABILIDAD</t>
  </si>
  <si>
    <t>SARA IVONNE REYNA MONTENEGRO</t>
  </si>
  <si>
    <t>SERGIO ANTONIO TZIC FUENTES</t>
  </si>
  <si>
    <t>SERGIO DANILO DIAZ AVENDAÑO</t>
  </si>
  <si>
    <t>SERGIO ERNESTO RODAS VELASQUEZ</t>
  </si>
  <si>
    <t>SERGIO ESTUARDO PACACHE TAJIN</t>
  </si>
  <si>
    <t>SERGIO FERNANDO REYES SAGASTUME</t>
  </si>
  <si>
    <t>SERGIO ROGELIO SALAY CONTRERAS</t>
  </si>
  <si>
    <t>TECNICO ARTISTICO II 4 HRS.</t>
  </si>
  <si>
    <t>SERGIO ROLANDO ALVARADO VALENZUELA</t>
  </si>
  <si>
    <t>SILVIA CLARA LUZ JUAREZ QUIQUIVIX DE GARCIA SALAS</t>
  </si>
  <si>
    <t>SIOMARA ESTHER CASTELLANOS BOBADILLA</t>
  </si>
  <si>
    <t>SONIA ANNABELLA MARCOS BOBADILLA  DE MARTINEZ</t>
  </si>
  <si>
    <t>SONIA ELVIA SOTO GARRIDO</t>
  </si>
  <si>
    <t>TELMA RAQUEL DIAZ DONIS DE GARCIA</t>
  </si>
  <si>
    <t xml:space="preserve">JEFE TECNICO ARTISTICO I </t>
  </si>
  <si>
    <t>TITO ROLANDO SANTOS SACU</t>
  </si>
  <si>
    <t>TULIO RENATO CARRILLO DUARTE</t>
  </si>
  <si>
    <t>VERLY ESTEFANY GARCIA OVALLE</t>
  </si>
  <si>
    <t>VICTOR HUGO RODAS PADILLA</t>
  </si>
  <si>
    <t>VICTORIA MENDOZA DE LEON</t>
  </si>
  <si>
    <t>VIDAL GARCIA VELASQUEZ</t>
  </si>
  <si>
    <t>VITALINA SACTIC BATZIN DE BATZIN</t>
  </si>
  <si>
    <t>VIVIAN CATALINA CASTELLANOS  DE GONZALEZ</t>
  </si>
  <si>
    <t>VIVIAN ERICKA ARANA TORRES  DE MONZON</t>
  </si>
  <si>
    <t>WALESKA SIEKAVIZZA ROJAS</t>
  </si>
  <si>
    <t>WENDY MARISELA RAMIREZ LOPEZ</t>
  </si>
  <si>
    <t>WILLIAM OSWALDO ALVAREZ ALVAREZ</t>
  </si>
  <si>
    <t>TRABAJADOR OPERATIVO III-RESGUARDO Y VIGILANCIA</t>
  </si>
  <si>
    <t>WINSTON PAUL MANUEL RUIZ ALVARADO</t>
  </si>
  <si>
    <t>YESENIA MARCELA TELLO JUAREZ DE US</t>
  </si>
  <si>
    <t>YURI VLADIMIR CRUZ QUEVEDO</t>
  </si>
  <si>
    <t>ZOILA CAROLINA MACA LOPEZ DE FLORES</t>
  </si>
  <si>
    <t>ZOILA ELIZABETH VASQUEZ ROJAS</t>
  </si>
  <si>
    <t>ZOILA LUZ POLANCO CORONADO</t>
  </si>
  <si>
    <t>ZUHAN VIVIANA CUELLAR MORATAYA</t>
  </si>
  <si>
    <t>ZULEYMA JEANETH TORRES CARDONA</t>
  </si>
  <si>
    <t>TECNICO PROFESIONAL II</t>
  </si>
  <si>
    <t>DIRECTOR DE DIFUSIÓN DE LAS ARTES</t>
  </si>
  <si>
    <t>JORGE LUIS MARIN AREVALO</t>
  </si>
  <si>
    <t>JAIME JOSE ANDRES IXCOL VASQUEZ</t>
  </si>
  <si>
    <t>TECNICO ARTISTICO II 4 PERIODOS</t>
  </si>
  <si>
    <t>ASESOR PROFESIONAL ESPECIALIZADO IV.</t>
  </si>
  <si>
    <t>WILVER VINICIO VILLACINDA GOLIA</t>
  </si>
  <si>
    <t>MARCO AURELIO NOGUERA GALVEZ</t>
  </si>
  <si>
    <t>ERICK MERARDO REYES RAMÍREZ</t>
  </si>
  <si>
    <t>JUAN JOSE CARVAJAL GODINEZ</t>
  </si>
  <si>
    <t>HÉCTOR ESTUARDO ROCA ANTILLÓN</t>
  </si>
  <si>
    <t>ASISTENTE DE PRESUPUESTO II</t>
  </si>
  <si>
    <t>SANDRA PATRICIA CHAVAC MELETZ</t>
  </si>
  <si>
    <t>LESLI JASMIN NAJERA BERGANZA</t>
  </si>
  <si>
    <t>JOSUE DAVID PEREZ VICENTE</t>
  </si>
  <si>
    <t>TRABAJADOR ESPECIALZIADO I</t>
  </si>
  <si>
    <t>HECTOR ROLANDO PIRIR SEQUEN</t>
  </si>
  <si>
    <t>ECNICO ARTÍSTICO II</t>
  </si>
  <si>
    <t>JORGE MANUEL OLIVA MORALES</t>
  </si>
  <si>
    <t>JULIO CESAR SANTOS AZURDIA</t>
  </si>
  <si>
    <t>HERBERT GIOVANNI IGNACIO AJUCHAN</t>
  </si>
  <si>
    <t>CLASES PASIVAS</t>
  </si>
  <si>
    <t>YASMYN  LETICIA GARCIA SAZO DE LIMA</t>
  </si>
  <si>
    <t>Montepío</t>
  </si>
  <si>
    <t>EDY WILFREDO BAL CHIGUIL</t>
  </si>
  <si>
    <t>ASISTENTE PROFESIONAL ESPECIALIZADO IV</t>
  </si>
  <si>
    <t>DIRECTOR TECNICO II-ADMINISTRACION</t>
  </si>
  <si>
    <t>JEFE TECNICO ARTISTICO I-MUSICA</t>
  </si>
  <si>
    <t>TECNICO II-COMPRAS Y SUMINISTROS</t>
  </si>
  <si>
    <t>TECNICO II-GRABACION Y SONIDO</t>
  </si>
  <si>
    <t>TECNICO II-CONTABILIDAD</t>
  </si>
  <si>
    <t>TECNICO III-RELACIONES PUBLICAS</t>
  </si>
  <si>
    <t>SECRETARIO EJECUTIVO III-ACTIVIDADES SECRETARIALES</t>
  </si>
  <si>
    <t>TECNICO III-CONTABILIDAD</t>
  </si>
  <si>
    <t>TECNICO ARTISTICO III-MUSICA</t>
  </si>
  <si>
    <t>TECNICO ARTISTICO II 4 PERIODOS-EDUCACION ARTISTICA</t>
  </si>
  <si>
    <t>JEFE TECNICO I-ADMINISTRACION</t>
  </si>
  <si>
    <t>TECNICO PROFESIONAL I-CONTABILIDAD</t>
  </si>
  <si>
    <t>TECNICO PROFESIONAL I-COMPRAS Y SUMINISTROS</t>
  </si>
  <si>
    <t>TECNICO PROFESIONAL I-ADMINISTRACION</t>
  </si>
  <si>
    <t xml:space="preserve">Monto Viáticos </t>
  </si>
  <si>
    <t>EDIN OMAR VÁSQUEZ ECHEVERRÍA</t>
  </si>
  <si>
    <t>IQOQUI JUAN ALEJANDRO CHIRIZ AJÚ</t>
  </si>
  <si>
    <t>MIGUEL ANGEL SANDOVAL VASQUEZ</t>
  </si>
  <si>
    <t>SERVICIOS TÉCNICOS</t>
  </si>
  <si>
    <t>MARIAJOSE MORAN AVALOS</t>
  </si>
  <si>
    <t>ASISTENTE PROFESIONAL I</t>
  </si>
  <si>
    <t>ANA VERONICA GIRON MARTINEZ</t>
  </si>
  <si>
    <t>SILBER ORLANDO GARCIA REYES</t>
  </si>
  <si>
    <t>AXEL NOLBERTO DE JESUS SANCHEZ ORANTES</t>
  </si>
  <si>
    <t>CLAUDIA MARIA CIUDAD REAL SOLIS</t>
  </si>
  <si>
    <t>JOSE ROBERTO ZUÑIGA RUIZ</t>
  </si>
  <si>
    <t>DIRECTOR TECNICO III</t>
  </si>
  <si>
    <t>EDDLER ALBERTHO TACÁN FUENTES</t>
  </si>
  <si>
    <t>ASISTENTE DE CONTABILIDAD II</t>
  </si>
  <si>
    <t>MARIO JOSUE CARRILLO CARRILLO</t>
  </si>
  <si>
    <t>TECNICO ARTISTICO II 6 HRS.</t>
  </si>
  <si>
    <t>Bono Salario Minimo</t>
  </si>
  <si>
    <t xml:space="preserve">            </t>
  </si>
  <si>
    <t>ILEANA MARIELITA CATUN CHOC</t>
  </si>
  <si>
    <t>JOYCE SHARON CRUZ ARGUELLO</t>
  </si>
  <si>
    <t>LUIS BENJAMIN MENDEZ JERONIMO</t>
  </si>
  <si>
    <t>ASISTENTE DE ADQUISICIONES II (0000) SIN ESPECIALIDAD (0000)</t>
  </si>
  <si>
    <t>JOSE RICARDO  SANTOS AGUILAR</t>
  </si>
  <si>
    <t>AUXILIAR I   -SIN ESPECIALIDAD</t>
  </si>
  <si>
    <t>Dietas</t>
  </si>
  <si>
    <t>DIETAS</t>
  </si>
  <si>
    <t>MONTO VIATICOS</t>
  </si>
  <si>
    <t>NORMA LUCIA HERNANDEZ CHAY</t>
  </si>
  <si>
    <t>JUAN HELIODORO PICHIYA CULAJAY</t>
  </si>
  <si>
    <t>LESTON URIEL CULAJAY HERNANDEZ</t>
  </si>
  <si>
    <t>CARLOS DOMINGO GALVEZ ORDOÑEZ</t>
  </si>
  <si>
    <t>ERICK ORLANDO SALAZAR COYOY</t>
  </si>
  <si>
    <t>ASESOR PROFESIONAL ESPECIALIZADO</t>
  </si>
  <si>
    <t>MARCO ANTONIO AJAU BURRION</t>
  </si>
  <si>
    <t>DULCIDA CLARIBEL GARCIA REYES</t>
  </si>
  <si>
    <t>JOSUE MISAEL MATIAS DE LEON</t>
  </si>
  <si>
    <t>JEFE DE CONTABILIDAD</t>
  </si>
  <si>
    <t>JOSE AMILCAR BOCHE  QUIÑONEZ</t>
  </si>
  <si>
    <t>BLANCA ARACELY MORALES MARTINEZ</t>
  </si>
  <si>
    <t>ASISTENTE ARTÍSTICO III (0000) SIN ESPECIALIDAD (0000)</t>
  </si>
  <si>
    <t>30 DE ABRIL DE 2017</t>
  </si>
  <si>
    <t>CARLOS ENRIQUE PÉREZ VELÁSQUEZ</t>
  </si>
  <si>
    <t>JEFE DEPARTAMENTO TECNICO II (0000) SIN ESPECIALIDAD (0000)</t>
  </si>
  <si>
    <t>BRANDON JAIRR CRUZ VARGAS</t>
  </si>
  <si>
    <t>MILTON ALFONSO BETETA DIAZ</t>
  </si>
  <si>
    <t>MARYLENA CALDERÓN MARTINEZ DE MEDINA</t>
  </si>
  <si>
    <t>PROFESIONAL JURIDICO I (0000) SIN ESPECIALIDAD (0000)</t>
  </si>
  <si>
    <t>VERA LUCÍA DÍAZ AGUILAR</t>
  </si>
  <si>
    <t>MARLEN CORINA PÉREZ HERNÁNDEZ DE COLINDRES</t>
  </si>
  <si>
    <t>JACQUELINE MILAYDI AGUILAR ZAMORA DE ASENCIO</t>
  </si>
  <si>
    <t>SELVYN OMAR GARCÍA ESTRADA</t>
  </si>
  <si>
    <t>ASTRID DINORA VICENTE MARROQUIN</t>
  </si>
  <si>
    <t>ELVIN OMAR GARCÍA ESTRADA</t>
  </si>
  <si>
    <t>BERNER JOSUÉ MAZARIEGOS AJIN</t>
  </si>
  <si>
    <t>DAIRIN GABRIELA GAMBOA GIRÓN</t>
  </si>
  <si>
    <t>ANA OLIVIA CASTAÑEDA ARROYO</t>
  </si>
  <si>
    <t>JEFE DEL DEPARTAMENTO SUSTANTIVO II</t>
  </si>
  <si>
    <t>OLIVER ALEXANDER MARROQUÍN RIVAS</t>
  </si>
  <si>
    <t>ANA MARÍA VITAL PERALTA</t>
  </si>
  <si>
    <t>BRENDA YANIRA CHACÓN ARÉVALO</t>
  </si>
  <si>
    <t>SILVIA DE JESÚS HERNÁNDEZ ALVAREZ DE GUARÉ</t>
  </si>
  <si>
    <t>MARÍA ALEJANDRA GUERRA CASTAÑEDA</t>
  </si>
  <si>
    <t>OLGA LIDIA JUDITH DE LEÓN DE TAHUITE</t>
  </si>
  <si>
    <t>HELDER FABIÁN GÓMEZ CÓRDOVA</t>
  </si>
  <si>
    <t>JUAN CARLOS VEGA VILLEDA</t>
  </si>
  <si>
    <t>ROSALYNN AMALIA VALIENTE VILLATORO</t>
  </si>
  <si>
    <t>FERNANDO JOSÉ PALACIOS SALAZAR</t>
  </si>
  <si>
    <t>JOSUÉ MIGUEL FLETCHER ANDRADE</t>
  </si>
  <si>
    <t>WILLIAM UBALDO OSORIO SALMERÓN</t>
  </si>
  <si>
    <t>EDWIN AARON GUZMAN MONTERROSO</t>
  </si>
  <si>
    <t xml:space="preserve">Bono Ajuste Salario Mínimo        </t>
  </si>
  <si>
    <t>ENCARGADA II DE OPERACIONES DE MAQUINARIA Y EQUIPO</t>
  </si>
  <si>
    <t>CARPINTERO IV</t>
  </si>
  <si>
    <t>*</t>
  </si>
  <si>
    <t>MANUEL EDUARDO TECUM SALVADOR</t>
  </si>
  <si>
    <t>31 DE MAYO DE 2017</t>
  </si>
  <si>
    <t>LILIANA ETELVINA CASTILLO DE PEREZ</t>
  </si>
  <si>
    <t>AUGUSTO ENRIQUE NORIEGA MORALES</t>
  </si>
  <si>
    <t>DANIEL ESTUARDO GONZÁLEZ LÓPEZ</t>
  </si>
  <si>
    <t>JAQUELIN LISBETH MONROY RAMÍREZ DE TOP</t>
  </si>
  <si>
    <t>JOSUÉ ABRAHAM CALDERÓN ORANTES</t>
  </si>
  <si>
    <t>TÉCNICO EN ILUMINACIÓN (0000)</t>
  </si>
  <si>
    <t>MARÍA BOUGUINSKAYA SALAZAR RUIZ</t>
  </si>
  <si>
    <t>DOCENTE ARTISTICO 23 PERIODOS (0000) sin especialidad (0000)</t>
  </si>
  <si>
    <t>KEVIN DANILO MORALES MEJÍA</t>
  </si>
  <si>
    <t>MARÍA ISABEL MESSINA BAEZA</t>
  </si>
  <si>
    <t>JOSÉ GUILLERMO ALBIZU VIELMAN</t>
  </si>
  <si>
    <t>WILLIAM ALBERTO PÉREZ LÓPEZ</t>
  </si>
  <si>
    <t>ELBA LIDIA RAMÍREZ AGUILAR</t>
  </si>
  <si>
    <t>TIPO DE SERVICIO</t>
  </si>
  <si>
    <t>30 DE JUNIO DE 2017</t>
  </si>
  <si>
    <t>30 0E JUNIO DE 2017</t>
  </si>
  <si>
    <t>JUNIO 2017</t>
  </si>
  <si>
    <t>DORCAS ISABEL GONZALEZ Y GONZALEZ</t>
  </si>
  <si>
    <t>RITA ALEJANDRA SOSA MORALES</t>
  </si>
  <si>
    <t>SERVICIO PROFESIONALES</t>
  </si>
  <si>
    <t>JORGE ANDRÉS ECHEVERRÍA ALVARADO</t>
  </si>
  <si>
    <t>CHRYSTIAN ALI ROJAS PÉREZ</t>
  </si>
  <si>
    <t>LUISA ANA PAOLA GUILLERMO PEDROZA</t>
  </si>
  <si>
    <t>KARLA ALEXANDRA PACHECO GARCÍA</t>
  </si>
  <si>
    <t>LUIS ARTURO ALDANA ORELLANA</t>
  </si>
  <si>
    <t>INGRID GUISELA ORTÍZ ARÉVALO</t>
  </si>
  <si>
    <t>JOSÉ IVAN DEL CID MORALES</t>
  </si>
  <si>
    <t>MADELINE ESTELA SANDOVAL MÁRQUEZ</t>
  </si>
  <si>
    <t>YESSICA MARLENI GÓMEZ LÓPEZ DE BARRIENTOS</t>
  </si>
  <si>
    <t>FELIPE ANTONIO ELÍAS ICHICH</t>
  </si>
  <si>
    <t>WILFREDO RODERICO GONZALEZ GAITÁN</t>
  </si>
  <si>
    <t>A la señora Elba Lidia Ramírez Aguilar mencionada en el numeral 19, no se le esta efectuado pago de aucerdo a lo informado por el Centro Cultural Miguel Ángel Asturias, ya que la señora se encuentra sindicada de la comisión de un delito, y a la señora Elisa María Alejandra Escobar Castañeda mencionada en el numeral 20, se le efectúo el pago de 11 por haber causado alta del lGSS despues de su descanso por maternidad del 28-03-2017 al 19-06-2017</t>
  </si>
  <si>
    <t xml:space="preserve">               MINISTERIO DE CULTURA Y DEPORTES</t>
  </si>
  <si>
    <t xml:space="preserve">            UNIDAD DE INFORMACION PUBLICA</t>
  </si>
  <si>
    <t xml:space="preserve">            DIRECCIÓN GENERAL DE LAS ARTES</t>
  </si>
  <si>
    <t>SUB GRUPO 18</t>
  </si>
  <si>
    <t xml:space="preserve">   NUMERAL 4 ARTICULO 10</t>
  </si>
  <si>
    <t xml:space="preserve">                29 DE JUNIO 2017</t>
  </si>
  <si>
    <t>UBICACIÓN FÍSICA</t>
  </si>
  <si>
    <t xml:space="preserve"> TOTAL DE HONORARIO</t>
  </si>
  <si>
    <t>SELVA CARLES AMALI</t>
  </si>
  <si>
    <t>FORMACION ARTÍSTICA</t>
  </si>
  <si>
    <t>MENDEZ CAMEY OSCAR DAVID</t>
  </si>
  <si>
    <t>SERVICIOS TECNICOS</t>
  </si>
  <si>
    <t>CAAL ELVIS ARMANDO</t>
  </si>
  <si>
    <t>MEDINA VILLAGRAN ANGEL FRANCISCO</t>
  </si>
  <si>
    <t>ESPECTACULOS PUBLICOS</t>
  </si>
  <si>
    <t>PONCIO TAHAY CRUZ JOEL</t>
  </si>
  <si>
    <t>SAGASTUME VELASQUEZ MYNOR DAVID</t>
  </si>
  <si>
    <t>BALLET NACIONAL DE GUATEMALA</t>
  </si>
  <si>
    <t>SAUCEDO RODRIGUEZ DILAN DE JESUS</t>
  </si>
  <si>
    <t>GOMEZ REYES ESLI DIAMANTINA</t>
  </si>
  <si>
    <t>MACAL NANCY CAROLINA</t>
  </si>
  <si>
    <t>ESPINOZA TADEO MANUEL</t>
  </si>
  <si>
    <t>TIRIQUIZ MEJIA JAIME RUBEN</t>
  </si>
  <si>
    <t>TOC SALOJ MOISES ELIAS</t>
  </si>
  <si>
    <t>ALVARADO SOTO DONALDO JUAN JAVIER</t>
  </si>
  <si>
    <t>HERNANDEZ MARTINEZ ANA NADIA LOURDES</t>
  </si>
  <si>
    <t>LEMUS BARRIENTOS BRANDY EVERARDO</t>
  </si>
  <si>
    <t>HIGUEROS LUNA  CARLOS ALBERTO</t>
  </si>
  <si>
    <t>ORQUESTA SINFÓNICA NACIONAL</t>
  </si>
  <si>
    <t>COTO MONTAÑES RODRIGO JOSE</t>
  </si>
  <si>
    <t>LETONA SANTIZO OTTO RENE</t>
  </si>
  <si>
    <t>AQUINO GOMEZ ELISA IRENE</t>
  </si>
  <si>
    <t>RAYMUNDO GONZALEZ JUAN RUTILIO</t>
  </si>
  <si>
    <t>LINARES SAGASTUME MARIO AUGUSTO</t>
  </si>
  <si>
    <t>SANCHEZ DE PALACIOS GLADYS PATRICIA</t>
  </si>
  <si>
    <t>ORTIZ YOCUTE MEYLIN ALEJANDRINA</t>
  </si>
  <si>
    <t>PEREZ ORDONEZ ANGEL RAFAEL</t>
  </si>
  <si>
    <t>MENDEZ MIRANDA MAXIMILIANO ROBELIO</t>
  </si>
  <si>
    <t>TECUN PAMAL GUSTAVO ARMANDO</t>
  </si>
  <si>
    <t xml:space="preserve">DIRECCIÓN Y COORDINACIÓN </t>
  </si>
  <si>
    <t>VEGA GARCIA SERGIO SAUL</t>
  </si>
  <si>
    <t>GODOY SALAZAR RICARDO ANSELMO</t>
  </si>
  <si>
    <t>VIVAS HERRARTE GABRIELA MICHELLE</t>
  </si>
  <si>
    <t>PRICE SANCHEZ EVELYN ARGELIA</t>
  </si>
  <si>
    <t>APOYO A LA CREACION</t>
  </si>
  <si>
    <t>CHACON LOPEZ MARLON GABRIEL</t>
  </si>
  <si>
    <t>BORJA SANTIAGO LUIS ALEJANDRO</t>
  </si>
  <si>
    <t>ARRIOLA VASQUEZ JOSE FRANCISCO</t>
  </si>
  <si>
    <t>MIRANDA MIRANDA PAHOLA MAYBELY</t>
  </si>
  <si>
    <t>CORO NACIONAL DE GUATEMALA</t>
  </si>
  <si>
    <t>ALVARADO GARCIA MARVIN ALEJANDRO</t>
  </si>
  <si>
    <t>DOMINGUEZ LUCAS HERMAN RAMIRO</t>
  </si>
  <si>
    <t>DELGADO BERGANZA MANOLO BENJAMIN</t>
  </si>
  <si>
    <t>ZAMORA ROJAS JONTHAN JOSSUE</t>
  </si>
  <si>
    <t>VASQUEZ CONTRERAS KENDY OSMELI</t>
  </si>
  <si>
    <t xml:space="preserve">FLORES MORALES KARLA JEANNETH </t>
  </si>
  <si>
    <t>VILLEDA LOPEZ ELSA NOHEMI</t>
  </si>
  <si>
    <t>COQUE SANTOS LOURDES YADIRA LISETH</t>
  </si>
  <si>
    <t>IXCOTOY AGUILAR MARIO ADELSO</t>
  </si>
  <si>
    <t>XICAY COLOP ARTURO FLORENTIN</t>
  </si>
  <si>
    <t>DE LA CRUZ ESCOBAR DERSON JOHANY</t>
  </si>
  <si>
    <t>CORLETO ORANTES MARTIN MANUEL</t>
  </si>
  <si>
    <t>JUAREZ RAMIREZ CESAR EMANUEL</t>
  </si>
  <si>
    <t>IQUITE CHAJON DANY GREGORIO</t>
  </si>
  <si>
    <t>SOLORZANO FOPPA JULIO ALFONSO</t>
  </si>
  <si>
    <t>DE PAZ SAQUIC JULIO BENJAMIN</t>
  </si>
  <si>
    <t>FIGUEROA RECEN NOELIA EUNICE</t>
  </si>
  <si>
    <t>TORIBIO DIAZ MANUEL DE JESUS</t>
  </si>
  <si>
    <t>MENCHU CUA JUAN BENILDO</t>
  </si>
  <si>
    <t>MAZARIEGOS DUBON JOSE ALFREDO</t>
  </si>
  <si>
    <t>MANSILLA GARCIA MARCO ADOLFO</t>
  </si>
  <si>
    <t>MENENDEZ RIOS GLADYS MARINA</t>
  </si>
  <si>
    <t>MARTINEZ RODRIGUEZ EDUARDO</t>
  </si>
  <si>
    <t>VARGAS GARCIA HERCILIA VICTORIA</t>
  </si>
  <si>
    <t>MENDEZ BAUDILIO</t>
  </si>
  <si>
    <t>RAMIREZ ORTIZ JUAN PABLO</t>
  </si>
  <si>
    <t>RIOS RUSTRIAN MINDY PAOLA</t>
  </si>
  <si>
    <t>GARCIA CASTILLO MARCO VINICIO</t>
  </si>
  <si>
    <t xml:space="preserve">COS CAMEY CARMEN ARACELY </t>
  </si>
  <si>
    <t>MARROQUIN PEREZ JOSE BENJAMIN</t>
  </si>
  <si>
    <t>XON MORALES DANILO SEBASTIAN</t>
  </si>
  <si>
    <t>REVOLORIO  CALDERON MARLON EFRAIN</t>
  </si>
  <si>
    <t>CASTILLO LOPEZ LIGIA MICHELL</t>
  </si>
  <si>
    <t>LOPEZ LEM LEOPOLDO VALENTIN</t>
  </si>
  <si>
    <t>LEMUS LOPEZ WENDY VANEZA</t>
  </si>
  <si>
    <t>QUEX MUCIA NILDA ILEANA</t>
  </si>
  <si>
    <t>MARCIAL GARCIA JOSE LUIS</t>
  </si>
  <si>
    <t>MONTEJO GARCÍA MELQUI ELIEZER</t>
  </si>
  <si>
    <t>SANTIZO VELASQUEZ JOSE FELIPE</t>
  </si>
  <si>
    <t>CUTZ ROSALES WALTER DAVID</t>
  </si>
  <si>
    <t>BARRIENTOS MANGANDID JORGE YOEL</t>
  </si>
  <si>
    <t>PEREZ PINEDA HECTOR AGUSTIN</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</si>
</sst>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4" formatCode="_(&quot;Q&quot;* #,##0.00_);_(&quot;Q&quot;* \(#,##0.00\);_(&quot;Q&quot;* &quot;-&quot;??_);_(@_)"/>
    <numFmt numFmtId="43" formatCode="_(* #,##0.00_);_(* \(#,##0.00\);_(* &quot;-&quot;??_);_(@_)"/>
    <numFmt numFmtId="178" formatCode="_-&quot;Q&quot;* #,##0.00_-;\-&quot;Q&quot;* #,##0.00_-;_-&quot;Q&quot;* &quot;-&quot;??_-;_-@_-"/>
    <numFmt numFmtId="179" formatCode="_-* #,##0.00_-;\-* #,##0.00_-;_-* &quot;-&quot;??_-;_-@_-"/>
    <numFmt numFmtId="182" formatCode="#,##0.00\ &quot;€&quot;;\-#,##0.00\ &quot;€&quot;"/>
    <numFmt numFmtId="188" formatCode="_(\Q* #,##0.00_);_(\Q* \(#,##0.00\);_(\Q* \-??_);_(@_)"/>
    <numFmt numFmtId="189" formatCode="&quot;Q&quot;#,##0.00"/>
    <numFmt numFmtId="191" formatCode="_([$Q-100A]* #,##0.00_);_([$Q-100A]* \(#,##0.00\);_([$Q-100A]* &quot;-&quot;??_);_(@_)"/>
    <numFmt numFmtId="193" formatCode="_-[$Q-100A]* #,##0.00_-;\-[$Q-100A]* #,##0.00_-;_-[$Q-100A]* &quot;-&quot;??_-;_-@_-"/>
  </numFmts>
  <fonts count="24" x14ac:knownFonts="1">
    <font>
      <sz val="10"/>
      <name val="Arial"/>
      <family val="2"/>
    </font>
    <font>
      <sz val="11"/>
      <color indexed="8"/>
      <name val="Calibri"/>
      <family val="2"/>
    </font>
    <font>
      <sz val="10"/>
      <name val="Arial"/>
      <family val="2"/>
    </font>
    <font>
      <b/>
      <sz val="10"/>
      <name val="Arial"/>
      <family val="2"/>
    </font>
    <font>
      <b/>
      <sz val="6"/>
      <name val="Arial"/>
      <family val="2"/>
    </font>
    <font>
      <b/>
      <sz val="15"/>
      <name val="Arial"/>
      <family val="2"/>
    </font>
    <font>
      <sz val="10"/>
      <name val="Arial"/>
      <family val="2"/>
    </font>
    <font>
      <sz val="11"/>
      <color indexed="8"/>
      <name val="Calibri"/>
      <family val="2"/>
    </font>
    <font>
      <sz val="10"/>
      <color indexed="8"/>
      <name val="ARIAL"/>
      <family val="2"/>
      <charset val="1"/>
    </font>
    <font>
      <sz val="10"/>
      <color indexed="8"/>
      <name val="Arial"/>
      <family val="2"/>
    </font>
    <font>
      <sz val="11"/>
      <color indexed="8"/>
      <name val="Calibri"/>
      <family val="2"/>
    </font>
    <font>
      <sz val="9"/>
      <name val="Arial"/>
      <family val="2"/>
    </font>
    <font>
      <sz val="9"/>
      <color indexed="81"/>
      <name val="Tahoma"/>
      <family val="2"/>
    </font>
    <font>
      <b/>
      <sz val="9"/>
      <color indexed="81"/>
      <name val="Tahoma"/>
      <family val="2"/>
    </font>
    <font>
      <b/>
      <sz val="9"/>
      <name val="Arial"/>
      <family val="2"/>
    </font>
    <font>
      <b/>
      <sz val="11"/>
      <name val="Arial"/>
      <family val="2"/>
    </font>
    <font>
      <sz val="11"/>
      <color theme="1"/>
      <name val="Calibri"/>
      <family val="2"/>
      <scheme val="minor"/>
    </font>
    <font>
      <sz val="10"/>
      <name val="Calibri"/>
      <family val="2"/>
      <scheme val="minor"/>
    </font>
    <font>
      <sz val="10"/>
      <color indexed="8"/>
      <name val="Calibri"/>
      <family val="2"/>
      <scheme val="minor"/>
    </font>
    <font>
      <sz val="10"/>
      <color theme="1"/>
      <name val="Calibri"/>
      <family val="2"/>
      <scheme val="minor"/>
    </font>
    <font>
      <b/>
      <sz val="10"/>
      <name val="Calibri"/>
      <family val="2"/>
      <scheme val="minor"/>
    </font>
    <font>
      <sz val="10"/>
      <color rgb="FF000000"/>
      <name val="Calibri"/>
      <family val="2"/>
      <scheme val="minor"/>
    </font>
    <font>
      <b/>
      <sz val="9"/>
      <name val="Calibri"/>
      <family val="2"/>
      <scheme val="minor"/>
    </font>
    <font>
      <sz val="9"/>
      <name val="Calibri"/>
      <family val="2"/>
      <scheme val="minor"/>
    </font>
  </fonts>
  <fills count="8">
    <fill>
      <patternFill patternType="none"/>
    </fill>
    <fill>
      <patternFill patternType="gray125"/>
    </fill>
    <fill>
      <patternFill patternType="solid">
        <fgColor indexed="9"/>
        <bgColor indexed="26"/>
      </patternFill>
    </fill>
    <fill>
      <patternFill patternType="solid">
        <fgColor indexed="9"/>
        <bgColor indexed="64"/>
      </patternFill>
    </fill>
    <fill>
      <patternFill patternType="solid">
        <fgColor rgb="FF9966FF"/>
        <bgColor indexed="31"/>
      </patternFill>
    </fill>
    <fill>
      <patternFill patternType="solid">
        <fgColor rgb="FF9966FF"/>
        <bgColor indexed="64"/>
      </patternFill>
    </fill>
    <fill>
      <patternFill patternType="solid">
        <fgColor rgb="FFFFFF00"/>
        <bgColor indexed="64"/>
      </patternFill>
    </fill>
    <fill>
      <patternFill patternType="solid">
        <fgColor theme="0"/>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8"/>
      </right>
      <top style="medium">
        <color indexed="64"/>
      </top>
      <bottom style="medium">
        <color indexed="8"/>
      </bottom>
      <diagonal/>
    </border>
    <border>
      <left style="medium">
        <color indexed="8"/>
      </left>
      <right style="medium">
        <color indexed="8"/>
      </right>
      <top style="medium">
        <color indexed="64"/>
      </top>
      <bottom/>
      <diagonal/>
    </border>
    <border>
      <left style="medium">
        <color indexed="8"/>
      </left>
      <right style="medium">
        <color indexed="8"/>
      </right>
      <top style="medium">
        <color indexed="64"/>
      </top>
      <bottom style="medium">
        <color indexed="8"/>
      </bottom>
      <diagonal/>
    </border>
    <border>
      <left style="medium">
        <color indexed="64"/>
      </left>
      <right style="medium">
        <color indexed="8"/>
      </right>
      <top style="medium">
        <color indexed="8"/>
      </top>
      <bottom/>
      <diagonal/>
    </border>
    <border>
      <left style="medium">
        <color indexed="8"/>
      </left>
      <right style="medium">
        <color indexed="8"/>
      </right>
      <top/>
      <bottom/>
      <diagonal/>
    </border>
    <border>
      <left style="medium">
        <color indexed="8"/>
      </left>
      <right style="medium">
        <color indexed="8"/>
      </right>
      <top/>
      <bottom style="thin">
        <color indexed="64"/>
      </bottom>
      <diagonal/>
    </border>
    <border>
      <left style="medium">
        <color indexed="8"/>
      </left>
      <right style="medium">
        <color indexed="8"/>
      </right>
      <top style="medium">
        <color indexed="8"/>
      </top>
      <bottom/>
      <diagonal/>
    </border>
  </borders>
  <cellStyleXfs count="38">
    <xf numFmtId="0" fontId="0" fillId="0" borderId="0"/>
    <xf numFmtId="0" fontId="7" fillId="0" borderId="0"/>
    <xf numFmtId="0" fontId="1" fillId="0" borderId="0"/>
    <xf numFmtId="0" fontId="1" fillId="0" borderId="0"/>
    <xf numFmtId="43" fontId="2" fillId="0" borderId="0" applyFill="0" applyBorder="0" applyAlignment="0" applyProtection="0"/>
    <xf numFmtId="43" fontId="2" fillId="0" borderId="0" applyFont="0" applyFill="0" applyBorder="0" applyAlignment="0" applyProtection="0"/>
    <xf numFmtId="43" fontId="2" fillId="0" borderId="0" applyFill="0" applyBorder="0" applyAlignment="0" applyProtection="0"/>
    <xf numFmtId="43" fontId="2" fillId="0" borderId="0" applyFill="0" applyBorder="0" applyAlignment="0" applyProtection="0"/>
    <xf numFmtId="179" fontId="2" fillId="0" borderId="0" applyFill="0" applyBorder="0" applyAlignment="0" applyProtection="0"/>
    <xf numFmtId="44" fontId="2" fillId="0" borderId="0" applyFill="0" applyBorder="0" applyAlignment="0" applyProtection="0"/>
    <xf numFmtId="188" fontId="6" fillId="0" borderId="0" applyFill="0" applyBorder="0" applyAlignment="0" applyProtection="0"/>
    <xf numFmtId="44" fontId="6" fillId="0" borderId="0" applyFont="0" applyFill="0" applyBorder="0" applyAlignment="0" applyProtection="0"/>
    <xf numFmtId="44" fontId="2" fillId="0" borderId="0" applyFont="0" applyFill="0" applyBorder="0" applyAlignment="0" applyProtection="0"/>
    <xf numFmtId="188" fontId="2" fillId="0" borderId="0" applyFill="0" applyBorder="0" applyAlignment="0" applyProtection="0"/>
    <xf numFmtId="188" fontId="2" fillId="0" borderId="0" applyFill="0" applyBorder="0" applyAlignment="0" applyProtection="0"/>
    <xf numFmtId="182" fontId="2" fillId="0" borderId="0"/>
    <xf numFmtId="44" fontId="10" fillId="0" borderId="0" applyFont="0" applyFill="0" applyBorder="0" applyAlignment="0" applyProtection="0"/>
    <xf numFmtId="44" fontId="1" fillId="0" borderId="0" applyFont="0" applyFill="0" applyBorder="0" applyAlignment="0" applyProtection="0"/>
    <xf numFmtId="0" fontId="6" fillId="0" borderId="0"/>
    <xf numFmtId="0" fontId="16" fillId="0" borderId="0"/>
    <xf numFmtId="0" fontId="6" fillId="0" borderId="0"/>
    <xf numFmtId="0" fontId="6" fillId="0" borderId="0"/>
    <xf numFmtId="0" fontId="6" fillId="0" borderId="0"/>
    <xf numFmtId="0" fontId="2" fillId="0" borderId="0"/>
    <xf numFmtId="0" fontId="6" fillId="0" borderId="0"/>
    <xf numFmtId="0" fontId="6" fillId="0" borderId="0"/>
    <xf numFmtId="0" fontId="8" fillId="0" borderId="0">
      <alignment vertical="top"/>
    </xf>
    <xf numFmtId="0" fontId="6" fillId="0" borderId="0"/>
    <xf numFmtId="0" fontId="2" fillId="0" borderId="0"/>
    <xf numFmtId="0" fontId="2" fillId="0" borderId="0"/>
    <xf numFmtId="0" fontId="6" fillId="0" borderId="0"/>
    <xf numFmtId="0" fontId="2" fillId="0" borderId="0"/>
    <xf numFmtId="0" fontId="2" fillId="0" borderId="0"/>
    <xf numFmtId="0" fontId="8" fillId="0" borderId="0">
      <alignment vertical="top"/>
    </xf>
    <xf numFmtId="0" fontId="2" fillId="0" borderId="0"/>
    <xf numFmtId="0" fontId="6" fillId="0" borderId="0"/>
    <xf numFmtId="0" fontId="2" fillId="0" borderId="0"/>
    <xf numFmtId="0" fontId="2" fillId="0" borderId="0"/>
  </cellStyleXfs>
  <cellXfs count="319">
    <xf numFmtId="0" fontId="0" fillId="0" borderId="0" xfId="0"/>
    <xf numFmtId="0" fontId="4" fillId="0" borderId="0" xfId="0" applyFont="1"/>
    <xf numFmtId="0" fontId="0" fillId="0" borderId="0" xfId="0" applyAlignment="1">
      <alignment horizontal="center"/>
    </xf>
    <xf numFmtId="0" fontId="3" fillId="0" borderId="0" xfId="0" applyFont="1"/>
    <xf numFmtId="0" fontId="0" fillId="0" borderId="0" xfId="0" applyFont="1"/>
    <xf numFmtId="0" fontId="9" fillId="0" borderId="0" xfId="0" applyFont="1" applyFill="1"/>
    <xf numFmtId="0" fontId="0" fillId="0" borderId="0" xfId="0" applyFont="1" applyFill="1"/>
    <xf numFmtId="0" fontId="0" fillId="0" borderId="0" xfId="0" applyBorder="1"/>
    <xf numFmtId="189" fontId="0" fillId="0" borderId="0" xfId="0" applyNumberFormat="1" applyFont="1" applyBorder="1" applyAlignment="1">
      <alignment horizontal="right"/>
    </xf>
    <xf numFmtId="0" fontId="0" fillId="0" borderId="0" xfId="0" applyFont="1" applyBorder="1"/>
    <xf numFmtId="189" fontId="0" fillId="0" borderId="0" xfId="0" applyNumberFormat="1" applyBorder="1" applyAlignment="1">
      <alignment horizontal="right"/>
    </xf>
    <xf numFmtId="189" fontId="0" fillId="0" borderId="0" xfId="0" applyNumberFormat="1" applyFont="1" applyFill="1" applyBorder="1" applyAlignment="1">
      <alignment horizontal="right"/>
    </xf>
    <xf numFmtId="0" fontId="0" fillId="0" borderId="0" xfId="0" applyFont="1" applyFill="1" applyBorder="1"/>
    <xf numFmtId="0" fontId="9" fillId="0" borderId="0" xfId="0" applyFont="1" applyFill="1" applyBorder="1"/>
    <xf numFmtId="0" fontId="3" fillId="0" borderId="0" xfId="0" applyFont="1" applyBorder="1"/>
    <xf numFmtId="14" fontId="3" fillId="0" borderId="0" xfId="0" applyNumberFormat="1" applyFont="1" applyBorder="1" applyAlignment="1"/>
    <xf numFmtId="0" fontId="0" fillId="0" borderId="0" xfId="0" applyBorder="1" applyAlignment="1">
      <alignment horizontal="center"/>
    </xf>
    <xf numFmtId="0" fontId="11" fillId="0" borderId="0" xfId="0" applyFont="1" applyBorder="1" applyAlignment="1">
      <alignment horizontal="center"/>
    </xf>
    <xf numFmtId="0" fontId="0" fillId="0" borderId="0" xfId="0" applyFill="1" applyBorder="1"/>
    <xf numFmtId="189" fontId="0" fillId="0" borderId="0" xfId="0" applyNumberFormat="1" applyFill="1" applyBorder="1" applyAlignment="1">
      <alignment horizontal="right"/>
    </xf>
    <xf numFmtId="0" fontId="0" fillId="0" borderId="0" xfId="0" applyFill="1"/>
    <xf numFmtId="4" fontId="0" fillId="0" borderId="0" xfId="0" applyNumberFormat="1" applyFill="1" applyBorder="1"/>
    <xf numFmtId="0" fontId="17" fillId="0" borderId="1" xfId="0" applyFont="1" applyFill="1" applyBorder="1" applyAlignment="1">
      <alignment horizontal="left" vertical="center" wrapText="1"/>
    </xf>
    <xf numFmtId="0" fontId="18" fillId="0" borderId="1" xfId="0" applyFont="1" applyFill="1" applyBorder="1" applyAlignment="1">
      <alignment horizontal="left" vertical="center" wrapText="1"/>
    </xf>
    <xf numFmtId="0" fontId="17" fillId="0" borderId="1" xfId="0" applyFont="1" applyFill="1" applyBorder="1" applyAlignment="1">
      <alignment vertical="center" wrapText="1"/>
    </xf>
    <xf numFmtId="0" fontId="17" fillId="0" borderId="1" xfId="32" applyFont="1" applyFill="1" applyBorder="1" applyAlignment="1" applyProtection="1">
      <alignment vertical="center" wrapText="1"/>
    </xf>
    <xf numFmtId="0" fontId="17" fillId="0" borderId="1" xfId="37" applyFont="1" applyFill="1" applyBorder="1" applyAlignment="1">
      <alignment vertical="center" wrapText="1"/>
    </xf>
    <xf numFmtId="44" fontId="17" fillId="0" borderId="1" xfId="14" applyNumberFormat="1" applyFont="1" applyFill="1" applyBorder="1" applyAlignment="1">
      <alignment horizontal="right" vertical="center" wrapText="1"/>
    </xf>
    <xf numFmtId="44" fontId="17" fillId="0" borderId="1" xfId="0" applyNumberFormat="1" applyFont="1" applyFill="1" applyBorder="1" applyAlignment="1">
      <alignment horizontal="right" vertical="center"/>
    </xf>
    <xf numFmtId="44" fontId="17" fillId="0" borderId="1" xfId="0" applyNumberFormat="1" applyFont="1" applyFill="1" applyBorder="1" applyAlignment="1">
      <alignment horizontal="right" vertical="center" wrapText="1"/>
    </xf>
    <xf numFmtId="0" fontId="19" fillId="0" borderId="1" xfId="0" applyFont="1" applyFill="1" applyBorder="1" applyAlignment="1">
      <alignment horizontal="left" vertical="center"/>
    </xf>
    <xf numFmtId="0" fontId="17" fillId="0" borderId="1" xfId="32" applyFont="1" applyFill="1" applyBorder="1" applyAlignment="1">
      <alignment vertical="center" wrapText="1"/>
    </xf>
    <xf numFmtId="0" fontId="17" fillId="0" borderId="1" xfId="0" applyFont="1" applyFill="1" applyBorder="1" applyAlignment="1">
      <alignment horizontal="left" vertical="center"/>
    </xf>
    <xf numFmtId="0" fontId="18" fillId="0" borderId="1" xfId="0" applyFont="1" applyFill="1" applyBorder="1" applyAlignment="1">
      <alignment vertical="center" wrapText="1"/>
    </xf>
    <xf numFmtId="0" fontId="18" fillId="0" borderId="1" xfId="0" applyFont="1" applyFill="1" applyBorder="1" applyAlignment="1" applyProtection="1">
      <alignment horizontal="left" vertical="center" wrapText="1"/>
    </xf>
    <xf numFmtId="0" fontId="18" fillId="0" borderId="1" xfId="37" applyNumberFormat="1" applyFont="1" applyFill="1" applyBorder="1" applyAlignment="1" applyProtection="1">
      <alignment vertical="center" wrapText="1"/>
    </xf>
    <xf numFmtId="0" fontId="17" fillId="0" borderId="1" xfId="0" applyFont="1" applyFill="1" applyBorder="1" applyAlignment="1">
      <alignment vertical="center"/>
    </xf>
    <xf numFmtId="0" fontId="17" fillId="0" borderId="1" xfId="0" applyFont="1" applyFill="1" applyBorder="1" applyAlignment="1" applyProtection="1">
      <alignment vertical="center" wrapText="1"/>
    </xf>
    <xf numFmtId="0" fontId="19" fillId="0" borderId="1" xfId="0" applyFont="1" applyFill="1" applyBorder="1" applyAlignment="1">
      <alignment horizontal="left" vertical="center" wrapText="1"/>
    </xf>
    <xf numFmtId="0" fontId="17" fillId="0" borderId="1" xfId="32" applyFont="1" applyFill="1" applyBorder="1" applyAlignment="1" applyProtection="1">
      <alignment horizontal="left" vertical="center" wrapText="1"/>
    </xf>
    <xf numFmtId="0" fontId="17" fillId="0" borderId="1" xfId="22" applyFont="1" applyFill="1" applyBorder="1" applyAlignment="1">
      <alignment horizontal="left" vertical="center" wrapText="1"/>
    </xf>
    <xf numFmtId="0" fontId="17" fillId="0" borderId="1" xfId="29" applyFont="1" applyFill="1" applyBorder="1" applyAlignment="1">
      <alignment vertical="center" wrapText="1"/>
    </xf>
    <xf numFmtId="0" fontId="18" fillId="0" borderId="1" xfId="32" applyFont="1" applyFill="1" applyBorder="1" applyAlignment="1" applyProtection="1">
      <alignment vertical="center" wrapText="1"/>
    </xf>
    <xf numFmtId="44" fontId="18" fillId="0" borderId="1" xfId="0" applyNumberFormat="1" applyFont="1" applyFill="1" applyBorder="1" applyAlignment="1">
      <alignment horizontal="right" vertical="center"/>
    </xf>
    <xf numFmtId="44" fontId="17" fillId="0" borderId="1" xfId="0" applyNumberFormat="1" applyFont="1" applyFill="1" applyBorder="1" applyAlignment="1">
      <alignment vertical="center"/>
    </xf>
    <xf numFmtId="0" fontId="18" fillId="0" borderId="1" xfId="0" applyNumberFormat="1" applyFont="1" applyFill="1" applyBorder="1" applyAlignment="1">
      <alignment horizontal="left" vertical="center" wrapText="1"/>
    </xf>
    <xf numFmtId="0" fontId="18" fillId="0" borderId="1" xfId="3" applyFont="1" applyFill="1" applyBorder="1" applyAlignment="1" applyProtection="1">
      <alignment vertical="center" wrapText="1"/>
    </xf>
    <xf numFmtId="0" fontId="19" fillId="0" borderId="1" xfId="0" applyFont="1" applyFill="1" applyBorder="1" applyAlignment="1">
      <alignment vertical="center" wrapText="1"/>
    </xf>
    <xf numFmtId="0" fontId="17" fillId="0" borderId="1" xfId="0" applyNumberFormat="1" applyFont="1" applyFill="1" applyBorder="1" applyAlignment="1" applyProtection="1">
      <alignment vertical="center" wrapText="1"/>
      <protection locked="0"/>
    </xf>
    <xf numFmtId="0" fontId="18" fillId="0" borderId="1" xfId="0" applyFont="1" applyFill="1" applyBorder="1" applyAlignment="1">
      <alignment horizontal="left" vertical="center"/>
    </xf>
    <xf numFmtId="0" fontId="20" fillId="4" borderId="1" xfId="0" applyFont="1" applyFill="1" applyBorder="1" applyAlignment="1">
      <alignment horizontal="center" vertical="center"/>
    </xf>
    <xf numFmtId="0" fontId="17" fillId="0" borderId="1" xfId="0" applyFont="1" applyBorder="1" applyAlignment="1">
      <alignment horizontal="left" vertical="center"/>
    </xf>
    <xf numFmtId="44" fontId="17" fillId="0" borderId="1" xfId="10" applyNumberFormat="1" applyFont="1" applyFill="1" applyBorder="1" applyAlignment="1">
      <alignment horizontal="right" vertical="center" wrapText="1"/>
    </xf>
    <xf numFmtId="191" fontId="17" fillId="0" borderId="1" xfId="0" applyNumberFormat="1" applyFont="1" applyFill="1" applyBorder="1" applyAlignment="1">
      <alignment vertical="center" wrapText="1"/>
    </xf>
    <xf numFmtId="0" fontId="3" fillId="0" borderId="0" xfId="0" applyFont="1" applyAlignment="1">
      <alignment horizontal="center" vertical="center"/>
    </xf>
    <xf numFmtId="0" fontId="18" fillId="0" borderId="1" xfId="26" applyFont="1" applyFill="1" applyBorder="1" applyAlignment="1">
      <alignment horizontal="left" vertical="center" wrapText="1"/>
    </xf>
    <xf numFmtId="0" fontId="21" fillId="0" borderId="1" xfId="0" applyFont="1" applyFill="1" applyBorder="1" applyAlignment="1">
      <alignment vertical="center" wrapText="1"/>
    </xf>
    <xf numFmtId="44" fontId="17" fillId="0" borderId="1" xfId="14" applyNumberFormat="1" applyFont="1" applyFill="1" applyBorder="1" applyAlignment="1">
      <alignment horizontal="left" vertical="center" wrapText="1"/>
    </xf>
    <xf numFmtId="44" fontId="17" fillId="0" borderId="1" xfId="0" applyNumberFormat="1" applyFont="1" applyFill="1" applyBorder="1" applyAlignment="1">
      <alignment horizontal="left" vertical="center" wrapText="1"/>
    </xf>
    <xf numFmtId="44" fontId="18" fillId="0" borderId="1" xfId="10" applyNumberFormat="1" applyFont="1" applyFill="1" applyBorder="1" applyAlignment="1">
      <alignment horizontal="right" vertical="center" wrapText="1"/>
    </xf>
    <xf numFmtId="0" fontId="17" fillId="0" borderId="0" xfId="0" applyFont="1" applyAlignment="1">
      <alignment vertical="center"/>
    </xf>
    <xf numFmtId="0" fontId="2" fillId="0" borderId="0" xfId="0" applyFont="1" applyAlignment="1">
      <alignment vertical="center"/>
    </xf>
    <xf numFmtId="0" fontId="3" fillId="0" borderId="0" xfId="0" applyFont="1" applyFill="1" applyBorder="1"/>
    <xf numFmtId="0" fontId="17" fillId="0" borderId="1" xfId="0" applyFont="1" applyBorder="1" applyAlignment="1">
      <alignment horizontal="left" vertical="center" wrapText="1"/>
    </xf>
    <xf numFmtId="0" fontId="17" fillId="0" borderId="1" xfId="0" applyFont="1" applyFill="1" applyBorder="1" applyAlignment="1">
      <alignment horizontal="left" wrapText="1"/>
    </xf>
    <xf numFmtId="0" fontId="0" fillId="0" borderId="0" xfId="0" applyFont="1" applyFill="1" applyBorder="1" applyAlignment="1" applyProtection="1">
      <alignment wrapText="1"/>
    </xf>
    <xf numFmtId="0" fontId="0" fillId="0" borderId="0" xfId="0" applyNumberFormat="1" applyFont="1" applyFill="1" applyBorder="1" applyAlignment="1">
      <alignment horizontal="left" wrapText="1"/>
    </xf>
    <xf numFmtId="0" fontId="9" fillId="0" borderId="0" xfId="0" applyFont="1" applyFill="1" applyBorder="1" applyAlignment="1">
      <alignment wrapText="1"/>
    </xf>
    <xf numFmtId="44" fontId="18" fillId="0" borderId="1" xfId="14" applyNumberFormat="1" applyFont="1" applyFill="1" applyBorder="1" applyAlignment="1">
      <alignment vertical="center" wrapText="1"/>
    </xf>
    <xf numFmtId="0" fontId="17" fillId="5" borderId="2" xfId="0" applyFont="1" applyFill="1" applyBorder="1" applyAlignment="1">
      <alignment horizontal="center" vertical="center"/>
    </xf>
    <xf numFmtId="44" fontId="17" fillId="0" borderId="3" xfId="0" applyNumberFormat="1" applyFont="1" applyFill="1" applyBorder="1" applyAlignment="1">
      <alignment horizontal="right" vertical="center"/>
    </xf>
    <xf numFmtId="44" fontId="20" fillId="0" borderId="4" xfId="0" applyNumberFormat="1" applyFont="1" applyBorder="1" applyAlignment="1">
      <alignment horizontal="right" vertical="center"/>
    </xf>
    <xf numFmtId="44" fontId="20" fillId="0" borderId="5" xfId="0" applyNumberFormat="1" applyFont="1" applyBorder="1" applyAlignment="1">
      <alignment horizontal="right" vertical="center"/>
    </xf>
    <xf numFmtId="191" fontId="17" fillId="0" borderId="1" xfId="0" applyNumberFormat="1" applyFont="1" applyFill="1" applyBorder="1" applyAlignment="1">
      <alignment horizontal="center" vertical="center" wrapText="1"/>
    </xf>
    <xf numFmtId="44" fontId="17" fillId="0" borderId="0" xfId="0" applyNumberFormat="1" applyFont="1" applyFill="1" applyBorder="1" applyAlignment="1">
      <alignment horizontal="right" vertical="center"/>
    </xf>
    <xf numFmtId="14" fontId="3" fillId="0" borderId="0" xfId="0" applyNumberFormat="1" applyFont="1" applyAlignment="1">
      <alignment horizontal="center"/>
    </xf>
    <xf numFmtId="0" fontId="3" fillId="0" borderId="0" xfId="0" applyFont="1" applyBorder="1" applyAlignment="1">
      <alignment horizontal="left" wrapText="1"/>
    </xf>
    <xf numFmtId="0" fontId="14" fillId="0" borderId="0" xfId="0" applyFont="1" applyBorder="1" applyAlignment="1">
      <alignment horizontal="left" wrapText="1"/>
    </xf>
    <xf numFmtId="0" fontId="11" fillId="0" borderId="0" xfId="0" applyFont="1" applyBorder="1" applyAlignment="1">
      <alignment horizontal="left" wrapText="1"/>
    </xf>
    <xf numFmtId="0" fontId="0" fillId="0" borderId="0" xfId="0" applyBorder="1" applyAlignment="1">
      <alignment horizontal="left"/>
    </xf>
    <xf numFmtId="0" fontId="3" fillId="0" borderId="0" xfId="0" applyFont="1" applyBorder="1" applyAlignment="1">
      <alignment horizontal="center" wrapText="1"/>
    </xf>
    <xf numFmtId="0" fontId="15" fillId="0" borderId="0" xfId="0" applyFont="1" applyBorder="1" applyAlignment="1">
      <alignment horizontal="center" wrapText="1"/>
    </xf>
    <xf numFmtId="14" fontId="3" fillId="0" borderId="0" xfId="0" applyNumberFormat="1" applyFont="1" applyBorder="1" applyAlignment="1">
      <alignment horizontal="center" wrapText="1"/>
    </xf>
    <xf numFmtId="14" fontId="3" fillId="0" borderId="0" xfId="0" applyNumberFormat="1" applyFont="1" applyAlignment="1">
      <alignment horizontal="left"/>
    </xf>
    <xf numFmtId="0" fontId="0" fillId="0" borderId="0" xfId="0" applyBorder="1" applyAlignment="1">
      <alignment horizontal="left" wrapText="1"/>
    </xf>
    <xf numFmtId="0" fontId="0" fillId="0" borderId="0" xfId="0" applyFont="1" applyBorder="1" applyAlignment="1">
      <alignment horizontal="left"/>
    </xf>
    <xf numFmtId="0" fontId="22" fillId="4" borderId="6" xfId="0" applyFont="1" applyFill="1" applyBorder="1" applyAlignment="1">
      <alignment horizontal="center" vertical="center" wrapText="1"/>
    </xf>
    <xf numFmtId="0" fontId="0" fillId="0" borderId="0" xfId="0" applyFont="1" applyFill="1" applyBorder="1" applyAlignment="1">
      <alignment horizontal="left"/>
    </xf>
    <xf numFmtId="0" fontId="0" fillId="6" borderId="0" xfId="0" applyFont="1" applyFill="1" applyBorder="1" applyAlignment="1">
      <alignment horizontal="left"/>
    </xf>
    <xf numFmtId="0" fontId="0" fillId="0" borderId="0" xfId="0" applyFill="1" applyBorder="1" applyAlignment="1">
      <alignment horizontal="left"/>
    </xf>
    <xf numFmtId="0" fontId="0" fillId="6" borderId="0" xfId="0" applyFill="1" applyBorder="1" applyAlignment="1">
      <alignment horizontal="left"/>
    </xf>
    <xf numFmtId="0" fontId="3" fillId="0" borderId="0" xfId="0" applyFont="1" applyFill="1" applyBorder="1" applyAlignment="1">
      <alignment horizontal="left" wrapText="1"/>
    </xf>
    <xf numFmtId="0" fontId="11" fillId="0" borderId="0" xfId="0" applyFont="1" applyFill="1" applyBorder="1" applyAlignment="1">
      <alignment horizontal="left" wrapText="1"/>
    </xf>
    <xf numFmtId="0" fontId="14" fillId="0" borderId="0" xfId="0" applyFont="1" applyFill="1" applyBorder="1" applyAlignment="1">
      <alignment horizontal="left" wrapText="1"/>
    </xf>
    <xf numFmtId="0" fontId="20" fillId="4" borderId="1" xfId="0" applyFont="1" applyFill="1" applyBorder="1" applyAlignment="1">
      <alignment horizontal="center" vertical="center" wrapText="1"/>
    </xf>
    <xf numFmtId="44" fontId="23" fillId="0" borderId="0" xfId="0" applyNumberFormat="1" applyFont="1" applyFill="1" applyBorder="1" applyAlignment="1">
      <alignment horizontal="center" vertical="center" wrapText="1"/>
    </xf>
    <xf numFmtId="0" fontId="17" fillId="0" borderId="7" xfId="0" applyFont="1" applyFill="1" applyBorder="1" applyAlignment="1">
      <alignment vertical="center" wrapText="1"/>
    </xf>
    <xf numFmtId="44" fontId="17" fillId="0" borderId="7" xfId="9" applyNumberFormat="1" applyFont="1" applyFill="1" applyBorder="1" applyAlignment="1">
      <alignment horizontal="center" vertical="center" wrapText="1"/>
    </xf>
    <xf numFmtId="44" fontId="17" fillId="0" borderId="7" xfId="13" applyNumberFormat="1" applyFont="1" applyFill="1" applyBorder="1" applyAlignment="1">
      <alignment horizontal="center" vertical="center" wrapText="1"/>
    </xf>
    <xf numFmtId="44" fontId="17" fillId="0" borderId="7" xfId="0" applyNumberFormat="1" applyFont="1" applyFill="1" applyBorder="1" applyAlignment="1">
      <alignment horizontal="right" vertical="center"/>
    </xf>
    <xf numFmtId="44" fontId="17" fillId="0" borderId="8" xfId="0" applyNumberFormat="1" applyFont="1" applyFill="1" applyBorder="1" applyAlignment="1">
      <alignment horizontal="center" vertical="center" wrapText="1"/>
    </xf>
    <xf numFmtId="44" fontId="17" fillId="0" borderId="1" xfId="9" applyNumberFormat="1" applyFont="1" applyFill="1" applyBorder="1" applyAlignment="1">
      <alignment horizontal="center" vertical="center" wrapText="1"/>
    </xf>
    <xf numFmtId="44" fontId="17" fillId="0" borderId="1" xfId="13" applyNumberFormat="1" applyFont="1" applyFill="1" applyBorder="1" applyAlignment="1">
      <alignment horizontal="center" vertical="center" wrapText="1"/>
    </xf>
    <xf numFmtId="44" fontId="17" fillId="0" borderId="1" xfId="0" applyNumberFormat="1" applyFont="1" applyFill="1" applyBorder="1" applyAlignment="1">
      <alignment horizontal="center" vertical="center" wrapText="1"/>
    </xf>
    <xf numFmtId="44" fontId="19" fillId="0" borderId="1" xfId="0" applyNumberFormat="1" applyFont="1" applyFill="1" applyBorder="1" applyAlignment="1">
      <alignment horizontal="center" vertical="center" wrapText="1"/>
    </xf>
    <xf numFmtId="44" fontId="18" fillId="0" borderId="1" xfId="14" applyNumberFormat="1" applyFont="1" applyFill="1" applyBorder="1" applyAlignment="1">
      <alignment horizontal="center" vertical="center" wrapText="1"/>
    </xf>
    <xf numFmtId="44" fontId="20" fillId="0" borderId="9" xfId="0" applyNumberFormat="1" applyFont="1" applyFill="1" applyBorder="1" applyAlignment="1">
      <alignment horizontal="center" vertical="center" wrapText="1"/>
    </xf>
    <xf numFmtId="44" fontId="20" fillId="0" borderId="4" xfId="0" applyNumberFormat="1" applyFont="1" applyFill="1" applyBorder="1" applyAlignment="1">
      <alignment horizontal="center" vertical="center" wrapText="1"/>
    </xf>
    <xf numFmtId="44" fontId="20" fillId="0" borderId="5" xfId="0" applyNumberFormat="1" applyFont="1" applyFill="1" applyBorder="1" applyAlignment="1">
      <alignment horizontal="center" vertical="center" wrapText="1"/>
    </xf>
    <xf numFmtId="44" fontId="20" fillId="0" borderId="10" xfId="0" applyNumberFormat="1" applyFont="1" applyFill="1" applyBorder="1" applyAlignment="1">
      <alignment horizontal="center" vertical="center" wrapText="1"/>
    </xf>
    <xf numFmtId="44" fontId="20" fillId="0" borderId="11" xfId="0" applyNumberFormat="1" applyFont="1" applyFill="1" applyBorder="1" applyAlignment="1">
      <alignment horizontal="right" vertical="center"/>
    </xf>
    <xf numFmtId="0" fontId="17" fillId="0" borderId="1" xfId="25" applyFont="1" applyFill="1" applyBorder="1" applyAlignment="1" applyProtection="1">
      <alignment horizontal="left" vertical="center" wrapText="1"/>
    </xf>
    <xf numFmtId="44" fontId="17" fillId="0" borderId="1" xfId="10" applyNumberFormat="1" applyFont="1" applyFill="1" applyBorder="1" applyAlignment="1">
      <alignment horizontal="center" vertical="center" wrapText="1"/>
    </xf>
    <xf numFmtId="0" fontId="17" fillId="0" borderId="1" xfId="31" applyFont="1" applyFill="1" applyBorder="1" applyAlignment="1" applyProtection="1">
      <alignment horizontal="left" vertical="center" wrapText="1"/>
    </xf>
    <xf numFmtId="0" fontId="17" fillId="0" borderId="1" xfId="25" applyFont="1" applyFill="1" applyBorder="1" applyAlignment="1">
      <alignment horizontal="left" vertical="center" wrapText="1"/>
    </xf>
    <xf numFmtId="0" fontId="17" fillId="0" borderId="1" xfId="31" applyFont="1" applyFill="1" applyBorder="1" applyAlignment="1">
      <alignment horizontal="left" vertical="center" wrapText="1"/>
    </xf>
    <xf numFmtId="44" fontId="17" fillId="0" borderId="1" xfId="24" applyNumberFormat="1" applyFont="1" applyFill="1" applyBorder="1" applyAlignment="1">
      <alignment horizontal="right" vertical="center" wrapText="1"/>
    </xf>
    <xf numFmtId="3" fontId="17" fillId="0" borderId="1" xfId="10" applyNumberFormat="1" applyFont="1" applyFill="1" applyBorder="1" applyAlignment="1">
      <alignment horizontal="center" vertical="center" wrapText="1"/>
    </xf>
    <xf numFmtId="49" fontId="20" fillId="4" borderId="6" xfId="0" applyNumberFormat="1" applyFont="1" applyFill="1" applyBorder="1" applyAlignment="1">
      <alignment horizontal="center" vertical="center" wrapText="1"/>
    </xf>
    <xf numFmtId="4" fontId="0" fillId="0" borderId="0" xfId="0" applyNumberFormat="1" applyFont="1"/>
    <xf numFmtId="4" fontId="0" fillId="0" borderId="0" xfId="0" applyNumberFormat="1" applyFont="1" applyFill="1" applyBorder="1"/>
    <xf numFmtId="4" fontId="0" fillId="0" borderId="0" xfId="0" applyNumberFormat="1" applyFont="1" applyBorder="1"/>
    <xf numFmtId="44" fontId="18" fillId="0" borderId="1" xfId="0" applyNumberFormat="1" applyFont="1" applyFill="1" applyBorder="1" applyAlignment="1">
      <alignment horizontal="left" vertical="center" wrapText="1"/>
    </xf>
    <xf numFmtId="44" fontId="17" fillId="0" borderId="1" xfId="19" applyNumberFormat="1" applyFont="1" applyFill="1" applyBorder="1" applyAlignment="1">
      <alignment horizontal="left" vertical="center" wrapText="1"/>
    </xf>
    <xf numFmtId="44" fontId="18" fillId="0" borderId="1" xfId="26" applyNumberFormat="1" applyFont="1" applyFill="1" applyBorder="1" applyAlignment="1">
      <alignment horizontal="left" vertical="center" wrapText="1"/>
    </xf>
    <xf numFmtId="44" fontId="17" fillId="0" borderId="1" xfId="0" applyNumberFormat="1" applyFont="1" applyFill="1" applyBorder="1" applyAlignment="1">
      <alignment horizontal="left" vertical="center"/>
    </xf>
    <xf numFmtId="44" fontId="18" fillId="0" borderId="1" xfId="19" applyNumberFormat="1" applyFont="1" applyFill="1" applyBorder="1" applyAlignment="1">
      <alignment horizontal="left" vertical="center" wrapText="1"/>
    </xf>
    <xf numFmtId="0" fontId="17" fillId="0" borderId="1" xfId="0" applyFont="1" applyFill="1" applyBorder="1" applyAlignment="1">
      <alignment wrapText="1"/>
    </xf>
    <xf numFmtId="0" fontId="17" fillId="5" borderId="12" xfId="0" applyNumberFormat="1" applyFont="1" applyFill="1" applyBorder="1" applyAlignment="1">
      <alignment horizontal="center" vertical="center" wrapText="1"/>
    </xf>
    <xf numFmtId="44" fontId="20" fillId="0" borderId="13" xfId="0" applyNumberFormat="1" applyFont="1" applyFill="1" applyBorder="1" applyAlignment="1">
      <alignment horizontal="right" vertical="center"/>
    </xf>
    <xf numFmtId="0" fontId="19" fillId="5" borderId="2" xfId="0" applyFont="1" applyFill="1" applyBorder="1" applyAlignment="1">
      <alignment horizontal="center" vertical="center"/>
    </xf>
    <xf numFmtId="44" fontId="17" fillId="0" borderId="3" xfId="0" applyNumberFormat="1" applyFont="1" applyBorder="1" applyAlignment="1">
      <alignment horizontal="right" vertical="center"/>
    </xf>
    <xf numFmtId="44" fontId="17" fillId="0" borderId="3" xfId="0" applyNumberFormat="1" applyFont="1" applyBorder="1" applyAlignment="1">
      <alignment horizontal="center" vertical="center"/>
    </xf>
    <xf numFmtId="44" fontId="17" fillId="0" borderId="1" xfId="13" applyNumberFormat="1" applyFont="1" applyFill="1" applyBorder="1" applyAlignment="1">
      <alignment horizontal="center" vertical="center"/>
    </xf>
    <xf numFmtId="0" fontId="3" fillId="0" borderId="0" xfId="0" applyFont="1" applyBorder="1" applyAlignment="1">
      <alignment horizontal="center" vertical="center"/>
    </xf>
    <xf numFmtId="14" fontId="3" fillId="0" borderId="0" xfId="0" applyNumberFormat="1" applyFont="1" applyAlignment="1">
      <alignment horizontal="center" vertical="center"/>
    </xf>
    <xf numFmtId="0" fontId="17" fillId="5" borderId="1" xfId="0" applyFont="1" applyFill="1" applyBorder="1" applyAlignment="1">
      <alignment horizontal="center" vertical="center"/>
    </xf>
    <xf numFmtId="0" fontId="20" fillId="4" borderId="1" xfId="0" applyFont="1" applyFill="1" applyBorder="1" applyAlignment="1">
      <alignment horizontal="center" vertical="center" wrapText="1"/>
    </xf>
    <xf numFmtId="0" fontId="3" fillId="0" borderId="0" xfId="0" applyFont="1" applyBorder="1" applyAlignment="1">
      <alignment horizontal="left" vertical="center"/>
    </xf>
    <xf numFmtId="14" fontId="3" fillId="0" borderId="0" xfId="0" applyNumberFormat="1" applyFont="1" applyAlignment="1">
      <alignment horizontal="left" vertical="center"/>
    </xf>
    <xf numFmtId="0" fontId="0" fillId="0" borderId="0" xfId="0" applyAlignment="1"/>
    <xf numFmtId="0" fontId="11" fillId="0" borderId="0" xfId="0" applyFont="1" applyBorder="1" applyAlignment="1">
      <alignment horizontal="left"/>
    </xf>
    <xf numFmtId="0" fontId="18" fillId="0" borderId="1" xfId="0" applyFont="1" applyFill="1" applyBorder="1" applyAlignment="1">
      <alignment wrapText="1"/>
    </xf>
    <xf numFmtId="1" fontId="18" fillId="0" borderId="1" xfId="0" applyNumberFormat="1" applyFont="1" applyFill="1" applyBorder="1" applyAlignment="1">
      <alignment wrapText="1"/>
    </xf>
    <xf numFmtId="44" fontId="20" fillId="0" borderId="1" xfId="0" applyNumberFormat="1" applyFont="1" applyFill="1" applyBorder="1" applyAlignment="1">
      <alignment horizontal="right" vertical="center"/>
    </xf>
    <xf numFmtId="0" fontId="17" fillId="0" borderId="1" xfId="22" applyFont="1" applyFill="1" applyBorder="1" applyAlignment="1">
      <alignment horizontal="left" wrapText="1"/>
    </xf>
    <xf numFmtId="44" fontId="18" fillId="0" borderId="1" xfId="0" applyNumberFormat="1" applyFont="1" applyFill="1" applyBorder="1" applyAlignment="1">
      <alignment horizontal="right" vertical="center" wrapText="1"/>
    </xf>
    <xf numFmtId="44" fontId="17" fillId="0" borderId="1" xfId="17" applyNumberFormat="1" applyFont="1" applyFill="1" applyBorder="1" applyAlignment="1">
      <alignment horizontal="right" vertical="center"/>
    </xf>
    <xf numFmtId="44" fontId="17" fillId="0" borderId="1" xfId="12" applyNumberFormat="1" applyFont="1" applyFill="1" applyBorder="1" applyAlignment="1">
      <alignment horizontal="right" vertical="center" wrapText="1"/>
    </xf>
    <xf numFmtId="44" fontId="19" fillId="0" borderId="1" xfId="0" applyNumberFormat="1" applyFont="1" applyFill="1" applyBorder="1" applyAlignment="1">
      <alignment vertical="center" wrapText="1"/>
    </xf>
    <xf numFmtId="44" fontId="18" fillId="0" borderId="1" xfId="0" applyNumberFormat="1" applyFont="1" applyFill="1" applyBorder="1" applyAlignment="1">
      <alignment horizontal="center" vertical="center" wrapText="1"/>
    </xf>
    <xf numFmtId="44" fontId="17" fillId="0" borderId="1" xfId="14" applyNumberFormat="1" applyFont="1" applyFill="1" applyBorder="1" applyAlignment="1">
      <alignment horizontal="center" vertical="center" wrapText="1"/>
    </xf>
    <xf numFmtId="44" fontId="17" fillId="0" borderId="1" xfId="17" applyNumberFormat="1" applyFont="1" applyFill="1" applyBorder="1" applyAlignment="1">
      <alignment horizontal="center" vertical="center"/>
    </xf>
    <xf numFmtId="44" fontId="17" fillId="0" borderId="1" xfId="6" applyNumberFormat="1" applyFont="1" applyFill="1" applyBorder="1" applyAlignment="1">
      <alignment horizontal="left" vertical="center"/>
    </xf>
    <xf numFmtId="44" fontId="17" fillId="0" borderId="1" xfId="6" applyNumberFormat="1" applyFont="1" applyFill="1" applyBorder="1" applyAlignment="1">
      <alignment horizontal="right" vertical="center"/>
    </xf>
    <xf numFmtId="44" fontId="17" fillId="0" borderId="1" xfId="4" applyNumberFormat="1" applyFont="1" applyFill="1" applyBorder="1" applyAlignment="1">
      <alignment horizontal="right" vertical="center" wrapText="1"/>
    </xf>
    <xf numFmtId="44" fontId="17" fillId="0" borderId="1" xfId="9" applyNumberFormat="1" applyFont="1" applyFill="1" applyBorder="1" applyAlignment="1">
      <alignment vertical="center" wrapText="1"/>
    </xf>
    <xf numFmtId="44" fontId="17" fillId="0" borderId="1" xfId="12" applyNumberFormat="1" applyFont="1" applyFill="1" applyBorder="1" applyAlignment="1">
      <alignment horizontal="right" vertical="center"/>
    </xf>
    <xf numFmtId="44" fontId="17" fillId="0" borderId="1" xfId="9" applyNumberFormat="1" applyFont="1" applyFill="1" applyBorder="1" applyAlignment="1">
      <alignment vertical="center"/>
    </xf>
    <xf numFmtId="0" fontId="17" fillId="0" borderId="1" xfId="23" applyFont="1" applyFill="1" applyBorder="1" applyAlignment="1">
      <alignment horizontal="left" vertical="center" wrapText="1"/>
    </xf>
    <xf numFmtId="44" fontId="19" fillId="0" borderId="1" xfId="6" applyNumberFormat="1" applyFont="1" applyFill="1" applyBorder="1" applyAlignment="1">
      <alignment horizontal="right" vertical="center" wrapText="1"/>
    </xf>
    <xf numFmtId="44" fontId="18" fillId="0" borderId="1" xfId="4" applyNumberFormat="1" applyFont="1" applyFill="1" applyBorder="1" applyAlignment="1">
      <alignment horizontal="right" vertical="center"/>
    </xf>
    <xf numFmtId="0" fontId="17" fillId="0" borderId="1" xfId="2" applyFont="1" applyFill="1" applyBorder="1" applyAlignment="1" applyProtection="1">
      <alignment horizontal="left" vertical="center" wrapText="1"/>
    </xf>
    <xf numFmtId="44" fontId="17" fillId="0" borderId="1" xfId="6" applyNumberFormat="1" applyFont="1" applyFill="1" applyBorder="1" applyAlignment="1">
      <alignment horizontal="left" vertical="center" wrapText="1"/>
    </xf>
    <xf numFmtId="44" fontId="18" fillId="0" borderId="1" xfId="14" applyNumberFormat="1" applyFont="1" applyFill="1" applyBorder="1" applyAlignment="1">
      <alignment horizontal="right" vertical="center" wrapText="1"/>
    </xf>
    <xf numFmtId="0" fontId="18" fillId="0" borderId="1" xfId="0" applyFont="1" applyFill="1" applyBorder="1" applyAlignment="1">
      <alignment horizontal="justify" vertical="center" wrapText="1"/>
    </xf>
    <xf numFmtId="44" fontId="18" fillId="0" borderId="1" xfId="17" applyNumberFormat="1" applyFont="1" applyFill="1" applyBorder="1" applyAlignment="1">
      <alignment horizontal="right" vertical="center"/>
    </xf>
    <xf numFmtId="0" fontId="17" fillId="0" borderId="1" xfId="28" applyFont="1" applyFill="1" applyBorder="1" applyAlignment="1">
      <alignment vertical="center" wrapText="1"/>
    </xf>
    <xf numFmtId="44" fontId="17" fillId="0" borderId="1" xfId="14" applyNumberFormat="1" applyFont="1" applyFill="1" applyBorder="1" applyAlignment="1">
      <alignment vertical="center"/>
    </xf>
    <xf numFmtId="44" fontId="18" fillId="0" borderId="1" xfId="7" applyNumberFormat="1" applyFont="1" applyFill="1" applyBorder="1" applyAlignment="1">
      <alignment horizontal="center" vertical="center" wrapText="1"/>
    </xf>
    <xf numFmtId="44" fontId="17" fillId="0" borderId="7" xfId="12" applyNumberFormat="1" applyFont="1" applyFill="1" applyBorder="1" applyAlignment="1">
      <alignment horizontal="right" vertical="center" wrapText="1"/>
    </xf>
    <xf numFmtId="44" fontId="17" fillId="0" borderId="7" xfId="0" applyNumberFormat="1" applyFont="1" applyFill="1" applyBorder="1" applyAlignment="1">
      <alignment horizontal="right" vertical="center" wrapText="1"/>
    </xf>
    <xf numFmtId="44" fontId="17" fillId="0" borderId="7" xfId="14" applyNumberFormat="1" applyFont="1" applyFill="1" applyBorder="1" applyAlignment="1">
      <alignment horizontal="right" vertical="center" wrapText="1"/>
    </xf>
    <xf numFmtId="44" fontId="17" fillId="0" borderId="7" xfId="17" applyNumberFormat="1" applyFont="1" applyFill="1" applyBorder="1" applyAlignment="1">
      <alignment horizontal="right" vertical="center"/>
    </xf>
    <xf numFmtId="44" fontId="20" fillId="0" borderId="9" xfId="0" applyNumberFormat="1" applyFont="1" applyFill="1" applyBorder="1" applyAlignment="1">
      <alignment vertical="center"/>
    </xf>
    <xf numFmtId="44" fontId="20" fillId="0" borderId="4" xfId="0" applyNumberFormat="1" applyFont="1" applyFill="1" applyBorder="1" applyAlignment="1">
      <alignment vertical="center"/>
    </xf>
    <xf numFmtId="44" fontId="20" fillId="0" borderId="4" xfId="0" applyNumberFormat="1" applyFont="1" applyFill="1" applyBorder="1" applyAlignment="1">
      <alignment horizontal="right" vertical="center"/>
    </xf>
    <xf numFmtId="44" fontId="20" fillId="0" borderId="5" xfId="0" applyNumberFormat="1" applyFont="1" applyFill="1" applyBorder="1" applyAlignment="1">
      <alignment vertical="center"/>
    </xf>
    <xf numFmtId="44" fontId="17" fillId="0" borderId="1" xfId="4" applyNumberFormat="1" applyFont="1" applyFill="1" applyBorder="1" applyAlignment="1">
      <alignment horizontal="right" vertical="center"/>
    </xf>
    <xf numFmtId="0" fontId="20" fillId="4" borderId="14" xfId="0" applyFont="1" applyFill="1" applyBorder="1" applyAlignment="1">
      <alignment horizontal="center" vertical="center" wrapText="1"/>
    </xf>
    <xf numFmtId="0" fontId="20" fillId="4" borderId="15" xfId="0" applyFont="1" applyFill="1" applyBorder="1" applyAlignment="1">
      <alignment horizontal="center" vertical="center" wrapText="1"/>
    </xf>
    <xf numFmtId="0" fontId="20" fillId="4" borderId="16" xfId="0" applyFont="1" applyFill="1" applyBorder="1" applyAlignment="1">
      <alignment horizontal="center" vertical="center" wrapText="1"/>
    </xf>
    <xf numFmtId="0" fontId="20" fillId="4" borderId="1" xfId="0" applyFont="1" applyFill="1" applyBorder="1" applyAlignment="1">
      <alignment horizontal="center" vertical="center" wrapText="1"/>
    </xf>
    <xf numFmtId="0" fontId="20" fillId="4" borderId="17" xfId="0" applyFont="1" applyFill="1" applyBorder="1" applyAlignment="1">
      <alignment horizontal="center" vertical="center" wrapText="1"/>
    </xf>
    <xf numFmtId="0" fontId="20" fillId="4" borderId="15" xfId="0" applyFont="1" applyFill="1" applyBorder="1" applyAlignment="1">
      <alignment horizontal="center" vertical="center"/>
    </xf>
    <xf numFmtId="0" fontId="20" fillId="4" borderId="6" xfId="0" applyFont="1" applyFill="1" applyBorder="1" applyAlignment="1">
      <alignment horizontal="center" vertical="center" wrapText="1"/>
    </xf>
    <xf numFmtId="14" fontId="3" fillId="0" borderId="0" xfId="0" applyNumberFormat="1" applyFont="1" applyAlignment="1">
      <alignment vertical="center"/>
    </xf>
    <xf numFmtId="191" fontId="17" fillId="0" borderId="3" xfId="0" applyNumberFormat="1" applyFont="1" applyFill="1" applyBorder="1" applyAlignment="1">
      <alignment horizontal="center" vertical="center" wrapText="1"/>
    </xf>
    <xf numFmtId="44" fontId="17" fillId="0" borderId="1" xfId="0" applyNumberFormat="1" applyFont="1" applyFill="1" applyBorder="1" applyAlignment="1">
      <alignment vertical="center" wrapText="1"/>
    </xf>
    <xf numFmtId="44" fontId="17" fillId="0" borderId="18" xfId="0" applyNumberFormat="1" applyFont="1" applyBorder="1" applyAlignment="1">
      <alignment horizontal="right" vertical="center"/>
    </xf>
    <xf numFmtId="191" fontId="17" fillId="0" borderId="6" xfId="0" applyNumberFormat="1" applyFont="1" applyFill="1" applyBorder="1" applyAlignment="1">
      <alignment vertical="center" wrapText="1"/>
    </xf>
    <xf numFmtId="0" fontId="0" fillId="0" borderId="0" xfId="0" applyBorder="1" applyAlignment="1">
      <alignment horizontal="center" vertical="center"/>
    </xf>
    <xf numFmtId="0" fontId="20" fillId="4" borderId="16" xfId="0" applyFont="1" applyFill="1" applyBorder="1" applyAlignment="1">
      <alignment horizontal="center" vertical="center" wrapText="1"/>
    </xf>
    <xf numFmtId="0" fontId="20" fillId="4" borderId="16" xfId="0" applyFont="1" applyFill="1" applyBorder="1" applyAlignment="1">
      <alignment horizontal="center" vertical="center" wrapText="1"/>
    </xf>
    <xf numFmtId="1" fontId="18" fillId="0" borderId="1" xfId="0" applyNumberFormat="1" applyFont="1" applyFill="1" applyBorder="1" applyAlignment="1">
      <alignment vertical="center" wrapText="1"/>
    </xf>
    <xf numFmtId="191" fontId="18" fillId="0" borderId="1" xfId="13" applyNumberFormat="1" applyFont="1" applyFill="1" applyBorder="1" applyAlignment="1">
      <alignment vertical="center" wrapText="1"/>
    </xf>
    <xf numFmtId="191" fontId="17" fillId="0" borderId="1" xfId="0" applyNumberFormat="1" applyFont="1" applyFill="1" applyBorder="1" applyAlignment="1" applyProtection="1">
      <alignment horizontal="right" vertical="center" wrapText="1"/>
    </xf>
    <xf numFmtId="0" fontId="18" fillId="0" borderId="1" xfId="0" applyFont="1" applyFill="1" applyBorder="1" applyAlignment="1" applyProtection="1">
      <alignment vertical="center" wrapText="1"/>
    </xf>
    <xf numFmtId="191" fontId="17" fillId="2" borderId="1" xfId="0" applyNumberFormat="1" applyFont="1" applyFill="1" applyBorder="1" applyAlignment="1" applyProtection="1">
      <alignment horizontal="right" vertical="center" wrapText="1"/>
    </xf>
    <xf numFmtId="0" fontId="18" fillId="0" borderId="1" xfId="0" applyFont="1" applyBorder="1" applyAlignment="1">
      <alignment vertical="center" wrapText="1"/>
    </xf>
    <xf numFmtId="191" fontId="18" fillId="0" borderId="1" xfId="7" applyNumberFormat="1" applyFont="1" applyFill="1" applyBorder="1" applyAlignment="1" applyProtection="1">
      <alignment horizontal="right" vertical="center"/>
    </xf>
    <xf numFmtId="0" fontId="17" fillId="0" borderId="1" xfId="0" applyNumberFormat="1" applyFont="1" applyFill="1" applyBorder="1" applyAlignment="1">
      <alignment horizontal="left" vertical="center" wrapText="1"/>
    </xf>
    <xf numFmtId="193" fontId="18" fillId="0" borderId="1" xfId="7" applyNumberFormat="1" applyFont="1" applyFill="1" applyBorder="1" applyAlignment="1" applyProtection="1">
      <alignment horizontal="right" vertical="center"/>
    </xf>
    <xf numFmtId="191" fontId="17" fillId="0" borderId="1" xfId="7" applyNumberFormat="1" applyFont="1" applyFill="1" applyBorder="1" applyAlignment="1" applyProtection="1">
      <alignment horizontal="right" vertical="center"/>
    </xf>
    <xf numFmtId="191" fontId="18" fillId="3" borderId="1" xfId="7" applyNumberFormat="1" applyFont="1" applyFill="1" applyBorder="1" applyAlignment="1" applyProtection="1">
      <alignment horizontal="right" vertical="center"/>
    </xf>
    <xf numFmtId="0" fontId="17" fillId="0" borderId="6" xfId="0" applyNumberFormat="1" applyFont="1" applyFill="1" applyBorder="1" applyAlignment="1">
      <alignment horizontal="left" vertical="center" wrapText="1"/>
    </xf>
    <xf numFmtId="0" fontId="18" fillId="0" borderId="19" xfId="0" applyFont="1" applyFill="1" applyBorder="1" applyAlignment="1">
      <alignment vertical="center" wrapText="1"/>
    </xf>
    <xf numFmtId="44" fontId="18" fillId="0" borderId="1" xfId="13" applyNumberFormat="1" applyFont="1" applyFill="1" applyBorder="1" applyAlignment="1">
      <alignment vertical="center" wrapText="1"/>
    </xf>
    <xf numFmtId="44" fontId="17" fillId="0" borderId="1" xfId="0" applyNumberFormat="1" applyFont="1" applyFill="1" applyBorder="1" applyAlignment="1" applyProtection="1">
      <alignment horizontal="right" vertical="center" wrapText="1"/>
    </xf>
    <xf numFmtId="0" fontId="17" fillId="0" borderId="6" xfId="0" applyFont="1" applyFill="1" applyBorder="1" applyAlignment="1" applyProtection="1">
      <alignment vertical="center" wrapText="1"/>
    </xf>
    <xf numFmtId="0" fontId="18" fillId="0" borderId="20" xfId="0" applyFont="1" applyFill="1" applyBorder="1" applyAlignment="1">
      <alignment vertical="center" wrapText="1"/>
    </xf>
    <xf numFmtId="191" fontId="18" fillId="0" borderId="6" xfId="7" applyNumberFormat="1" applyFont="1" applyFill="1" applyBorder="1" applyAlignment="1" applyProtection="1">
      <alignment horizontal="right" vertical="center"/>
    </xf>
    <xf numFmtId="191" fontId="17" fillId="0" borderId="6" xfId="0" applyNumberFormat="1" applyFont="1" applyFill="1" applyBorder="1" applyAlignment="1" applyProtection="1">
      <alignment horizontal="right" vertical="center" wrapText="1"/>
    </xf>
    <xf numFmtId="191" fontId="17" fillId="0" borderId="9" xfId="0" applyNumberFormat="1" applyFont="1" applyFill="1" applyBorder="1" applyAlignment="1">
      <alignment vertical="center"/>
    </xf>
    <xf numFmtId="0" fontId="17" fillId="0" borderId="4" xfId="0" applyFont="1" applyFill="1" applyBorder="1" applyAlignment="1">
      <alignment vertical="center"/>
    </xf>
    <xf numFmtId="0" fontId="17" fillId="0" borderId="5" xfId="0" applyFont="1" applyFill="1" applyBorder="1" applyAlignment="1">
      <alignment vertical="center"/>
    </xf>
    <xf numFmtId="44" fontId="17" fillId="0" borderId="1" xfId="0" applyNumberFormat="1" applyFont="1" applyBorder="1" applyAlignment="1">
      <alignment horizontal="right" vertical="center"/>
    </xf>
    <xf numFmtId="0" fontId="20" fillId="4" borderId="21" xfId="0" applyFont="1" applyFill="1" applyBorder="1" applyAlignment="1">
      <alignment horizontal="center" vertical="center" wrapText="1"/>
    </xf>
    <xf numFmtId="0" fontId="18" fillId="0" borderId="1" xfId="0" applyFont="1" applyBorder="1" applyAlignment="1">
      <alignment wrapText="1"/>
    </xf>
    <xf numFmtId="191" fontId="18" fillId="0" borderId="1" xfId="13" applyNumberFormat="1" applyFont="1" applyFill="1" applyBorder="1" applyAlignment="1">
      <alignment wrapText="1"/>
    </xf>
    <xf numFmtId="0" fontId="17" fillId="0" borderId="1" xfId="28" applyFont="1" applyFill="1" applyBorder="1" applyAlignment="1">
      <alignment vertical="center"/>
    </xf>
    <xf numFmtId="0" fontId="19" fillId="7" borderId="1" xfId="0" applyFont="1" applyFill="1" applyBorder="1" applyAlignment="1">
      <alignment horizontal="left" vertical="center" wrapText="1"/>
    </xf>
    <xf numFmtId="191" fontId="17" fillId="0" borderId="1" xfId="5" applyNumberFormat="1" applyFont="1" applyFill="1" applyBorder="1" applyAlignment="1">
      <alignment horizontal="right" vertical="center"/>
    </xf>
    <xf numFmtId="0" fontId="19" fillId="7" borderId="1" xfId="0" applyFont="1" applyFill="1" applyBorder="1" applyAlignment="1">
      <alignment vertical="center" wrapText="1"/>
    </xf>
    <xf numFmtId="191" fontId="19" fillId="0" borderId="1" xfId="5" applyNumberFormat="1" applyFont="1" applyFill="1" applyBorder="1" applyAlignment="1">
      <alignment horizontal="right" vertical="center" wrapText="1"/>
    </xf>
    <xf numFmtId="0" fontId="0" fillId="0" borderId="1" xfId="0" applyFill="1" applyBorder="1" applyAlignment="1">
      <alignment horizontal="left" vertical="center"/>
    </xf>
    <xf numFmtId="0" fontId="19" fillId="0" borderId="19" xfId="0" applyFont="1" applyBorder="1" applyAlignment="1">
      <alignment vertical="center" wrapText="1"/>
    </xf>
    <xf numFmtId="178" fontId="18" fillId="0" borderId="1" xfId="8" applyNumberFormat="1" applyFont="1" applyFill="1" applyBorder="1" applyAlignment="1">
      <alignment horizontal="center" vertical="center" wrapText="1"/>
    </xf>
    <xf numFmtId="191" fontId="19" fillId="0" borderId="1" xfId="5" applyNumberFormat="1" applyFont="1" applyFill="1" applyBorder="1" applyAlignment="1">
      <alignment horizontal="right" vertical="center"/>
    </xf>
    <xf numFmtId="0" fontId="18" fillId="0" borderId="1" xfId="0" applyFont="1" applyFill="1" applyBorder="1" applyAlignment="1">
      <alignment vertical="center"/>
    </xf>
    <xf numFmtId="44" fontId="19" fillId="0" borderId="1" xfId="0" applyNumberFormat="1" applyFont="1" applyBorder="1" applyAlignment="1">
      <alignment vertical="center"/>
    </xf>
    <xf numFmtId="0" fontId="19" fillId="0" borderId="1" xfId="0" applyFont="1" applyBorder="1" applyAlignment="1">
      <alignment vertical="center" wrapText="1"/>
    </xf>
    <xf numFmtId="0" fontId="17" fillId="0" borderId="1" xfId="0" applyFont="1" applyBorder="1" applyAlignment="1">
      <alignment vertical="center"/>
    </xf>
    <xf numFmtId="44" fontId="17" fillId="0" borderId="1" xfId="17" applyNumberFormat="1" applyFont="1" applyFill="1" applyBorder="1" applyAlignment="1">
      <alignment vertical="center"/>
    </xf>
    <xf numFmtId="189" fontId="18" fillId="0" borderId="1" xfId="13" applyNumberFormat="1" applyFont="1" applyFill="1" applyBorder="1" applyAlignment="1">
      <alignment vertical="center" wrapText="1"/>
    </xf>
    <xf numFmtId="0" fontId="17" fillId="0" borderId="0" xfId="0" applyFont="1" applyFill="1" applyAlignment="1">
      <alignment vertical="center" wrapText="1"/>
    </xf>
    <xf numFmtId="44" fontId="17" fillId="0" borderId="1" xfId="13" applyNumberFormat="1" applyFont="1" applyFill="1" applyBorder="1" applyAlignment="1">
      <alignment vertical="center"/>
    </xf>
    <xf numFmtId="44" fontId="18" fillId="0" borderId="1" xfId="13" applyNumberFormat="1" applyFont="1" applyFill="1" applyBorder="1" applyAlignment="1">
      <alignment vertical="center"/>
    </xf>
    <xf numFmtId="0" fontId="3" fillId="0" borderId="0" xfId="0" applyFont="1" applyAlignment="1">
      <alignment horizontal="center"/>
    </xf>
    <xf numFmtId="44" fontId="20" fillId="0" borderId="22" xfId="0" applyNumberFormat="1" applyFont="1" applyBorder="1" applyAlignment="1">
      <alignment horizontal="right" vertical="center" wrapText="1"/>
    </xf>
    <xf numFmtId="44" fontId="17" fillId="0" borderId="23" xfId="0" applyNumberFormat="1" applyFont="1" applyBorder="1" applyAlignment="1">
      <alignment vertical="center" wrapText="1"/>
    </xf>
    <xf numFmtId="44" fontId="17" fillId="0" borderId="24" xfId="0" applyNumberFormat="1" applyFont="1" applyBorder="1" applyAlignment="1">
      <alignment vertical="center" wrapText="1"/>
    </xf>
    <xf numFmtId="0" fontId="22" fillId="5" borderId="25" xfId="0" applyFont="1" applyFill="1" applyBorder="1" applyAlignment="1">
      <alignment horizontal="center" vertical="center" wrapText="1"/>
    </xf>
    <xf numFmtId="0" fontId="22" fillId="5" borderId="9" xfId="0" applyFont="1" applyFill="1" applyBorder="1" applyAlignment="1">
      <alignment horizontal="center" vertical="center" wrapText="1"/>
    </xf>
    <xf numFmtId="0" fontId="20" fillId="4" borderId="26" xfId="0" applyFont="1" applyFill="1" applyBorder="1" applyAlignment="1">
      <alignment horizontal="center" vertical="center" wrapText="1"/>
    </xf>
    <xf numFmtId="0" fontId="20" fillId="4" borderId="27" xfId="0" applyFont="1" applyFill="1" applyBorder="1" applyAlignment="1">
      <alignment horizontal="center" vertical="center" wrapText="1"/>
    </xf>
    <xf numFmtId="0" fontId="22" fillId="4" borderId="15" xfId="0" applyFont="1" applyFill="1" applyBorder="1" applyAlignment="1">
      <alignment horizontal="center" vertical="center" wrapText="1"/>
    </xf>
    <xf numFmtId="0" fontId="22" fillId="4" borderId="12" xfId="0" applyFont="1" applyFill="1" applyBorder="1" applyAlignment="1">
      <alignment horizontal="center" vertical="center" wrapText="1"/>
    </xf>
    <xf numFmtId="0" fontId="22" fillId="5" borderId="15" xfId="0" applyFont="1" applyFill="1" applyBorder="1" applyAlignment="1">
      <alignment horizontal="center" vertical="center" wrapText="1"/>
    </xf>
    <xf numFmtId="0" fontId="22" fillId="5" borderId="12" xfId="0" applyFont="1" applyFill="1" applyBorder="1" applyAlignment="1">
      <alignment horizontal="center" vertical="center" wrapText="1"/>
    </xf>
    <xf numFmtId="0" fontId="22" fillId="4" borderId="28" xfId="0" applyFont="1" applyFill="1" applyBorder="1" applyAlignment="1">
      <alignment horizontal="center" vertical="center" wrapText="1"/>
    </xf>
    <xf numFmtId="0" fontId="22" fillId="4" borderId="29" xfId="0" applyFont="1" applyFill="1" applyBorder="1" applyAlignment="1">
      <alignment horizontal="center" vertical="center" wrapText="1"/>
    </xf>
    <xf numFmtId="0" fontId="22" fillId="4" borderId="30" xfId="0" applyFont="1" applyFill="1" applyBorder="1" applyAlignment="1">
      <alignment horizontal="center" vertical="center" wrapText="1"/>
    </xf>
    <xf numFmtId="0" fontId="3" fillId="0" borderId="0" xfId="0" applyFont="1" applyAlignment="1">
      <alignment horizontal="center" vertical="center" wrapText="1"/>
    </xf>
    <xf numFmtId="0" fontId="3" fillId="0" borderId="0" xfId="0" applyFont="1" applyBorder="1" applyAlignment="1">
      <alignment horizontal="center" vertical="center"/>
    </xf>
    <xf numFmtId="0" fontId="3" fillId="0" borderId="0" xfId="0" applyFont="1" applyAlignment="1">
      <alignment horizontal="center" vertical="center"/>
    </xf>
    <xf numFmtId="14" fontId="3" fillId="0" borderId="0" xfId="0" applyNumberFormat="1" applyFont="1" applyAlignment="1">
      <alignment horizontal="center" vertical="center"/>
    </xf>
    <xf numFmtId="0" fontId="20" fillId="4" borderId="14" xfId="0" applyFont="1" applyFill="1" applyBorder="1" applyAlignment="1">
      <alignment horizontal="center" vertical="center" wrapText="1"/>
    </xf>
    <xf numFmtId="0" fontId="20" fillId="4" borderId="18" xfId="0" applyFont="1" applyFill="1" applyBorder="1" applyAlignment="1">
      <alignment horizontal="center" vertical="center" wrapText="1"/>
    </xf>
    <xf numFmtId="0" fontId="20" fillId="0" borderId="31" xfId="0" applyFont="1" applyBorder="1" applyAlignment="1">
      <alignment horizontal="right" vertical="center" wrapText="1"/>
    </xf>
    <xf numFmtId="0" fontId="20" fillId="0" borderId="23" xfId="0" applyFont="1" applyBorder="1" applyAlignment="1">
      <alignment horizontal="right" vertical="center" wrapText="1"/>
    </xf>
    <xf numFmtId="0" fontId="20" fillId="0" borderId="24" xfId="0" applyFont="1" applyBorder="1" applyAlignment="1">
      <alignment horizontal="right" vertical="center" wrapText="1"/>
    </xf>
    <xf numFmtId="0" fontId="0" fillId="0" borderId="0" xfId="0" applyFill="1" applyAlignment="1">
      <alignment vertical="center" wrapText="1"/>
    </xf>
    <xf numFmtId="0" fontId="0" fillId="0" borderId="0" xfId="0" applyAlignment="1">
      <alignment vertical="center" wrapText="1"/>
    </xf>
    <xf numFmtId="0" fontId="20" fillId="4" borderId="28" xfId="0" applyFont="1" applyFill="1" applyBorder="1" applyAlignment="1">
      <alignment horizontal="center" vertical="center" wrapText="1"/>
    </xf>
    <xf numFmtId="0" fontId="20" fillId="4" borderId="29" xfId="0" applyFont="1" applyFill="1" applyBorder="1" applyAlignment="1">
      <alignment horizontal="center" vertical="center" wrapText="1"/>
    </xf>
    <xf numFmtId="0" fontId="20" fillId="4" borderId="30" xfId="0" applyFont="1" applyFill="1" applyBorder="1" applyAlignment="1">
      <alignment horizontal="center" vertical="center" wrapText="1"/>
    </xf>
    <xf numFmtId="0" fontId="20" fillId="4" borderId="25" xfId="0" applyFont="1" applyFill="1" applyBorder="1" applyAlignment="1">
      <alignment horizontal="center" vertical="center" wrapText="1"/>
    </xf>
    <xf numFmtId="0" fontId="20" fillId="4" borderId="21" xfId="0" applyFont="1" applyFill="1" applyBorder="1" applyAlignment="1">
      <alignment horizontal="center" vertical="center" wrapText="1"/>
    </xf>
    <xf numFmtId="0" fontId="20" fillId="4" borderId="15" xfId="0" applyFont="1" applyFill="1" applyBorder="1" applyAlignment="1">
      <alignment horizontal="center" vertical="center" wrapText="1"/>
    </xf>
    <xf numFmtId="0" fontId="20" fillId="4" borderId="12" xfId="0" applyFont="1" applyFill="1" applyBorder="1" applyAlignment="1">
      <alignment horizontal="center" vertical="center" wrapText="1"/>
    </xf>
    <xf numFmtId="0" fontId="0" fillId="0" borderId="29" xfId="0" applyBorder="1" applyAlignment="1">
      <alignment horizontal="center" vertical="center" wrapText="1"/>
    </xf>
    <xf numFmtId="0" fontId="0" fillId="0" borderId="30" xfId="0" applyBorder="1" applyAlignment="1">
      <alignment horizontal="center" vertical="center" wrapText="1"/>
    </xf>
    <xf numFmtId="0" fontId="20" fillId="0" borderId="0" xfId="0" applyFont="1" applyBorder="1" applyAlignment="1">
      <alignment horizontal="center" vertical="center"/>
    </xf>
    <xf numFmtId="0" fontId="20" fillId="0" borderId="0" xfId="0" applyFont="1" applyAlignment="1">
      <alignment horizontal="center" vertical="center"/>
    </xf>
    <xf numFmtId="0" fontId="20" fillId="0" borderId="0" xfId="0" applyFont="1" applyAlignment="1">
      <alignment horizontal="center" vertical="center" wrapText="1"/>
    </xf>
    <xf numFmtId="0" fontId="20" fillId="4" borderId="16" xfId="0" applyFont="1" applyFill="1" applyBorder="1" applyAlignment="1">
      <alignment horizontal="center" vertical="center" wrapText="1"/>
    </xf>
    <xf numFmtId="0" fontId="20" fillId="0" borderId="32" xfId="0" applyFont="1" applyFill="1" applyBorder="1" applyAlignment="1">
      <alignment horizontal="right"/>
    </xf>
    <xf numFmtId="0" fontId="0" fillId="0" borderId="33" xfId="0" applyBorder="1" applyAlignment="1">
      <alignment horizontal="right"/>
    </xf>
    <xf numFmtId="0" fontId="20" fillId="4" borderId="1" xfId="0" applyFont="1" applyFill="1" applyBorder="1" applyAlignment="1">
      <alignment horizontal="center" vertical="center" wrapText="1"/>
    </xf>
    <xf numFmtId="0" fontId="20" fillId="4" borderId="17" xfId="0" applyFont="1" applyFill="1" applyBorder="1" applyAlignment="1">
      <alignment horizontal="center" vertical="center" wrapText="1"/>
    </xf>
    <xf numFmtId="0" fontId="20" fillId="4" borderId="2" xfId="0" applyFont="1" applyFill="1" applyBorder="1" applyAlignment="1">
      <alignment horizontal="center" vertical="center" wrapText="1"/>
    </xf>
    <xf numFmtId="0" fontId="20" fillId="4" borderId="15" xfId="0" applyFont="1" applyFill="1" applyBorder="1" applyAlignment="1">
      <alignment horizontal="center" vertical="center"/>
    </xf>
    <xf numFmtId="0" fontId="20" fillId="4" borderId="12" xfId="0" applyFont="1" applyFill="1" applyBorder="1" applyAlignment="1">
      <alignment horizontal="center" vertical="center"/>
    </xf>
    <xf numFmtId="0" fontId="17" fillId="0" borderId="31" xfId="0" applyNumberFormat="1" applyFont="1" applyFill="1" applyBorder="1" applyAlignment="1" applyProtection="1">
      <alignment vertical="center" wrapText="1"/>
      <protection locked="0"/>
    </xf>
    <xf numFmtId="0" fontId="17" fillId="0" borderId="24" xfId="0" applyFont="1" applyBorder="1" applyAlignment="1">
      <alignment vertical="center" wrapText="1"/>
    </xf>
    <xf numFmtId="0" fontId="5" fillId="0" borderId="0" xfId="0" applyFont="1" applyAlignment="1">
      <alignment horizontal="center" wrapText="1"/>
    </xf>
    <xf numFmtId="0" fontId="5" fillId="0" borderId="0" xfId="0" applyFont="1" applyBorder="1" applyAlignment="1">
      <alignment horizontal="center"/>
    </xf>
    <xf numFmtId="0" fontId="3" fillId="0" borderId="0" xfId="0" applyFont="1" applyAlignment="1">
      <alignment horizontal="center"/>
    </xf>
    <xf numFmtId="0" fontId="3" fillId="0" borderId="0" xfId="0" applyFont="1" applyBorder="1" applyAlignment="1">
      <alignment horizontal="center"/>
    </xf>
    <xf numFmtId="0" fontId="3" fillId="0" borderId="0" xfId="0" applyFont="1" applyBorder="1" applyAlignment="1">
      <alignment wrapText="1"/>
    </xf>
    <xf numFmtId="0" fontId="0" fillId="0" borderId="0" xfId="0" applyAlignment="1">
      <alignment wrapText="1"/>
    </xf>
    <xf numFmtId="0" fontId="5" fillId="0" borderId="0" xfId="0" applyFont="1" applyAlignment="1">
      <alignment horizontal="center"/>
    </xf>
    <xf numFmtId="0" fontId="20" fillId="0" borderId="34" xfId="0" applyFont="1" applyBorder="1" applyAlignment="1">
      <alignment horizontal="center" vertical="center" wrapText="1"/>
    </xf>
    <xf numFmtId="0" fontId="20" fillId="0" borderId="35" xfId="0" applyFont="1" applyBorder="1" applyAlignment="1">
      <alignment horizontal="center" vertical="center" wrapText="1"/>
    </xf>
    <xf numFmtId="0" fontId="20" fillId="0" borderId="36" xfId="0" applyFont="1" applyBorder="1" applyAlignment="1">
      <alignment horizontal="center" vertical="center" wrapText="1"/>
    </xf>
    <xf numFmtId="0" fontId="3" fillId="0" borderId="0" xfId="0" applyFont="1" applyAlignment="1">
      <alignment horizontal="center" wrapText="1"/>
    </xf>
    <xf numFmtId="14" fontId="3" fillId="0" borderId="0" xfId="0" applyNumberFormat="1" applyFont="1" applyAlignment="1">
      <alignment horizontal="center"/>
    </xf>
    <xf numFmtId="0" fontId="3" fillId="4" borderId="37" xfId="0" applyFont="1" applyFill="1" applyBorder="1" applyAlignment="1">
      <alignment horizontal="center" vertical="center" wrapText="1"/>
    </xf>
    <xf numFmtId="0" fontId="3" fillId="4" borderId="38" xfId="0" applyFont="1" applyFill="1" applyBorder="1" applyAlignment="1">
      <alignment horizontal="center" vertical="center" wrapText="1"/>
    </xf>
    <xf numFmtId="0" fontId="3" fillId="4" borderId="39" xfId="0" applyFont="1" applyFill="1" applyBorder="1" applyAlignment="1">
      <alignment horizontal="center" vertical="center" wrapText="1"/>
    </xf>
    <xf numFmtId="0" fontId="3" fillId="4" borderId="40" xfId="0" applyFont="1" applyFill="1" applyBorder="1" applyAlignment="1">
      <alignment horizontal="center" vertical="center" wrapText="1"/>
    </xf>
    <xf numFmtId="0" fontId="3" fillId="4" borderId="41" xfId="0" applyFont="1" applyFill="1" applyBorder="1" applyAlignment="1">
      <alignment horizontal="center" vertical="center" wrapText="1"/>
    </xf>
    <xf numFmtId="0" fontId="0" fillId="0" borderId="42" xfId="0" applyFont="1" applyBorder="1" applyAlignment="1">
      <alignment horizontal="center" vertical="center" wrapText="1"/>
    </xf>
    <xf numFmtId="0" fontId="3" fillId="4" borderId="43" xfId="0" applyFont="1" applyFill="1" applyBorder="1" applyAlignment="1">
      <alignment horizontal="center" vertical="center" wrapText="1"/>
    </xf>
    <xf numFmtId="0" fontId="0" fillId="7" borderId="1" xfId="0" applyFont="1" applyFill="1" applyBorder="1" applyAlignment="1">
      <alignment horizontal="center" wrapText="1"/>
    </xf>
    <xf numFmtId="0" fontId="19" fillId="7" borderId="6" xfId="0" applyFont="1" applyFill="1" applyBorder="1" applyAlignment="1">
      <alignment vertical="center" wrapText="1"/>
    </xf>
    <xf numFmtId="0" fontId="17" fillId="7" borderId="6" xfId="0" applyFont="1" applyFill="1" applyBorder="1" applyAlignment="1">
      <alignment vertical="center" wrapText="1"/>
    </xf>
    <xf numFmtId="189" fontId="17" fillId="7" borderId="6" xfId="0" applyNumberFormat="1" applyFont="1" applyFill="1" applyBorder="1" applyAlignment="1">
      <alignment vertical="center" wrapText="1"/>
    </xf>
    <xf numFmtId="0" fontId="19" fillId="0" borderId="1" xfId="0" applyFont="1" applyBorder="1" applyAlignment="1">
      <alignment horizontal="left"/>
    </xf>
    <xf numFmtId="0" fontId="17" fillId="7" borderId="1" xfId="0" applyFont="1" applyFill="1" applyBorder="1" applyAlignment="1"/>
    <xf numFmtId="0" fontId="17" fillId="7" borderId="1" xfId="0" applyFont="1" applyFill="1" applyBorder="1" applyAlignment="1">
      <alignment wrapText="1"/>
    </xf>
    <xf numFmtId="189" fontId="17" fillId="7" borderId="1" xfId="0" applyNumberFormat="1" applyFont="1" applyFill="1" applyBorder="1" applyAlignment="1"/>
    <xf numFmtId="0" fontId="0" fillId="7" borderId="1" xfId="0" applyFont="1" applyFill="1" applyBorder="1" applyAlignment="1">
      <alignment horizontal="center"/>
    </xf>
    <xf numFmtId="0" fontId="0" fillId="0" borderId="1" xfId="0" applyFont="1" applyFill="1" applyBorder="1" applyAlignment="1">
      <alignment horizontal="center"/>
    </xf>
    <xf numFmtId="0" fontId="17" fillId="0" borderId="1" xfId="0" applyFont="1" applyFill="1" applyBorder="1" applyAlignment="1">
      <alignment horizontal="center"/>
    </xf>
    <xf numFmtId="0" fontId="17" fillId="0" borderId="1" xfId="0" applyFont="1" applyFill="1" applyBorder="1"/>
    <xf numFmtId="189" fontId="17" fillId="0" borderId="1" xfId="0" applyNumberFormat="1" applyFont="1" applyFill="1" applyBorder="1"/>
    <xf numFmtId="0" fontId="0" fillId="0" borderId="1" xfId="0" applyBorder="1"/>
  </cellXfs>
  <cellStyles count="38">
    <cellStyle name="Excel Built-in Normal" xfId="1"/>
    <cellStyle name="Excel Built-in Normal 2" xfId="2"/>
    <cellStyle name="Excel Built-in Normal_FORMATO NUMERAL 4 DICIEMBRE 2014 VIATICOS" xfId="3"/>
    <cellStyle name="Millares" xfId="4" builtinId="3"/>
    <cellStyle name="Millares 2" xfId="5"/>
    <cellStyle name="Millares 5" xfId="6"/>
    <cellStyle name="Millares 5 2" xfId="7"/>
    <cellStyle name="Millares 5 2 2" xfId="8"/>
    <cellStyle name="Moneda" xfId="9" builtinId="4"/>
    <cellStyle name="Moneda 2" xfId="10"/>
    <cellStyle name="Moneda 2 2" xfId="11"/>
    <cellStyle name="Moneda 2 2 2" xfId="12"/>
    <cellStyle name="Moneda 2 3" xfId="13"/>
    <cellStyle name="Moneda 2_FORMATO NUMERAL 4 DICIEMBRE 2014 VIATICOS" xfId="14"/>
    <cellStyle name="Moneda 26" xfId="15"/>
    <cellStyle name="Moneda 5" xfId="16"/>
    <cellStyle name="Moneda 5 2" xfId="17"/>
    <cellStyle name="Normal" xfId="0" builtinId="0"/>
    <cellStyle name="Normal 10 3 2" xfId="18"/>
    <cellStyle name="Normal 11" xfId="19"/>
    <cellStyle name="Normal 15 10" xfId="20"/>
    <cellStyle name="Normal 17 2" xfId="21"/>
    <cellStyle name="Normal 2" xfId="22"/>
    <cellStyle name="Normal 2 2" xfId="23"/>
    <cellStyle name="Normal 21" xfId="24"/>
    <cellStyle name="Normal 23" xfId="25"/>
    <cellStyle name="Normal 3_OCUPADAS ARTES 26 AGO" xfId="26"/>
    <cellStyle name="Normal 4 10" xfId="27"/>
    <cellStyle name="Normal 4 10 2" xfId="28"/>
    <cellStyle name="Normal 4 10_FORMATO NUMERAL 4 DICIEMBRE 2014 VIATICOS" xfId="29"/>
    <cellStyle name="Normal 7 10" xfId="30"/>
    <cellStyle name="Normal 7 10 2" xfId="31"/>
    <cellStyle name="Normal 7 10_FORMATO NUMERAL 4 DICIEMBRE 2014 VIATICOS" xfId="32"/>
    <cellStyle name="Normal 8" xfId="33"/>
    <cellStyle name="Normal 8 2" xfId="34"/>
    <cellStyle name="Normal 9 2" xfId="35"/>
    <cellStyle name="Normal 9 2 3" xfId="36"/>
    <cellStyle name="Normal 9 2_FORMATO NUMERAL 4 DICIEMBRE 2014 VIATICOS" xfId="3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47625</xdr:colOff>
      <xdr:row>0</xdr:row>
      <xdr:rowOff>0</xdr:rowOff>
    </xdr:from>
    <xdr:to>
      <xdr:col>2</xdr:col>
      <xdr:colOff>457200</xdr:colOff>
      <xdr:row>4</xdr:row>
      <xdr:rowOff>152400</xdr:rowOff>
    </xdr:to>
    <xdr:pic>
      <xdr:nvPicPr>
        <xdr:cNvPr id="10865"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0"/>
          <a:ext cx="2638425"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76200</xdr:colOff>
      <xdr:row>0</xdr:row>
      <xdr:rowOff>28575</xdr:rowOff>
    </xdr:from>
    <xdr:to>
      <xdr:col>2</xdr:col>
      <xdr:colOff>552450</xdr:colOff>
      <xdr:row>5</xdr:row>
      <xdr:rowOff>19050</xdr:rowOff>
    </xdr:to>
    <xdr:pic>
      <xdr:nvPicPr>
        <xdr:cNvPr id="15517"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28575"/>
          <a:ext cx="3638550"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133350</xdr:colOff>
      <xdr:row>5</xdr:row>
      <xdr:rowOff>28575</xdr:rowOff>
    </xdr:to>
    <xdr:pic>
      <xdr:nvPicPr>
        <xdr:cNvPr id="14512"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790825"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76200</xdr:colOff>
      <xdr:row>0</xdr:row>
      <xdr:rowOff>66675</xdr:rowOff>
    </xdr:from>
    <xdr:to>
      <xdr:col>1</xdr:col>
      <xdr:colOff>1371600</xdr:colOff>
      <xdr:row>2</xdr:row>
      <xdr:rowOff>190500</xdr:rowOff>
    </xdr:to>
    <xdr:pic>
      <xdr:nvPicPr>
        <xdr:cNvPr id="11461"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66675"/>
          <a:ext cx="185737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38100</xdr:colOff>
      <xdr:row>1</xdr:row>
      <xdr:rowOff>28575</xdr:rowOff>
    </xdr:from>
    <xdr:to>
      <xdr:col>1</xdr:col>
      <xdr:colOff>1504950</xdr:colOff>
      <xdr:row>4</xdr:row>
      <xdr:rowOff>9525</xdr:rowOff>
    </xdr:to>
    <xdr:pic>
      <xdr:nvPicPr>
        <xdr:cNvPr id="9675"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190500"/>
          <a:ext cx="2028825"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85725</xdr:colOff>
      <xdr:row>0</xdr:row>
      <xdr:rowOff>19050</xdr:rowOff>
    </xdr:from>
    <xdr:to>
      <xdr:col>1</xdr:col>
      <xdr:colOff>1133475</xdr:colOff>
      <xdr:row>4</xdr:row>
      <xdr:rowOff>133350</xdr:rowOff>
    </xdr:to>
    <xdr:pic>
      <xdr:nvPicPr>
        <xdr:cNvPr id="2"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19050"/>
          <a:ext cx="161925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N824"/>
  <sheetViews>
    <sheetView showGridLines="0" tabSelected="1" zoomScaleNormal="100" workbookViewId="0">
      <selection activeCell="C12" sqref="C12"/>
    </sheetView>
  </sheetViews>
  <sheetFormatPr baseColWidth="10" defaultColWidth="11.5703125" defaultRowHeight="12.75" x14ac:dyDescent="0.2"/>
  <cols>
    <col min="1" max="1" width="6.5703125" style="76" customWidth="1"/>
    <col min="2" max="2" width="26.85546875" style="77" customWidth="1"/>
    <col min="3" max="3" width="23.7109375" style="78" customWidth="1"/>
    <col min="4" max="4" width="11.5703125" style="78" customWidth="1"/>
    <col min="5" max="5" width="11.85546875" style="78" customWidth="1"/>
    <col min="6" max="6" width="10.7109375" style="78" customWidth="1"/>
    <col min="7" max="7" width="12.5703125" style="78" customWidth="1"/>
    <col min="8" max="9" width="13" style="78" customWidth="1"/>
    <col min="10" max="12" width="10.85546875" style="78" customWidth="1"/>
    <col min="13" max="13" width="10.7109375" style="78" customWidth="1"/>
    <col min="14" max="15" width="13.140625" style="78" customWidth="1"/>
    <col min="16" max="16" width="13.42578125" style="78" customWidth="1"/>
    <col min="17" max="17" width="10.5703125" style="78" customWidth="1"/>
    <col min="18" max="18" width="11.85546875" style="78" customWidth="1"/>
    <col min="19" max="19" width="11" style="78" customWidth="1"/>
    <col min="20" max="20" width="9.7109375" style="78" customWidth="1"/>
    <col min="21" max="21" width="14.85546875" style="78" customWidth="1"/>
    <col min="22" max="22" width="13" style="78" customWidth="1"/>
    <col min="23" max="23" width="12.140625" style="78" customWidth="1"/>
    <col min="24" max="28" width="11.5703125" style="89" customWidth="1"/>
    <col min="29" max="170" width="11.5703125" style="89"/>
    <col min="171" max="16384" width="11.5703125" style="79"/>
  </cols>
  <sheetData>
    <row r="1" spans="1:170" ht="19.5" customHeight="1" x14ac:dyDescent="0.25">
      <c r="A1" s="81"/>
      <c r="D1" s="54" t="s">
        <v>4</v>
      </c>
      <c r="E1" s="54"/>
      <c r="F1" s="54"/>
      <c r="G1" s="54"/>
      <c r="H1" s="54"/>
      <c r="I1" s="54"/>
      <c r="J1" s="54"/>
      <c r="K1" s="54"/>
      <c r="L1" s="54"/>
      <c r="M1" s="54"/>
      <c r="N1" s="54"/>
      <c r="O1" s="54"/>
      <c r="P1" s="54"/>
      <c r="Q1" s="140"/>
      <c r="R1" s="140"/>
      <c r="S1" s="140"/>
      <c r="T1" s="140"/>
      <c r="U1" s="140"/>
      <c r="V1" s="140"/>
      <c r="W1" s="140"/>
    </row>
    <row r="2" spans="1:170" ht="12.75" customHeight="1" x14ac:dyDescent="0.2">
      <c r="A2" s="80"/>
      <c r="D2" s="134" t="s">
        <v>5</v>
      </c>
      <c r="E2" s="138"/>
      <c r="F2" s="138"/>
      <c r="G2" s="138"/>
      <c r="H2" s="138"/>
      <c r="I2" s="138"/>
      <c r="J2" s="138"/>
      <c r="K2" s="138"/>
      <c r="L2" s="138"/>
      <c r="M2" s="138"/>
      <c r="N2" s="138"/>
      <c r="O2" s="138"/>
      <c r="P2" s="138"/>
      <c r="Q2" s="140"/>
      <c r="R2" s="140"/>
      <c r="S2" s="140"/>
      <c r="T2" s="140"/>
      <c r="U2" s="140"/>
      <c r="V2" s="140"/>
      <c r="W2" s="140"/>
    </row>
    <row r="3" spans="1:170" ht="14.25" customHeight="1" x14ac:dyDescent="0.2">
      <c r="A3" s="80"/>
      <c r="D3" s="54" t="s">
        <v>381</v>
      </c>
      <c r="E3" s="54"/>
      <c r="F3" s="54"/>
      <c r="G3" s="54"/>
      <c r="H3" s="54"/>
      <c r="I3" s="54"/>
      <c r="J3" s="54"/>
      <c r="K3" s="54"/>
      <c r="L3" s="54"/>
      <c r="M3" s="54"/>
      <c r="N3" s="54"/>
      <c r="O3" s="54"/>
      <c r="P3" s="54"/>
      <c r="Q3" s="54"/>
      <c r="R3" s="140"/>
      <c r="S3" s="140"/>
      <c r="T3" s="140"/>
      <c r="U3" s="140"/>
      <c r="V3" s="140"/>
      <c r="W3" s="140"/>
    </row>
    <row r="4" spans="1:170" ht="14.25" customHeight="1" x14ac:dyDescent="0.2">
      <c r="A4" s="82"/>
      <c r="C4" s="141"/>
      <c r="D4" s="134" t="s">
        <v>9</v>
      </c>
      <c r="E4" s="83"/>
      <c r="F4" s="75" t="s">
        <v>977</v>
      </c>
      <c r="G4" s="75"/>
      <c r="H4" s="75"/>
      <c r="I4" s="75"/>
      <c r="J4" s="75"/>
      <c r="K4" s="75"/>
      <c r="M4" s="138"/>
      <c r="N4" s="138"/>
      <c r="O4" s="138"/>
      <c r="P4" s="138"/>
      <c r="Q4" s="138"/>
      <c r="R4" s="138"/>
      <c r="S4" s="138"/>
      <c r="T4" s="138"/>
      <c r="U4" s="138"/>
      <c r="V4" s="138"/>
      <c r="W4" s="138"/>
      <c r="X4" s="138"/>
      <c r="Y4" s="138"/>
      <c r="Z4" s="138"/>
    </row>
    <row r="5" spans="1:170" ht="14.25" customHeight="1" x14ac:dyDescent="0.2">
      <c r="A5" s="82"/>
      <c r="C5" s="141"/>
      <c r="D5" s="134" t="s">
        <v>6</v>
      </c>
      <c r="E5" s="83"/>
      <c r="F5" s="75"/>
      <c r="G5" s="75"/>
      <c r="H5" s="75"/>
      <c r="I5" s="75"/>
      <c r="J5" s="75"/>
      <c r="K5" s="75"/>
      <c r="M5" s="138"/>
      <c r="N5" s="138"/>
      <c r="O5" s="138"/>
      <c r="P5" s="138"/>
      <c r="Q5" s="138"/>
      <c r="R5" s="138"/>
      <c r="S5" s="138"/>
      <c r="T5" s="138"/>
      <c r="U5" s="138"/>
      <c r="V5" s="138"/>
      <c r="W5" s="138"/>
      <c r="X5" s="138"/>
      <c r="Y5" s="138"/>
      <c r="Z5" s="138"/>
    </row>
    <row r="6" spans="1:170" ht="14.25" customHeight="1" x14ac:dyDescent="0.2">
      <c r="A6" s="82"/>
      <c r="C6" s="141"/>
      <c r="D6" s="135" t="s">
        <v>1050</v>
      </c>
      <c r="E6" s="83"/>
      <c r="F6" s="75"/>
      <c r="G6" s="75"/>
      <c r="H6" s="75"/>
      <c r="I6" s="75"/>
      <c r="J6" s="75"/>
      <c r="K6" s="75"/>
      <c r="M6" s="139"/>
      <c r="N6" s="139"/>
      <c r="O6" s="139"/>
      <c r="P6" s="139"/>
      <c r="Q6" s="139"/>
      <c r="R6" s="139"/>
      <c r="S6" s="139"/>
      <c r="T6" s="139"/>
      <c r="U6" s="139"/>
      <c r="V6" s="139"/>
      <c r="W6" s="139"/>
      <c r="X6" s="139"/>
      <c r="Y6" s="139"/>
      <c r="Z6" s="139"/>
    </row>
    <row r="7" spans="1:170" ht="13.5" thickBot="1" x14ac:dyDescent="0.25">
      <c r="A7" s="84"/>
      <c r="I7" s="77"/>
    </row>
    <row r="8" spans="1:170" s="85" customFormat="1" ht="12.95" customHeight="1" x14ac:dyDescent="0.2">
      <c r="A8" s="242" t="s">
        <v>7</v>
      </c>
      <c r="B8" s="246" t="s">
        <v>13</v>
      </c>
      <c r="C8" s="248" t="s">
        <v>14</v>
      </c>
      <c r="D8" s="246" t="s">
        <v>15</v>
      </c>
      <c r="E8" s="250" t="s">
        <v>3</v>
      </c>
      <c r="F8" s="251"/>
      <c r="G8" s="251"/>
      <c r="H8" s="251"/>
      <c r="I8" s="251"/>
      <c r="J8" s="251"/>
      <c r="K8" s="251"/>
      <c r="L8" s="251"/>
      <c r="M8" s="251"/>
      <c r="N8" s="251"/>
      <c r="O8" s="251"/>
      <c r="P8" s="252"/>
      <c r="Q8" s="250" t="s">
        <v>25</v>
      </c>
      <c r="R8" s="251"/>
      <c r="S8" s="251"/>
      <c r="T8" s="251"/>
      <c r="U8" s="252"/>
      <c r="V8" s="248" t="s">
        <v>24</v>
      </c>
      <c r="W8" s="244" t="s">
        <v>27</v>
      </c>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BD8" s="87"/>
      <c r="BE8" s="87"/>
      <c r="BF8" s="87"/>
      <c r="BG8" s="87"/>
      <c r="BH8" s="87"/>
      <c r="BI8" s="87"/>
      <c r="BJ8" s="87"/>
      <c r="BK8" s="87"/>
      <c r="BL8" s="87"/>
      <c r="BM8" s="87"/>
      <c r="BN8" s="87"/>
      <c r="BO8" s="87"/>
      <c r="BP8" s="87"/>
      <c r="BQ8" s="87"/>
      <c r="BR8" s="87"/>
      <c r="BS8" s="87"/>
      <c r="BT8" s="87"/>
      <c r="BU8" s="87"/>
      <c r="BV8" s="87"/>
      <c r="BW8" s="87"/>
      <c r="BX8" s="87"/>
      <c r="BY8" s="87"/>
      <c r="BZ8" s="87"/>
      <c r="CA8" s="87"/>
      <c r="CB8" s="87"/>
      <c r="CC8" s="87"/>
      <c r="CD8" s="87"/>
      <c r="CE8" s="87"/>
      <c r="CF8" s="87"/>
      <c r="CG8" s="87"/>
      <c r="CH8" s="87"/>
      <c r="CI8" s="87"/>
      <c r="CJ8" s="87"/>
      <c r="CK8" s="87"/>
      <c r="CL8" s="87"/>
      <c r="CM8" s="87"/>
      <c r="CN8" s="87"/>
      <c r="CO8" s="87"/>
      <c r="CP8" s="87"/>
      <c r="CQ8" s="87"/>
      <c r="CR8" s="87"/>
      <c r="CS8" s="87"/>
      <c r="CT8" s="87"/>
      <c r="CU8" s="87"/>
      <c r="CV8" s="87"/>
      <c r="CW8" s="87"/>
      <c r="CX8" s="87"/>
      <c r="CY8" s="87"/>
      <c r="CZ8" s="87"/>
      <c r="DA8" s="87"/>
      <c r="DB8" s="87"/>
      <c r="DC8" s="87"/>
      <c r="DD8" s="87"/>
      <c r="DE8" s="87"/>
      <c r="DF8" s="87"/>
      <c r="DG8" s="87"/>
      <c r="DH8" s="87"/>
      <c r="DI8" s="87"/>
      <c r="DJ8" s="87"/>
      <c r="DK8" s="87"/>
      <c r="DL8" s="87"/>
      <c r="DM8" s="87"/>
      <c r="DN8" s="87"/>
      <c r="DO8" s="87"/>
      <c r="DP8" s="87"/>
      <c r="DQ8" s="87"/>
      <c r="DR8" s="87"/>
      <c r="DS8" s="87"/>
      <c r="DT8" s="87"/>
      <c r="DU8" s="87"/>
      <c r="DV8" s="87"/>
      <c r="DW8" s="87"/>
      <c r="DX8" s="87"/>
      <c r="DY8" s="87"/>
      <c r="DZ8" s="87"/>
      <c r="EA8" s="87"/>
      <c r="EB8" s="87"/>
      <c r="EC8" s="87"/>
      <c r="ED8" s="87"/>
      <c r="EE8" s="87"/>
      <c r="EF8" s="87"/>
      <c r="EG8" s="87"/>
      <c r="EH8" s="87"/>
      <c r="EI8" s="87"/>
      <c r="EJ8" s="87"/>
      <c r="EK8" s="87"/>
      <c r="EL8" s="87"/>
      <c r="EM8" s="87"/>
      <c r="EN8" s="87"/>
      <c r="EO8" s="87"/>
      <c r="EP8" s="87"/>
      <c r="EQ8" s="87"/>
      <c r="ER8" s="87"/>
      <c r="ES8" s="87"/>
      <c r="ET8" s="87"/>
      <c r="EU8" s="87"/>
      <c r="EV8" s="87"/>
      <c r="EW8" s="87"/>
      <c r="EX8" s="87"/>
      <c r="EY8" s="87"/>
      <c r="EZ8" s="87"/>
      <c r="FA8" s="87"/>
      <c r="FB8" s="87"/>
      <c r="FC8" s="87"/>
      <c r="FD8" s="87"/>
      <c r="FE8" s="87"/>
      <c r="FF8" s="87"/>
      <c r="FG8" s="87"/>
      <c r="FH8" s="87"/>
      <c r="FI8" s="87"/>
      <c r="FJ8" s="87"/>
      <c r="FK8" s="87"/>
      <c r="FL8" s="87"/>
      <c r="FM8" s="87"/>
      <c r="FN8" s="87"/>
    </row>
    <row r="9" spans="1:170" s="85" customFormat="1" ht="24.75" thickBot="1" x14ac:dyDescent="0.25">
      <c r="A9" s="243"/>
      <c r="B9" s="247"/>
      <c r="C9" s="249"/>
      <c r="D9" s="247"/>
      <c r="E9" s="86" t="s">
        <v>562</v>
      </c>
      <c r="F9" s="86" t="s">
        <v>563</v>
      </c>
      <c r="G9" s="86" t="s">
        <v>16</v>
      </c>
      <c r="H9" s="86" t="s">
        <v>564</v>
      </c>
      <c r="I9" s="86" t="s">
        <v>565</v>
      </c>
      <c r="J9" s="86" t="s">
        <v>17</v>
      </c>
      <c r="K9" s="86" t="s">
        <v>18</v>
      </c>
      <c r="L9" s="86" t="s">
        <v>976</v>
      </c>
      <c r="M9" s="86" t="s">
        <v>19</v>
      </c>
      <c r="N9" s="86" t="s">
        <v>566</v>
      </c>
      <c r="O9" s="86" t="s">
        <v>984</v>
      </c>
      <c r="P9" s="86" t="s">
        <v>8</v>
      </c>
      <c r="Q9" s="86" t="s">
        <v>20</v>
      </c>
      <c r="R9" s="86" t="s">
        <v>942</v>
      </c>
      <c r="S9" s="86" t="s">
        <v>22</v>
      </c>
      <c r="T9" s="86" t="s">
        <v>567</v>
      </c>
      <c r="U9" s="86" t="s">
        <v>23</v>
      </c>
      <c r="V9" s="249"/>
      <c r="W9" s="245"/>
      <c r="X9" s="87"/>
      <c r="Y9" s="87"/>
      <c r="Z9" s="87"/>
      <c r="AA9" s="87"/>
      <c r="AB9" s="87"/>
      <c r="AC9" s="87"/>
      <c r="AD9" s="87"/>
      <c r="AE9" s="87"/>
      <c r="AF9" s="87"/>
      <c r="AG9" s="87"/>
      <c r="AH9" s="87"/>
      <c r="AI9" s="87"/>
      <c r="AJ9" s="87"/>
      <c r="AK9" s="87"/>
      <c r="AL9" s="87"/>
      <c r="AM9" s="87"/>
      <c r="AN9" s="87"/>
      <c r="AO9" s="87"/>
      <c r="AP9" s="87"/>
      <c r="AQ9" s="87"/>
      <c r="AR9" s="87"/>
      <c r="AS9" s="87"/>
      <c r="AT9" s="87"/>
      <c r="AU9" s="87"/>
      <c r="AV9" s="87"/>
      <c r="AW9" s="87"/>
      <c r="AX9" s="87"/>
      <c r="AY9" s="87"/>
      <c r="AZ9" s="87"/>
      <c r="BA9" s="87"/>
      <c r="BB9" s="87"/>
      <c r="BC9" s="87"/>
      <c r="BD9" s="87"/>
      <c r="BE9" s="87"/>
      <c r="BF9" s="87"/>
      <c r="BG9" s="87"/>
      <c r="BH9" s="87"/>
      <c r="BI9" s="87"/>
      <c r="BJ9" s="87"/>
      <c r="BK9" s="87"/>
      <c r="BL9" s="87"/>
      <c r="BM9" s="87"/>
      <c r="BN9" s="87"/>
      <c r="BO9" s="87"/>
      <c r="BP9" s="87"/>
      <c r="BQ9" s="87"/>
      <c r="BR9" s="87"/>
      <c r="BS9" s="87"/>
      <c r="BT9" s="87"/>
      <c r="BU9" s="87"/>
      <c r="BV9" s="87"/>
      <c r="BW9" s="87"/>
      <c r="BX9" s="87"/>
      <c r="BY9" s="87"/>
      <c r="BZ9" s="87"/>
      <c r="CA9" s="87"/>
      <c r="CB9" s="87"/>
      <c r="CC9" s="87"/>
      <c r="CD9" s="87"/>
      <c r="CE9" s="87"/>
      <c r="CF9" s="87"/>
      <c r="CG9" s="87"/>
      <c r="CH9" s="87"/>
      <c r="CI9" s="87"/>
      <c r="CJ9" s="87"/>
      <c r="CK9" s="87"/>
      <c r="CL9" s="87"/>
      <c r="CM9" s="87"/>
      <c r="CN9" s="87"/>
      <c r="CO9" s="87"/>
      <c r="CP9" s="87"/>
      <c r="CQ9" s="87"/>
      <c r="CR9" s="87"/>
      <c r="CS9" s="87"/>
      <c r="CT9" s="87"/>
      <c r="CU9" s="87"/>
      <c r="CV9" s="87"/>
      <c r="CW9" s="87"/>
      <c r="CX9" s="87"/>
      <c r="CY9" s="87"/>
      <c r="CZ9" s="87"/>
      <c r="DA9" s="87"/>
      <c r="DB9" s="87"/>
      <c r="DC9" s="87"/>
      <c r="DD9" s="87"/>
      <c r="DE9" s="87"/>
      <c r="DF9" s="87"/>
      <c r="DG9" s="87"/>
      <c r="DH9" s="87"/>
      <c r="DI9" s="87"/>
      <c r="DJ9" s="87"/>
      <c r="DK9" s="87"/>
      <c r="DL9" s="87"/>
      <c r="DM9" s="87"/>
      <c r="DN9" s="87"/>
      <c r="DO9" s="87"/>
      <c r="DP9" s="87"/>
      <c r="DQ9" s="87"/>
      <c r="DR9" s="87"/>
      <c r="DS9" s="87"/>
      <c r="DT9" s="87"/>
      <c r="DU9" s="87"/>
      <c r="DV9" s="87"/>
      <c r="DW9" s="87"/>
      <c r="DX9" s="87"/>
      <c r="DY9" s="87"/>
      <c r="DZ9" s="87"/>
      <c r="EA9" s="87"/>
      <c r="EB9" s="87"/>
      <c r="EC9" s="87"/>
      <c r="ED9" s="87"/>
      <c r="EE9" s="87"/>
      <c r="EF9" s="87"/>
      <c r="EG9" s="87"/>
      <c r="EH9" s="87"/>
      <c r="EI9" s="87"/>
      <c r="EJ9" s="87"/>
      <c r="EK9" s="87"/>
      <c r="EL9" s="87"/>
      <c r="EM9" s="87"/>
      <c r="EN9" s="87"/>
      <c r="EO9" s="87"/>
      <c r="EP9" s="87"/>
      <c r="EQ9" s="87"/>
      <c r="ER9" s="87"/>
      <c r="ES9" s="87"/>
      <c r="ET9" s="87"/>
      <c r="EU9" s="87"/>
      <c r="EV9" s="87"/>
      <c r="EW9" s="87"/>
      <c r="EX9" s="87"/>
      <c r="EY9" s="87"/>
      <c r="EZ9" s="87"/>
      <c r="FA9" s="87"/>
      <c r="FB9" s="87"/>
      <c r="FC9" s="87"/>
      <c r="FD9" s="87"/>
      <c r="FE9" s="87"/>
      <c r="FF9" s="87"/>
      <c r="FG9" s="87"/>
      <c r="FH9" s="87"/>
      <c r="FI9" s="87"/>
      <c r="FJ9" s="87"/>
      <c r="FK9" s="87"/>
      <c r="FL9" s="87"/>
      <c r="FM9" s="87"/>
      <c r="FN9" s="87"/>
    </row>
    <row r="10" spans="1:170" s="87" customFormat="1" ht="50.25" customHeight="1" x14ac:dyDescent="0.2">
      <c r="A10" s="128">
        <v>1</v>
      </c>
      <c r="B10" s="58" t="s">
        <v>568</v>
      </c>
      <c r="C10" s="58" t="s">
        <v>569</v>
      </c>
      <c r="D10" s="101">
        <v>2885</v>
      </c>
      <c r="E10" s="102">
        <v>0</v>
      </c>
      <c r="F10" s="102">
        <v>0</v>
      </c>
      <c r="G10" s="102">
        <v>0</v>
      </c>
      <c r="H10" s="102">
        <v>0</v>
      </c>
      <c r="I10" s="102">
        <v>0</v>
      </c>
      <c r="J10" s="102">
        <v>0</v>
      </c>
      <c r="K10" s="102">
        <v>0</v>
      </c>
      <c r="L10" s="102">
        <v>0</v>
      </c>
      <c r="M10" s="102">
        <v>0</v>
      </c>
      <c r="N10" s="102">
        <v>0</v>
      </c>
      <c r="O10" s="102">
        <v>0</v>
      </c>
      <c r="P10" s="103">
        <f t="shared" ref="P10:P40" si="0">SUM(D10:N10)</f>
        <v>2885</v>
      </c>
      <c r="Q10" s="103">
        <f t="shared" ref="Q10:Q73" si="1">(D10+E10+F10+G10+H10+I10+J10+K10+N10)*3%</f>
        <v>86.55</v>
      </c>
      <c r="R10" s="103">
        <f t="shared" ref="R10:R17" si="2">(D10+E10+F10+G10+H10+I10+J10+K10+N10)*11%</f>
        <v>317.35000000000002</v>
      </c>
      <c r="S10" s="103" t="s">
        <v>570</v>
      </c>
      <c r="T10" s="103">
        <v>0</v>
      </c>
      <c r="U10" s="103">
        <f t="shared" ref="U10:U18" si="3">SUM(Q10:T10)</f>
        <v>403.9</v>
      </c>
      <c r="V10" s="103">
        <f t="shared" ref="V10:V72" si="4">P10-U10</f>
        <v>2481.1</v>
      </c>
      <c r="W10" s="103">
        <v>0</v>
      </c>
    </row>
    <row r="11" spans="1:170" s="87" customFormat="1" x14ac:dyDescent="0.2">
      <c r="A11" s="128">
        <v>2</v>
      </c>
      <c r="B11" s="125" t="s">
        <v>571</v>
      </c>
      <c r="C11" s="58" t="s">
        <v>572</v>
      </c>
      <c r="D11" s="169">
        <v>1074</v>
      </c>
      <c r="E11" s="233">
        <v>1000</v>
      </c>
      <c r="F11" s="102">
        <v>0</v>
      </c>
      <c r="G11" s="102">
        <v>0</v>
      </c>
      <c r="H11" s="102">
        <v>0</v>
      </c>
      <c r="I11" s="102">
        <v>0</v>
      </c>
      <c r="J11" s="102">
        <v>0</v>
      </c>
      <c r="K11" s="102">
        <v>0</v>
      </c>
      <c r="L11" s="102">
        <v>600</v>
      </c>
      <c r="M11" s="102">
        <v>250</v>
      </c>
      <c r="N11" s="102">
        <v>0</v>
      </c>
      <c r="O11" s="102">
        <v>0</v>
      </c>
      <c r="P11" s="103">
        <f t="shared" si="0"/>
        <v>2924</v>
      </c>
      <c r="Q11" s="103">
        <f t="shared" si="1"/>
        <v>62.22</v>
      </c>
      <c r="R11" s="103">
        <f t="shared" si="2"/>
        <v>228.14</v>
      </c>
      <c r="S11" s="103">
        <v>0</v>
      </c>
      <c r="T11" s="103">
        <v>0</v>
      </c>
      <c r="U11" s="103">
        <f t="shared" si="3"/>
        <v>290.36</v>
      </c>
      <c r="V11" s="103">
        <f t="shared" si="4"/>
        <v>2633.64</v>
      </c>
      <c r="W11" s="103">
        <v>0</v>
      </c>
    </row>
    <row r="12" spans="1:170" s="87" customFormat="1" ht="25.5" x14ac:dyDescent="0.2">
      <c r="A12" s="128">
        <v>3</v>
      </c>
      <c r="B12" s="122" t="s">
        <v>573</v>
      </c>
      <c r="C12" s="122" t="s">
        <v>574</v>
      </c>
      <c r="D12" s="102">
        <v>1350</v>
      </c>
      <c r="E12" s="102">
        <v>2000</v>
      </c>
      <c r="F12" s="102">
        <v>0</v>
      </c>
      <c r="G12" s="102">
        <v>0</v>
      </c>
      <c r="H12" s="102">
        <v>1600</v>
      </c>
      <c r="I12" s="102">
        <v>2900</v>
      </c>
      <c r="J12" s="102">
        <v>0</v>
      </c>
      <c r="K12" s="102">
        <v>0</v>
      </c>
      <c r="L12" s="102">
        <v>0</v>
      </c>
      <c r="M12" s="102">
        <v>250</v>
      </c>
      <c r="N12" s="102">
        <v>0</v>
      </c>
      <c r="O12" s="102">
        <v>0</v>
      </c>
      <c r="P12" s="103">
        <f t="shared" si="0"/>
        <v>8100</v>
      </c>
      <c r="Q12" s="103">
        <f t="shared" si="1"/>
        <v>235.5</v>
      </c>
      <c r="R12" s="103">
        <f t="shared" si="2"/>
        <v>863.5</v>
      </c>
      <c r="S12" s="103">
        <v>146.18</v>
      </c>
      <c r="T12" s="103">
        <v>0</v>
      </c>
      <c r="U12" s="103">
        <f t="shared" si="3"/>
        <v>1245.18</v>
      </c>
      <c r="V12" s="103">
        <f t="shared" si="4"/>
        <v>6854.82</v>
      </c>
      <c r="W12" s="103">
        <f>750</f>
        <v>750</v>
      </c>
    </row>
    <row r="13" spans="1:170" s="87" customFormat="1" ht="25.5" x14ac:dyDescent="0.2">
      <c r="A13" s="128">
        <v>4</v>
      </c>
      <c r="B13" s="58" t="s">
        <v>575</v>
      </c>
      <c r="C13" s="122" t="s">
        <v>574</v>
      </c>
      <c r="D13" s="101">
        <v>1350</v>
      </c>
      <c r="E13" s="102">
        <v>1500</v>
      </c>
      <c r="F13" s="102">
        <v>0</v>
      </c>
      <c r="G13" s="102">
        <v>0</v>
      </c>
      <c r="H13" s="102">
        <v>0</v>
      </c>
      <c r="I13" s="102">
        <v>4500</v>
      </c>
      <c r="J13" s="102">
        <v>0</v>
      </c>
      <c r="K13" s="102">
        <v>0</v>
      </c>
      <c r="L13" s="102">
        <v>0</v>
      </c>
      <c r="M13" s="102">
        <v>250</v>
      </c>
      <c r="N13" s="102">
        <v>0</v>
      </c>
      <c r="O13" s="102">
        <v>0</v>
      </c>
      <c r="P13" s="103">
        <f t="shared" si="0"/>
        <v>7600</v>
      </c>
      <c r="Q13" s="103">
        <f t="shared" si="1"/>
        <v>220.5</v>
      </c>
      <c r="R13" s="103">
        <f t="shared" si="2"/>
        <v>808.5</v>
      </c>
      <c r="S13" s="103">
        <v>122.03</v>
      </c>
      <c r="T13" s="103">
        <v>0</v>
      </c>
      <c r="U13" s="103">
        <f t="shared" si="3"/>
        <v>1151.03</v>
      </c>
      <c r="V13" s="103">
        <f t="shared" si="4"/>
        <v>6448.97</v>
      </c>
      <c r="W13" s="103">
        <v>0</v>
      </c>
    </row>
    <row r="14" spans="1:170" s="87" customFormat="1" ht="25.5" x14ac:dyDescent="0.2">
      <c r="A14" s="128">
        <v>5</v>
      </c>
      <c r="B14" s="122" t="s">
        <v>577</v>
      </c>
      <c r="C14" s="122" t="s">
        <v>574</v>
      </c>
      <c r="D14" s="102">
        <v>1350</v>
      </c>
      <c r="E14" s="102">
        <v>2000</v>
      </c>
      <c r="F14" s="102">
        <v>0</v>
      </c>
      <c r="G14" s="102">
        <v>0</v>
      </c>
      <c r="H14" s="102">
        <v>1600</v>
      </c>
      <c r="I14" s="102">
        <v>2900</v>
      </c>
      <c r="J14" s="102">
        <v>0</v>
      </c>
      <c r="K14" s="102">
        <v>75</v>
      </c>
      <c r="L14" s="102">
        <v>0</v>
      </c>
      <c r="M14" s="102">
        <v>250</v>
      </c>
      <c r="N14" s="102">
        <v>0</v>
      </c>
      <c r="O14" s="102">
        <v>0</v>
      </c>
      <c r="P14" s="103">
        <f t="shared" si="0"/>
        <v>8175</v>
      </c>
      <c r="Q14" s="103">
        <f t="shared" si="1"/>
        <v>237.75</v>
      </c>
      <c r="R14" s="103">
        <f t="shared" si="2"/>
        <v>871.75</v>
      </c>
      <c r="S14" s="103">
        <v>145.13</v>
      </c>
      <c r="T14" s="103">
        <v>0</v>
      </c>
      <c r="U14" s="103">
        <f t="shared" si="3"/>
        <v>1254.6300000000001</v>
      </c>
      <c r="V14" s="103">
        <f t="shared" si="4"/>
        <v>6920.37</v>
      </c>
      <c r="W14" s="103">
        <f>997.5</f>
        <v>997.5</v>
      </c>
    </row>
    <row r="15" spans="1:170" s="87" customFormat="1" x14ac:dyDescent="0.2">
      <c r="A15" s="128">
        <v>6</v>
      </c>
      <c r="B15" s="58" t="s">
        <v>578</v>
      </c>
      <c r="C15" s="58" t="s">
        <v>572</v>
      </c>
      <c r="D15" s="101">
        <v>1074</v>
      </c>
      <c r="E15" s="102">
        <v>400</v>
      </c>
      <c r="F15" s="102">
        <v>0</v>
      </c>
      <c r="G15" s="102">
        <v>1000</v>
      </c>
      <c r="H15" s="102">
        <v>0</v>
      </c>
      <c r="I15" s="102">
        <v>0</v>
      </c>
      <c r="J15" s="102">
        <v>0</v>
      </c>
      <c r="K15" s="102">
        <v>50</v>
      </c>
      <c r="L15" s="102">
        <v>200</v>
      </c>
      <c r="M15" s="102">
        <v>250</v>
      </c>
      <c r="N15" s="102">
        <v>0</v>
      </c>
      <c r="O15" s="102">
        <v>0</v>
      </c>
      <c r="P15" s="103">
        <f t="shared" si="0"/>
        <v>2974</v>
      </c>
      <c r="Q15" s="103">
        <f t="shared" si="1"/>
        <v>75.72</v>
      </c>
      <c r="R15" s="103">
        <f t="shared" si="2"/>
        <v>277.64</v>
      </c>
      <c r="S15" s="103">
        <v>0</v>
      </c>
      <c r="T15" s="103">
        <v>0</v>
      </c>
      <c r="U15" s="103">
        <f t="shared" si="3"/>
        <v>353.36</v>
      </c>
      <c r="V15" s="103">
        <f t="shared" si="4"/>
        <v>2620.64</v>
      </c>
      <c r="W15" s="103">
        <v>0</v>
      </c>
    </row>
    <row r="16" spans="1:170" s="87" customFormat="1" ht="25.5" x14ac:dyDescent="0.2">
      <c r="A16" s="128">
        <v>7</v>
      </c>
      <c r="B16" s="58" t="s">
        <v>579</v>
      </c>
      <c r="C16" s="58" t="s">
        <v>569</v>
      </c>
      <c r="D16" s="101">
        <v>1634</v>
      </c>
      <c r="E16" s="102">
        <v>2400</v>
      </c>
      <c r="F16" s="102">
        <v>0</v>
      </c>
      <c r="G16" s="102">
        <v>0</v>
      </c>
      <c r="H16" s="102">
        <v>2200</v>
      </c>
      <c r="I16" s="102">
        <v>3200</v>
      </c>
      <c r="J16" s="102">
        <v>0</v>
      </c>
      <c r="K16" s="102">
        <v>75</v>
      </c>
      <c r="L16" s="102">
        <v>0</v>
      </c>
      <c r="M16" s="102">
        <v>250</v>
      </c>
      <c r="N16" s="102">
        <v>0</v>
      </c>
      <c r="O16" s="102">
        <v>0</v>
      </c>
      <c r="P16" s="103">
        <f t="shared" si="0"/>
        <v>9759</v>
      </c>
      <c r="Q16" s="103">
        <f t="shared" si="1"/>
        <v>285.27</v>
      </c>
      <c r="R16" s="103">
        <f t="shared" si="2"/>
        <v>1045.99</v>
      </c>
      <c r="S16" s="103">
        <v>207.96</v>
      </c>
      <c r="T16" s="103">
        <v>0</v>
      </c>
      <c r="U16" s="103">
        <f t="shared" si="3"/>
        <v>1539.22</v>
      </c>
      <c r="V16" s="103">
        <f t="shared" si="4"/>
        <v>8219.7800000000007</v>
      </c>
      <c r="W16" s="103">
        <v>345</v>
      </c>
    </row>
    <row r="17" spans="1:23" s="87" customFormat="1" ht="25.5" x14ac:dyDescent="0.2">
      <c r="A17" s="128">
        <v>8</v>
      </c>
      <c r="B17" s="58" t="s">
        <v>580</v>
      </c>
      <c r="C17" s="58" t="s">
        <v>953</v>
      </c>
      <c r="D17" s="101">
        <v>1476</v>
      </c>
      <c r="E17" s="102">
        <v>2000</v>
      </c>
      <c r="F17" s="102">
        <v>0</v>
      </c>
      <c r="G17" s="102">
        <v>0</v>
      </c>
      <c r="H17" s="102">
        <v>1900</v>
      </c>
      <c r="I17" s="102">
        <v>2600</v>
      </c>
      <c r="J17" s="102">
        <v>0</v>
      </c>
      <c r="K17" s="102">
        <v>50</v>
      </c>
      <c r="L17" s="102">
        <v>0</v>
      </c>
      <c r="M17" s="102">
        <v>250</v>
      </c>
      <c r="N17" s="102">
        <v>0</v>
      </c>
      <c r="O17" s="102">
        <v>0</v>
      </c>
      <c r="P17" s="103">
        <f t="shared" si="0"/>
        <v>8276</v>
      </c>
      <c r="Q17" s="103">
        <f t="shared" si="1"/>
        <v>240.78</v>
      </c>
      <c r="R17" s="103">
        <f t="shared" si="2"/>
        <v>882.86</v>
      </c>
      <c r="S17" s="103">
        <v>146.41</v>
      </c>
      <c r="T17" s="103">
        <v>0</v>
      </c>
      <c r="U17" s="103">
        <f t="shared" si="3"/>
        <v>1270.05</v>
      </c>
      <c r="V17" s="103">
        <f t="shared" si="4"/>
        <v>7005.95</v>
      </c>
      <c r="W17" s="103">
        <v>0</v>
      </c>
    </row>
    <row r="18" spans="1:23" s="87" customFormat="1" ht="25.5" x14ac:dyDescent="0.2">
      <c r="A18" s="128">
        <v>9</v>
      </c>
      <c r="B18" s="33" t="s">
        <v>968</v>
      </c>
      <c r="C18" s="33" t="s">
        <v>576</v>
      </c>
      <c r="D18" s="101">
        <v>1350</v>
      </c>
      <c r="E18" s="102">
        <v>0</v>
      </c>
      <c r="F18" s="102">
        <v>0</v>
      </c>
      <c r="G18" s="102">
        <v>0</v>
      </c>
      <c r="H18" s="102">
        <v>0</v>
      </c>
      <c r="I18" s="102">
        <v>4500</v>
      </c>
      <c r="J18" s="102">
        <v>0</v>
      </c>
      <c r="K18" s="102">
        <v>0</v>
      </c>
      <c r="L18" s="102">
        <v>0</v>
      </c>
      <c r="M18" s="102">
        <v>250</v>
      </c>
      <c r="N18" s="102">
        <v>0</v>
      </c>
      <c r="O18" s="102">
        <v>0</v>
      </c>
      <c r="P18" s="103">
        <f t="shared" si="0"/>
        <v>6100</v>
      </c>
      <c r="Q18" s="103">
        <f t="shared" si="1"/>
        <v>175.5</v>
      </c>
      <c r="R18" s="103">
        <f>(D18+E18+F18+G18+H18+I18+J18+K18+N18)*12%</f>
        <v>702</v>
      </c>
      <c r="S18" s="103">
        <v>48.15</v>
      </c>
      <c r="T18" s="103">
        <v>0</v>
      </c>
      <c r="U18" s="103">
        <f t="shared" si="3"/>
        <v>925.65</v>
      </c>
      <c r="V18" s="103">
        <f t="shared" si="4"/>
        <v>5174.3500000000004</v>
      </c>
      <c r="W18" s="103">
        <v>0</v>
      </c>
    </row>
    <row r="19" spans="1:23" s="87" customFormat="1" ht="76.5" x14ac:dyDescent="0.2">
      <c r="A19" s="128">
        <v>10</v>
      </c>
      <c r="B19" s="58" t="s">
        <v>582</v>
      </c>
      <c r="C19" s="58" t="s">
        <v>569</v>
      </c>
      <c r="D19" s="101">
        <v>2885</v>
      </c>
      <c r="E19" s="102">
        <v>0</v>
      </c>
      <c r="F19" s="102">
        <v>0</v>
      </c>
      <c r="G19" s="102">
        <v>0</v>
      </c>
      <c r="H19" s="102">
        <v>0</v>
      </c>
      <c r="I19" s="102">
        <v>0</v>
      </c>
      <c r="J19" s="102">
        <v>0</v>
      </c>
      <c r="K19" s="102">
        <v>0</v>
      </c>
      <c r="L19" s="102">
        <v>0</v>
      </c>
      <c r="M19" s="102">
        <v>0</v>
      </c>
      <c r="N19" s="102">
        <v>0</v>
      </c>
      <c r="O19" s="102">
        <v>0</v>
      </c>
      <c r="P19" s="103">
        <f t="shared" si="0"/>
        <v>2885</v>
      </c>
      <c r="Q19" s="103">
        <f t="shared" si="1"/>
        <v>86.55</v>
      </c>
      <c r="R19" s="103">
        <f t="shared" ref="R19:R62" si="5">(D19+E19+F19+G19+H19+I19+J19+K19+N19)*11%</f>
        <v>317.35000000000002</v>
      </c>
      <c r="S19" s="103" t="s">
        <v>570</v>
      </c>
      <c r="T19" s="103">
        <v>0</v>
      </c>
      <c r="U19" s="103">
        <f t="shared" ref="U19:U35" si="6">SUM(Q19:T19)</f>
        <v>403.9</v>
      </c>
      <c r="V19" s="103">
        <f t="shared" si="4"/>
        <v>2481.1</v>
      </c>
      <c r="W19" s="103">
        <v>0</v>
      </c>
    </row>
    <row r="20" spans="1:23" s="87" customFormat="1" x14ac:dyDescent="0.2">
      <c r="A20" s="128">
        <v>11</v>
      </c>
      <c r="B20" s="58" t="s">
        <v>583</v>
      </c>
      <c r="C20" s="58" t="s">
        <v>569</v>
      </c>
      <c r="D20" s="101">
        <v>1634</v>
      </c>
      <c r="E20" s="102">
        <v>2400</v>
      </c>
      <c r="F20" s="102">
        <v>0</v>
      </c>
      <c r="G20" s="102">
        <v>0</v>
      </c>
      <c r="H20" s="102">
        <v>3000</v>
      </c>
      <c r="I20" s="102">
        <v>2400</v>
      </c>
      <c r="J20" s="102">
        <v>0</v>
      </c>
      <c r="K20" s="102">
        <v>75</v>
      </c>
      <c r="L20" s="102">
        <v>0</v>
      </c>
      <c r="M20" s="102">
        <v>250</v>
      </c>
      <c r="N20" s="102">
        <v>0</v>
      </c>
      <c r="O20" s="102">
        <v>0</v>
      </c>
      <c r="P20" s="103">
        <f t="shared" si="0"/>
        <v>9759</v>
      </c>
      <c r="Q20" s="103">
        <f t="shared" si="1"/>
        <v>285.27</v>
      </c>
      <c r="R20" s="103">
        <f t="shared" si="5"/>
        <v>1045.99</v>
      </c>
      <c r="S20" s="103">
        <v>207.96</v>
      </c>
      <c r="T20" s="103">
        <v>0</v>
      </c>
      <c r="U20" s="103">
        <f t="shared" si="6"/>
        <v>1539.22</v>
      </c>
      <c r="V20" s="103">
        <f t="shared" si="4"/>
        <v>8219.7800000000007</v>
      </c>
      <c r="W20" s="103">
        <v>0</v>
      </c>
    </row>
    <row r="21" spans="1:23" s="87" customFormat="1" ht="25.5" x14ac:dyDescent="0.2">
      <c r="A21" s="128">
        <v>12</v>
      </c>
      <c r="B21" s="58" t="s">
        <v>584</v>
      </c>
      <c r="C21" s="58" t="s">
        <v>569</v>
      </c>
      <c r="D21" s="101">
        <v>1634</v>
      </c>
      <c r="E21" s="102">
        <v>2400</v>
      </c>
      <c r="F21" s="102">
        <v>0</v>
      </c>
      <c r="G21" s="102">
        <v>0</v>
      </c>
      <c r="H21" s="102">
        <v>0</v>
      </c>
      <c r="I21" s="102">
        <v>5400</v>
      </c>
      <c r="J21" s="102">
        <v>0</v>
      </c>
      <c r="K21" s="102">
        <v>50</v>
      </c>
      <c r="L21" s="102">
        <v>0</v>
      </c>
      <c r="M21" s="102">
        <v>250</v>
      </c>
      <c r="N21" s="102">
        <v>0</v>
      </c>
      <c r="O21" s="102">
        <v>0</v>
      </c>
      <c r="P21" s="103">
        <f t="shared" si="0"/>
        <v>9734</v>
      </c>
      <c r="Q21" s="103">
        <f t="shared" si="1"/>
        <v>284.52</v>
      </c>
      <c r="R21" s="103">
        <f t="shared" si="5"/>
        <v>1043.24</v>
      </c>
      <c r="S21" s="103">
        <v>206.92</v>
      </c>
      <c r="T21" s="103">
        <v>0</v>
      </c>
      <c r="U21" s="103">
        <f t="shared" si="6"/>
        <v>1534.68</v>
      </c>
      <c r="V21" s="103">
        <f t="shared" si="4"/>
        <v>8199.32</v>
      </c>
      <c r="W21" s="103">
        <v>0</v>
      </c>
    </row>
    <row r="22" spans="1:23" s="87" customFormat="1" ht="25.5" x14ac:dyDescent="0.2">
      <c r="A22" s="128">
        <v>13</v>
      </c>
      <c r="B22" s="23" t="s">
        <v>199</v>
      </c>
      <c r="C22" s="33" t="s">
        <v>198</v>
      </c>
      <c r="D22" s="234">
        <v>5835</v>
      </c>
      <c r="E22" s="102">
        <v>3000</v>
      </c>
      <c r="F22" s="102">
        <v>0</v>
      </c>
      <c r="G22" s="102">
        <v>3000</v>
      </c>
      <c r="H22" s="102">
        <v>0</v>
      </c>
      <c r="I22" s="102">
        <v>0</v>
      </c>
      <c r="J22" s="102">
        <v>375</v>
      </c>
      <c r="K22" s="102">
        <v>0</v>
      </c>
      <c r="L22" s="102">
        <v>0</v>
      </c>
      <c r="M22" s="102">
        <v>250</v>
      </c>
      <c r="N22" s="102">
        <v>0</v>
      </c>
      <c r="O22" s="102">
        <v>0</v>
      </c>
      <c r="P22" s="103">
        <f t="shared" si="0"/>
        <v>12460</v>
      </c>
      <c r="Q22" s="103">
        <f t="shared" si="1"/>
        <v>366.3</v>
      </c>
      <c r="R22" s="103">
        <f t="shared" si="5"/>
        <v>1343.1</v>
      </c>
      <c r="S22" s="28">
        <v>313.94</v>
      </c>
      <c r="T22" s="28">
        <v>164.1</v>
      </c>
      <c r="U22" s="103">
        <f t="shared" si="6"/>
        <v>2187.44</v>
      </c>
      <c r="V22" s="103">
        <f t="shared" si="4"/>
        <v>10272.56</v>
      </c>
      <c r="W22" s="103">
        <v>0</v>
      </c>
    </row>
    <row r="23" spans="1:23" s="87" customFormat="1" ht="25.5" x14ac:dyDescent="0.2">
      <c r="A23" s="128">
        <v>14</v>
      </c>
      <c r="B23" s="58" t="s">
        <v>585</v>
      </c>
      <c r="C23" s="58" t="s">
        <v>946</v>
      </c>
      <c r="D23" s="101">
        <v>1634</v>
      </c>
      <c r="E23" s="102">
        <v>2000</v>
      </c>
      <c r="F23" s="102">
        <v>0</v>
      </c>
      <c r="G23" s="102">
        <v>0</v>
      </c>
      <c r="H23" s="102">
        <v>0</v>
      </c>
      <c r="I23" s="102">
        <v>5400</v>
      </c>
      <c r="J23" s="102">
        <v>0</v>
      </c>
      <c r="K23" s="102">
        <v>0</v>
      </c>
      <c r="L23" s="102">
        <v>0</v>
      </c>
      <c r="M23" s="102">
        <v>250</v>
      </c>
      <c r="N23" s="102">
        <v>0</v>
      </c>
      <c r="O23" s="102">
        <v>0</v>
      </c>
      <c r="P23" s="103">
        <f t="shared" si="0"/>
        <v>9284</v>
      </c>
      <c r="Q23" s="103">
        <f t="shared" si="1"/>
        <v>271.02</v>
      </c>
      <c r="R23" s="103">
        <f t="shared" si="5"/>
        <v>993.74</v>
      </c>
      <c r="S23" s="103">
        <v>188.24</v>
      </c>
      <c r="T23" s="103">
        <v>121.42</v>
      </c>
      <c r="U23" s="103">
        <f t="shared" si="6"/>
        <v>1574.42</v>
      </c>
      <c r="V23" s="103">
        <f t="shared" si="4"/>
        <v>7709.58</v>
      </c>
      <c r="W23" s="103">
        <v>0</v>
      </c>
    </row>
    <row r="24" spans="1:23" s="87" customFormat="1" ht="31.5" customHeight="1" x14ac:dyDescent="0.2">
      <c r="A24" s="128">
        <v>15</v>
      </c>
      <c r="B24" s="58" t="s">
        <v>586</v>
      </c>
      <c r="C24" s="58" t="s">
        <v>587</v>
      </c>
      <c r="D24" s="101">
        <v>1223</v>
      </c>
      <c r="E24" s="103">
        <v>2000</v>
      </c>
      <c r="F24" s="102">
        <v>0</v>
      </c>
      <c r="G24" s="102">
        <v>0</v>
      </c>
      <c r="H24" s="102">
        <v>1300</v>
      </c>
      <c r="I24" s="102">
        <v>3200</v>
      </c>
      <c r="J24" s="102">
        <v>0</v>
      </c>
      <c r="K24" s="102">
        <v>0</v>
      </c>
      <c r="L24" s="102">
        <v>0</v>
      </c>
      <c r="M24" s="102">
        <v>250</v>
      </c>
      <c r="N24" s="102">
        <v>0</v>
      </c>
      <c r="O24" s="102">
        <v>0</v>
      </c>
      <c r="P24" s="103">
        <f t="shared" si="0"/>
        <v>7973</v>
      </c>
      <c r="Q24" s="103">
        <f t="shared" si="1"/>
        <v>231.69</v>
      </c>
      <c r="R24" s="103">
        <f t="shared" si="5"/>
        <v>849.53</v>
      </c>
      <c r="S24" s="103">
        <v>140.85</v>
      </c>
      <c r="T24" s="103">
        <v>0</v>
      </c>
      <c r="U24" s="103">
        <f t="shared" si="6"/>
        <v>1222.07</v>
      </c>
      <c r="V24" s="103">
        <f t="shared" si="4"/>
        <v>6750.93</v>
      </c>
      <c r="W24" s="103">
        <v>0</v>
      </c>
    </row>
    <row r="25" spans="1:23" s="87" customFormat="1" ht="25.5" x14ac:dyDescent="0.2">
      <c r="A25" s="128">
        <v>16</v>
      </c>
      <c r="B25" s="122" t="s">
        <v>588</v>
      </c>
      <c r="C25" s="58" t="s">
        <v>953</v>
      </c>
      <c r="D25" s="102">
        <v>1476</v>
      </c>
      <c r="E25" s="102">
        <v>2000</v>
      </c>
      <c r="F25" s="102">
        <v>0</v>
      </c>
      <c r="G25" s="102">
        <v>0</v>
      </c>
      <c r="H25" s="102">
        <v>1900</v>
      </c>
      <c r="I25" s="102">
        <v>2600</v>
      </c>
      <c r="J25" s="102">
        <v>0</v>
      </c>
      <c r="K25" s="102">
        <v>0</v>
      </c>
      <c r="L25" s="102">
        <v>0</v>
      </c>
      <c r="M25" s="102">
        <v>250</v>
      </c>
      <c r="N25" s="102">
        <v>0</v>
      </c>
      <c r="O25" s="102">
        <v>0</v>
      </c>
      <c r="P25" s="103">
        <f t="shared" si="0"/>
        <v>8226</v>
      </c>
      <c r="Q25" s="103">
        <f t="shared" si="1"/>
        <v>239.28</v>
      </c>
      <c r="R25" s="103">
        <f t="shared" si="5"/>
        <v>877.36</v>
      </c>
      <c r="S25" s="103">
        <v>148.33000000000001</v>
      </c>
      <c r="T25" s="103">
        <v>0</v>
      </c>
      <c r="U25" s="103">
        <f t="shared" si="6"/>
        <v>1264.97</v>
      </c>
      <c r="V25" s="103">
        <f t="shared" si="4"/>
        <v>6961.03</v>
      </c>
      <c r="W25" s="103">
        <f>349+391.5</f>
        <v>740.5</v>
      </c>
    </row>
    <row r="26" spans="1:23" s="87" customFormat="1" ht="25.5" x14ac:dyDescent="0.2">
      <c r="A26" s="128">
        <v>17</v>
      </c>
      <c r="B26" s="122" t="s">
        <v>589</v>
      </c>
      <c r="C26" s="122" t="s">
        <v>953</v>
      </c>
      <c r="D26" s="102">
        <v>1476</v>
      </c>
      <c r="E26" s="102">
        <v>2000</v>
      </c>
      <c r="F26" s="102">
        <v>0</v>
      </c>
      <c r="G26" s="102">
        <v>0</v>
      </c>
      <c r="H26" s="102">
        <v>1900</v>
      </c>
      <c r="I26" s="102">
        <v>2600</v>
      </c>
      <c r="J26" s="102">
        <v>0</v>
      </c>
      <c r="K26" s="102">
        <v>0</v>
      </c>
      <c r="L26" s="102">
        <v>0</v>
      </c>
      <c r="M26" s="102">
        <v>250</v>
      </c>
      <c r="N26" s="102">
        <v>0</v>
      </c>
      <c r="O26" s="102">
        <v>0</v>
      </c>
      <c r="P26" s="103">
        <f t="shared" si="0"/>
        <v>8226</v>
      </c>
      <c r="Q26" s="103">
        <f t="shared" si="1"/>
        <v>239.28</v>
      </c>
      <c r="R26" s="103">
        <f t="shared" si="5"/>
        <v>877.36</v>
      </c>
      <c r="S26" s="103">
        <v>148.33000000000001</v>
      </c>
      <c r="T26" s="103">
        <v>0</v>
      </c>
      <c r="U26" s="103">
        <f t="shared" si="6"/>
        <v>1264.97</v>
      </c>
      <c r="V26" s="103">
        <f t="shared" si="4"/>
        <v>6961.03</v>
      </c>
      <c r="W26" s="103">
        <v>0</v>
      </c>
    </row>
    <row r="27" spans="1:23" s="87" customFormat="1" x14ac:dyDescent="0.2">
      <c r="A27" s="128">
        <v>18</v>
      </c>
      <c r="B27" s="58" t="s">
        <v>590</v>
      </c>
      <c r="C27" s="58" t="s">
        <v>569</v>
      </c>
      <c r="D27" s="101">
        <v>1634</v>
      </c>
      <c r="E27" s="102">
        <v>2400</v>
      </c>
      <c r="F27" s="102">
        <v>0</v>
      </c>
      <c r="G27" s="102">
        <v>0</v>
      </c>
      <c r="H27" s="102">
        <v>2200</v>
      </c>
      <c r="I27" s="102">
        <v>3200</v>
      </c>
      <c r="J27" s="102">
        <v>0</v>
      </c>
      <c r="K27" s="102">
        <v>50</v>
      </c>
      <c r="L27" s="102">
        <v>0</v>
      </c>
      <c r="M27" s="102">
        <v>250</v>
      </c>
      <c r="N27" s="102">
        <v>0</v>
      </c>
      <c r="O27" s="102">
        <v>0</v>
      </c>
      <c r="P27" s="103">
        <f t="shared" si="0"/>
        <v>9734</v>
      </c>
      <c r="Q27" s="103">
        <f t="shared" si="1"/>
        <v>284.52</v>
      </c>
      <c r="R27" s="103">
        <f t="shared" si="5"/>
        <v>1043.24</v>
      </c>
      <c r="S27" s="103">
        <v>206.92</v>
      </c>
      <c r="T27" s="103">
        <v>0</v>
      </c>
      <c r="U27" s="103">
        <f t="shared" si="6"/>
        <v>1534.68</v>
      </c>
      <c r="V27" s="103">
        <f t="shared" si="4"/>
        <v>8199.32</v>
      </c>
      <c r="W27" s="103">
        <v>0</v>
      </c>
    </row>
    <row r="28" spans="1:23" s="87" customFormat="1" x14ac:dyDescent="0.2">
      <c r="A28" s="128">
        <v>19</v>
      </c>
      <c r="B28" s="58" t="s">
        <v>591</v>
      </c>
      <c r="C28" s="58" t="s">
        <v>592</v>
      </c>
      <c r="D28" s="101">
        <v>1105</v>
      </c>
      <c r="E28" s="102">
        <v>671</v>
      </c>
      <c r="F28" s="102">
        <v>0</v>
      </c>
      <c r="G28" s="102">
        <v>1000</v>
      </c>
      <c r="H28" s="102">
        <v>0</v>
      </c>
      <c r="I28" s="102">
        <v>0</v>
      </c>
      <c r="J28" s="102">
        <v>0</v>
      </c>
      <c r="K28" s="102">
        <v>0</v>
      </c>
      <c r="L28" s="102">
        <v>0</v>
      </c>
      <c r="M28" s="102">
        <v>250</v>
      </c>
      <c r="N28" s="102">
        <v>0</v>
      </c>
      <c r="O28" s="102">
        <v>0</v>
      </c>
      <c r="P28" s="103">
        <f t="shared" si="0"/>
        <v>3026</v>
      </c>
      <c r="Q28" s="103">
        <f t="shared" si="1"/>
        <v>83.28</v>
      </c>
      <c r="R28" s="103">
        <f t="shared" si="5"/>
        <v>305.36</v>
      </c>
      <c r="S28" s="103">
        <v>590.99</v>
      </c>
      <c r="T28" s="103">
        <v>0</v>
      </c>
      <c r="U28" s="103">
        <f t="shared" si="6"/>
        <v>979.63</v>
      </c>
      <c r="V28" s="103">
        <f t="shared" si="4"/>
        <v>2046.37</v>
      </c>
      <c r="W28" s="103">
        <v>0</v>
      </c>
    </row>
    <row r="29" spans="1:23" s="87" customFormat="1" ht="25.5" x14ac:dyDescent="0.2">
      <c r="A29" s="128">
        <v>20</v>
      </c>
      <c r="B29" s="58" t="s">
        <v>593</v>
      </c>
      <c r="C29" s="58" t="s">
        <v>594</v>
      </c>
      <c r="D29" s="101">
        <v>1476</v>
      </c>
      <c r="E29" s="102">
        <v>2000</v>
      </c>
      <c r="F29" s="102">
        <v>0</v>
      </c>
      <c r="G29" s="102">
        <v>1900</v>
      </c>
      <c r="H29" s="102">
        <v>0</v>
      </c>
      <c r="I29" s="102">
        <v>2600</v>
      </c>
      <c r="J29" s="102">
        <v>0</v>
      </c>
      <c r="K29" s="102">
        <v>50</v>
      </c>
      <c r="L29" s="102">
        <v>0</v>
      </c>
      <c r="M29" s="102">
        <v>250</v>
      </c>
      <c r="N29" s="102">
        <v>0</v>
      </c>
      <c r="O29" s="102">
        <v>0</v>
      </c>
      <c r="P29" s="103">
        <f t="shared" si="0"/>
        <v>8276</v>
      </c>
      <c r="Q29" s="103">
        <f t="shared" si="1"/>
        <v>240.78</v>
      </c>
      <c r="R29" s="103">
        <f t="shared" si="5"/>
        <v>882.86</v>
      </c>
      <c r="S29" s="103">
        <v>145.13</v>
      </c>
      <c r="T29" s="103">
        <v>0</v>
      </c>
      <c r="U29" s="103">
        <f t="shared" si="6"/>
        <v>1268.77</v>
      </c>
      <c r="V29" s="103">
        <f t="shared" si="4"/>
        <v>7007.23</v>
      </c>
      <c r="W29" s="103">
        <f>859</f>
        <v>859</v>
      </c>
    </row>
    <row r="30" spans="1:23" s="87" customFormat="1" ht="25.5" x14ac:dyDescent="0.2">
      <c r="A30" s="128">
        <v>21</v>
      </c>
      <c r="B30" s="23" t="s">
        <v>28</v>
      </c>
      <c r="C30" s="33" t="s">
        <v>198</v>
      </c>
      <c r="D30" s="57">
        <v>5835</v>
      </c>
      <c r="E30" s="102">
        <v>3000</v>
      </c>
      <c r="F30" s="102">
        <v>0</v>
      </c>
      <c r="G30" s="102">
        <v>3000</v>
      </c>
      <c r="H30" s="102">
        <v>0</v>
      </c>
      <c r="I30" s="102">
        <v>0</v>
      </c>
      <c r="J30" s="102">
        <v>375</v>
      </c>
      <c r="K30" s="102">
        <v>0</v>
      </c>
      <c r="L30" s="102">
        <v>0</v>
      </c>
      <c r="M30" s="102">
        <v>250</v>
      </c>
      <c r="N30" s="102">
        <v>0</v>
      </c>
      <c r="O30" s="102">
        <v>0</v>
      </c>
      <c r="P30" s="103">
        <f t="shared" si="0"/>
        <v>12460</v>
      </c>
      <c r="Q30" s="103">
        <f t="shared" si="1"/>
        <v>366.3</v>
      </c>
      <c r="R30" s="103">
        <f t="shared" si="5"/>
        <v>1343.1</v>
      </c>
      <c r="S30" s="28">
        <v>195.56</v>
      </c>
      <c r="T30" s="28">
        <v>164.1</v>
      </c>
      <c r="U30" s="103">
        <f t="shared" si="6"/>
        <v>2069.06</v>
      </c>
      <c r="V30" s="103">
        <f t="shared" si="4"/>
        <v>10390.94</v>
      </c>
      <c r="W30" s="103">
        <v>0</v>
      </c>
    </row>
    <row r="31" spans="1:23" s="87" customFormat="1" ht="25.5" x14ac:dyDescent="0.2">
      <c r="A31" s="128">
        <v>22</v>
      </c>
      <c r="B31" s="58" t="s">
        <v>595</v>
      </c>
      <c r="C31" s="58" t="s">
        <v>596</v>
      </c>
      <c r="D31" s="101">
        <f>485*6</f>
        <v>2910</v>
      </c>
      <c r="E31" s="102">
        <v>0</v>
      </c>
      <c r="F31" s="102">
        <f>485*6</f>
        <v>2910</v>
      </c>
      <c r="G31" s="102">
        <v>0</v>
      </c>
      <c r="H31" s="102">
        <v>0</v>
      </c>
      <c r="I31" s="102">
        <v>0</v>
      </c>
      <c r="J31" s="102">
        <v>0</v>
      </c>
      <c r="K31" s="102">
        <v>0</v>
      </c>
      <c r="L31" s="102">
        <v>0</v>
      </c>
      <c r="M31" s="102">
        <v>0</v>
      </c>
      <c r="N31" s="102">
        <v>0</v>
      </c>
      <c r="O31" s="102">
        <v>0</v>
      </c>
      <c r="P31" s="103">
        <f t="shared" si="0"/>
        <v>5820</v>
      </c>
      <c r="Q31" s="103">
        <f t="shared" si="1"/>
        <v>174.6</v>
      </c>
      <c r="R31" s="103">
        <f t="shared" si="5"/>
        <v>640.20000000000005</v>
      </c>
      <c r="S31" s="103">
        <v>48.18</v>
      </c>
      <c r="T31" s="103">
        <v>0</v>
      </c>
      <c r="U31" s="103">
        <f t="shared" si="6"/>
        <v>862.98</v>
      </c>
      <c r="V31" s="103">
        <f t="shared" si="4"/>
        <v>4957.0200000000004</v>
      </c>
      <c r="W31" s="103">
        <v>0</v>
      </c>
    </row>
    <row r="32" spans="1:23" s="87" customFormat="1" ht="38.25" x14ac:dyDescent="0.2">
      <c r="A32" s="128">
        <v>23</v>
      </c>
      <c r="B32" s="58" t="s">
        <v>597</v>
      </c>
      <c r="C32" s="58" t="s">
        <v>720</v>
      </c>
      <c r="D32" s="101">
        <f>485*3</f>
        <v>1455</v>
      </c>
      <c r="E32" s="102">
        <v>0</v>
      </c>
      <c r="F32" s="102">
        <f>242.5*3</f>
        <v>727.5</v>
      </c>
      <c r="G32" s="102">
        <v>0</v>
      </c>
      <c r="H32" s="102">
        <v>0</v>
      </c>
      <c r="I32" s="102">
        <v>0</v>
      </c>
      <c r="J32" s="102">
        <v>0</v>
      </c>
      <c r="K32" s="102">
        <v>0</v>
      </c>
      <c r="L32" s="102">
        <v>0</v>
      </c>
      <c r="M32" s="102">
        <v>0</v>
      </c>
      <c r="N32" s="102">
        <v>0</v>
      </c>
      <c r="O32" s="102">
        <v>0</v>
      </c>
      <c r="P32" s="103">
        <f t="shared" si="0"/>
        <v>2182.5</v>
      </c>
      <c r="Q32" s="103">
        <f t="shared" si="1"/>
        <v>65.48</v>
      </c>
      <c r="R32" s="103">
        <f t="shared" si="5"/>
        <v>240.08</v>
      </c>
      <c r="S32" s="103">
        <v>0</v>
      </c>
      <c r="T32" s="103">
        <v>0</v>
      </c>
      <c r="U32" s="103">
        <f t="shared" si="6"/>
        <v>305.56</v>
      </c>
      <c r="V32" s="103">
        <f t="shared" si="4"/>
        <v>1876.94</v>
      </c>
      <c r="W32" s="103">
        <v>0</v>
      </c>
    </row>
    <row r="33" spans="1:23" s="87" customFormat="1" ht="25.5" x14ac:dyDescent="0.2">
      <c r="A33" s="128">
        <v>24</v>
      </c>
      <c r="B33" s="58" t="s">
        <v>598</v>
      </c>
      <c r="C33" s="58" t="s">
        <v>953</v>
      </c>
      <c r="D33" s="101">
        <v>1476</v>
      </c>
      <c r="E33" s="102">
        <v>2000</v>
      </c>
      <c r="F33" s="102">
        <v>0</v>
      </c>
      <c r="G33" s="102">
        <v>0</v>
      </c>
      <c r="H33" s="102">
        <v>1900</v>
      </c>
      <c r="I33" s="102">
        <v>2600</v>
      </c>
      <c r="J33" s="102">
        <v>0</v>
      </c>
      <c r="K33" s="102">
        <v>0</v>
      </c>
      <c r="L33" s="102">
        <v>0</v>
      </c>
      <c r="M33" s="102">
        <v>250</v>
      </c>
      <c r="N33" s="102">
        <v>0</v>
      </c>
      <c r="O33" s="102">
        <v>0</v>
      </c>
      <c r="P33" s="103">
        <f t="shared" si="0"/>
        <v>8226</v>
      </c>
      <c r="Q33" s="103">
        <f t="shared" si="1"/>
        <v>239.28</v>
      </c>
      <c r="R33" s="103">
        <f t="shared" si="5"/>
        <v>877.36</v>
      </c>
      <c r="S33" s="103">
        <v>148.33000000000001</v>
      </c>
      <c r="T33" s="103">
        <v>0</v>
      </c>
      <c r="U33" s="103">
        <f t="shared" si="6"/>
        <v>1264.97</v>
      </c>
      <c r="V33" s="103">
        <f t="shared" si="4"/>
        <v>6961.03</v>
      </c>
      <c r="W33" s="103">
        <f>355</f>
        <v>355</v>
      </c>
    </row>
    <row r="34" spans="1:23" s="87" customFormat="1" x14ac:dyDescent="0.2">
      <c r="A34" s="128">
        <v>25</v>
      </c>
      <c r="B34" s="58" t="s">
        <v>599</v>
      </c>
      <c r="C34" s="58" t="s">
        <v>581</v>
      </c>
      <c r="D34" s="101">
        <v>1476</v>
      </c>
      <c r="E34" s="102">
        <v>2000</v>
      </c>
      <c r="F34" s="102">
        <v>0</v>
      </c>
      <c r="G34" s="102">
        <v>1900</v>
      </c>
      <c r="H34" s="102">
        <v>0</v>
      </c>
      <c r="I34" s="102">
        <v>2600</v>
      </c>
      <c r="J34" s="102">
        <v>0</v>
      </c>
      <c r="K34" s="102">
        <v>50</v>
      </c>
      <c r="L34" s="102">
        <v>0</v>
      </c>
      <c r="M34" s="102">
        <v>250</v>
      </c>
      <c r="N34" s="102">
        <v>0</v>
      </c>
      <c r="O34" s="102">
        <v>0</v>
      </c>
      <c r="P34" s="103">
        <f t="shared" si="0"/>
        <v>8276</v>
      </c>
      <c r="Q34" s="103">
        <f t="shared" si="1"/>
        <v>240.78</v>
      </c>
      <c r="R34" s="103">
        <f t="shared" si="5"/>
        <v>882.86</v>
      </c>
      <c r="S34" s="103">
        <v>145.79</v>
      </c>
      <c r="T34" s="103">
        <v>0</v>
      </c>
      <c r="U34" s="103">
        <f t="shared" si="6"/>
        <v>1269.43</v>
      </c>
      <c r="V34" s="103">
        <f t="shared" si="4"/>
        <v>7006.57</v>
      </c>
      <c r="W34" s="103">
        <f>330</f>
        <v>330</v>
      </c>
    </row>
    <row r="35" spans="1:23" s="87" customFormat="1" ht="36" customHeight="1" x14ac:dyDescent="0.2">
      <c r="A35" s="128">
        <v>26</v>
      </c>
      <c r="B35" s="235" t="s">
        <v>966</v>
      </c>
      <c r="C35" s="33" t="s">
        <v>572</v>
      </c>
      <c r="D35" s="101">
        <v>1074</v>
      </c>
      <c r="E35" s="102">
        <v>0</v>
      </c>
      <c r="F35" s="102">
        <v>0</v>
      </c>
      <c r="G35" s="102">
        <v>1000</v>
      </c>
      <c r="H35" s="102">
        <v>0</v>
      </c>
      <c r="I35" s="102">
        <v>0</v>
      </c>
      <c r="J35" s="102">
        <v>0</v>
      </c>
      <c r="K35" s="102">
        <v>0</v>
      </c>
      <c r="L35" s="102">
        <v>0</v>
      </c>
      <c r="M35" s="102">
        <v>250</v>
      </c>
      <c r="N35" s="102">
        <v>0</v>
      </c>
      <c r="O35" s="102">
        <v>0</v>
      </c>
      <c r="P35" s="103">
        <f t="shared" si="0"/>
        <v>2324</v>
      </c>
      <c r="Q35" s="103">
        <f t="shared" si="1"/>
        <v>62.22</v>
      </c>
      <c r="R35" s="103">
        <f t="shared" si="5"/>
        <v>228.14</v>
      </c>
      <c r="S35" s="103">
        <v>0</v>
      </c>
      <c r="T35" s="103">
        <v>0</v>
      </c>
      <c r="U35" s="103">
        <f t="shared" si="6"/>
        <v>290.36</v>
      </c>
      <c r="V35" s="103">
        <f t="shared" si="4"/>
        <v>2033.64</v>
      </c>
      <c r="W35" s="103">
        <v>0</v>
      </c>
    </row>
    <row r="36" spans="1:23" s="87" customFormat="1" x14ac:dyDescent="0.2">
      <c r="A36" s="128">
        <v>27</v>
      </c>
      <c r="B36" s="58" t="s">
        <v>600</v>
      </c>
      <c r="C36" s="122" t="s">
        <v>569</v>
      </c>
      <c r="D36" s="101">
        <v>1634</v>
      </c>
      <c r="E36" s="102">
        <f>2000</f>
        <v>2000</v>
      </c>
      <c r="F36" s="102">
        <v>0</v>
      </c>
      <c r="G36" s="102">
        <v>0</v>
      </c>
      <c r="H36" s="102">
        <v>2200</v>
      </c>
      <c r="I36" s="102">
        <v>3200</v>
      </c>
      <c r="J36" s="102">
        <v>0</v>
      </c>
      <c r="K36" s="102">
        <v>50</v>
      </c>
      <c r="L36" s="102">
        <v>0</v>
      </c>
      <c r="M36" s="102">
        <v>250</v>
      </c>
      <c r="N36" s="102">
        <v>0</v>
      </c>
      <c r="O36" s="102">
        <v>0</v>
      </c>
      <c r="P36" s="103">
        <f t="shared" si="0"/>
        <v>9334</v>
      </c>
      <c r="Q36" s="103">
        <f t="shared" si="1"/>
        <v>272.52</v>
      </c>
      <c r="R36" s="103">
        <f t="shared" si="5"/>
        <v>999.24</v>
      </c>
      <c r="S36" s="103"/>
      <c r="T36" s="103">
        <v>0</v>
      </c>
      <c r="U36" s="103">
        <f t="shared" ref="U36:U66" si="7">SUM(Q36:T36)</f>
        <v>1271.76</v>
      </c>
      <c r="V36" s="103">
        <f t="shared" si="4"/>
        <v>8062.24</v>
      </c>
      <c r="W36" s="103">
        <v>0</v>
      </c>
    </row>
    <row r="37" spans="1:23" s="87" customFormat="1" ht="25.5" x14ac:dyDescent="0.2">
      <c r="A37" s="128">
        <v>28</v>
      </c>
      <c r="B37" s="58" t="s">
        <v>601</v>
      </c>
      <c r="C37" s="58" t="s">
        <v>569</v>
      </c>
      <c r="D37" s="101">
        <v>1634</v>
      </c>
      <c r="E37" s="102">
        <v>2400</v>
      </c>
      <c r="F37" s="102">
        <v>0</v>
      </c>
      <c r="G37" s="102">
        <v>0</v>
      </c>
      <c r="H37" s="102">
        <v>3000</v>
      </c>
      <c r="I37" s="102">
        <v>2400</v>
      </c>
      <c r="J37" s="102">
        <v>0</v>
      </c>
      <c r="K37" s="102">
        <v>0</v>
      </c>
      <c r="L37" s="102">
        <v>0</v>
      </c>
      <c r="M37" s="102">
        <v>250</v>
      </c>
      <c r="N37" s="102">
        <v>0</v>
      </c>
      <c r="O37" s="102">
        <v>0</v>
      </c>
      <c r="P37" s="103">
        <f t="shared" si="0"/>
        <v>9684</v>
      </c>
      <c r="Q37" s="103">
        <f t="shared" si="1"/>
        <v>283.02</v>
      </c>
      <c r="R37" s="103">
        <f t="shared" si="5"/>
        <v>1037.74</v>
      </c>
      <c r="S37" s="103">
        <v>204.84</v>
      </c>
      <c r="T37" s="103">
        <v>0</v>
      </c>
      <c r="U37" s="103">
        <f t="shared" si="7"/>
        <v>1525.6</v>
      </c>
      <c r="V37" s="103">
        <f t="shared" si="4"/>
        <v>8158.4</v>
      </c>
      <c r="W37" s="103">
        <v>0</v>
      </c>
    </row>
    <row r="38" spans="1:23" s="87" customFormat="1" ht="25.5" x14ac:dyDescent="0.2">
      <c r="A38" s="128">
        <v>29</v>
      </c>
      <c r="B38" s="58" t="s">
        <v>602</v>
      </c>
      <c r="C38" s="58" t="s">
        <v>953</v>
      </c>
      <c r="D38" s="101">
        <v>1476</v>
      </c>
      <c r="E38" s="102">
        <v>2000</v>
      </c>
      <c r="F38" s="102">
        <v>0</v>
      </c>
      <c r="G38" s="102">
        <v>0</v>
      </c>
      <c r="H38" s="102">
        <v>1900</v>
      </c>
      <c r="I38" s="102">
        <v>2600</v>
      </c>
      <c r="J38" s="102">
        <v>0</v>
      </c>
      <c r="K38" s="102">
        <v>50</v>
      </c>
      <c r="L38" s="102">
        <v>0</v>
      </c>
      <c r="M38" s="102">
        <v>250</v>
      </c>
      <c r="N38" s="102">
        <v>0</v>
      </c>
      <c r="O38" s="102">
        <v>0</v>
      </c>
      <c r="P38" s="103">
        <f t="shared" si="0"/>
        <v>8276</v>
      </c>
      <c r="Q38" s="103">
        <f t="shared" si="1"/>
        <v>240.78</v>
      </c>
      <c r="R38" s="103">
        <f t="shared" si="5"/>
        <v>882.86</v>
      </c>
      <c r="S38" s="103">
        <v>145.79</v>
      </c>
      <c r="T38" s="103">
        <v>0</v>
      </c>
      <c r="U38" s="103">
        <f t="shared" si="7"/>
        <v>1269.43</v>
      </c>
      <c r="V38" s="103">
        <f t="shared" si="4"/>
        <v>7006.57</v>
      </c>
      <c r="W38" s="103">
        <f>1045</f>
        <v>1045</v>
      </c>
    </row>
    <row r="39" spans="1:23" s="87" customFormat="1" ht="25.5" x14ac:dyDescent="0.2">
      <c r="A39" s="128">
        <v>30</v>
      </c>
      <c r="B39" s="58" t="s">
        <v>603</v>
      </c>
      <c r="C39" s="122" t="s">
        <v>574</v>
      </c>
      <c r="D39" s="101">
        <v>1350</v>
      </c>
      <c r="E39" s="102">
        <f>2000</f>
        <v>2000</v>
      </c>
      <c r="F39" s="102">
        <v>0</v>
      </c>
      <c r="G39" s="102">
        <v>0</v>
      </c>
      <c r="H39" s="102">
        <v>1600</v>
      </c>
      <c r="I39" s="102">
        <f>2900</f>
        <v>2900</v>
      </c>
      <c r="J39" s="102">
        <v>0</v>
      </c>
      <c r="K39" s="102">
        <v>50</v>
      </c>
      <c r="L39" s="102">
        <v>0</v>
      </c>
      <c r="M39" s="102">
        <v>250</v>
      </c>
      <c r="N39" s="102">
        <v>0</v>
      </c>
      <c r="O39" s="102">
        <v>0</v>
      </c>
      <c r="P39" s="103">
        <f t="shared" si="0"/>
        <v>8150</v>
      </c>
      <c r="Q39" s="103">
        <f t="shared" si="1"/>
        <v>237</v>
      </c>
      <c r="R39" s="103">
        <f t="shared" si="5"/>
        <v>869</v>
      </c>
      <c r="S39" s="103">
        <v>145.13</v>
      </c>
      <c r="T39" s="103">
        <v>0</v>
      </c>
      <c r="U39" s="103">
        <f t="shared" si="7"/>
        <v>1251.1300000000001</v>
      </c>
      <c r="V39" s="103">
        <f t="shared" si="4"/>
        <v>6898.87</v>
      </c>
      <c r="W39" s="103">
        <v>0</v>
      </c>
    </row>
    <row r="40" spans="1:23" s="87" customFormat="1" ht="32.25" customHeight="1" x14ac:dyDescent="0.2">
      <c r="A40" s="128">
        <v>31</v>
      </c>
      <c r="B40" s="58" t="s">
        <v>604</v>
      </c>
      <c r="C40" s="58" t="s">
        <v>605</v>
      </c>
      <c r="D40" s="101">
        <v>1792</v>
      </c>
      <c r="E40" s="102">
        <v>2500</v>
      </c>
      <c r="F40" s="102">
        <v>0</v>
      </c>
      <c r="G40" s="102">
        <v>2500</v>
      </c>
      <c r="H40" s="102">
        <v>0</v>
      </c>
      <c r="I40" s="102">
        <v>3000</v>
      </c>
      <c r="J40" s="102">
        <v>0</v>
      </c>
      <c r="K40" s="102">
        <v>50</v>
      </c>
      <c r="L40" s="102">
        <v>0</v>
      </c>
      <c r="M40" s="102">
        <v>250</v>
      </c>
      <c r="N40" s="102">
        <v>0</v>
      </c>
      <c r="O40" s="102">
        <v>0</v>
      </c>
      <c r="P40" s="103">
        <f t="shared" si="0"/>
        <v>10092</v>
      </c>
      <c r="Q40" s="103">
        <f t="shared" si="1"/>
        <v>295.26</v>
      </c>
      <c r="R40" s="103">
        <f t="shared" si="5"/>
        <v>1082.6199999999999</v>
      </c>
      <c r="S40" s="103">
        <v>221.78</v>
      </c>
      <c r="T40" s="103">
        <v>0</v>
      </c>
      <c r="U40" s="103">
        <f t="shared" si="7"/>
        <v>1599.66</v>
      </c>
      <c r="V40" s="103">
        <f t="shared" si="4"/>
        <v>8492.34</v>
      </c>
      <c r="W40" s="103">
        <f>988+1358</f>
        <v>2346</v>
      </c>
    </row>
    <row r="41" spans="1:23" s="87" customFormat="1" ht="25.5" x14ac:dyDescent="0.2">
      <c r="A41" s="128">
        <v>32</v>
      </c>
      <c r="B41" s="58" t="s">
        <v>606</v>
      </c>
      <c r="C41" s="58" t="s">
        <v>607</v>
      </c>
      <c r="D41" s="101">
        <v>1168</v>
      </c>
      <c r="E41" s="102">
        <v>500</v>
      </c>
      <c r="F41" s="102">
        <v>0</v>
      </c>
      <c r="G41" s="102">
        <v>1000</v>
      </c>
      <c r="H41" s="102">
        <v>0</v>
      </c>
      <c r="I41" s="102">
        <v>0</v>
      </c>
      <c r="J41" s="102">
        <v>0</v>
      </c>
      <c r="K41" s="102">
        <v>50</v>
      </c>
      <c r="L41" s="102">
        <v>0</v>
      </c>
      <c r="M41" s="102">
        <v>250</v>
      </c>
      <c r="N41" s="102">
        <v>0</v>
      </c>
      <c r="O41" s="102">
        <v>0</v>
      </c>
      <c r="P41" s="103">
        <f t="shared" ref="P41:P72" si="8">SUM(D41:N41)</f>
        <v>2968</v>
      </c>
      <c r="Q41" s="103">
        <f t="shared" si="1"/>
        <v>81.540000000000006</v>
      </c>
      <c r="R41" s="103">
        <f t="shared" si="5"/>
        <v>298.98</v>
      </c>
      <c r="S41" s="103">
        <v>0</v>
      </c>
      <c r="T41" s="103">
        <v>0</v>
      </c>
      <c r="U41" s="103">
        <f t="shared" si="7"/>
        <v>380.52</v>
      </c>
      <c r="V41" s="103">
        <f t="shared" si="4"/>
        <v>2587.48</v>
      </c>
      <c r="W41" s="103">
        <f>1890+963</f>
        <v>2853</v>
      </c>
    </row>
    <row r="42" spans="1:23" s="87" customFormat="1" ht="25.5" x14ac:dyDescent="0.2">
      <c r="A42" s="128">
        <v>33</v>
      </c>
      <c r="B42" s="58" t="s">
        <v>608</v>
      </c>
      <c r="C42" s="122" t="s">
        <v>574</v>
      </c>
      <c r="D42" s="101">
        <v>1350</v>
      </c>
      <c r="E42" s="102">
        <v>1500</v>
      </c>
      <c r="F42" s="102">
        <v>0</v>
      </c>
      <c r="G42" s="102">
        <v>0</v>
      </c>
      <c r="H42" s="102">
        <v>0</v>
      </c>
      <c r="I42" s="102">
        <v>4500</v>
      </c>
      <c r="J42" s="102">
        <v>0</v>
      </c>
      <c r="K42" s="102">
        <v>0</v>
      </c>
      <c r="L42" s="102">
        <v>0</v>
      </c>
      <c r="M42" s="102">
        <v>250</v>
      </c>
      <c r="N42" s="102">
        <v>0</v>
      </c>
      <c r="O42" s="102">
        <v>0</v>
      </c>
      <c r="P42" s="103">
        <f t="shared" si="8"/>
        <v>7600</v>
      </c>
      <c r="Q42" s="103">
        <f t="shared" si="1"/>
        <v>220.5</v>
      </c>
      <c r="R42" s="103">
        <f t="shared" si="5"/>
        <v>808.5</v>
      </c>
      <c r="S42" s="103">
        <v>122.03</v>
      </c>
      <c r="T42" s="103">
        <v>0</v>
      </c>
      <c r="U42" s="103">
        <f t="shared" si="7"/>
        <v>1151.03</v>
      </c>
      <c r="V42" s="103">
        <f t="shared" si="4"/>
        <v>6448.97</v>
      </c>
      <c r="W42" s="103">
        <v>0</v>
      </c>
    </row>
    <row r="43" spans="1:23" s="87" customFormat="1" ht="25.5" x14ac:dyDescent="0.2">
      <c r="A43" s="128">
        <v>34</v>
      </c>
      <c r="B43" s="58" t="s">
        <v>609</v>
      </c>
      <c r="C43" s="123" t="s">
        <v>610</v>
      </c>
      <c r="D43" s="101">
        <v>3525</v>
      </c>
      <c r="E43" s="102">
        <v>1800</v>
      </c>
      <c r="F43" s="102">
        <v>0</v>
      </c>
      <c r="G43" s="102">
        <v>1800</v>
      </c>
      <c r="H43" s="102">
        <v>0</v>
      </c>
      <c r="I43" s="102">
        <v>0</v>
      </c>
      <c r="J43" s="102">
        <v>375</v>
      </c>
      <c r="K43" s="102">
        <v>0</v>
      </c>
      <c r="L43" s="102">
        <v>0</v>
      </c>
      <c r="M43" s="102">
        <v>250</v>
      </c>
      <c r="N43" s="102">
        <v>0</v>
      </c>
      <c r="O43" s="102">
        <v>0</v>
      </c>
      <c r="P43" s="103">
        <f t="shared" si="8"/>
        <v>7750</v>
      </c>
      <c r="Q43" s="103">
        <f t="shared" si="1"/>
        <v>225</v>
      </c>
      <c r="R43" s="103">
        <f t="shared" si="5"/>
        <v>825</v>
      </c>
      <c r="S43" s="103">
        <v>128.33000000000001</v>
      </c>
      <c r="T43" s="103">
        <v>100.8</v>
      </c>
      <c r="U43" s="103">
        <f t="shared" si="7"/>
        <v>1279.1300000000001</v>
      </c>
      <c r="V43" s="103">
        <f t="shared" si="4"/>
        <v>6470.87</v>
      </c>
      <c r="W43" s="103">
        <f>763</f>
        <v>763</v>
      </c>
    </row>
    <row r="44" spans="1:23" s="87" customFormat="1" ht="25.5" x14ac:dyDescent="0.2">
      <c r="A44" s="128">
        <v>35</v>
      </c>
      <c r="B44" s="58" t="s">
        <v>611</v>
      </c>
      <c r="C44" s="58" t="s">
        <v>953</v>
      </c>
      <c r="D44" s="101">
        <v>1476</v>
      </c>
      <c r="E44" s="102">
        <v>1600</v>
      </c>
      <c r="F44" s="102">
        <v>0</v>
      </c>
      <c r="G44" s="102">
        <v>0</v>
      </c>
      <c r="H44" s="102">
        <v>1900</v>
      </c>
      <c r="I44" s="102">
        <v>0</v>
      </c>
      <c r="J44" s="102">
        <v>0</v>
      </c>
      <c r="K44" s="102">
        <v>50</v>
      </c>
      <c r="L44" s="102">
        <v>0</v>
      </c>
      <c r="M44" s="102">
        <v>250</v>
      </c>
      <c r="N44" s="102">
        <v>0</v>
      </c>
      <c r="O44" s="102">
        <v>0</v>
      </c>
      <c r="P44" s="103">
        <f t="shared" si="8"/>
        <v>5276</v>
      </c>
      <c r="Q44" s="103">
        <f t="shared" si="1"/>
        <v>150.78</v>
      </c>
      <c r="R44" s="103">
        <f t="shared" si="5"/>
        <v>552.86</v>
      </c>
      <c r="S44" s="103">
        <v>288.89</v>
      </c>
      <c r="T44" s="103">
        <v>0</v>
      </c>
      <c r="U44" s="103">
        <f t="shared" si="7"/>
        <v>992.53</v>
      </c>
      <c r="V44" s="103">
        <f t="shared" si="4"/>
        <v>4283.47</v>
      </c>
      <c r="W44" s="103">
        <f>797.7</f>
        <v>797.7</v>
      </c>
    </row>
    <row r="45" spans="1:23" s="87" customFormat="1" ht="25.5" x14ac:dyDescent="0.2">
      <c r="A45" s="128">
        <v>36</v>
      </c>
      <c r="B45" s="58" t="s">
        <v>612</v>
      </c>
      <c r="C45" s="58" t="s">
        <v>569</v>
      </c>
      <c r="D45" s="101">
        <v>1634</v>
      </c>
      <c r="E45" s="102">
        <v>2400</v>
      </c>
      <c r="F45" s="102">
        <v>0</v>
      </c>
      <c r="G45" s="102">
        <v>0</v>
      </c>
      <c r="H45" s="102">
        <v>2200</v>
      </c>
      <c r="I45" s="102">
        <v>3200</v>
      </c>
      <c r="J45" s="102">
        <v>0</v>
      </c>
      <c r="K45" s="102">
        <v>75</v>
      </c>
      <c r="L45" s="102">
        <v>0</v>
      </c>
      <c r="M45" s="102">
        <v>250</v>
      </c>
      <c r="N45" s="102">
        <v>0</v>
      </c>
      <c r="O45" s="102">
        <v>0</v>
      </c>
      <c r="P45" s="103">
        <f t="shared" si="8"/>
        <v>9759</v>
      </c>
      <c r="Q45" s="103">
        <f t="shared" si="1"/>
        <v>285.27</v>
      </c>
      <c r="R45" s="103">
        <f t="shared" si="5"/>
        <v>1045.99</v>
      </c>
      <c r="S45" s="103">
        <v>207.96</v>
      </c>
      <c r="T45" s="103">
        <v>0</v>
      </c>
      <c r="U45" s="103">
        <f t="shared" si="7"/>
        <v>1539.22</v>
      </c>
      <c r="V45" s="103">
        <f t="shared" si="4"/>
        <v>8219.7800000000007</v>
      </c>
      <c r="W45" s="103">
        <f>420</f>
        <v>420</v>
      </c>
    </row>
    <row r="46" spans="1:23" s="87" customFormat="1" ht="25.5" x14ac:dyDescent="0.2">
      <c r="A46" s="128">
        <v>37</v>
      </c>
      <c r="B46" s="58" t="s">
        <v>613</v>
      </c>
      <c r="C46" s="58" t="s">
        <v>953</v>
      </c>
      <c r="D46" s="101">
        <v>1476</v>
      </c>
      <c r="E46" s="102">
        <v>2000</v>
      </c>
      <c r="F46" s="102">
        <v>0</v>
      </c>
      <c r="G46" s="102">
        <v>0</v>
      </c>
      <c r="H46" s="102">
        <v>1900</v>
      </c>
      <c r="I46" s="102">
        <v>2600</v>
      </c>
      <c r="J46" s="102">
        <v>0</v>
      </c>
      <c r="K46" s="102">
        <v>50</v>
      </c>
      <c r="L46" s="102">
        <v>0</v>
      </c>
      <c r="M46" s="102">
        <v>250</v>
      </c>
      <c r="N46" s="102">
        <v>0</v>
      </c>
      <c r="O46" s="102">
        <v>0</v>
      </c>
      <c r="P46" s="103">
        <f t="shared" si="8"/>
        <v>8276</v>
      </c>
      <c r="Q46" s="103">
        <f t="shared" si="1"/>
        <v>240.78</v>
      </c>
      <c r="R46" s="103">
        <f t="shared" si="5"/>
        <v>882.86</v>
      </c>
      <c r="S46" s="103">
        <v>146.41</v>
      </c>
      <c r="T46" s="103">
        <v>0</v>
      </c>
      <c r="U46" s="103">
        <f t="shared" si="7"/>
        <v>1270.05</v>
      </c>
      <c r="V46" s="103">
        <f t="shared" si="4"/>
        <v>7005.95</v>
      </c>
      <c r="W46" s="103">
        <v>0</v>
      </c>
    </row>
    <row r="47" spans="1:23" s="87" customFormat="1" ht="25.5" x14ac:dyDescent="0.2">
      <c r="A47" s="128">
        <v>38</v>
      </c>
      <c r="B47" s="58" t="s">
        <v>614</v>
      </c>
      <c r="C47" s="58" t="s">
        <v>615</v>
      </c>
      <c r="D47" s="102">
        <v>2885</v>
      </c>
      <c r="E47" s="102">
        <v>0</v>
      </c>
      <c r="F47" s="102">
        <v>2885</v>
      </c>
      <c r="G47" s="102">
        <v>0</v>
      </c>
      <c r="H47" s="102">
        <v>0</v>
      </c>
      <c r="I47" s="102">
        <v>0</v>
      </c>
      <c r="J47" s="102">
        <v>0</v>
      </c>
      <c r="K47" s="102">
        <v>0</v>
      </c>
      <c r="L47" s="102">
        <v>0</v>
      </c>
      <c r="M47" s="102">
        <v>0</v>
      </c>
      <c r="N47" s="102">
        <v>0</v>
      </c>
      <c r="O47" s="102">
        <v>0</v>
      </c>
      <c r="P47" s="103">
        <f t="shared" si="8"/>
        <v>5770</v>
      </c>
      <c r="Q47" s="103">
        <f t="shared" si="1"/>
        <v>173.1</v>
      </c>
      <c r="R47" s="103">
        <f t="shared" si="5"/>
        <v>634.70000000000005</v>
      </c>
      <c r="S47" s="103">
        <v>46.06</v>
      </c>
      <c r="T47" s="103">
        <v>0</v>
      </c>
      <c r="U47" s="103">
        <f t="shared" si="7"/>
        <v>853.86</v>
      </c>
      <c r="V47" s="103">
        <f t="shared" si="4"/>
        <v>4916.1400000000003</v>
      </c>
      <c r="W47" s="103">
        <v>0</v>
      </c>
    </row>
    <row r="48" spans="1:23" s="87" customFormat="1" ht="25.5" x14ac:dyDescent="0.2">
      <c r="A48" s="128">
        <v>39</v>
      </c>
      <c r="B48" s="58" t="s">
        <v>616</v>
      </c>
      <c r="C48" s="122" t="s">
        <v>574</v>
      </c>
      <c r="D48" s="101">
        <v>1350</v>
      </c>
      <c r="E48" s="102">
        <v>2000</v>
      </c>
      <c r="F48" s="102">
        <v>0</v>
      </c>
      <c r="G48" s="102">
        <v>0</v>
      </c>
      <c r="H48" s="102">
        <v>1600</v>
      </c>
      <c r="I48" s="102">
        <v>2900</v>
      </c>
      <c r="J48" s="102">
        <v>0</v>
      </c>
      <c r="K48" s="102">
        <v>50</v>
      </c>
      <c r="L48" s="102">
        <v>0</v>
      </c>
      <c r="M48" s="102">
        <v>250</v>
      </c>
      <c r="N48" s="102">
        <v>0</v>
      </c>
      <c r="O48" s="102">
        <v>0</v>
      </c>
      <c r="P48" s="103">
        <f t="shared" si="8"/>
        <v>8150</v>
      </c>
      <c r="Q48" s="103">
        <f t="shared" si="1"/>
        <v>237</v>
      </c>
      <c r="R48" s="103">
        <f t="shared" si="5"/>
        <v>869</v>
      </c>
      <c r="S48" s="103">
        <v>145.13</v>
      </c>
      <c r="T48" s="103">
        <v>0</v>
      </c>
      <c r="U48" s="103">
        <f t="shared" si="7"/>
        <v>1251.1300000000001</v>
      </c>
      <c r="V48" s="103">
        <f t="shared" si="4"/>
        <v>6898.87</v>
      </c>
      <c r="W48" s="103">
        <f>898.9</f>
        <v>898.9</v>
      </c>
    </row>
    <row r="49" spans="1:23" s="87" customFormat="1" ht="25.5" x14ac:dyDescent="0.2">
      <c r="A49" s="128">
        <v>40</v>
      </c>
      <c r="B49" s="58" t="s">
        <v>617</v>
      </c>
      <c r="C49" s="58" t="s">
        <v>596</v>
      </c>
      <c r="D49" s="101">
        <v>485</v>
      </c>
      <c r="E49" s="102">
        <v>0</v>
      </c>
      <c r="F49" s="102">
        <v>606.25</v>
      </c>
      <c r="G49" s="102">
        <v>0</v>
      </c>
      <c r="H49" s="102">
        <v>0</v>
      </c>
      <c r="I49" s="102">
        <v>0</v>
      </c>
      <c r="J49" s="102">
        <v>0</v>
      </c>
      <c r="K49" s="102">
        <v>0</v>
      </c>
      <c r="L49" s="102">
        <v>0</v>
      </c>
      <c r="M49" s="102">
        <v>0</v>
      </c>
      <c r="N49" s="102">
        <v>0</v>
      </c>
      <c r="O49" s="102">
        <v>0</v>
      </c>
      <c r="P49" s="103">
        <f t="shared" si="8"/>
        <v>1091.25</v>
      </c>
      <c r="Q49" s="103">
        <f t="shared" si="1"/>
        <v>32.74</v>
      </c>
      <c r="R49" s="103">
        <f t="shared" si="5"/>
        <v>120.04</v>
      </c>
      <c r="S49" s="103">
        <v>0</v>
      </c>
      <c r="T49" s="103">
        <v>0</v>
      </c>
      <c r="U49" s="103">
        <f t="shared" si="7"/>
        <v>152.78</v>
      </c>
      <c r="V49" s="103">
        <f t="shared" si="4"/>
        <v>938.47</v>
      </c>
      <c r="W49" s="103">
        <v>0</v>
      </c>
    </row>
    <row r="50" spans="1:23" s="87" customFormat="1" ht="25.5" x14ac:dyDescent="0.2">
      <c r="A50" s="128">
        <v>41</v>
      </c>
      <c r="B50" s="58" t="s">
        <v>618</v>
      </c>
      <c r="C50" s="58" t="s">
        <v>953</v>
      </c>
      <c r="D50" s="101">
        <v>1476</v>
      </c>
      <c r="E50" s="102">
        <v>2000</v>
      </c>
      <c r="F50" s="102">
        <v>0</v>
      </c>
      <c r="G50" s="102">
        <v>0</v>
      </c>
      <c r="H50" s="102">
        <v>1900</v>
      </c>
      <c r="I50" s="102">
        <v>2600</v>
      </c>
      <c r="J50" s="102">
        <v>0</v>
      </c>
      <c r="K50" s="102">
        <v>50</v>
      </c>
      <c r="L50" s="102">
        <v>0</v>
      </c>
      <c r="M50" s="102">
        <v>250</v>
      </c>
      <c r="N50" s="102">
        <v>0</v>
      </c>
      <c r="O50" s="102">
        <v>0</v>
      </c>
      <c r="P50" s="103">
        <f t="shared" si="8"/>
        <v>8276</v>
      </c>
      <c r="Q50" s="103">
        <f t="shared" si="1"/>
        <v>240.78</v>
      </c>
      <c r="R50" s="103">
        <f t="shared" si="5"/>
        <v>882.86</v>
      </c>
      <c r="S50" s="103">
        <v>146.41</v>
      </c>
      <c r="T50" s="103">
        <v>0</v>
      </c>
      <c r="U50" s="103">
        <f t="shared" si="7"/>
        <v>1270.05</v>
      </c>
      <c r="V50" s="103">
        <f t="shared" si="4"/>
        <v>7005.95</v>
      </c>
      <c r="W50" s="103">
        <f>417.7</f>
        <v>417.7</v>
      </c>
    </row>
    <row r="51" spans="1:23" s="87" customFormat="1" ht="25.5" x14ac:dyDescent="0.2">
      <c r="A51" s="128">
        <v>42</v>
      </c>
      <c r="B51" s="58" t="s">
        <v>619</v>
      </c>
      <c r="C51" s="58" t="s">
        <v>569</v>
      </c>
      <c r="D51" s="101">
        <v>1634</v>
      </c>
      <c r="E51" s="102">
        <v>2400</v>
      </c>
      <c r="F51" s="102">
        <v>0</v>
      </c>
      <c r="G51" s="102">
        <v>0</v>
      </c>
      <c r="H51" s="102">
        <v>0</v>
      </c>
      <c r="I51" s="102">
        <v>5400</v>
      </c>
      <c r="J51" s="102">
        <v>0</v>
      </c>
      <c r="K51" s="102">
        <v>0</v>
      </c>
      <c r="L51" s="102">
        <v>0</v>
      </c>
      <c r="M51" s="102">
        <v>250</v>
      </c>
      <c r="N51" s="102">
        <v>0</v>
      </c>
      <c r="O51" s="102">
        <v>0</v>
      </c>
      <c r="P51" s="103">
        <f t="shared" si="8"/>
        <v>9684</v>
      </c>
      <c r="Q51" s="103">
        <f t="shared" si="1"/>
        <v>283.02</v>
      </c>
      <c r="R51" s="103">
        <f t="shared" si="5"/>
        <v>1037.74</v>
      </c>
      <c r="S51" s="103">
        <v>204.84</v>
      </c>
      <c r="T51" s="103">
        <v>126.79</v>
      </c>
      <c r="U51" s="103">
        <f t="shared" si="7"/>
        <v>1652.39</v>
      </c>
      <c r="V51" s="103">
        <f t="shared" si="4"/>
        <v>8031.61</v>
      </c>
      <c r="W51" s="103">
        <v>0</v>
      </c>
    </row>
    <row r="52" spans="1:23" s="87" customFormat="1" ht="25.5" x14ac:dyDescent="0.2">
      <c r="A52" s="128">
        <v>43</v>
      </c>
      <c r="B52" s="58" t="s">
        <v>620</v>
      </c>
      <c r="C52" s="58" t="s">
        <v>596</v>
      </c>
      <c r="D52" s="101">
        <f>(485*4)+1350</f>
        <v>3290</v>
      </c>
      <c r="E52" s="102">
        <v>2000</v>
      </c>
      <c r="F52" s="102">
        <f>485*4</f>
        <v>1940</v>
      </c>
      <c r="G52" s="102">
        <v>0</v>
      </c>
      <c r="H52" s="102">
        <v>0</v>
      </c>
      <c r="I52" s="102">
        <v>4500</v>
      </c>
      <c r="J52" s="102">
        <v>0</v>
      </c>
      <c r="K52" s="102">
        <v>0</v>
      </c>
      <c r="L52" s="102">
        <v>0</v>
      </c>
      <c r="M52" s="102">
        <v>250</v>
      </c>
      <c r="N52" s="102">
        <v>0</v>
      </c>
      <c r="O52" s="102">
        <v>0</v>
      </c>
      <c r="P52" s="103">
        <f t="shared" si="8"/>
        <v>11980</v>
      </c>
      <c r="Q52" s="103">
        <f t="shared" si="1"/>
        <v>351.9</v>
      </c>
      <c r="R52" s="103">
        <f t="shared" si="5"/>
        <v>1290.3</v>
      </c>
      <c r="S52" s="104">
        <v>143.03</v>
      </c>
      <c r="T52" s="103">
        <v>0</v>
      </c>
      <c r="U52" s="103">
        <f t="shared" si="7"/>
        <v>1785.23</v>
      </c>
      <c r="V52" s="103">
        <f t="shared" si="4"/>
        <v>10194.77</v>
      </c>
      <c r="W52" s="103">
        <v>0</v>
      </c>
    </row>
    <row r="53" spans="1:23" s="87" customFormat="1" ht="38.25" x14ac:dyDescent="0.2">
      <c r="A53" s="128">
        <v>44</v>
      </c>
      <c r="B53" s="58" t="s">
        <v>621</v>
      </c>
      <c r="C53" s="58" t="s">
        <v>720</v>
      </c>
      <c r="D53" s="101">
        <f>485*3</f>
        <v>1455</v>
      </c>
      <c r="E53" s="102">
        <v>0</v>
      </c>
      <c r="F53" s="102">
        <v>0</v>
      </c>
      <c r="G53" s="102">
        <v>0</v>
      </c>
      <c r="H53" s="102">
        <v>0</v>
      </c>
      <c r="I53" s="102">
        <v>0</v>
      </c>
      <c r="J53" s="102">
        <v>0</v>
      </c>
      <c r="K53" s="102">
        <v>0</v>
      </c>
      <c r="L53" s="102">
        <v>0</v>
      </c>
      <c r="M53" s="102">
        <v>0</v>
      </c>
      <c r="N53" s="102">
        <v>0</v>
      </c>
      <c r="O53" s="102">
        <v>0</v>
      </c>
      <c r="P53" s="103">
        <f t="shared" si="8"/>
        <v>1455</v>
      </c>
      <c r="Q53" s="103">
        <f t="shared" si="1"/>
        <v>43.65</v>
      </c>
      <c r="R53" s="103">
        <f t="shared" si="5"/>
        <v>160.05000000000001</v>
      </c>
      <c r="S53" s="103">
        <v>0</v>
      </c>
      <c r="T53" s="103">
        <v>0</v>
      </c>
      <c r="U53" s="103">
        <f t="shared" si="7"/>
        <v>203.7</v>
      </c>
      <c r="V53" s="103">
        <f t="shared" si="4"/>
        <v>1251.3</v>
      </c>
      <c r="W53" s="103">
        <v>0</v>
      </c>
    </row>
    <row r="54" spans="1:23" s="87" customFormat="1" ht="38.25" x14ac:dyDescent="0.2">
      <c r="A54" s="128">
        <v>45</v>
      </c>
      <c r="B54" s="58" t="s">
        <v>622</v>
      </c>
      <c r="C54" s="58" t="s">
        <v>623</v>
      </c>
      <c r="D54" s="101">
        <f>(485*4)+1634</f>
        <v>3574</v>
      </c>
      <c r="E54" s="102">
        <v>2400</v>
      </c>
      <c r="F54" s="102">
        <f>606.25*4</f>
        <v>2425</v>
      </c>
      <c r="G54" s="102">
        <v>0</v>
      </c>
      <c r="H54" s="102">
        <v>0</v>
      </c>
      <c r="I54" s="102">
        <v>5400</v>
      </c>
      <c r="J54" s="102">
        <v>0</v>
      </c>
      <c r="K54" s="102">
        <v>0</v>
      </c>
      <c r="L54" s="102">
        <v>0</v>
      </c>
      <c r="M54" s="102">
        <v>250</v>
      </c>
      <c r="N54" s="102">
        <v>0</v>
      </c>
      <c r="O54" s="102">
        <v>0</v>
      </c>
      <c r="P54" s="103">
        <f t="shared" si="8"/>
        <v>14049</v>
      </c>
      <c r="Q54" s="103">
        <f t="shared" si="1"/>
        <v>413.97</v>
      </c>
      <c r="R54" s="103">
        <f t="shared" si="5"/>
        <v>1517.89</v>
      </c>
      <c r="S54" s="103">
        <v>379.09</v>
      </c>
      <c r="T54" s="103">
        <v>0</v>
      </c>
      <c r="U54" s="103">
        <f t="shared" si="7"/>
        <v>2310.9499999999998</v>
      </c>
      <c r="V54" s="103">
        <f t="shared" si="4"/>
        <v>11738.05</v>
      </c>
      <c r="W54" s="103">
        <v>0</v>
      </c>
    </row>
    <row r="55" spans="1:23" s="87" customFormat="1" x14ac:dyDescent="0.2">
      <c r="A55" s="128">
        <v>46</v>
      </c>
      <c r="B55" s="58" t="s">
        <v>624</v>
      </c>
      <c r="C55" s="58" t="s">
        <v>572</v>
      </c>
      <c r="D55" s="101">
        <v>1074</v>
      </c>
      <c r="E55" s="102">
        <v>400</v>
      </c>
      <c r="F55" s="102">
        <v>0</v>
      </c>
      <c r="G55" s="102">
        <v>1000</v>
      </c>
      <c r="H55" s="102">
        <v>0</v>
      </c>
      <c r="I55" s="102">
        <v>0</v>
      </c>
      <c r="J55" s="102">
        <v>0</v>
      </c>
      <c r="K55" s="102">
        <v>0</v>
      </c>
      <c r="L55" s="102">
        <v>200</v>
      </c>
      <c r="M55" s="102">
        <v>250</v>
      </c>
      <c r="N55" s="102">
        <v>0</v>
      </c>
      <c r="O55" s="102">
        <v>0</v>
      </c>
      <c r="P55" s="103">
        <f t="shared" si="8"/>
        <v>2924</v>
      </c>
      <c r="Q55" s="103">
        <f t="shared" si="1"/>
        <v>74.22</v>
      </c>
      <c r="R55" s="103">
        <f t="shared" si="5"/>
        <v>272.14</v>
      </c>
      <c r="S55" s="103">
        <v>0</v>
      </c>
      <c r="T55" s="103">
        <v>0</v>
      </c>
      <c r="U55" s="103">
        <f t="shared" si="7"/>
        <v>346.36</v>
      </c>
      <c r="V55" s="103">
        <f t="shared" si="4"/>
        <v>2577.64</v>
      </c>
      <c r="W55" s="103">
        <v>0</v>
      </c>
    </row>
    <row r="56" spans="1:23" s="87" customFormat="1" ht="25.5" x14ac:dyDescent="0.2">
      <c r="A56" s="128">
        <v>47</v>
      </c>
      <c r="B56" s="58" t="s">
        <v>625</v>
      </c>
      <c r="C56" s="58" t="s">
        <v>789</v>
      </c>
      <c r="D56" s="101">
        <v>1350</v>
      </c>
      <c r="E56" s="102">
        <v>2000</v>
      </c>
      <c r="F56" s="102">
        <v>0</v>
      </c>
      <c r="G56" s="102">
        <v>0</v>
      </c>
      <c r="H56" s="102">
        <v>0</v>
      </c>
      <c r="I56" s="102">
        <v>4500</v>
      </c>
      <c r="J56" s="102">
        <v>0</v>
      </c>
      <c r="K56" s="102">
        <v>75</v>
      </c>
      <c r="L56" s="102">
        <v>0</v>
      </c>
      <c r="M56" s="102">
        <v>250</v>
      </c>
      <c r="N56" s="102">
        <v>0</v>
      </c>
      <c r="O56" s="102">
        <v>0</v>
      </c>
      <c r="P56" s="103">
        <f t="shared" si="8"/>
        <v>8175</v>
      </c>
      <c r="Q56" s="103">
        <f t="shared" si="1"/>
        <v>237.75</v>
      </c>
      <c r="R56" s="103">
        <f t="shared" si="5"/>
        <v>871.75</v>
      </c>
      <c r="S56" s="103">
        <v>150.15</v>
      </c>
      <c r="T56" s="103">
        <v>0</v>
      </c>
      <c r="U56" s="103">
        <f t="shared" si="7"/>
        <v>1259.6500000000001</v>
      </c>
      <c r="V56" s="103">
        <f t="shared" si="4"/>
        <v>6915.35</v>
      </c>
      <c r="W56" s="103">
        <v>0</v>
      </c>
    </row>
    <row r="57" spans="1:23" s="87" customFormat="1" ht="25.5" x14ac:dyDescent="0.2">
      <c r="A57" s="128">
        <v>48</v>
      </c>
      <c r="B57" s="122" t="s">
        <v>626</v>
      </c>
      <c r="C57" s="58" t="s">
        <v>627</v>
      </c>
      <c r="D57" s="102">
        <v>1223</v>
      </c>
      <c r="E57" s="103">
        <v>2000</v>
      </c>
      <c r="F57" s="102">
        <v>0</v>
      </c>
      <c r="G57" s="102">
        <v>0</v>
      </c>
      <c r="H57" s="102">
        <v>1300</v>
      </c>
      <c r="I57" s="102">
        <v>3200</v>
      </c>
      <c r="J57" s="102">
        <v>0</v>
      </c>
      <c r="K57" s="102">
        <v>0</v>
      </c>
      <c r="L57" s="102">
        <v>0</v>
      </c>
      <c r="M57" s="102">
        <v>250</v>
      </c>
      <c r="N57" s="102">
        <v>0</v>
      </c>
      <c r="O57" s="102">
        <v>0</v>
      </c>
      <c r="P57" s="103">
        <f t="shared" si="8"/>
        <v>7973</v>
      </c>
      <c r="Q57" s="103">
        <f t="shared" si="1"/>
        <v>231.69</v>
      </c>
      <c r="R57" s="103">
        <f t="shared" si="5"/>
        <v>849.53</v>
      </c>
      <c r="S57" s="103">
        <v>137.69</v>
      </c>
      <c r="T57" s="103">
        <v>0</v>
      </c>
      <c r="U57" s="103">
        <f t="shared" si="7"/>
        <v>1218.9100000000001</v>
      </c>
      <c r="V57" s="103">
        <f t="shared" si="4"/>
        <v>6754.09</v>
      </c>
      <c r="W57" s="103">
        <v>0</v>
      </c>
    </row>
    <row r="58" spans="1:23" s="87" customFormat="1" ht="25.5" x14ac:dyDescent="0.2">
      <c r="A58" s="128">
        <v>49</v>
      </c>
      <c r="B58" s="58" t="s">
        <v>628</v>
      </c>
      <c r="C58" s="58" t="s">
        <v>629</v>
      </c>
      <c r="D58" s="101">
        <v>1223</v>
      </c>
      <c r="E58" s="102">
        <f>2000</f>
        <v>2000</v>
      </c>
      <c r="F58" s="102">
        <v>0</v>
      </c>
      <c r="G58" s="102">
        <v>0</v>
      </c>
      <c r="H58" s="102">
        <v>1300</v>
      </c>
      <c r="I58" s="102">
        <f>3200</f>
        <v>3200</v>
      </c>
      <c r="J58" s="102">
        <v>0</v>
      </c>
      <c r="K58" s="102">
        <v>0</v>
      </c>
      <c r="L58" s="102">
        <v>0</v>
      </c>
      <c r="M58" s="102">
        <v>0</v>
      </c>
      <c r="N58" s="102">
        <v>0</v>
      </c>
      <c r="O58" s="102">
        <v>0</v>
      </c>
      <c r="P58" s="103">
        <f t="shared" si="8"/>
        <v>7723</v>
      </c>
      <c r="Q58" s="103">
        <f t="shared" si="1"/>
        <v>231.69</v>
      </c>
      <c r="R58" s="103">
        <f t="shared" si="5"/>
        <v>849.53</v>
      </c>
      <c r="S58" s="103">
        <v>137.69</v>
      </c>
      <c r="T58" s="103">
        <v>0</v>
      </c>
      <c r="U58" s="103">
        <f t="shared" si="7"/>
        <v>1218.9100000000001</v>
      </c>
      <c r="V58" s="103">
        <f t="shared" si="4"/>
        <v>6504.09</v>
      </c>
      <c r="W58" s="103">
        <v>0</v>
      </c>
    </row>
    <row r="59" spans="1:23" s="87" customFormat="1" ht="25.5" x14ac:dyDescent="0.2">
      <c r="A59" s="128">
        <v>50</v>
      </c>
      <c r="B59" s="58" t="s">
        <v>630</v>
      </c>
      <c r="C59" s="122" t="s">
        <v>574</v>
      </c>
      <c r="D59" s="101">
        <v>1350</v>
      </c>
      <c r="E59" s="102">
        <v>2000</v>
      </c>
      <c r="F59" s="102">
        <v>0</v>
      </c>
      <c r="G59" s="102">
        <v>0</v>
      </c>
      <c r="H59" s="102">
        <v>1600</v>
      </c>
      <c r="I59" s="102">
        <v>2900</v>
      </c>
      <c r="J59" s="102">
        <v>0</v>
      </c>
      <c r="K59" s="102">
        <v>0</v>
      </c>
      <c r="L59" s="102">
        <v>0</v>
      </c>
      <c r="M59" s="102">
        <v>250</v>
      </c>
      <c r="N59" s="102">
        <v>0</v>
      </c>
      <c r="O59" s="102">
        <v>0</v>
      </c>
      <c r="P59" s="103">
        <f t="shared" si="8"/>
        <v>8100</v>
      </c>
      <c r="Q59" s="103">
        <f t="shared" si="1"/>
        <v>235.5</v>
      </c>
      <c r="R59" s="103">
        <f t="shared" si="5"/>
        <v>863.5</v>
      </c>
      <c r="S59" s="103">
        <v>143.03</v>
      </c>
      <c r="T59" s="103">
        <v>0</v>
      </c>
      <c r="U59" s="103">
        <f t="shared" si="7"/>
        <v>1242.03</v>
      </c>
      <c r="V59" s="103">
        <f t="shared" si="4"/>
        <v>6857.97</v>
      </c>
      <c r="W59" s="103">
        <f>420</f>
        <v>420</v>
      </c>
    </row>
    <row r="60" spans="1:23" s="87" customFormat="1" ht="25.5" x14ac:dyDescent="0.2">
      <c r="A60" s="128">
        <v>51</v>
      </c>
      <c r="B60" s="58" t="s">
        <v>631</v>
      </c>
      <c r="C60" s="58" t="s">
        <v>632</v>
      </c>
      <c r="D60" s="101">
        <v>1135</v>
      </c>
      <c r="E60" s="102">
        <v>500</v>
      </c>
      <c r="F60" s="102">
        <v>0</v>
      </c>
      <c r="G60" s="102">
        <v>1000</v>
      </c>
      <c r="H60" s="102">
        <v>0</v>
      </c>
      <c r="I60" s="102">
        <v>0</v>
      </c>
      <c r="J60" s="102">
        <v>0</v>
      </c>
      <c r="K60" s="102">
        <v>0</v>
      </c>
      <c r="L60" s="102">
        <v>200</v>
      </c>
      <c r="M60" s="102">
        <v>250</v>
      </c>
      <c r="N60" s="102">
        <v>0</v>
      </c>
      <c r="O60" s="102">
        <v>0</v>
      </c>
      <c r="P60" s="103">
        <f t="shared" si="8"/>
        <v>3085</v>
      </c>
      <c r="Q60" s="103">
        <f t="shared" si="1"/>
        <v>79.05</v>
      </c>
      <c r="R60" s="103">
        <f t="shared" si="5"/>
        <v>289.85000000000002</v>
      </c>
      <c r="S60" s="103">
        <v>0</v>
      </c>
      <c r="T60" s="103">
        <v>0</v>
      </c>
      <c r="U60" s="103">
        <f t="shared" si="7"/>
        <v>368.9</v>
      </c>
      <c r="V60" s="103">
        <f t="shared" si="4"/>
        <v>2716.1</v>
      </c>
      <c r="W60" s="103">
        <v>0</v>
      </c>
    </row>
    <row r="61" spans="1:23" s="87" customFormat="1" ht="25.5" x14ac:dyDescent="0.2">
      <c r="A61" s="128">
        <v>52</v>
      </c>
      <c r="B61" s="58" t="s">
        <v>633</v>
      </c>
      <c r="C61" s="58" t="s">
        <v>632</v>
      </c>
      <c r="D61" s="101">
        <v>1135</v>
      </c>
      <c r="E61" s="102">
        <v>400</v>
      </c>
      <c r="F61" s="102">
        <v>0</v>
      </c>
      <c r="G61" s="102">
        <v>1000</v>
      </c>
      <c r="H61" s="102">
        <v>0</v>
      </c>
      <c r="I61" s="102">
        <v>0</v>
      </c>
      <c r="J61" s="102">
        <v>0</v>
      </c>
      <c r="K61" s="102">
        <v>50</v>
      </c>
      <c r="L61" s="102">
        <v>0</v>
      </c>
      <c r="M61" s="102">
        <v>250</v>
      </c>
      <c r="N61" s="102">
        <v>0</v>
      </c>
      <c r="O61" s="102">
        <v>0</v>
      </c>
      <c r="P61" s="103">
        <f t="shared" si="8"/>
        <v>2835</v>
      </c>
      <c r="Q61" s="103">
        <f t="shared" si="1"/>
        <v>77.55</v>
      </c>
      <c r="R61" s="103">
        <f t="shared" si="5"/>
        <v>284.35000000000002</v>
      </c>
      <c r="S61" s="103">
        <v>0</v>
      </c>
      <c r="T61" s="103">
        <v>0</v>
      </c>
      <c r="U61" s="103">
        <f t="shared" si="7"/>
        <v>361.9</v>
      </c>
      <c r="V61" s="103">
        <f t="shared" si="4"/>
        <v>2473.1</v>
      </c>
      <c r="W61" s="103">
        <v>0</v>
      </c>
    </row>
    <row r="62" spans="1:23" s="87" customFormat="1" ht="25.5" x14ac:dyDescent="0.2">
      <c r="A62" s="128">
        <v>53</v>
      </c>
      <c r="B62" s="58" t="s">
        <v>634</v>
      </c>
      <c r="C62" s="58" t="s">
        <v>953</v>
      </c>
      <c r="D62" s="101">
        <v>1476</v>
      </c>
      <c r="E62" s="102">
        <v>2000</v>
      </c>
      <c r="F62" s="102">
        <v>0</v>
      </c>
      <c r="G62" s="102">
        <v>0</v>
      </c>
      <c r="H62" s="102">
        <v>1900</v>
      </c>
      <c r="I62" s="102">
        <v>2600</v>
      </c>
      <c r="J62" s="102">
        <v>0</v>
      </c>
      <c r="K62" s="102">
        <v>50</v>
      </c>
      <c r="L62" s="102">
        <v>0</v>
      </c>
      <c r="M62" s="102">
        <v>250</v>
      </c>
      <c r="N62" s="102">
        <v>0</v>
      </c>
      <c r="O62" s="102">
        <v>0</v>
      </c>
      <c r="P62" s="103">
        <f t="shared" si="8"/>
        <v>8276</v>
      </c>
      <c r="Q62" s="103">
        <f t="shared" si="1"/>
        <v>240.78</v>
      </c>
      <c r="R62" s="103">
        <f t="shared" si="5"/>
        <v>882.86</v>
      </c>
      <c r="S62" s="103">
        <v>146.41</v>
      </c>
      <c r="T62" s="103">
        <v>0</v>
      </c>
      <c r="U62" s="103">
        <f t="shared" si="7"/>
        <v>1270.05</v>
      </c>
      <c r="V62" s="103">
        <f t="shared" si="4"/>
        <v>7005.95</v>
      </c>
      <c r="W62" s="103">
        <f>334.6</f>
        <v>334.6</v>
      </c>
    </row>
    <row r="63" spans="1:23" s="87" customFormat="1" ht="25.5" x14ac:dyDescent="0.2">
      <c r="A63" s="128">
        <v>54</v>
      </c>
      <c r="B63" s="58" t="s">
        <v>635</v>
      </c>
      <c r="C63" s="58" t="s">
        <v>789</v>
      </c>
      <c r="D63" s="101">
        <v>1350</v>
      </c>
      <c r="E63" s="102">
        <v>2000</v>
      </c>
      <c r="F63" s="102">
        <v>0</v>
      </c>
      <c r="G63" s="102">
        <v>0</v>
      </c>
      <c r="H63" s="102">
        <v>0</v>
      </c>
      <c r="I63" s="102">
        <v>4500</v>
      </c>
      <c r="J63" s="102">
        <v>0</v>
      </c>
      <c r="K63" s="102">
        <v>75</v>
      </c>
      <c r="L63" s="102">
        <v>0</v>
      </c>
      <c r="M63" s="102">
        <v>250</v>
      </c>
      <c r="N63" s="102">
        <v>0</v>
      </c>
      <c r="O63" s="102">
        <v>0</v>
      </c>
      <c r="P63" s="103">
        <f t="shared" si="8"/>
        <v>8175</v>
      </c>
      <c r="Q63" s="103">
        <f t="shared" si="1"/>
        <v>237.75</v>
      </c>
      <c r="R63" s="103">
        <f>(D63+E63+F63+G63+H63+I63+J63+K63+N63)*15%</f>
        <v>1188.75</v>
      </c>
      <c r="S63" s="103">
        <v>280.98</v>
      </c>
      <c r="T63" s="103">
        <v>0</v>
      </c>
      <c r="U63" s="103">
        <f t="shared" si="7"/>
        <v>1707.48</v>
      </c>
      <c r="V63" s="103">
        <f t="shared" si="4"/>
        <v>6467.52</v>
      </c>
      <c r="W63" s="103">
        <v>0</v>
      </c>
    </row>
    <row r="64" spans="1:23" s="87" customFormat="1" ht="25.5" x14ac:dyDescent="0.2">
      <c r="A64" s="128">
        <v>55</v>
      </c>
      <c r="B64" s="122" t="s">
        <v>636</v>
      </c>
      <c r="C64" s="122" t="s">
        <v>637</v>
      </c>
      <c r="D64" s="102">
        <v>2441</v>
      </c>
      <c r="E64" s="102">
        <v>1000</v>
      </c>
      <c r="F64" s="102">
        <v>0</v>
      </c>
      <c r="G64" s="102">
        <v>1000</v>
      </c>
      <c r="H64" s="102">
        <v>0</v>
      </c>
      <c r="I64" s="102">
        <v>0</v>
      </c>
      <c r="J64" s="102">
        <v>0</v>
      </c>
      <c r="K64" s="102">
        <v>0</v>
      </c>
      <c r="L64" s="102">
        <v>0</v>
      </c>
      <c r="M64" s="102">
        <v>250</v>
      </c>
      <c r="N64" s="102">
        <v>0</v>
      </c>
      <c r="O64" s="102">
        <v>0</v>
      </c>
      <c r="P64" s="103">
        <f t="shared" si="8"/>
        <v>4691</v>
      </c>
      <c r="Q64" s="103">
        <f t="shared" si="1"/>
        <v>133.22999999999999</v>
      </c>
      <c r="R64" s="103">
        <f>(D64+E64+F64+G64+H64+I64+J64+K64+N64)*11%</f>
        <v>488.51</v>
      </c>
      <c r="S64" s="103">
        <v>0</v>
      </c>
      <c r="T64" s="103">
        <v>0</v>
      </c>
      <c r="U64" s="103">
        <f t="shared" si="7"/>
        <v>621.74</v>
      </c>
      <c r="V64" s="103">
        <f t="shared" si="4"/>
        <v>4069.26</v>
      </c>
      <c r="W64" s="103">
        <f>338.5</f>
        <v>338.5</v>
      </c>
    </row>
    <row r="65" spans="1:23" s="87" customFormat="1" ht="25.5" x14ac:dyDescent="0.2">
      <c r="A65" s="128">
        <v>56</v>
      </c>
      <c r="B65" s="58" t="s">
        <v>638</v>
      </c>
      <c r="C65" s="122" t="s">
        <v>574</v>
      </c>
      <c r="D65" s="101">
        <v>1350</v>
      </c>
      <c r="E65" s="102">
        <v>2000</v>
      </c>
      <c r="F65" s="102">
        <v>0</v>
      </c>
      <c r="G65" s="102">
        <v>0</v>
      </c>
      <c r="H65" s="102">
        <v>1600</v>
      </c>
      <c r="I65" s="102">
        <v>2900</v>
      </c>
      <c r="J65" s="102">
        <v>0</v>
      </c>
      <c r="K65" s="102">
        <v>75</v>
      </c>
      <c r="L65" s="102">
        <v>0</v>
      </c>
      <c r="M65" s="102">
        <v>250</v>
      </c>
      <c r="N65" s="102">
        <v>0</v>
      </c>
      <c r="O65" s="102">
        <v>0</v>
      </c>
      <c r="P65" s="103">
        <f t="shared" si="8"/>
        <v>8175</v>
      </c>
      <c r="Q65" s="103">
        <f t="shared" si="1"/>
        <v>237.75</v>
      </c>
      <c r="R65" s="103">
        <f>(D65+E65+F65+G65+H65+I65+J65+K65+N65)*11%</f>
        <v>871.75</v>
      </c>
      <c r="S65" s="103">
        <v>143.03</v>
      </c>
      <c r="T65" s="103">
        <v>0</v>
      </c>
      <c r="U65" s="103">
        <f t="shared" si="7"/>
        <v>1252.53</v>
      </c>
      <c r="V65" s="103">
        <f t="shared" si="4"/>
        <v>6922.47</v>
      </c>
      <c r="W65" s="103">
        <v>0</v>
      </c>
    </row>
    <row r="66" spans="1:23" s="87" customFormat="1" x14ac:dyDescent="0.2">
      <c r="A66" s="128">
        <v>57</v>
      </c>
      <c r="B66" s="58" t="s">
        <v>639</v>
      </c>
      <c r="C66" s="58" t="s">
        <v>581</v>
      </c>
      <c r="D66" s="101">
        <v>1476</v>
      </c>
      <c r="E66" s="102">
        <v>2000</v>
      </c>
      <c r="F66" s="102">
        <v>0</v>
      </c>
      <c r="G66" s="102">
        <v>1900</v>
      </c>
      <c r="H66" s="102">
        <v>0</v>
      </c>
      <c r="I66" s="102">
        <v>2600</v>
      </c>
      <c r="J66" s="102">
        <v>0</v>
      </c>
      <c r="K66" s="102">
        <v>50</v>
      </c>
      <c r="L66" s="102">
        <v>0</v>
      </c>
      <c r="M66" s="102">
        <v>250</v>
      </c>
      <c r="N66" s="102">
        <v>0</v>
      </c>
      <c r="O66" s="102">
        <v>0</v>
      </c>
      <c r="P66" s="103">
        <f t="shared" si="8"/>
        <v>8276</v>
      </c>
      <c r="Q66" s="103">
        <f t="shared" si="1"/>
        <v>240.78</v>
      </c>
      <c r="R66" s="103">
        <f>(D66+E66+F66+G66+H66+I66+J66+K66+N66)*11%</f>
        <v>882.86</v>
      </c>
      <c r="S66" s="103">
        <v>146.41</v>
      </c>
      <c r="T66" s="103">
        <v>0</v>
      </c>
      <c r="U66" s="103">
        <f t="shared" si="7"/>
        <v>1270.05</v>
      </c>
      <c r="V66" s="103">
        <f t="shared" si="4"/>
        <v>7005.95</v>
      </c>
      <c r="W66" s="103">
        <f>118+210+623</f>
        <v>951</v>
      </c>
    </row>
    <row r="67" spans="1:23" s="87" customFormat="1" ht="25.5" x14ac:dyDescent="0.2">
      <c r="A67" s="128">
        <v>58</v>
      </c>
      <c r="B67" s="58" t="s">
        <v>640</v>
      </c>
      <c r="C67" s="58" t="s">
        <v>953</v>
      </c>
      <c r="D67" s="101">
        <v>1476</v>
      </c>
      <c r="E67" s="102">
        <v>2000</v>
      </c>
      <c r="F67" s="102">
        <v>0</v>
      </c>
      <c r="G67" s="102">
        <v>0</v>
      </c>
      <c r="H67" s="102">
        <v>1900</v>
      </c>
      <c r="I67" s="102">
        <v>2600</v>
      </c>
      <c r="J67" s="102">
        <v>0</v>
      </c>
      <c r="K67" s="102">
        <v>75</v>
      </c>
      <c r="L67" s="102">
        <v>0</v>
      </c>
      <c r="M67" s="102">
        <v>250</v>
      </c>
      <c r="N67" s="102">
        <v>0</v>
      </c>
      <c r="O67" s="102">
        <v>0</v>
      </c>
      <c r="P67" s="103">
        <f t="shared" si="8"/>
        <v>8301</v>
      </c>
      <c r="Q67" s="103">
        <f t="shared" si="1"/>
        <v>241.53</v>
      </c>
      <c r="R67" s="103">
        <f>(D67+E67+F67+G67+H67+I67+J67+K67+N67)*14%</f>
        <v>1127.1400000000001</v>
      </c>
      <c r="S67" s="103">
        <v>160.85</v>
      </c>
      <c r="T67" s="103">
        <v>0</v>
      </c>
      <c r="U67" s="103">
        <f t="shared" ref="U67:U99" si="9">SUM(Q67:T67)</f>
        <v>1529.52</v>
      </c>
      <c r="V67" s="103">
        <f t="shared" si="4"/>
        <v>6771.48</v>
      </c>
      <c r="W67" s="103">
        <v>0</v>
      </c>
    </row>
    <row r="68" spans="1:23" s="87" customFormat="1" ht="25.5" x14ac:dyDescent="0.2">
      <c r="A68" s="128">
        <v>59</v>
      </c>
      <c r="B68" s="122" t="s">
        <v>641</v>
      </c>
      <c r="C68" s="122" t="s">
        <v>642</v>
      </c>
      <c r="D68" s="102">
        <f>485*4</f>
        <v>1940</v>
      </c>
      <c r="E68" s="102">
        <v>0</v>
      </c>
      <c r="F68" s="102">
        <v>0</v>
      </c>
      <c r="G68" s="102">
        <v>0</v>
      </c>
      <c r="H68" s="102">
        <v>0</v>
      </c>
      <c r="I68" s="102">
        <v>0</v>
      </c>
      <c r="J68" s="102">
        <v>0</v>
      </c>
      <c r="K68" s="102">
        <v>0</v>
      </c>
      <c r="L68" s="102">
        <v>0</v>
      </c>
      <c r="M68" s="102">
        <v>0</v>
      </c>
      <c r="N68" s="102">
        <v>0</v>
      </c>
      <c r="O68" s="102">
        <v>0</v>
      </c>
      <c r="P68" s="103">
        <f t="shared" si="8"/>
        <v>1940</v>
      </c>
      <c r="Q68" s="103">
        <f t="shared" si="1"/>
        <v>58.2</v>
      </c>
      <c r="R68" s="103">
        <f t="shared" ref="R68:R77" si="10">(D68+E68+F68+G68+H68+I68+J68+K68+N68)*11%</f>
        <v>213.4</v>
      </c>
      <c r="S68" s="103">
        <v>0</v>
      </c>
      <c r="T68" s="103">
        <v>0</v>
      </c>
      <c r="U68" s="103">
        <f t="shared" si="9"/>
        <v>271.60000000000002</v>
      </c>
      <c r="V68" s="103">
        <f t="shared" si="4"/>
        <v>1668.4</v>
      </c>
      <c r="W68" s="103">
        <v>0</v>
      </c>
    </row>
    <row r="69" spans="1:23" s="87" customFormat="1" ht="25.5" x14ac:dyDescent="0.2">
      <c r="A69" s="128">
        <v>60</v>
      </c>
      <c r="B69" s="58" t="s">
        <v>643</v>
      </c>
      <c r="C69" s="122" t="s">
        <v>569</v>
      </c>
      <c r="D69" s="101">
        <v>1634</v>
      </c>
      <c r="E69" s="102">
        <v>2000</v>
      </c>
      <c r="F69" s="102">
        <v>0</v>
      </c>
      <c r="G69" s="102">
        <v>0</v>
      </c>
      <c r="H69" s="102">
        <v>2200</v>
      </c>
      <c r="I69" s="102">
        <v>3200</v>
      </c>
      <c r="J69" s="102">
        <v>0</v>
      </c>
      <c r="K69" s="102">
        <v>75</v>
      </c>
      <c r="L69" s="102">
        <v>0</v>
      </c>
      <c r="M69" s="102">
        <v>250</v>
      </c>
      <c r="N69" s="102">
        <v>0</v>
      </c>
      <c r="O69" s="102">
        <v>0</v>
      </c>
      <c r="P69" s="103">
        <f t="shared" si="8"/>
        <v>9359</v>
      </c>
      <c r="Q69" s="103">
        <f t="shared" si="1"/>
        <v>273.27</v>
      </c>
      <c r="R69" s="103">
        <f t="shared" si="10"/>
        <v>1001.99</v>
      </c>
      <c r="S69" s="103">
        <v>0</v>
      </c>
      <c r="T69" s="103">
        <v>0</v>
      </c>
      <c r="U69" s="103">
        <f t="shared" si="9"/>
        <v>1275.26</v>
      </c>
      <c r="V69" s="103">
        <f t="shared" si="4"/>
        <v>8083.74</v>
      </c>
      <c r="W69" s="103">
        <v>0</v>
      </c>
    </row>
    <row r="70" spans="1:23" s="87" customFormat="1" x14ac:dyDescent="0.2">
      <c r="A70" s="128">
        <v>61</v>
      </c>
      <c r="B70" s="58" t="s">
        <v>644</v>
      </c>
      <c r="C70" s="58" t="s">
        <v>572</v>
      </c>
      <c r="D70" s="101">
        <v>1074</v>
      </c>
      <c r="E70" s="102">
        <v>400</v>
      </c>
      <c r="F70" s="102">
        <v>0</v>
      </c>
      <c r="G70" s="102">
        <v>1000</v>
      </c>
      <c r="H70" s="102">
        <v>0</v>
      </c>
      <c r="I70" s="102">
        <v>0</v>
      </c>
      <c r="J70" s="102">
        <v>0</v>
      </c>
      <c r="K70" s="102">
        <v>0</v>
      </c>
      <c r="L70" s="102">
        <v>200</v>
      </c>
      <c r="M70" s="102">
        <v>250</v>
      </c>
      <c r="N70" s="102">
        <v>0</v>
      </c>
      <c r="O70" s="102">
        <v>0</v>
      </c>
      <c r="P70" s="103">
        <f t="shared" si="8"/>
        <v>2924</v>
      </c>
      <c r="Q70" s="103">
        <f t="shared" si="1"/>
        <v>74.22</v>
      </c>
      <c r="R70" s="103">
        <f t="shared" si="10"/>
        <v>272.14</v>
      </c>
      <c r="S70" s="103">
        <v>0</v>
      </c>
      <c r="T70" s="103">
        <v>0</v>
      </c>
      <c r="U70" s="103">
        <f t="shared" si="9"/>
        <v>346.36</v>
      </c>
      <c r="V70" s="103">
        <f t="shared" si="4"/>
        <v>2577.64</v>
      </c>
      <c r="W70" s="103">
        <v>0</v>
      </c>
    </row>
    <row r="71" spans="1:23" s="87" customFormat="1" x14ac:dyDescent="0.2">
      <c r="A71" s="128">
        <v>62</v>
      </c>
      <c r="B71" s="58" t="s">
        <v>645</v>
      </c>
      <c r="C71" s="58" t="s">
        <v>576</v>
      </c>
      <c r="D71" s="101">
        <v>1350</v>
      </c>
      <c r="E71" s="102">
        <v>2000</v>
      </c>
      <c r="F71" s="102">
        <v>0</v>
      </c>
      <c r="G71" s="102">
        <v>0</v>
      </c>
      <c r="H71" s="102">
        <v>0</v>
      </c>
      <c r="I71" s="102">
        <v>4500</v>
      </c>
      <c r="J71" s="102">
        <v>0</v>
      </c>
      <c r="K71" s="102">
        <v>0</v>
      </c>
      <c r="L71" s="102">
        <v>0</v>
      </c>
      <c r="M71" s="102">
        <v>250</v>
      </c>
      <c r="N71" s="102">
        <v>0</v>
      </c>
      <c r="O71" s="102">
        <v>0</v>
      </c>
      <c r="P71" s="103">
        <f t="shared" si="8"/>
        <v>8100</v>
      </c>
      <c r="Q71" s="103">
        <f t="shared" si="1"/>
        <v>235.5</v>
      </c>
      <c r="R71" s="103">
        <f t="shared" si="10"/>
        <v>863.5</v>
      </c>
      <c r="S71" s="103">
        <v>143.03</v>
      </c>
      <c r="T71" s="103">
        <v>0</v>
      </c>
      <c r="U71" s="103">
        <f t="shared" si="9"/>
        <v>1242.03</v>
      </c>
      <c r="V71" s="103">
        <f t="shared" si="4"/>
        <v>6857.97</v>
      </c>
      <c r="W71" s="103">
        <v>0</v>
      </c>
    </row>
    <row r="72" spans="1:23" s="87" customFormat="1" ht="25.5" x14ac:dyDescent="0.2">
      <c r="A72" s="128">
        <v>63</v>
      </c>
      <c r="B72" s="58" t="s">
        <v>646</v>
      </c>
      <c r="C72" s="122" t="s">
        <v>574</v>
      </c>
      <c r="D72" s="101">
        <v>1350</v>
      </c>
      <c r="E72" s="102">
        <v>2000</v>
      </c>
      <c r="F72" s="102">
        <v>0</v>
      </c>
      <c r="G72" s="102">
        <v>0</v>
      </c>
      <c r="H72" s="102">
        <v>1600</v>
      </c>
      <c r="I72" s="102">
        <v>2900</v>
      </c>
      <c r="J72" s="102">
        <v>0</v>
      </c>
      <c r="K72" s="102">
        <v>0</v>
      </c>
      <c r="L72" s="102">
        <v>0</v>
      </c>
      <c r="M72" s="102">
        <v>250</v>
      </c>
      <c r="N72" s="102">
        <v>0</v>
      </c>
      <c r="O72" s="102">
        <v>0</v>
      </c>
      <c r="P72" s="103">
        <f t="shared" si="8"/>
        <v>8100</v>
      </c>
      <c r="Q72" s="103">
        <f t="shared" si="1"/>
        <v>235.5</v>
      </c>
      <c r="R72" s="103">
        <f t="shared" si="10"/>
        <v>863.5</v>
      </c>
      <c r="S72" s="103">
        <v>143.03</v>
      </c>
      <c r="T72" s="103">
        <v>0</v>
      </c>
      <c r="U72" s="103">
        <f t="shared" si="9"/>
        <v>1242.03</v>
      </c>
      <c r="V72" s="103">
        <f t="shared" si="4"/>
        <v>6857.97</v>
      </c>
      <c r="W72" s="103">
        <v>0</v>
      </c>
    </row>
    <row r="73" spans="1:23" s="87" customFormat="1" ht="25.5" x14ac:dyDescent="0.2">
      <c r="A73" s="128">
        <v>64</v>
      </c>
      <c r="B73" s="58" t="s">
        <v>647</v>
      </c>
      <c r="C73" s="58" t="s">
        <v>576</v>
      </c>
      <c r="D73" s="101">
        <v>1350</v>
      </c>
      <c r="E73" s="102">
        <v>2000</v>
      </c>
      <c r="F73" s="102">
        <v>0</v>
      </c>
      <c r="G73" s="102">
        <v>0</v>
      </c>
      <c r="H73" s="102">
        <v>0</v>
      </c>
      <c r="I73" s="102">
        <v>4500</v>
      </c>
      <c r="J73" s="102">
        <v>0</v>
      </c>
      <c r="K73" s="102">
        <v>0</v>
      </c>
      <c r="L73" s="102">
        <v>0</v>
      </c>
      <c r="M73" s="102">
        <v>250</v>
      </c>
      <c r="N73" s="102">
        <v>0</v>
      </c>
      <c r="O73" s="102">
        <v>0</v>
      </c>
      <c r="P73" s="103">
        <f t="shared" ref="P73:P96" si="11">SUM(D73:N73)</f>
        <v>8100</v>
      </c>
      <c r="Q73" s="103">
        <f t="shared" si="1"/>
        <v>235.5</v>
      </c>
      <c r="R73" s="103">
        <f t="shared" si="10"/>
        <v>863.5</v>
      </c>
      <c r="S73" s="103">
        <v>143.03</v>
      </c>
      <c r="T73" s="103">
        <v>0</v>
      </c>
      <c r="U73" s="103">
        <f t="shared" si="9"/>
        <v>1242.03</v>
      </c>
      <c r="V73" s="103">
        <f t="shared" ref="V73:V137" si="12">P73-U73</f>
        <v>6857.97</v>
      </c>
      <c r="W73" s="103">
        <v>0</v>
      </c>
    </row>
    <row r="74" spans="1:23" s="87" customFormat="1" x14ac:dyDescent="0.2">
      <c r="A74" s="128">
        <v>65</v>
      </c>
      <c r="B74" s="58" t="s">
        <v>648</v>
      </c>
      <c r="C74" s="58" t="s">
        <v>572</v>
      </c>
      <c r="D74" s="101">
        <v>1074</v>
      </c>
      <c r="E74" s="102">
        <v>0</v>
      </c>
      <c r="F74" s="102">
        <v>0</v>
      </c>
      <c r="G74" s="102">
        <v>1000</v>
      </c>
      <c r="H74" s="102">
        <v>0</v>
      </c>
      <c r="I74" s="102">
        <v>0</v>
      </c>
      <c r="J74" s="102">
        <v>0</v>
      </c>
      <c r="K74" s="102">
        <v>0</v>
      </c>
      <c r="L74" s="102">
        <v>0</v>
      </c>
      <c r="M74" s="102">
        <v>250</v>
      </c>
      <c r="N74" s="102">
        <v>0</v>
      </c>
      <c r="O74" s="102">
        <v>0</v>
      </c>
      <c r="P74" s="103">
        <f t="shared" si="11"/>
        <v>2324</v>
      </c>
      <c r="Q74" s="103">
        <f t="shared" ref="Q74:Q137" si="13">(D74+E74+F74+G74+H74+I74+J74+K74+N74)*3%</f>
        <v>62.22</v>
      </c>
      <c r="R74" s="103">
        <f t="shared" si="10"/>
        <v>228.14</v>
      </c>
      <c r="S74" s="103">
        <v>0</v>
      </c>
      <c r="T74" s="103">
        <v>0</v>
      </c>
      <c r="U74" s="103">
        <f t="shared" si="9"/>
        <v>290.36</v>
      </c>
      <c r="V74" s="103">
        <f t="shared" si="12"/>
        <v>2033.64</v>
      </c>
      <c r="W74" s="103">
        <v>0</v>
      </c>
    </row>
    <row r="75" spans="1:23" s="87" customFormat="1" ht="25.5" x14ac:dyDescent="0.2">
      <c r="A75" s="128">
        <v>66</v>
      </c>
      <c r="B75" s="58" t="s">
        <v>649</v>
      </c>
      <c r="C75" s="122" t="s">
        <v>574</v>
      </c>
      <c r="D75" s="101">
        <v>1350</v>
      </c>
      <c r="E75" s="102">
        <v>2000</v>
      </c>
      <c r="F75" s="102">
        <v>0</v>
      </c>
      <c r="G75" s="102">
        <v>0</v>
      </c>
      <c r="H75" s="102">
        <v>1600</v>
      </c>
      <c r="I75" s="102">
        <v>2900</v>
      </c>
      <c r="J75" s="102">
        <v>0</v>
      </c>
      <c r="K75" s="102">
        <v>75</v>
      </c>
      <c r="L75" s="102">
        <v>0</v>
      </c>
      <c r="M75" s="102">
        <v>250</v>
      </c>
      <c r="N75" s="102">
        <v>0</v>
      </c>
      <c r="O75" s="102">
        <v>0</v>
      </c>
      <c r="P75" s="103">
        <f t="shared" si="11"/>
        <v>8175</v>
      </c>
      <c r="Q75" s="103">
        <f t="shared" si="13"/>
        <v>237.75</v>
      </c>
      <c r="R75" s="103">
        <f t="shared" si="10"/>
        <v>871.75</v>
      </c>
      <c r="S75" s="103">
        <v>146.18</v>
      </c>
      <c r="T75" s="103">
        <v>0</v>
      </c>
      <c r="U75" s="103">
        <f t="shared" si="9"/>
        <v>1255.68</v>
      </c>
      <c r="V75" s="103">
        <f t="shared" si="12"/>
        <v>6919.32</v>
      </c>
      <c r="W75" s="103">
        <f>952</f>
        <v>952</v>
      </c>
    </row>
    <row r="76" spans="1:23" s="87" customFormat="1" ht="25.5" x14ac:dyDescent="0.2">
      <c r="A76" s="128">
        <v>67</v>
      </c>
      <c r="B76" s="122" t="s">
        <v>650</v>
      </c>
      <c r="C76" s="122" t="s">
        <v>651</v>
      </c>
      <c r="D76" s="168">
        <v>2425</v>
      </c>
      <c r="E76" s="102">
        <v>0</v>
      </c>
      <c r="F76" s="102">
        <v>0</v>
      </c>
      <c r="G76" s="102">
        <v>0</v>
      </c>
      <c r="H76" s="102">
        <v>0</v>
      </c>
      <c r="I76" s="102">
        <v>0</v>
      </c>
      <c r="J76" s="102">
        <v>0</v>
      </c>
      <c r="K76" s="102">
        <v>0</v>
      </c>
      <c r="L76" s="102">
        <v>0</v>
      </c>
      <c r="M76" s="102">
        <v>0</v>
      </c>
      <c r="N76" s="102">
        <v>0</v>
      </c>
      <c r="O76" s="102">
        <v>0</v>
      </c>
      <c r="P76" s="103">
        <f t="shared" si="11"/>
        <v>2425</v>
      </c>
      <c r="Q76" s="103">
        <f t="shared" si="13"/>
        <v>72.75</v>
      </c>
      <c r="R76" s="103">
        <f t="shared" si="10"/>
        <v>266.75</v>
      </c>
      <c r="S76" s="103">
        <v>0</v>
      </c>
      <c r="T76" s="103">
        <v>0</v>
      </c>
      <c r="U76" s="103">
        <f t="shared" si="9"/>
        <v>339.5</v>
      </c>
      <c r="V76" s="103">
        <f t="shared" si="12"/>
        <v>2085.5</v>
      </c>
      <c r="W76" s="103">
        <v>0</v>
      </c>
    </row>
    <row r="77" spans="1:23" s="87" customFormat="1" ht="25.5" x14ac:dyDescent="0.2">
      <c r="A77" s="128">
        <v>68</v>
      </c>
      <c r="B77" s="58" t="s">
        <v>652</v>
      </c>
      <c r="C77" s="58" t="s">
        <v>587</v>
      </c>
      <c r="D77" s="101">
        <v>2885</v>
      </c>
      <c r="E77" s="102">
        <v>0</v>
      </c>
      <c r="F77" s="102">
        <v>0</v>
      </c>
      <c r="G77" s="102">
        <v>0</v>
      </c>
      <c r="H77" s="102">
        <v>0</v>
      </c>
      <c r="I77" s="102">
        <v>0</v>
      </c>
      <c r="J77" s="102">
        <v>0</v>
      </c>
      <c r="K77" s="102">
        <v>0</v>
      </c>
      <c r="L77" s="102">
        <v>0</v>
      </c>
      <c r="M77" s="102">
        <v>0</v>
      </c>
      <c r="N77" s="102">
        <v>0</v>
      </c>
      <c r="O77" s="102">
        <v>0</v>
      </c>
      <c r="P77" s="103">
        <f t="shared" si="11"/>
        <v>2885</v>
      </c>
      <c r="Q77" s="103">
        <f t="shared" si="13"/>
        <v>86.55</v>
      </c>
      <c r="R77" s="103">
        <f t="shared" si="10"/>
        <v>317.35000000000002</v>
      </c>
      <c r="S77" s="103">
        <v>0</v>
      </c>
      <c r="T77" s="103">
        <v>0</v>
      </c>
      <c r="U77" s="103">
        <f t="shared" si="9"/>
        <v>403.9</v>
      </c>
      <c r="V77" s="103">
        <f t="shared" si="12"/>
        <v>2481.1</v>
      </c>
      <c r="W77" s="103">
        <v>0</v>
      </c>
    </row>
    <row r="78" spans="1:23" s="87" customFormat="1" ht="25.5" customHeight="1" x14ac:dyDescent="0.2">
      <c r="A78" s="128">
        <v>69</v>
      </c>
      <c r="B78" s="58" t="s">
        <v>994</v>
      </c>
      <c r="C78" s="58" t="s">
        <v>720</v>
      </c>
      <c r="D78" s="101">
        <f>485*2</f>
        <v>970</v>
      </c>
      <c r="E78" s="102">
        <v>0</v>
      </c>
      <c r="F78" s="102">
        <v>0</v>
      </c>
      <c r="G78" s="102">
        <v>0</v>
      </c>
      <c r="H78" s="102">
        <v>0</v>
      </c>
      <c r="I78" s="102">
        <v>0</v>
      </c>
      <c r="J78" s="102">
        <v>0</v>
      </c>
      <c r="K78" s="102">
        <v>0</v>
      </c>
      <c r="L78" s="102">
        <v>0</v>
      </c>
      <c r="M78" s="102">
        <v>0</v>
      </c>
      <c r="N78" s="102">
        <v>0</v>
      </c>
      <c r="O78" s="102">
        <v>0</v>
      </c>
      <c r="P78" s="103">
        <f t="shared" si="11"/>
        <v>970</v>
      </c>
      <c r="Q78" s="103">
        <f t="shared" si="13"/>
        <v>29.1</v>
      </c>
      <c r="R78" s="103">
        <f>(D78+E78+F78+G78+H78+I78+J78+K78+N78)*10%</f>
        <v>97</v>
      </c>
      <c r="S78" s="103">
        <v>0</v>
      </c>
      <c r="T78" s="103">
        <v>0</v>
      </c>
      <c r="U78" s="103">
        <f t="shared" si="9"/>
        <v>126.1</v>
      </c>
      <c r="V78" s="103">
        <f t="shared" si="12"/>
        <v>843.9</v>
      </c>
      <c r="W78" s="103">
        <v>0</v>
      </c>
    </row>
    <row r="79" spans="1:23" s="87" customFormat="1" ht="25.5" x14ac:dyDescent="0.2">
      <c r="A79" s="128">
        <v>70</v>
      </c>
      <c r="B79" s="122" t="s">
        <v>943</v>
      </c>
      <c r="C79" s="122" t="s">
        <v>947</v>
      </c>
      <c r="D79" s="101">
        <v>1381</v>
      </c>
      <c r="E79" s="102">
        <v>0</v>
      </c>
      <c r="F79" s="102">
        <v>0</v>
      </c>
      <c r="G79" s="102">
        <v>1000</v>
      </c>
      <c r="H79" s="102">
        <v>0</v>
      </c>
      <c r="I79" s="102">
        <v>0</v>
      </c>
      <c r="J79" s="102">
        <v>0</v>
      </c>
      <c r="K79" s="102">
        <v>0</v>
      </c>
      <c r="L79" s="102">
        <v>0</v>
      </c>
      <c r="M79" s="102">
        <v>250</v>
      </c>
      <c r="N79" s="102">
        <v>0</v>
      </c>
      <c r="O79" s="102">
        <v>0</v>
      </c>
      <c r="P79" s="103">
        <f t="shared" si="11"/>
        <v>2631</v>
      </c>
      <c r="Q79" s="103">
        <f t="shared" si="13"/>
        <v>71.430000000000007</v>
      </c>
      <c r="R79" s="103">
        <f t="shared" ref="R79:R96" si="14">(D79+E79+F79+G79+H79+I79+J79+K79+N79)*11%</f>
        <v>261.91000000000003</v>
      </c>
      <c r="S79" s="103">
        <v>0</v>
      </c>
      <c r="T79" s="103">
        <v>0</v>
      </c>
      <c r="U79" s="103">
        <f t="shared" si="9"/>
        <v>333.34</v>
      </c>
      <c r="V79" s="103">
        <f t="shared" si="12"/>
        <v>2297.66</v>
      </c>
      <c r="W79" s="103">
        <v>0</v>
      </c>
    </row>
    <row r="80" spans="1:23" s="87" customFormat="1" ht="25.5" x14ac:dyDescent="0.2">
      <c r="A80" s="128">
        <v>71</v>
      </c>
      <c r="B80" s="58" t="s">
        <v>653</v>
      </c>
      <c r="C80" s="58" t="s">
        <v>632</v>
      </c>
      <c r="D80" s="101">
        <v>1135</v>
      </c>
      <c r="E80" s="102">
        <v>500</v>
      </c>
      <c r="F80" s="102">
        <v>0</v>
      </c>
      <c r="G80" s="102">
        <v>1000</v>
      </c>
      <c r="H80" s="102">
        <v>0</v>
      </c>
      <c r="I80" s="102">
        <v>0</v>
      </c>
      <c r="J80" s="102">
        <v>0</v>
      </c>
      <c r="K80" s="102">
        <v>50</v>
      </c>
      <c r="L80" s="102">
        <v>200</v>
      </c>
      <c r="M80" s="102">
        <v>250</v>
      </c>
      <c r="N80" s="102">
        <v>0</v>
      </c>
      <c r="O80" s="102">
        <v>0</v>
      </c>
      <c r="P80" s="103">
        <f t="shared" si="11"/>
        <v>3135</v>
      </c>
      <c r="Q80" s="103">
        <f t="shared" si="13"/>
        <v>80.55</v>
      </c>
      <c r="R80" s="103">
        <f t="shared" si="14"/>
        <v>295.35000000000002</v>
      </c>
      <c r="S80" s="103">
        <v>0</v>
      </c>
      <c r="T80" s="103">
        <v>0</v>
      </c>
      <c r="U80" s="103">
        <f t="shared" si="9"/>
        <v>375.9</v>
      </c>
      <c r="V80" s="103">
        <f t="shared" si="12"/>
        <v>2759.1</v>
      </c>
      <c r="W80" s="103">
        <v>0</v>
      </c>
    </row>
    <row r="81" spans="1:23" s="87" customFormat="1" ht="25.5" x14ac:dyDescent="0.2">
      <c r="A81" s="128">
        <v>72</v>
      </c>
      <c r="B81" s="58" t="s">
        <v>654</v>
      </c>
      <c r="C81" s="58" t="s">
        <v>953</v>
      </c>
      <c r="D81" s="101">
        <v>1476</v>
      </c>
      <c r="E81" s="102">
        <v>2000</v>
      </c>
      <c r="F81" s="102">
        <v>0</v>
      </c>
      <c r="G81" s="102">
        <v>0</v>
      </c>
      <c r="H81" s="102">
        <v>1900</v>
      </c>
      <c r="I81" s="102">
        <v>2600</v>
      </c>
      <c r="J81" s="102">
        <v>0</v>
      </c>
      <c r="K81" s="102">
        <v>0</v>
      </c>
      <c r="L81" s="102">
        <v>0</v>
      </c>
      <c r="M81" s="102">
        <v>250</v>
      </c>
      <c r="N81" s="102">
        <v>0</v>
      </c>
      <c r="O81" s="102">
        <v>0</v>
      </c>
      <c r="P81" s="103">
        <f t="shared" si="11"/>
        <v>8226</v>
      </c>
      <c r="Q81" s="103">
        <f t="shared" si="13"/>
        <v>239.28</v>
      </c>
      <c r="R81" s="103">
        <f t="shared" si="14"/>
        <v>877.36</v>
      </c>
      <c r="S81" s="103">
        <v>148.33000000000001</v>
      </c>
      <c r="T81" s="103">
        <v>0</v>
      </c>
      <c r="U81" s="103">
        <f t="shared" si="9"/>
        <v>1264.97</v>
      </c>
      <c r="V81" s="103">
        <f t="shared" si="12"/>
        <v>6961.03</v>
      </c>
      <c r="W81" s="103">
        <v>0</v>
      </c>
    </row>
    <row r="82" spans="1:23" s="87" customFormat="1" ht="25.5" x14ac:dyDescent="0.2">
      <c r="A82" s="128">
        <v>73</v>
      </c>
      <c r="B82" s="58" t="s">
        <v>655</v>
      </c>
      <c r="C82" s="122" t="s">
        <v>574</v>
      </c>
      <c r="D82" s="101">
        <v>1350</v>
      </c>
      <c r="E82" s="102">
        <v>2000</v>
      </c>
      <c r="F82" s="102">
        <v>0</v>
      </c>
      <c r="G82" s="102">
        <v>0</v>
      </c>
      <c r="H82" s="102">
        <v>1600</v>
      </c>
      <c r="I82" s="102">
        <v>2900</v>
      </c>
      <c r="J82" s="102">
        <v>0</v>
      </c>
      <c r="K82" s="102">
        <v>0</v>
      </c>
      <c r="L82" s="102">
        <v>0</v>
      </c>
      <c r="M82" s="102">
        <v>250</v>
      </c>
      <c r="N82" s="102">
        <v>0</v>
      </c>
      <c r="O82" s="102">
        <v>0</v>
      </c>
      <c r="P82" s="103">
        <f t="shared" si="11"/>
        <v>8100</v>
      </c>
      <c r="Q82" s="103">
        <f t="shared" si="13"/>
        <v>235.5</v>
      </c>
      <c r="R82" s="103">
        <f t="shared" si="14"/>
        <v>863.5</v>
      </c>
      <c r="S82" s="103">
        <v>143.03</v>
      </c>
      <c r="T82" s="103">
        <v>0</v>
      </c>
      <c r="U82" s="103">
        <f t="shared" si="9"/>
        <v>1242.03</v>
      </c>
      <c r="V82" s="103">
        <f t="shared" si="12"/>
        <v>6857.97</v>
      </c>
      <c r="W82" s="103">
        <v>0</v>
      </c>
    </row>
    <row r="83" spans="1:23" s="87" customFormat="1" x14ac:dyDescent="0.2">
      <c r="A83" s="128">
        <v>74</v>
      </c>
      <c r="B83" s="58" t="s">
        <v>656</v>
      </c>
      <c r="C83" s="58" t="s">
        <v>592</v>
      </c>
      <c r="D83" s="101">
        <v>1105</v>
      </c>
      <c r="E83" s="102">
        <v>400</v>
      </c>
      <c r="F83" s="102">
        <v>0</v>
      </c>
      <c r="G83" s="102">
        <v>1000</v>
      </c>
      <c r="H83" s="102">
        <v>0</v>
      </c>
      <c r="I83" s="102">
        <v>0</v>
      </c>
      <c r="J83" s="102">
        <v>0</v>
      </c>
      <c r="K83" s="102">
        <v>50</v>
      </c>
      <c r="L83" s="102">
        <v>0</v>
      </c>
      <c r="M83" s="102">
        <v>250</v>
      </c>
      <c r="N83" s="102">
        <v>0</v>
      </c>
      <c r="O83" s="102">
        <v>0</v>
      </c>
      <c r="P83" s="103">
        <f t="shared" si="11"/>
        <v>2805</v>
      </c>
      <c r="Q83" s="103">
        <f t="shared" si="13"/>
        <v>76.650000000000006</v>
      </c>
      <c r="R83" s="103">
        <f t="shared" si="14"/>
        <v>281.05</v>
      </c>
      <c r="S83" s="103">
        <v>0</v>
      </c>
      <c r="T83" s="103">
        <v>0</v>
      </c>
      <c r="U83" s="103">
        <f t="shared" si="9"/>
        <v>357.7</v>
      </c>
      <c r="V83" s="103">
        <f t="shared" si="12"/>
        <v>2447.3000000000002</v>
      </c>
      <c r="W83" s="103">
        <v>0</v>
      </c>
    </row>
    <row r="84" spans="1:23" s="87" customFormat="1" x14ac:dyDescent="0.2">
      <c r="A84" s="128">
        <v>75</v>
      </c>
      <c r="B84" s="58" t="s">
        <v>657</v>
      </c>
      <c r="C84" s="58" t="s">
        <v>569</v>
      </c>
      <c r="D84" s="101">
        <v>1634</v>
      </c>
      <c r="E84" s="102">
        <v>1800</v>
      </c>
      <c r="F84" s="102">
        <v>0</v>
      </c>
      <c r="G84" s="102">
        <v>1000</v>
      </c>
      <c r="H84" s="102">
        <v>0</v>
      </c>
      <c r="I84" s="102">
        <v>0</v>
      </c>
      <c r="J84" s="102">
        <v>0</v>
      </c>
      <c r="K84" s="102">
        <v>0</v>
      </c>
      <c r="L84" s="102">
        <v>0</v>
      </c>
      <c r="M84" s="102">
        <v>250</v>
      </c>
      <c r="N84" s="102">
        <v>0</v>
      </c>
      <c r="O84" s="102">
        <v>0</v>
      </c>
      <c r="P84" s="103">
        <f t="shared" si="11"/>
        <v>4684</v>
      </c>
      <c r="Q84" s="103">
        <f t="shared" si="13"/>
        <v>133.02000000000001</v>
      </c>
      <c r="R84" s="103">
        <f t="shared" si="14"/>
        <v>487.74</v>
      </c>
      <c r="S84" s="103">
        <v>0</v>
      </c>
      <c r="T84" s="103">
        <v>0</v>
      </c>
      <c r="U84" s="103">
        <f t="shared" si="9"/>
        <v>620.76</v>
      </c>
      <c r="V84" s="103">
        <f t="shared" si="12"/>
        <v>4063.24</v>
      </c>
      <c r="W84" s="103">
        <v>0</v>
      </c>
    </row>
    <row r="85" spans="1:23" s="87" customFormat="1" ht="25.5" x14ac:dyDescent="0.2">
      <c r="A85" s="128">
        <v>76</v>
      </c>
      <c r="B85" s="58" t="s">
        <v>658</v>
      </c>
      <c r="C85" s="58" t="s">
        <v>950</v>
      </c>
      <c r="D85" s="101">
        <v>1460</v>
      </c>
      <c r="E85" s="102">
        <v>600</v>
      </c>
      <c r="F85" s="102">
        <v>0</v>
      </c>
      <c r="G85" s="102">
        <v>1000</v>
      </c>
      <c r="H85" s="102">
        <v>0</v>
      </c>
      <c r="I85" s="102">
        <v>0</v>
      </c>
      <c r="J85" s="102">
        <v>0</v>
      </c>
      <c r="K85" s="102">
        <v>75</v>
      </c>
      <c r="L85" s="102">
        <v>0</v>
      </c>
      <c r="M85" s="102">
        <v>250</v>
      </c>
      <c r="N85" s="102">
        <v>0</v>
      </c>
      <c r="O85" s="102">
        <v>0</v>
      </c>
      <c r="P85" s="103">
        <f t="shared" si="11"/>
        <v>3385</v>
      </c>
      <c r="Q85" s="103">
        <f t="shared" si="13"/>
        <v>94.05</v>
      </c>
      <c r="R85" s="103">
        <f t="shared" si="14"/>
        <v>344.85</v>
      </c>
      <c r="S85" s="103">
        <v>0</v>
      </c>
      <c r="T85" s="103">
        <v>0</v>
      </c>
      <c r="U85" s="103">
        <f t="shared" si="9"/>
        <v>438.9</v>
      </c>
      <c r="V85" s="103">
        <f t="shared" si="12"/>
        <v>2946.1</v>
      </c>
      <c r="W85" s="103">
        <v>0</v>
      </c>
    </row>
    <row r="86" spans="1:23" s="87" customFormat="1" ht="25.5" x14ac:dyDescent="0.2">
      <c r="A86" s="128">
        <v>77</v>
      </c>
      <c r="B86" s="123" t="s">
        <v>659</v>
      </c>
      <c r="C86" s="58" t="s">
        <v>956</v>
      </c>
      <c r="D86" s="101">
        <v>1575</v>
      </c>
      <c r="E86" s="102">
        <v>550</v>
      </c>
      <c r="F86" s="102">
        <v>0</v>
      </c>
      <c r="G86" s="102">
        <v>1000</v>
      </c>
      <c r="H86" s="102">
        <v>0</v>
      </c>
      <c r="I86" s="102">
        <v>0</v>
      </c>
      <c r="J86" s="102">
        <v>0</v>
      </c>
      <c r="K86" s="102">
        <v>0</v>
      </c>
      <c r="L86" s="102">
        <v>0</v>
      </c>
      <c r="M86" s="102">
        <v>250</v>
      </c>
      <c r="N86" s="102">
        <v>0</v>
      </c>
      <c r="O86" s="102">
        <v>0</v>
      </c>
      <c r="P86" s="103">
        <f t="shared" si="11"/>
        <v>3375</v>
      </c>
      <c r="Q86" s="103">
        <f t="shared" si="13"/>
        <v>93.75</v>
      </c>
      <c r="R86" s="103">
        <f t="shared" si="14"/>
        <v>343.75</v>
      </c>
      <c r="S86" s="103">
        <v>0</v>
      </c>
      <c r="T86" s="103">
        <v>42</v>
      </c>
      <c r="U86" s="103">
        <f t="shared" si="9"/>
        <v>479.5</v>
      </c>
      <c r="V86" s="103">
        <f t="shared" si="12"/>
        <v>2895.5</v>
      </c>
      <c r="W86" s="103">
        <v>0</v>
      </c>
    </row>
    <row r="87" spans="1:23" s="87" customFormat="1" ht="25.5" x14ac:dyDescent="0.2">
      <c r="A87" s="128">
        <v>78</v>
      </c>
      <c r="B87" s="123" t="s">
        <v>661</v>
      </c>
      <c r="C87" s="58" t="s">
        <v>953</v>
      </c>
      <c r="D87" s="102">
        <v>1476</v>
      </c>
      <c r="E87" s="102">
        <v>2000</v>
      </c>
      <c r="F87" s="102">
        <v>0</v>
      </c>
      <c r="G87" s="102">
        <v>0</v>
      </c>
      <c r="H87" s="102">
        <v>1900</v>
      </c>
      <c r="I87" s="102">
        <v>2600</v>
      </c>
      <c r="J87" s="102">
        <v>0</v>
      </c>
      <c r="K87" s="102">
        <v>75</v>
      </c>
      <c r="L87" s="102">
        <v>0</v>
      </c>
      <c r="M87" s="102">
        <v>250</v>
      </c>
      <c r="N87" s="102">
        <v>0</v>
      </c>
      <c r="O87" s="102">
        <v>0</v>
      </c>
      <c r="P87" s="103">
        <f t="shared" si="11"/>
        <v>8301</v>
      </c>
      <c r="Q87" s="103">
        <f t="shared" si="13"/>
        <v>241.53</v>
      </c>
      <c r="R87" s="103">
        <f t="shared" si="14"/>
        <v>885.61</v>
      </c>
      <c r="S87" s="103">
        <v>146.41</v>
      </c>
      <c r="T87" s="103">
        <v>0</v>
      </c>
      <c r="U87" s="103">
        <f t="shared" si="9"/>
        <v>1273.55</v>
      </c>
      <c r="V87" s="103">
        <f t="shared" si="12"/>
        <v>7027.45</v>
      </c>
      <c r="W87" s="103">
        <f>1029+1108</f>
        <v>2137</v>
      </c>
    </row>
    <row r="88" spans="1:23" s="87" customFormat="1" ht="25.5" x14ac:dyDescent="0.2">
      <c r="A88" s="128">
        <v>79</v>
      </c>
      <c r="B88" s="58" t="s">
        <v>662</v>
      </c>
      <c r="C88" s="58" t="s">
        <v>953</v>
      </c>
      <c r="D88" s="101">
        <v>1476</v>
      </c>
      <c r="E88" s="102">
        <v>2000</v>
      </c>
      <c r="F88" s="102">
        <v>0</v>
      </c>
      <c r="G88" s="102">
        <v>0</v>
      </c>
      <c r="H88" s="102">
        <v>1900</v>
      </c>
      <c r="I88" s="102">
        <v>2600</v>
      </c>
      <c r="J88" s="102">
        <v>0</v>
      </c>
      <c r="K88" s="102">
        <v>75</v>
      </c>
      <c r="L88" s="102">
        <v>0</v>
      </c>
      <c r="M88" s="102">
        <v>250</v>
      </c>
      <c r="N88" s="102">
        <v>0</v>
      </c>
      <c r="O88" s="102">
        <v>0</v>
      </c>
      <c r="P88" s="103">
        <f t="shared" si="11"/>
        <v>8301</v>
      </c>
      <c r="Q88" s="103">
        <f t="shared" si="13"/>
        <v>241.53</v>
      </c>
      <c r="R88" s="103">
        <f t="shared" si="14"/>
        <v>885.61</v>
      </c>
      <c r="S88" s="103">
        <v>146.41</v>
      </c>
      <c r="T88" s="103">
        <v>0</v>
      </c>
      <c r="U88" s="103">
        <f t="shared" si="9"/>
        <v>1273.55</v>
      </c>
      <c r="V88" s="103">
        <f t="shared" si="12"/>
        <v>7027.45</v>
      </c>
      <c r="W88" s="103">
        <f>1347</f>
        <v>1347</v>
      </c>
    </row>
    <row r="89" spans="1:23" s="87" customFormat="1" ht="25.5" x14ac:dyDescent="0.2">
      <c r="A89" s="128">
        <v>80</v>
      </c>
      <c r="B89" s="58" t="s">
        <v>663</v>
      </c>
      <c r="C89" s="122" t="s">
        <v>574</v>
      </c>
      <c r="D89" s="101">
        <v>1350</v>
      </c>
      <c r="E89" s="102">
        <v>2000</v>
      </c>
      <c r="F89" s="102">
        <v>0</v>
      </c>
      <c r="G89" s="102">
        <v>0</v>
      </c>
      <c r="H89" s="102">
        <v>1600</v>
      </c>
      <c r="I89" s="102">
        <v>2900</v>
      </c>
      <c r="J89" s="102">
        <v>0</v>
      </c>
      <c r="K89" s="102">
        <v>75</v>
      </c>
      <c r="L89" s="102">
        <v>0</v>
      </c>
      <c r="M89" s="102">
        <v>250</v>
      </c>
      <c r="N89" s="102">
        <v>0</v>
      </c>
      <c r="O89" s="102">
        <v>0</v>
      </c>
      <c r="P89" s="103">
        <f t="shared" si="11"/>
        <v>8175</v>
      </c>
      <c r="Q89" s="103">
        <f t="shared" si="13"/>
        <v>237.75</v>
      </c>
      <c r="R89" s="103">
        <f t="shared" si="14"/>
        <v>871.75</v>
      </c>
      <c r="S89" s="103">
        <v>5.65</v>
      </c>
      <c r="T89" s="103">
        <v>0</v>
      </c>
      <c r="U89" s="103">
        <f t="shared" si="9"/>
        <v>1115.1500000000001</v>
      </c>
      <c r="V89" s="103">
        <f t="shared" si="12"/>
        <v>7059.85</v>
      </c>
      <c r="W89" s="103">
        <f>902</f>
        <v>902</v>
      </c>
    </row>
    <row r="90" spans="1:23" s="87" customFormat="1" ht="25.5" x14ac:dyDescent="0.2">
      <c r="A90" s="128">
        <v>81</v>
      </c>
      <c r="B90" s="58" t="s">
        <v>664</v>
      </c>
      <c r="C90" s="122" t="s">
        <v>574</v>
      </c>
      <c r="D90" s="101">
        <v>1350</v>
      </c>
      <c r="E90" s="102">
        <v>2000</v>
      </c>
      <c r="F90" s="102">
        <v>0</v>
      </c>
      <c r="G90" s="102">
        <v>0</v>
      </c>
      <c r="H90" s="102">
        <v>1600</v>
      </c>
      <c r="I90" s="102">
        <f>2900</f>
        <v>2900</v>
      </c>
      <c r="J90" s="102">
        <v>0</v>
      </c>
      <c r="K90" s="102">
        <v>0</v>
      </c>
      <c r="L90" s="102">
        <v>0</v>
      </c>
      <c r="M90" s="102">
        <v>250</v>
      </c>
      <c r="N90" s="102">
        <v>0</v>
      </c>
      <c r="O90" s="102">
        <v>0</v>
      </c>
      <c r="P90" s="103">
        <f t="shared" si="11"/>
        <v>8100</v>
      </c>
      <c r="Q90" s="103">
        <f t="shared" si="13"/>
        <v>235.5</v>
      </c>
      <c r="R90" s="103">
        <f t="shared" si="14"/>
        <v>863.5</v>
      </c>
      <c r="S90" s="103">
        <v>145.13</v>
      </c>
      <c r="T90" s="103">
        <v>0</v>
      </c>
      <c r="U90" s="103">
        <f t="shared" si="9"/>
        <v>1244.1300000000001</v>
      </c>
      <c r="V90" s="103">
        <f t="shared" si="12"/>
        <v>6855.87</v>
      </c>
      <c r="W90" s="103">
        <v>0</v>
      </c>
    </row>
    <row r="91" spans="1:23" s="87" customFormat="1" ht="25.5" x14ac:dyDescent="0.2">
      <c r="A91" s="128">
        <v>82</v>
      </c>
      <c r="B91" s="58" t="s">
        <v>665</v>
      </c>
      <c r="C91" s="58" t="s">
        <v>666</v>
      </c>
      <c r="D91" s="101">
        <v>1039</v>
      </c>
      <c r="E91" s="102">
        <v>400</v>
      </c>
      <c r="F91" s="102">
        <v>0</v>
      </c>
      <c r="G91" s="102">
        <v>1000</v>
      </c>
      <c r="H91" s="102">
        <v>0</v>
      </c>
      <c r="I91" s="102">
        <v>0</v>
      </c>
      <c r="J91" s="102">
        <v>0</v>
      </c>
      <c r="K91" s="102">
        <v>0</v>
      </c>
      <c r="L91" s="102">
        <v>200</v>
      </c>
      <c r="M91" s="102">
        <v>250</v>
      </c>
      <c r="N91" s="102">
        <v>0</v>
      </c>
      <c r="O91" s="102">
        <v>0</v>
      </c>
      <c r="P91" s="103">
        <f t="shared" si="11"/>
        <v>2889</v>
      </c>
      <c r="Q91" s="103">
        <f t="shared" si="13"/>
        <v>73.17</v>
      </c>
      <c r="R91" s="103">
        <f t="shared" si="14"/>
        <v>268.29000000000002</v>
      </c>
      <c r="S91" s="103">
        <v>0</v>
      </c>
      <c r="T91" s="103">
        <v>0</v>
      </c>
      <c r="U91" s="103">
        <f t="shared" si="9"/>
        <v>341.46</v>
      </c>
      <c r="V91" s="103">
        <f t="shared" si="12"/>
        <v>2547.54</v>
      </c>
      <c r="W91" s="103">
        <v>0</v>
      </c>
    </row>
    <row r="92" spans="1:23" s="87" customFormat="1" x14ac:dyDescent="0.2">
      <c r="A92" s="128">
        <v>83</v>
      </c>
      <c r="B92" s="58" t="s">
        <v>667</v>
      </c>
      <c r="C92" s="58" t="s">
        <v>576</v>
      </c>
      <c r="D92" s="101">
        <v>1350</v>
      </c>
      <c r="E92" s="102">
        <v>2000</v>
      </c>
      <c r="F92" s="102">
        <v>0</v>
      </c>
      <c r="G92" s="102">
        <v>0</v>
      </c>
      <c r="H92" s="102">
        <v>2500</v>
      </c>
      <c r="I92" s="102">
        <v>2000</v>
      </c>
      <c r="J92" s="102">
        <v>0</v>
      </c>
      <c r="K92" s="102">
        <v>75</v>
      </c>
      <c r="L92" s="102">
        <v>0</v>
      </c>
      <c r="M92" s="102">
        <v>250</v>
      </c>
      <c r="N92" s="102">
        <v>0</v>
      </c>
      <c r="O92" s="102">
        <v>0</v>
      </c>
      <c r="P92" s="103">
        <f t="shared" si="11"/>
        <v>8175</v>
      </c>
      <c r="Q92" s="103">
        <f t="shared" si="13"/>
        <v>237.75</v>
      </c>
      <c r="R92" s="103">
        <f t="shared" si="14"/>
        <v>871.75</v>
      </c>
      <c r="S92" s="103">
        <v>146.18</v>
      </c>
      <c r="T92" s="103">
        <v>0</v>
      </c>
      <c r="U92" s="103">
        <f t="shared" si="9"/>
        <v>1255.68</v>
      </c>
      <c r="V92" s="103">
        <f t="shared" si="12"/>
        <v>6919.32</v>
      </c>
      <c r="W92" s="103">
        <v>0</v>
      </c>
    </row>
    <row r="93" spans="1:23" s="87" customFormat="1" x14ac:dyDescent="0.2">
      <c r="A93" s="128">
        <v>84</v>
      </c>
      <c r="B93" s="125" t="s">
        <v>536</v>
      </c>
      <c r="C93" s="122" t="s">
        <v>572</v>
      </c>
      <c r="D93" s="101">
        <v>1074</v>
      </c>
      <c r="E93" s="102">
        <v>0</v>
      </c>
      <c r="F93" s="102">
        <v>0</v>
      </c>
      <c r="G93" s="102">
        <v>1000</v>
      </c>
      <c r="H93" s="102">
        <v>0</v>
      </c>
      <c r="I93" s="102">
        <v>0</v>
      </c>
      <c r="J93" s="102">
        <v>0</v>
      </c>
      <c r="K93" s="102">
        <v>0</v>
      </c>
      <c r="L93" s="102">
        <v>0</v>
      </c>
      <c r="M93" s="102">
        <v>250</v>
      </c>
      <c r="N93" s="102">
        <v>0</v>
      </c>
      <c r="O93" s="102">
        <v>0</v>
      </c>
      <c r="P93" s="103">
        <f t="shared" si="11"/>
        <v>2324</v>
      </c>
      <c r="Q93" s="103">
        <f t="shared" si="13"/>
        <v>62.22</v>
      </c>
      <c r="R93" s="103">
        <f t="shared" si="14"/>
        <v>228.14</v>
      </c>
      <c r="S93" s="103">
        <v>0</v>
      </c>
      <c r="T93" s="103">
        <v>0</v>
      </c>
      <c r="U93" s="103">
        <f t="shared" si="9"/>
        <v>290.36</v>
      </c>
      <c r="V93" s="103">
        <f t="shared" si="12"/>
        <v>2033.64</v>
      </c>
      <c r="W93" s="103">
        <v>0</v>
      </c>
    </row>
    <row r="94" spans="1:23" s="87" customFormat="1" ht="25.5" x14ac:dyDescent="0.2">
      <c r="A94" s="128">
        <v>85</v>
      </c>
      <c r="B94" s="58" t="s">
        <v>668</v>
      </c>
      <c r="C94" s="58" t="s">
        <v>596</v>
      </c>
      <c r="D94" s="101">
        <f>485*2</f>
        <v>970</v>
      </c>
      <c r="E94" s="102">
        <v>0</v>
      </c>
      <c r="F94" s="102">
        <v>0</v>
      </c>
      <c r="G94" s="102">
        <v>0</v>
      </c>
      <c r="H94" s="102">
        <v>0</v>
      </c>
      <c r="I94" s="102">
        <v>0</v>
      </c>
      <c r="J94" s="102">
        <v>0</v>
      </c>
      <c r="K94" s="102">
        <v>0</v>
      </c>
      <c r="L94" s="102">
        <v>0</v>
      </c>
      <c r="M94" s="102">
        <v>0</v>
      </c>
      <c r="N94" s="102">
        <v>0</v>
      </c>
      <c r="O94" s="102">
        <v>0</v>
      </c>
      <c r="P94" s="103">
        <f t="shared" si="11"/>
        <v>970</v>
      </c>
      <c r="Q94" s="103">
        <f t="shared" si="13"/>
        <v>29.1</v>
      </c>
      <c r="R94" s="103">
        <f t="shared" si="14"/>
        <v>106.7</v>
      </c>
      <c r="S94" s="103">
        <v>0</v>
      </c>
      <c r="T94" s="103">
        <v>0</v>
      </c>
      <c r="U94" s="103">
        <f t="shared" si="9"/>
        <v>135.80000000000001</v>
      </c>
      <c r="V94" s="103">
        <f t="shared" si="12"/>
        <v>834.2</v>
      </c>
      <c r="W94" s="103">
        <v>0</v>
      </c>
    </row>
    <row r="95" spans="1:23" s="87" customFormat="1" x14ac:dyDescent="0.2">
      <c r="A95" s="128">
        <v>86</v>
      </c>
      <c r="B95" s="58" t="s">
        <v>669</v>
      </c>
      <c r="C95" s="58" t="s">
        <v>660</v>
      </c>
      <c r="D95" s="101">
        <v>1575</v>
      </c>
      <c r="E95" s="102">
        <v>816</v>
      </c>
      <c r="F95" s="102">
        <v>0</v>
      </c>
      <c r="G95" s="102">
        <v>1000</v>
      </c>
      <c r="H95" s="102">
        <v>0</v>
      </c>
      <c r="I95" s="102">
        <v>0</v>
      </c>
      <c r="J95" s="102">
        <v>0</v>
      </c>
      <c r="K95" s="102">
        <v>50</v>
      </c>
      <c r="L95" s="102">
        <v>0</v>
      </c>
      <c r="M95" s="102">
        <v>250</v>
      </c>
      <c r="N95" s="102">
        <v>0</v>
      </c>
      <c r="O95" s="102">
        <v>0</v>
      </c>
      <c r="P95" s="103">
        <f t="shared" si="11"/>
        <v>3691</v>
      </c>
      <c r="Q95" s="103">
        <f t="shared" si="13"/>
        <v>103.23</v>
      </c>
      <c r="R95" s="103">
        <f t="shared" si="14"/>
        <v>378.51</v>
      </c>
      <c r="S95" s="103">
        <v>0</v>
      </c>
      <c r="T95" s="103">
        <v>0</v>
      </c>
      <c r="U95" s="103">
        <f t="shared" si="9"/>
        <v>481.74</v>
      </c>
      <c r="V95" s="103">
        <f t="shared" si="12"/>
        <v>3209.26</v>
      </c>
      <c r="W95" s="103">
        <v>0</v>
      </c>
    </row>
    <row r="96" spans="1:23" s="87" customFormat="1" ht="25.5" x14ac:dyDescent="0.2">
      <c r="A96" s="128">
        <v>87</v>
      </c>
      <c r="B96" s="58" t="s">
        <v>670</v>
      </c>
      <c r="C96" s="58" t="s">
        <v>587</v>
      </c>
      <c r="D96" s="101">
        <v>1223</v>
      </c>
      <c r="E96" s="102">
        <v>650</v>
      </c>
      <c r="F96" s="102">
        <v>0</v>
      </c>
      <c r="G96" s="102">
        <v>1000</v>
      </c>
      <c r="H96" s="102">
        <v>0</v>
      </c>
      <c r="I96" s="102">
        <v>0</v>
      </c>
      <c r="J96" s="102">
        <v>0</v>
      </c>
      <c r="K96" s="102">
        <v>0</v>
      </c>
      <c r="L96" s="102">
        <v>0</v>
      </c>
      <c r="M96" s="102">
        <v>250</v>
      </c>
      <c r="N96" s="102">
        <v>0</v>
      </c>
      <c r="O96" s="102">
        <v>0</v>
      </c>
      <c r="P96" s="103">
        <f t="shared" si="11"/>
        <v>3123</v>
      </c>
      <c r="Q96" s="103">
        <f t="shared" si="13"/>
        <v>86.19</v>
      </c>
      <c r="R96" s="103">
        <f t="shared" si="14"/>
        <v>316.02999999999997</v>
      </c>
      <c r="S96" s="103">
        <v>0</v>
      </c>
      <c r="T96" s="103">
        <v>0</v>
      </c>
      <c r="U96" s="103">
        <f t="shared" si="9"/>
        <v>402.22</v>
      </c>
      <c r="V96" s="103">
        <f t="shared" si="12"/>
        <v>2720.78</v>
      </c>
      <c r="W96" s="103">
        <v>0</v>
      </c>
    </row>
    <row r="97" spans="1:23" s="87" customFormat="1" ht="25.5" x14ac:dyDescent="0.2">
      <c r="A97" s="128">
        <v>88</v>
      </c>
      <c r="B97" s="58" t="s">
        <v>991</v>
      </c>
      <c r="C97" s="58" t="s">
        <v>992</v>
      </c>
      <c r="D97" s="101">
        <v>5835</v>
      </c>
      <c r="E97" s="102">
        <v>0</v>
      </c>
      <c r="F97" s="102">
        <v>0</v>
      </c>
      <c r="G97" s="102">
        <v>3000</v>
      </c>
      <c r="H97" s="102">
        <v>0</v>
      </c>
      <c r="I97" s="102">
        <v>0</v>
      </c>
      <c r="J97" s="102">
        <v>375</v>
      </c>
      <c r="K97" s="102">
        <v>0</v>
      </c>
      <c r="L97" s="102">
        <v>0</v>
      </c>
      <c r="M97" s="102">
        <v>250</v>
      </c>
      <c r="N97" s="102">
        <v>0</v>
      </c>
      <c r="O97" s="102">
        <v>0</v>
      </c>
      <c r="P97" s="103">
        <f>SUM(D97:O97)</f>
        <v>9460</v>
      </c>
      <c r="Q97" s="103">
        <f t="shared" si="13"/>
        <v>276.3</v>
      </c>
      <c r="R97" s="103">
        <f>(D97+E97+F97+G97+H97+I97+J97+K97+N97)*14%</f>
        <v>1289.4000000000001</v>
      </c>
      <c r="S97" s="103">
        <v>0</v>
      </c>
      <c r="T97" s="103">
        <v>0</v>
      </c>
      <c r="U97" s="103">
        <f t="shared" si="9"/>
        <v>1565.7</v>
      </c>
      <c r="V97" s="103">
        <f t="shared" si="12"/>
        <v>7894.3</v>
      </c>
      <c r="W97" s="103">
        <v>0</v>
      </c>
    </row>
    <row r="98" spans="1:23" s="87" customFormat="1" ht="25.5" x14ac:dyDescent="0.2">
      <c r="A98" s="128">
        <v>89</v>
      </c>
      <c r="B98" s="58" t="s">
        <v>671</v>
      </c>
      <c r="C98" s="122" t="s">
        <v>574</v>
      </c>
      <c r="D98" s="101">
        <v>1350</v>
      </c>
      <c r="E98" s="102">
        <v>2000</v>
      </c>
      <c r="F98" s="102">
        <v>0</v>
      </c>
      <c r="G98" s="102">
        <v>0</v>
      </c>
      <c r="H98" s="102">
        <v>1600</v>
      </c>
      <c r="I98" s="102">
        <v>2900</v>
      </c>
      <c r="J98" s="102">
        <v>0</v>
      </c>
      <c r="K98" s="102">
        <v>75</v>
      </c>
      <c r="L98" s="102">
        <v>0</v>
      </c>
      <c r="M98" s="102">
        <v>250</v>
      </c>
      <c r="N98" s="102">
        <v>0</v>
      </c>
      <c r="O98" s="102">
        <v>0</v>
      </c>
      <c r="P98" s="103">
        <f t="shared" ref="P98:P128" si="15">SUM(D98:N98)</f>
        <v>8175</v>
      </c>
      <c r="Q98" s="103">
        <f t="shared" si="13"/>
        <v>237.75</v>
      </c>
      <c r="R98" s="103">
        <f t="shared" ref="R98:R129" si="16">(D98+E98+F98+G98+H98+I98+J98+K98+N98)*11%</f>
        <v>871.75</v>
      </c>
      <c r="S98" s="103">
        <v>145.13</v>
      </c>
      <c r="T98" s="103">
        <v>0</v>
      </c>
      <c r="U98" s="103">
        <f t="shared" si="9"/>
        <v>1254.6300000000001</v>
      </c>
      <c r="V98" s="103">
        <f t="shared" si="12"/>
        <v>6920.37</v>
      </c>
      <c r="W98" s="103">
        <f>829</f>
        <v>829</v>
      </c>
    </row>
    <row r="99" spans="1:23" s="87" customFormat="1" ht="25.5" x14ac:dyDescent="0.2">
      <c r="A99" s="128">
        <v>90</v>
      </c>
      <c r="B99" s="58" t="s">
        <v>672</v>
      </c>
      <c r="C99" s="58" t="s">
        <v>596</v>
      </c>
      <c r="D99" s="101">
        <v>485</v>
      </c>
      <c r="E99" s="102">
        <v>0</v>
      </c>
      <c r="F99" s="102">
        <v>0</v>
      </c>
      <c r="G99" s="102">
        <v>0</v>
      </c>
      <c r="H99" s="102">
        <v>0</v>
      </c>
      <c r="I99" s="102">
        <v>0</v>
      </c>
      <c r="J99" s="102">
        <v>0</v>
      </c>
      <c r="K99" s="102">
        <v>0</v>
      </c>
      <c r="L99" s="102">
        <v>0</v>
      </c>
      <c r="M99" s="102">
        <v>0</v>
      </c>
      <c r="N99" s="102">
        <v>0</v>
      </c>
      <c r="O99" s="102">
        <v>0</v>
      </c>
      <c r="P99" s="103">
        <f t="shared" si="15"/>
        <v>485</v>
      </c>
      <c r="Q99" s="103">
        <f t="shared" si="13"/>
        <v>14.55</v>
      </c>
      <c r="R99" s="103">
        <f t="shared" si="16"/>
        <v>53.35</v>
      </c>
      <c r="S99" s="103">
        <v>0</v>
      </c>
      <c r="T99" s="103">
        <v>0</v>
      </c>
      <c r="U99" s="103">
        <f t="shared" si="9"/>
        <v>67.900000000000006</v>
      </c>
      <c r="V99" s="103">
        <f t="shared" si="12"/>
        <v>417.1</v>
      </c>
      <c r="W99" s="103">
        <v>0</v>
      </c>
    </row>
    <row r="100" spans="1:23" s="87" customFormat="1" ht="25.5" x14ac:dyDescent="0.2">
      <c r="A100" s="128">
        <v>91</v>
      </c>
      <c r="B100" s="58" t="s">
        <v>673</v>
      </c>
      <c r="C100" s="58" t="s">
        <v>953</v>
      </c>
      <c r="D100" s="101">
        <v>1476</v>
      </c>
      <c r="E100" s="102">
        <v>1600</v>
      </c>
      <c r="F100" s="102">
        <v>0</v>
      </c>
      <c r="G100" s="102">
        <v>0</v>
      </c>
      <c r="H100" s="102">
        <v>1900</v>
      </c>
      <c r="I100" s="102">
        <v>0</v>
      </c>
      <c r="J100" s="102">
        <v>0</v>
      </c>
      <c r="K100" s="102">
        <v>75</v>
      </c>
      <c r="L100" s="102">
        <v>0</v>
      </c>
      <c r="M100" s="102">
        <v>250</v>
      </c>
      <c r="N100" s="102">
        <v>0</v>
      </c>
      <c r="O100" s="102">
        <v>0</v>
      </c>
      <c r="P100" s="103">
        <f t="shared" si="15"/>
        <v>5301</v>
      </c>
      <c r="Q100" s="103">
        <f t="shared" si="13"/>
        <v>151.53</v>
      </c>
      <c r="R100" s="103">
        <f t="shared" si="16"/>
        <v>555.61</v>
      </c>
      <c r="S100" s="103">
        <v>20.420000000000002</v>
      </c>
      <c r="T100" s="103">
        <v>0</v>
      </c>
      <c r="U100" s="103">
        <f t="shared" ref="U100:U131" si="17">SUM(Q100:T100)</f>
        <v>727.56</v>
      </c>
      <c r="V100" s="103">
        <f t="shared" si="12"/>
        <v>4573.4399999999996</v>
      </c>
      <c r="W100" s="103">
        <f>1008</f>
        <v>1008</v>
      </c>
    </row>
    <row r="101" spans="1:23" s="87" customFormat="1" ht="30" customHeight="1" x14ac:dyDescent="0.2">
      <c r="A101" s="128">
        <v>92</v>
      </c>
      <c r="B101" s="58" t="s">
        <v>674</v>
      </c>
      <c r="C101" s="58" t="s">
        <v>675</v>
      </c>
      <c r="D101" s="101">
        <v>1253</v>
      </c>
      <c r="E101" s="102">
        <v>550</v>
      </c>
      <c r="F101" s="102">
        <v>0</v>
      </c>
      <c r="G101" s="102">
        <v>1000</v>
      </c>
      <c r="H101" s="102">
        <v>0</v>
      </c>
      <c r="I101" s="102">
        <v>0</v>
      </c>
      <c r="J101" s="102">
        <v>0</v>
      </c>
      <c r="K101" s="102">
        <v>50</v>
      </c>
      <c r="L101" s="102">
        <v>0</v>
      </c>
      <c r="M101" s="102">
        <v>250</v>
      </c>
      <c r="N101" s="102">
        <v>0</v>
      </c>
      <c r="O101" s="102">
        <v>0</v>
      </c>
      <c r="P101" s="103">
        <f t="shared" si="15"/>
        <v>3103</v>
      </c>
      <c r="Q101" s="103">
        <f t="shared" si="13"/>
        <v>85.59</v>
      </c>
      <c r="R101" s="103">
        <f t="shared" si="16"/>
        <v>313.83</v>
      </c>
      <c r="S101" s="103">
        <v>0</v>
      </c>
      <c r="T101" s="103">
        <v>38.340000000000003</v>
      </c>
      <c r="U101" s="103">
        <f t="shared" si="17"/>
        <v>437.76</v>
      </c>
      <c r="V101" s="103">
        <f t="shared" si="12"/>
        <v>2665.24</v>
      </c>
      <c r="W101" s="103">
        <v>0</v>
      </c>
    </row>
    <row r="102" spans="1:23" s="87" customFormat="1" ht="25.5" x14ac:dyDescent="0.2">
      <c r="A102" s="128">
        <v>93</v>
      </c>
      <c r="B102" s="58" t="s">
        <v>676</v>
      </c>
      <c r="C102" s="58" t="s">
        <v>581</v>
      </c>
      <c r="D102" s="101">
        <v>1476</v>
      </c>
      <c r="E102" s="102">
        <v>2000</v>
      </c>
      <c r="F102" s="102">
        <v>0</v>
      </c>
      <c r="G102" s="102">
        <v>1900</v>
      </c>
      <c r="H102" s="102">
        <v>0</v>
      </c>
      <c r="I102" s="102">
        <v>2600</v>
      </c>
      <c r="J102" s="102">
        <v>0</v>
      </c>
      <c r="K102" s="102">
        <v>50</v>
      </c>
      <c r="L102" s="102">
        <v>0</v>
      </c>
      <c r="M102" s="102">
        <v>250</v>
      </c>
      <c r="N102" s="102">
        <v>0</v>
      </c>
      <c r="O102" s="102">
        <v>0</v>
      </c>
      <c r="P102" s="103">
        <f t="shared" si="15"/>
        <v>8276</v>
      </c>
      <c r="Q102" s="103">
        <f t="shared" si="13"/>
        <v>240.78</v>
      </c>
      <c r="R102" s="103">
        <f t="shared" si="16"/>
        <v>882.86</v>
      </c>
      <c r="S102" s="103">
        <v>146.41</v>
      </c>
      <c r="T102" s="103">
        <v>0</v>
      </c>
      <c r="U102" s="103">
        <f t="shared" si="17"/>
        <v>1270.05</v>
      </c>
      <c r="V102" s="103">
        <f t="shared" si="12"/>
        <v>7005.95</v>
      </c>
      <c r="W102" s="103">
        <f>596.8+202+599.5</f>
        <v>1398.3</v>
      </c>
    </row>
    <row r="103" spans="1:23" s="87" customFormat="1" ht="25.5" x14ac:dyDescent="0.2">
      <c r="A103" s="128">
        <v>94</v>
      </c>
      <c r="B103" s="58" t="s">
        <v>677</v>
      </c>
      <c r="C103" s="58" t="s">
        <v>666</v>
      </c>
      <c r="D103" s="101">
        <v>1039</v>
      </c>
      <c r="E103" s="102">
        <v>400</v>
      </c>
      <c r="F103" s="102">
        <v>0</v>
      </c>
      <c r="G103" s="102">
        <v>1000</v>
      </c>
      <c r="H103" s="102">
        <v>0</v>
      </c>
      <c r="I103" s="102">
        <v>0</v>
      </c>
      <c r="J103" s="102">
        <v>0</v>
      </c>
      <c r="K103" s="102">
        <v>50</v>
      </c>
      <c r="L103" s="102">
        <v>200</v>
      </c>
      <c r="M103" s="102">
        <v>250</v>
      </c>
      <c r="N103" s="102">
        <v>0</v>
      </c>
      <c r="O103" s="102">
        <v>0</v>
      </c>
      <c r="P103" s="103">
        <f t="shared" si="15"/>
        <v>2939</v>
      </c>
      <c r="Q103" s="103">
        <f t="shared" si="13"/>
        <v>74.67</v>
      </c>
      <c r="R103" s="103">
        <f t="shared" si="16"/>
        <v>273.79000000000002</v>
      </c>
      <c r="S103" s="103">
        <v>0</v>
      </c>
      <c r="T103" s="103">
        <v>0</v>
      </c>
      <c r="U103" s="103">
        <f t="shared" si="17"/>
        <v>348.46</v>
      </c>
      <c r="V103" s="103">
        <f t="shared" si="12"/>
        <v>2590.54</v>
      </c>
      <c r="W103" s="103">
        <v>0</v>
      </c>
    </row>
    <row r="104" spans="1:23" s="87" customFormat="1" ht="38.25" x14ac:dyDescent="0.2">
      <c r="A104" s="128">
        <v>95</v>
      </c>
      <c r="B104" s="58" t="s">
        <v>678</v>
      </c>
      <c r="C104" s="58" t="s">
        <v>679</v>
      </c>
      <c r="D104" s="101">
        <f>485*5</f>
        <v>2425</v>
      </c>
      <c r="E104" s="102">
        <v>0</v>
      </c>
      <c r="F104" s="102">
        <v>0</v>
      </c>
      <c r="G104" s="102">
        <v>0</v>
      </c>
      <c r="H104" s="102">
        <v>0</v>
      </c>
      <c r="I104" s="102">
        <v>0</v>
      </c>
      <c r="J104" s="102">
        <v>0</v>
      </c>
      <c r="K104" s="102">
        <v>0</v>
      </c>
      <c r="L104" s="102">
        <v>0</v>
      </c>
      <c r="M104" s="102">
        <v>0</v>
      </c>
      <c r="N104" s="102">
        <v>0</v>
      </c>
      <c r="O104" s="102">
        <v>0</v>
      </c>
      <c r="P104" s="103">
        <f t="shared" si="15"/>
        <v>2425</v>
      </c>
      <c r="Q104" s="103">
        <f t="shared" si="13"/>
        <v>72.75</v>
      </c>
      <c r="R104" s="103">
        <f t="shared" si="16"/>
        <v>266.75</v>
      </c>
      <c r="S104" s="103">
        <v>0</v>
      </c>
      <c r="T104" s="103">
        <v>0</v>
      </c>
      <c r="U104" s="103">
        <f t="shared" si="17"/>
        <v>339.5</v>
      </c>
      <c r="V104" s="103">
        <f t="shared" si="12"/>
        <v>2085.5</v>
      </c>
      <c r="W104" s="103">
        <v>0</v>
      </c>
    </row>
    <row r="105" spans="1:23" s="87" customFormat="1" ht="25.5" x14ac:dyDescent="0.2">
      <c r="A105" s="128">
        <v>96</v>
      </c>
      <c r="B105" s="58" t="s">
        <v>680</v>
      </c>
      <c r="C105" s="122" t="s">
        <v>574</v>
      </c>
      <c r="D105" s="101">
        <v>1350</v>
      </c>
      <c r="E105" s="102">
        <v>2000</v>
      </c>
      <c r="F105" s="102">
        <v>0</v>
      </c>
      <c r="G105" s="102">
        <v>0</v>
      </c>
      <c r="H105" s="102">
        <v>1600</v>
      </c>
      <c r="I105" s="102">
        <v>2900</v>
      </c>
      <c r="J105" s="102">
        <v>0</v>
      </c>
      <c r="K105" s="102">
        <v>75</v>
      </c>
      <c r="L105" s="102">
        <v>0</v>
      </c>
      <c r="M105" s="102">
        <v>250</v>
      </c>
      <c r="N105" s="102">
        <v>0</v>
      </c>
      <c r="O105" s="102">
        <v>0</v>
      </c>
      <c r="P105" s="103">
        <f t="shared" si="15"/>
        <v>8175</v>
      </c>
      <c r="Q105" s="103">
        <f t="shared" si="13"/>
        <v>237.75</v>
      </c>
      <c r="R105" s="103">
        <f t="shared" si="16"/>
        <v>871.75</v>
      </c>
      <c r="S105" s="103">
        <v>146.18</v>
      </c>
      <c r="T105" s="103">
        <v>0</v>
      </c>
      <c r="U105" s="103">
        <f t="shared" si="17"/>
        <v>1255.68</v>
      </c>
      <c r="V105" s="103">
        <f t="shared" si="12"/>
        <v>6919.32</v>
      </c>
      <c r="W105" s="103">
        <v>0</v>
      </c>
    </row>
    <row r="106" spans="1:23" s="87" customFormat="1" ht="25.5" x14ac:dyDescent="0.2">
      <c r="A106" s="128">
        <v>97</v>
      </c>
      <c r="B106" s="58" t="s">
        <v>681</v>
      </c>
      <c r="C106" s="122" t="s">
        <v>605</v>
      </c>
      <c r="D106" s="101">
        <v>1792</v>
      </c>
      <c r="E106" s="102">
        <v>2500</v>
      </c>
      <c r="F106" s="102">
        <v>0</v>
      </c>
      <c r="G106" s="102">
        <v>0</v>
      </c>
      <c r="H106" s="102">
        <v>2500</v>
      </c>
      <c r="I106" s="102">
        <v>3000</v>
      </c>
      <c r="J106" s="102">
        <v>0</v>
      </c>
      <c r="K106" s="102">
        <v>50</v>
      </c>
      <c r="L106" s="102">
        <v>0</v>
      </c>
      <c r="M106" s="102">
        <v>250</v>
      </c>
      <c r="N106" s="102">
        <v>0</v>
      </c>
      <c r="O106" s="102">
        <v>0</v>
      </c>
      <c r="P106" s="103">
        <f t="shared" si="15"/>
        <v>10092</v>
      </c>
      <c r="Q106" s="103">
        <f t="shared" si="13"/>
        <v>295.26</v>
      </c>
      <c r="R106" s="103">
        <f t="shared" si="16"/>
        <v>1082.6199999999999</v>
      </c>
      <c r="S106" s="103">
        <v>221.78</v>
      </c>
      <c r="T106" s="103">
        <v>0</v>
      </c>
      <c r="U106" s="103">
        <f t="shared" si="17"/>
        <v>1599.66</v>
      </c>
      <c r="V106" s="103">
        <f t="shared" si="12"/>
        <v>8492.34</v>
      </c>
      <c r="W106" s="103">
        <v>0</v>
      </c>
    </row>
    <row r="107" spans="1:23" s="87" customFormat="1" x14ac:dyDescent="0.2">
      <c r="A107" s="128">
        <v>98</v>
      </c>
      <c r="B107" s="58" t="s">
        <v>682</v>
      </c>
      <c r="C107" s="58" t="s">
        <v>569</v>
      </c>
      <c r="D107" s="101">
        <v>1634</v>
      </c>
      <c r="E107" s="102">
        <v>2400</v>
      </c>
      <c r="F107" s="102">
        <v>0</v>
      </c>
      <c r="G107" s="102">
        <v>0</v>
      </c>
      <c r="H107" s="102">
        <v>3000</v>
      </c>
      <c r="I107" s="102">
        <v>2400</v>
      </c>
      <c r="J107" s="102">
        <v>0</v>
      </c>
      <c r="K107" s="102">
        <v>75</v>
      </c>
      <c r="L107" s="102">
        <v>0</v>
      </c>
      <c r="M107" s="102">
        <v>250</v>
      </c>
      <c r="N107" s="102">
        <v>0</v>
      </c>
      <c r="O107" s="102">
        <v>0</v>
      </c>
      <c r="P107" s="103">
        <f t="shared" si="15"/>
        <v>9759</v>
      </c>
      <c r="Q107" s="103">
        <f t="shared" si="13"/>
        <v>285.27</v>
      </c>
      <c r="R107" s="103">
        <f t="shared" si="16"/>
        <v>1045.99</v>
      </c>
      <c r="S107" s="103">
        <v>207.96</v>
      </c>
      <c r="T107" s="103">
        <v>0</v>
      </c>
      <c r="U107" s="103">
        <f t="shared" si="17"/>
        <v>1539.22</v>
      </c>
      <c r="V107" s="103">
        <f t="shared" si="12"/>
        <v>8219.7800000000007</v>
      </c>
      <c r="W107" s="103">
        <v>0</v>
      </c>
    </row>
    <row r="108" spans="1:23" s="87" customFormat="1" ht="25.5" x14ac:dyDescent="0.2">
      <c r="A108" s="128">
        <v>99</v>
      </c>
      <c r="B108" s="58" t="s">
        <v>683</v>
      </c>
      <c r="C108" s="58" t="s">
        <v>581</v>
      </c>
      <c r="D108" s="101">
        <v>1476</v>
      </c>
      <c r="E108" s="102">
        <v>2000</v>
      </c>
      <c r="F108" s="102">
        <v>0</v>
      </c>
      <c r="G108" s="102">
        <v>1900</v>
      </c>
      <c r="H108" s="102">
        <v>0</v>
      </c>
      <c r="I108" s="102">
        <v>2600</v>
      </c>
      <c r="J108" s="102">
        <v>0</v>
      </c>
      <c r="K108" s="102">
        <v>50</v>
      </c>
      <c r="L108" s="102">
        <v>0</v>
      </c>
      <c r="M108" s="102">
        <v>250</v>
      </c>
      <c r="N108" s="102">
        <v>0</v>
      </c>
      <c r="O108" s="102">
        <v>0</v>
      </c>
      <c r="P108" s="103">
        <f t="shared" si="15"/>
        <v>8276</v>
      </c>
      <c r="Q108" s="103">
        <f t="shared" si="13"/>
        <v>240.78</v>
      </c>
      <c r="R108" s="103">
        <f t="shared" si="16"/>
        <v>882.86</v>
      </c>
      <c r="S108" s="103">
        <v>146.41</v>
      </c>
      <c r="T108" s="103">
        <v>0</v>
      </c>
      <c r="U108" s="103">
        <f t="shared" si="17"/>
        <v>1270.05</v>
      </c>
      <c r="V108" s="103">
        <f t="shared" si="12"/>
        <v>7005.95</v>
      </c>
      <c r="W108" s="103">
        <f>420</f>
        <v>420</v>
      </c>
    </row>
    <row r="109" spans="1:23" s="87" customFormat="1" ht="25.5" x14ac:dyDescent="0.2">
      <c r="A109" s="128">
        <v>100</v>
      </c>
      <c r="B109" s="58" t="s">
        <v>684</v>
      </c>
      <c r="C109" s="58" t="s">
        <v>576</v>
      </c>
      <c r="D109" s="101">
        <v>1350</v>
      </c>
      <c r="E109" s="102">
        <v>2000</v>
      </c>
      <c r="F109" s="102">
        <v>0</v>
      </c>
      <c r="G109" s="102">
        <v>0</v>
      </c>
      <c r="H109" s="102">
        <v>0</v>
      </c>
      <c r="I109" s="102">
        <v>4500</v>
      </c>
      <c r="J109" s="102">
        <v>0</v>
      </c>
      <c r="K109" s="102">
        <v>75</v>
      </c>
      <c r="L109" s="102">
        <v>0</v>
      </c>
      <c r="M109" s="102">
        <v>250</v>
      </c>
      <c r="N109" s="102">
        <v>0</v>
      </c>
      <c r="O109" s="102">
        <v>0</v>
      </c>
      <c r="P109" s="103">
        <f t="shared" si="15"/>
        <v>8175</v>
      </c>
      <c r="Q109" s="103">
        <f t="shared" si="13"/>
        <v>237.75</v>
      </c>
      <c r="R109" s="103">
        <f t="shared" si="16"/>
        <v>871.75</v>
      </c>
      <c r="S109" s="103">
        <v>145.13</v>
      </c>
      <c r="T109" s="103">
        <v>0</v>
      </c>
      <c r="U109" s="103">
        <f t="shared" si="17"/>
        <v>1254.6300000000001</v>
      </c>
      <c r="V109" s="103">
        <f t="shared" si="12"/>
        <v>6920.37</v>
      </c>
      <c r="W109" s="103">
        <v>0</v>
      </c>
    </row>
    <row r="110" spans="1:23" s="87" customFormat="1" x14ac:dyDescent="0.2">
      <c r="A110" s="128">
        <v>101</v>
      </c>
      <c r="B110" s="58" t="s">
        <v>685</v>
      </c>
      <c r="C110" s="58" t="s">
        <v>572</v>
      </c>
      <c r="D110" s="101">
        <v>1074</v>
      </c>
      <c r="E110" s="102">
        <v>400</v>
      </c>
      <c r="F110" s="102">
        <v>0</v>
      </c>
      <c r="G110" s="102">
        <v>1000</v>
      </c>
      <c r="H110" s="102">
        <v>0</v>
      </c>
      <c r="I110" s="102">
        <v>0</v>
      </c>
      <c r="J110" s="102">
        <v>0</v>
      </c>
      <c r="K110" s="102">
        <v>50</v>
      </c>
      <c r="L110" s="102">
        <v>200</v>
      </c>
      <c r="M110" s="102">
        <v>250</v>
      </c>
      <c r="N110" s="102">
        <v>0</v>
      </c>
      <c r="O110" s="102">
        <v>0</v>
      </c>
      <c r="P110" s="103">
        <f t="shared" si="15"/>
        <v>2974</v>
      </c>
      <c r="Q110" s="103">
        <f t="shared" si="13"/>
        <v>75.72</v>
      </c>
      <c r="R110" s="103">
        <f t="shared" si="16"/>
        <v>277.64</v>
      </c>
      <c r="S110" s="103">
        <v>0</v>
      </c>
      <c r="T110" s="103">
        <v>0</v>
      </c>
      <c r="U110" s="103">
        <f t="shared" si="17"/>
        <v>353.36</v>
      </c>
      <c r="V110" s="103">
        <f t="shared" si="12"/>
        <v>2620.64</v>
      </c>
      <c r="W110" s="103">
        <v>0</v>
      </c>
    </row>
    <row r="111" spans="1:23" s="87" customFormat="1" x14ac:dyDescent="0.2">
      <c r="A111" s="128">
        <v>102</v>
      </c>
      <c r="B111" s="58" t="s">
        <v>686</v>
      </c>
      <c r="C111" s="58" t="s">
        <v>576</v>
      </c>
      <c r="D111" s="101">
        <v>1350</v>
      </c>
      <c r="E111" s="102">
        <v>2000</v>
      </c>
      <c r="F111" s="102">
        <v>0</v>
      </c>
      <c r="G111" s="102">
        <v>0</v>
      </c>
      <c r="H111" s="102">
        <v>0</v>
      </c>
      <c r="I111" s="102">
        <v>4500</v>
      </c>
      <c r="J111" s="102">
        <v>0</v>
      </c>
      <c r="K111" s="102">
        <v>50</v>
      </c>
      <c r="L111" s="102">
        <v>0</v>
      </c>
      <c r="M111" s="102">
        <v>250</v>
      </c>
      <c r="N111" s="102">
        <v>0</v>
      </c>
      <c r="O111" s="102">
        <v>0</v>
      </c>
      <c r="P111" s="103">
        <f t="shared" si="15"/>
        <v>8150</v>
      </c>
      <c r="Q111" s="103">
        <f t="shared" si="13"/>
        <v>237</v>
      </c>
      <c r="R111" s="103">
        <f t="shared" si="16"/>
        <v>869</v>
      </c>
      <c r="S111" s="103">
        <v>145.53</v>
      </c>
      <c r="T111" s="103">
        <v>0</v>
      </c>
      <c r="U111" s="103">
        <f t="shared" si="17"/>
        <v>1251.53</v>
      </c>
      <c r="V111" s="103">
        <f t="shared" si="12"/>
        <v>6898.47</v>
      </c>
      <c r="W111" s="103">
        <v>0</v>
      </c>
    </row>
    <row r="112" spans="1:23" s="87" customFormat="1" ht="25.5" x14ac:dyDescent="0.2">
      <c r="A112" s="128">
        <v>103</v>
      </c>
      <c r="B112" s="55" t="s">
        <v>116</v>
      </c>
      <c r="C112" s="56" t="s">
        <v>197</v>
      </c>
      <c r="D112" s="57">
        <v>6759</v>
      </c>
      <c r="E112" s="52">
        <v>2000</v>
      </c>
      <c r="F112" s="102">
        <v>0</v>
      </c>
      <c r="G112" s="57">
        <v>4000</v>
      </c>
      <c r="H112" s="102">
        <v>0</v>
      </c>
      <c r="I112" s="102">
        <v>0</v>
      </c>
      <c r="J112" s="102">
        <v>375</v>
      </c>
      <c r="K112" s="102">
        <v>0</v>
      </c>
      <c r="L112" s="102">
        <v>0</v>
      </c>
      <c r="M112" s="102">
        <v>250</v>
      </c>
      <c r="N112" s="102">
        <v>0</v>
      </c>
      <c r="O112" s="102">
        <v>0</v>
      </c>
      <c r="P112" s="103">
        <f t="shared" si="15"/>
        <v>13384</v>
      </c>
      <c r="Q112" s="103">
        <f t="shared" si="13"/>
        <v>394.02</v>
      </c>
      <c r="R112" s="103">
        <f t="shared" si="16"/>
        <v>1444.74</v>
      </c>
      <c r="S112" s="28">
        <v>354.95</v>
      </c>
      <c r="T112" s="28">
        <v>176.52</v>
      </c>
      <c r="U112" s="103">
        <f t="shared" si="17"/>
        <v>2370.23</v>
      </c>
      <c r="V112" s="103">
        <f t="shared" si="12"/>
        <v>11013.77</v>
      </c>
      <c r="W112" s="103">
        <v>1499.5</v>
      </c>
    </row>
    <row r="113" spans="1:23" s="87" customFormat="1" x14ac:dyDescent="0.2">
      <c r="A113" s="128">
        <v>104</v>
      </c>
      <c r="B113" s="58" t="s">
        <v>687</v>
      </c>
      <c r="C113" s="58" t="s">
        <v>572</v>
      </c>
      <c r="D113" s="101">
        <v>1074</v>
      </c>
      <c r="E113" s="102">
        <v>400</v>
      </c>
      <c r="F113" s="102">
        <v>0</v>
      </c>
      <c r="G113" s="102">
        <v>1000</v>
      </c>
      <c r="H113" s="102">
        <v>0</v>
      </c>
      <c r="I113" s="102">
        <v>0</v>
      </c>
      <c r="J113" s="102">
        <v>0</v>
      </c>
      <c r="K113" s="102">
        <v>0</v>
      </c>
      <c r="L113" s="102">
        <v>200</v>
      </c>
      <c r="M113" s="102">
        <v>250</v>
      </c>
      <c r="N113" s="102">
        <v>0</v>
      </c>
      <c r="O113" s="102">
        <v>0</v>
      </c>
      <c r="P113" s="103">
        <f t="shared" si="15"/>
        <v>2924</v>
      </c>
      <c r="Q113" s="103">
        <f t="shared" si="13"/>
        <v>74.22</v>
      </c>
      <c r="R113" s="103">
        <f t="shared" si="16"/>
        <v>272.14</v>
      </c>
      <c r="S113" s="103">
        <v>0</v>
      </c>
      <c r="T113" s="103">
        <v>0</v>
      </c>
      <c r="U113" s="103">
        <f t="shared" si="17"/>
        <v>346.36</v>
      </c>
      <c r="V113" s="103">
        <f t="shared" si="12"/>
        <v>2577.64</v>
      </c>
      <c r="W113" s="103">
        <v>0</v>
      </c>
    </row>
    <row r="114" spans="1:23" s="87" customFormat="1" ht="25.5" x14ac:dyDescent="0.2">
      <c r="A114" s="128">
        <v>105</v>
      </c>
      <c r="B114" s="58" t="s">
        <v>688</v>
      </c>
      <c r="C114" s="58" t="s">
        <v>587</v>
      </c>
      <c r="D114" s="101">
        <v>1223</v>
      </c>
      <c r="E114" s="102">
        <v>2000</v>
      </c>
      <c r="F114" s="102">
        <v>0</v>
      </c>
      <c r="G114" s="102">
        <v>0</v>
      </c>
      <c r="H114" s="102">
        <v>0</v>
      </c>
      <c r="I114" s="102">
        <v>4500</v>
      </c>
      <c r="J114" s="102">
        <v>0</v>
      </c>
      <c r="K114" s="102">
        <v>0</v>
      </c>
      <c r="L114" s="102">
        <v>0</v>
      </c>
      <c r="M114" s="102">
        <v>250</v>
      </c>
      <c r="N114" s="102">
        <v>0</v>
      </c>
      <c r="O114" s="102">
        <v>0</v>
      </c>
      <c r="P114" s="103">
        <f t="shared" si="15"/>
        <v>7973</v>
      </c>
      <c r="Q114" s="103">
        <f t="shared" si="13"/>
        <v>231.69</v>
      </c>
      <c r="R114" s="103">
        <f t="shared" si="16"/>
        <v>849.53</v>
      </c>
      <c r="S114" s="103">
        <v>137.69999999999999</v>
      </c>
      <c r="T114" s="103">
        <v>0</v>
      </c>
      <c r="U114" s="103">
        <f t="shared" si="17"/>
        <v>1218.92</v>
      </c>
      <c r="V114" s="103">
        <f t="shared" si="12"/>
        <v>6754.08</v>
      </c>
      <c r="W114" s="103">
        <v>0</v>
      </c>
    </row>
    <row r="115" spans="1:23" s="87" customFormat="1" ht="25.5" x14ac:dyDescent="0.2">
      <c r="A115" s="128">
        <v>106</v>
      </c>
      <c r="B115" s="58" t="s">
        <v>689</v>
      </c>
      <c r="C115" s="122" t="s">
        <v>574</v>
      </c>
      <c r="D115" s="101">
        <v>1350</v>
      </c>
      <c r="E115" s="102">
        <v>2000</v>
      </c>
      <c r="F115" s="102">
        <v>0</v>
      </c>
      <c r="G115" s="102">
        <v>0</v>
      </c>
      <c r="H115" s="102">
        <v>1600</v>
      </c>
      <c r="I115" s="102">
        <v>2900</v>
      </c>
      <c r="J115" s="102">
        <v>0</v>
      </c>
      <c r="K115" s="102">
        <v>35</v>
      </c>
      <c r="L115" s="102">
        <v>0</v>
      </c>
      <c r="M115" s="102">
        <v>250</v>
      </c>
      <c r="N115" s="102">
        <v>0</v>
      </c>
      <c r="O115" s="102">
        <v>0</v>
      </c>
      <c r="P115" s="103">
        <f t="shared" si="15"/>
        <v>8135</v>
      </c>
      <c r="Q115" s="103">
        <f t="shared" si="13"/>
        <v>236.55</v>
      </c>
      <c r="R115" s="103">
        <f t="shared" si="16"/>
        <v>867.35</v>
      </c>
      <c r="S115" s="103">
        <v>144.5</v>
      </c>
      <c r="T115" s="103">
        <v>105.97</v>
      </c>
      <c r="U115" s="103">
        <f t="shared" si="17"/>
        <v>1354.37</v>
      </c>
      <c r="V115" s="103">
        <f t="shared" si="12"/>
        <v>6780.63</v>
      </c>
      <c r="W115" s="103">
        <f>983</f>
        <v>983</v>
      </c>
    </row>
    <row r="116" spans="1:23" s="87" customFormat="1" x14ac:dyDescent="0.2">
      <c r="A116" s="128">
        <v>107</v>
      </c>
      <c r="B116" s="58" t="s">
        <v>690</v>
      </c>
      <c r="C116" s="58" t="s">
        <v>572</v>
      </c>
      <c r="D116" s="101">
        <v>1074</v>
      </c>
      <c r="E116" s="102">
        <v>400</v>
      </c>
      <c r="F116" s="102">
        <v>0</v>
      </c>
      <c r="G116" s="102">
        <v>1000</v>
      </c>
      <c r="H116" s="102">
        <v>0</v>
      </c>
      <c r="I116" s="102">
        <v>0</v>
      </c>
      <c r="J116" s="102">
        <v>0</v>
      </c>
      <c r="K116" s="102">
        <v>0</v>
      </c>
      <c r="L116" s="102">
        <v>200</v>
      </c>
      <c r="M116" s="102">
        <v>250</v>
      </c>
      <c r="N116" s="102">
        <v>0</v>
      </c>
      <c r="O116" s="102">
        <v>0</v>
      </c>
      <c r="P116" s="103">
        <f t="shared" si="15"/>
        <v>2924</v>
      </c>
      <c r="Q116" s="103">
        <f t="shared" si="13"/>
        <v>74.22</v>
      </c>
      <c r="R116" s="103">
        <f t="shared" si="16"/>
        <v>272.14</v>
      </c>
      <c r="S116" s="103">
        <v>0</v>
      </c>
      <c r="T116" s="103">
        <v>0</v>
      </c>
      <c r="U116" s="103">
        <f t="shared" si="17"/>
        <v>346.36</v>
      </c>
      <c r="V116" s="103">
        <f t="shared" si="12"/>
        <v>2577.64</v>
      </c>
      <c r="W116" s="103">
        <v>0</v>
      </c>
    </row>
    <row r="117" spans="1:23" s="87" customFormat="1" ht="25.5" x14ac:dyDescent="0.2">
      <c r="A117" s="128">
        <v>108</v>
      </c>
      <c r="B117" s="58" t="s">
        <v>691</v>
      </c>
      <c r="C117" s="122" t="s">
        <v>574</v>
      </c>
      <c r="D117" s="102">
        <v>1350</v>
      </c>
      <c r="E117" s="103">
        <v>2000</v>
      </c>
      <c r="F117" s="102">
        <v>0</v>
      </c>
      <c r="G117" s="102">
        <v>0</v>
      </c>
      <c r="H117" s="102">
        <v>1600</v>
      </c>
      <c r="I117" s="102">
        <v>2900</v>
      </c>
      <c r="J117" s="102">
        <v>0</v>
      </c>
      <c r="K117" s="102">
        <v>0</v>
      </c>
      <c r="L117" s="102">
        <v>0</v>
      </c>
      <c r="M117" s="102">
        <v>250</v>
      </c>
      <c r="N117" s="102">
        <v>0</v>
      </c>
      <c r="O117" s="102">
        <v>0</v>
      </c>
      <c r="P117" s="103">
        <f t="shared" si="15"/>
        <v>8100</v>
      </c>
      <c r="Q117" s="103">
        <f t="shared" si="13"/>
        <v>235.5</v>
      </c>
      <c r="R117" s="103">
        <f t="shared" si="16"/>
        <v>863.5</v>
      </c>
      <c r="S117" s="103">
        <v>137.69</v>
      </c>
      <c r="T117" s="103">
        <v>0</v>
      </c>
      <c r="U117" s="103">
        <f t="shared" si="17"/>
        <v>1236.69</v>
      </c>
      <c r="V117" s="103">
        <f t="shared" si="12"/>
        <v>6863.31</v>
      </c>
      <c r="W117" s="103">
        <v>0</v>
      </c>
    </row>
    <row r="118" spans="1:23" s="87" customFormat="1" x14ac:dyDescent="0.2">
      <c r="A118" s="128">
        <v>109</v>
      </c>
      <c r="B118" s="58" t="s">
        <v>692</v>
      </c>
      <c r="C118" s="58" t="s">
        <v>693</v>
      </c>
      <c r="D118" s="102">
        <v>1128</v>
      </c>
      <c r="E118" s="102">
        <v>0</v>
      </c>
      <c r="F118" s="102">
        <v>0</v>
      </c>
      <c r="G118" s="102">
        <v>1000</v>
      </c>
      <c r="H118" s="102">
        <v>0</v>
      </c>
      <c r="I118" s="102">
        <v>0</v>
      </c>
      <c r="J118" s="102">
        <v>0</v>
      </c>
      <c r="K118" s="102">
        <v>0</v>
      </c>
      <c r="L118" s="102">
        <v>600</v>
      </c>
      <c r="M118" s="102">
        <v>250</v>
      </c>
      <c r="N118" s="102">
        <v>0</v>
      </c>
      <c r="O118" s="102">
        <v>0</v>
      </c>
      <c r="P118" s="103">
        <f t="shared" si="15"/>
        <v>2978</v>
      </c>
      <c r="Q118" s="103">
        <f t="shared" si="13"/>
        <v>63.84</v>
      </c>
      <c r="R118" s="103">
        <f t="shared" si="16"/>
        <v>234.08</v>
      </c>
      <c r="S118" s="103">
        <v>0</v>
      </c>
      <c r="T118" s="103">
        <v>0</v>
      </c>
      <c r="U118" s="103">
        <f t="shared" si="17"/>
        <v>297.92</v>
      </c>
      <c r="V118" s="103">
        <f t="shared" si="12"/>
        <v>2680.08</v>
      </c>
      <c r="W118" s="103">
        <v>0</v>
      </c>
    </row>
    <row r="119" spans="1:23" s="87" customFormat="1" ht="25.5" x14ac:dyDescent="0.2">
      <c r="A119" s="128">
        <v>110</v>
      </c>
      <c r="B119" s="58" t="s">
        <v>694</v>
      </c>
      <c r="C119" s="122" t="s">
        <v>574</v>
      </c>
      <c r="D119" s="101">
        <v>1350</v>
      </c>
      <c r="E119" s="102">
        <v>2000</v>
      </c>
      <c r="F119" s="102">
        <v>0</v>
      </c>
      <c r="G119" s="102">
        <v>0</v>
      </c>
      <c r="H119" s="102">
        <v>1600</v>
      </c>
      <c r="I119" s="102">
        <v>2900</v>
      </c>
      <c r="J119" s="102">
        <v>0</v>
      </c>
      <c r="K119" s="102">
        <v>75</v>
      </c>
      <c r="L119" s="102">
        <v>0</v>
      </c>
      <c r="M119" s="102">
        <v>250</v>
      </c>
      <c r="N119" s="102">
        <v>0</v>
      </c>
      <c r="O119" s="102">
        <v>0</v>
      </c>
      <c r="P119" s="103">
        <f t="shared" si="15"/>
        <v>8175</v>
      </c>
      <c r="Q119" s="103">
        <f t="shared" si="13"/>
        <v>237.75</v>
      </c>
      <c r="R119" s="103">
        <f t="shared" si="16"/>
        <v>871.75</v>
      </c>
      <c r="S119" s="103">
        <v>145.13</v>
      </c>
      <c r="T119" s="103">
        <v>106.18</v>
      </c>
      <c r="U119" s="103">
        <f t="shared" si="17"/>
        <v>1360.81</v>
      </c>
      <c r="V119" s="103">
        <f t="shared" si="12"/>
        <v>6814.19</v>
      </c>
      <c r="W119" s="103">
        <f>981.75</f>
        <v>981.75</v>
      </c>
    </row>
    <row r="120" spans="1:23" s="87" customFormat="1" ht="25.5" x14ac:dyDescent="0.2">
      <c r="A120" s="128">
        <v>111</v>
      </c>
      <c r="B120" s="58" t="s">
        <v>695</v>
      </c>
      <c r="C120" s="58" t="s">
        <v>587</v>
      </c>
      <c r="D120" s="101">
        <v>1223</v>
      </c>
      <c r="E120" s="103">
        <f>2000</f>
        <v>2000</v>
      </c>
      <c r="F120" s="102">
        <v>0</v>
      </c>
      <c r="G120" s="102">
        <v>0</v>
      </c>
      <c r="H120" s="102">
        <v>1300</v>
      </c>
      <c r="I120" s="102">
        <f>3200</f>
        <v>3200</v>
      </c>
      <c r="J120" s="102">
        <v>0</v>
      </c>
      <c r="K120" s="102">
        <v>0</v>
      </c>
      <c r="L120" s="102">
        <v>0</v>
      </c>
      <c r="M120" s="102">
        <v>250</v>
      </c>
      <c r="N120" s="102">
        <v>0</v>
      </c>
      <c r="O120" s="102">
        <v>0</v>
      </c>
      <c r="P120" s="103">
        <f t="shared" si="15"/>
        <v>7973</v>
      </c>
      <c r="Q120" s="103">
        <f t="shared" si="13"/>
        <v>231.69</v>
      </c>
      <c r="R120" s="103">
        <f t="shared" si="16"/>
        <v>849.53</v>
      </c>
      <c r="S120" s="103">
        <v>139.80000000000001</v>
      </c>
      <c r="T120" s="103">
        <v>0</v>
      </c>
      <c r="U120" s="103">
        <f t="shared" si="17"/>
        <v>1221.02</v>
      </c>
      <c r="V120" s="103">
        <f t="shared" si="12"/>
        <v>6751.98</v>
      </c>
      <c r="W120" s="103">
        <v>0</v>
      </c>
    </row>
    <row r="121" spans="1:23" s="87" customFormat="1" ht="25.5" x14ac:dyDescent="0.2">
      <c r="A121" s="128">
        <v>112</v>
      </c>
      <c r="B121" s="122" t="s">
        <v>696</v>
      </c>
      <c r="C121" s="124" t="s">
        <v>945</v>
      </c>
      <c r="D121" s="68">
        <v>10261</v>
      </c>
      <c r="E121" s="103">
        <v>4000</v>
      </c>
      <c r="F121" s="102">
        <v>0</v>
      </c>
      <c r="G121" s="102">
        <v>5000</v>
      </c>
      <c r="H121" s="102">
        <v>0</v>
      </c>
      <c r="I121" s="102">
        <v>0</v>
      </c>
      <c r="J121" s="102">
        <v>375</v>
      </c>
      <c r="K121" s="102">
        <v>0</v>
      </c>
      <c r="L121" s="102">
        <v>0</v>
      </c>
      <c r="M121" s="102">
        <v>250</v>
      </c>
      <c r="N121" s="102">
        <v>0</v>
      </c>
      <c r="O121" s="102">
        <v>0</v>
      </c>
      <c r="P121" s="103">
        <f t="shared" si="15"/>
        <v>19886</v>
      </c>
      <c r="Q121" s="103">
        <f t="shared" si="13"/>
        <v>589.08000000000004</v>
      </c>
      <c r="R121" s="103">
        <f t="shared" si="16"/>
        <v>2159.96</v>
      </c>
      <c r="S121" s="103">
        <v>618.41</v>
      </c>
      <c r="T121" s="103">
        <v>263.91000000000003</v>
      </c>
      <c r="U121" s="103">
        <f t="shared" si="17"/>
        <v>3631.36</v>
      </c>
      <c r="V121" s="103">
        <f t="shared" si="12"/>
        <v>16254.64</v>
      </c>
      <c r="W121" s="103">
        <v>0</v>
      </c>
    </row>
    <row r="122" spans="1:23" s="87" customFormat="1" ht="25.5" x14ac:dyDescent="0.2">
      <c r="A122" s="128">
        <v>113</v>
      </c>
      <c r="B122" s="122" t="s">
        <v>697</v>
      </c>
      <c r="C122" s="58" t="s">
        <v>698</v>
      </c>
      <c r="D122" s="102">
        <v>1074</v>
      </c>
      <c r="E122" s="102">
        <v>0</v>
      </c>
      <c r="F122" s="102">
        <v>0</v>
      </c>
      <c r="G122" s="102">
        <v>1000</v>
      </c>
      <c r="H122" s="102">
        <v>0</v>
      </c>
      <c r="I122" s="102">
        <v>0</v>
      </c>
      <c r="J122" s="102">
        <v>0</v>
      </c>
      <c r="K122" s="102">
        <v>0</v>
      </c>
      <c r="L122" s="102">
        <v>600</v>
      </c>
      <c r="M122" s="102">
        <v>250</v>
      </c>
      <c r="N122" s="102">
        <v>0</v>
      </c>
      <c r="O122" s="102">
        <v>0</v>
      </c>
      <c r="P122" s="103">
        <f t="shared" si="15"/>
        <v>2924</v>
      </c>
      <c r="Q122" s="103">
        <f t="shared" si="13"/>
        <v>62.22</v>
      </c>
      <c r="R122" s="103">
        <f t="shared" si="16"/>
        <v>228.14</v>
      </c>
      <c r="S122" s="103">
        <v>0</v>
      </c>
      <c r="T122" s="103">
        <v>0</v>
      </c>
      <c r="U122" s="103">
        <f t="shared" si="17"/>
        <v>290.36</v>
      </c>
      <c r="V122" s="103">
        <f t="shared" si="12"/>
        <v>2633.64</v>
      </c>
      <c r="W122" s="103">
        <v>0</v>
      </c>
    </row>
    <row r="123" spans="1:23" s="87" customFormat="1" ht="25.5" x14ac:dyDescent="0.2">
      <c r="A123" s="128">
        <v>114</v>
      </c>
      <c r="B123" s="58" t="s">
        <v>699</v>
      </c>
      <c r="C123" s="122" t="s">
        <v>574</v>
      </c>
      <c r="D123" s="101">
        <v>1350</v>
      </c>
      <c r="E123" s="102">
        <v>2000</v>
      </c>
      <c r="F123" s="102">
        <v>0</v>
      </c>
      <c r="G123" s="102">
        <v>0</v>
      </c>
      <c r="H123" s="102">
        <v>1600</v>
      </c>
      <c r="I123" s="102">
        <f>2900</f>
        <v>2900</v>
      </c>
      <c r="J123" s="102">
        <v>0</v>
      </c>
      <c r="K123" s="102">
        <v>0</v>
      </c>
      <c r="L123" s="102">
        <v>0</v>
      </c>
      <c r="M123" s="102">
        <v>250</v>
      </c>
      <c r="N123" s="102">
        <v>0</v>
      </c>
      <c r="O123" s="102">
        <v>0</v>
      </c>
      <c r="P123" s="103">
        <f t="shared" si="15"/>
        <v>8100</v>
      </c>
      <c r="Q123" s="103">
        <f t="shared" si="13"/>
        <v>235.5</v>
      </c>
      <c r="R123" s="103">
        <f t="shared" si="16"/>
        <v>863.5</v>
      </c>
      <c r="S123" s="103">
        <v>145.13</v>
      </c>
      <c r="T123" s="103">
        <v>0</v>
      </c>
      <c r="U123" s="103">
        <f t="shared" si="17"/>
        <v>1244.1300000000001</v>
      </c>
      <c r="V123" s="103">
        <f t="shared" si="12"/>
        <v>6855.87</v>
      </c>
      <c r="W123" s="103">
        <v>0</v>
      </c>
    </row>
    <row r="124" spans="1:23" s="87" customFormat="1" ht="25.5" x14ac:dyDescent="0.2">
      <c r="A124" s="128">
        <v>115</v>
      </c>
      <c r="B124" s="58" t="s">
        <v>700</v>
      </c>
      <c r="C124" s="58" t="s">
        <v>576</v>
      </c>
      <c r="D124" s="101">
        <v>1350</v>
      </c>
      <c r="E124" s="102">
        <v>2000</v>
      </c>
      <c r="F124" s="102">
        <v>0</v>
      </c>
      <c r="G124" s="102">
        <v>0</v>
      </c>
      <c r="H124" s="102">
        <v>0</v>
      </c>
      <c r="I124" s="102">
        <v>4500</v>
      </c>
      <c r="J124" s="102">
        <v>0</v>
      </c>
      <c r="K124" s="102">
        <v>75</v>
      </c>
      <c r="L124" s="102">
        <v>0</v>
      </c>
      <c r="M124" s="102">
        <v>250</v>
      </c>
      <c r="N124" s="102">
        <v>0</v>
      </c>
      <c r="O124" s="102">
        <v>0</v>
      </c>
      <c r="P124" s="103">
        <f t="shared" si="15"/>
        <v>8175</v>
      </c>
      <c r="Q124" s="103">
        <f t="shared" si="13"/>
        <v>237.75</v>
      </c>
      <c r="R124" s="103">
        <f t="shared" si="16"/>
        <v>871.75</v>
      </c>
      <c r="S124" s="103">
        <v>146.18</v>
      </c>
      <c r="T124" s="103">
        <v>0</v>
      </c>
      <c r="U124" s="103">
        <f t="shared" si="17"/>
        <v>1255.68</v>
      </c>
      <c r="V124" s="103">
        <f t="shared" si="12"/>
        <v>6919.32</v>
      </c>
      <c r="W124" s="103">
        <v>0</v>
      </c>
    </row>
    <row r="125" spans="1:23" s="87" customFormat="1" ht="38.25" x14ac:dyDescent="0.2">
      <c r="A125" s="128">
        <v>116</v>
      </c>
      <c r="B125" s="58" t="s">
        <v>701</v>
      </c>
      <c r="C125" s="58" t="s">
        <v>702</v>
      </c>
      <c r="D125" s="101">
        <f>(485*6)+1350</f>
        <v>4260</v>
      </c>
      <c r="E125" s="102">
        <v>2000</v>
      </c>
      <c r="F125" s="102">
        <f>606.25*6</f>
        <v>3637.5</v>
      </c>
      <c r="G125" s="102">
        <v>0</v>
      </c>
      <c r="H125" s="102">
        <v>0</v>
      </c>
      <c r="I125" s="102">
        <v>4500</v>
      </c>
      <c r="J125" s="102">
        <v>0</v>
      </c>
      <c r="K125" s="102">
        <v>0</v>
      </c>
      <c r="L125" s="102">
        <v>0</v>
      </c>
      <c r="M125" s="102">
        <v>250</v>
      </c>
      <c r="N125" s="102">
        <v>0</v>
      </c>
      <c r="O125" s="102">
        <v>0</v>
      </c>
      <c r="P125" s="103">
        <f t="shared" si="15"/>
        <v>14647.5</v>
      </c>
      <c r="Q125" s="103">
        <f t="shared" si="13"/>
        <v>431.93</v>
      </c>
      <c r="R125" s="103">
        <f t="shared" si="16"/>
        <v>1583.73</v>
      </c>
      <c r="S125" s="103">
        <v>403.63</v>
      </c>
      <c r="T125" s="103">
        <v>0</v>
      </c>
      <c r="U125" s="103">
        <f t="shared" si="17"/>
        <v>2419.29</v>
      </c>
      <c r="V125" s="103">
        <f t="shared" si="12"/>
        <v>12228.21</v>
      </c>
      <c r="W125" s="103">
        <v>0</v>
      </c>
    </row>
    <row r="126" spans="1:23" s="87" customFormat="1" ht="38.25" x14ac:dyDescent="0.2">
      <c r="A126" s="128">
        <v>117</v>
      </c>
      <c r="B126" s="58" t="s">
        <v>703</v>
      </c>
      <c r="C126" s="58" t="s">
        <v>704</v>
      </c>
      <c r="D126" s="101">
        <f>(485*6)+2848</f>
        <v>5758</v>
      </c>
      <c r="E126" s="102">
        <v>2500</v>
      </c>
      <c r="F126" s="102">
        <f>485*6</f>
        <v>2910</v>
      </c>
      <c r="G126" s="102">
        <v>0</v>
      </c>
      <c r="H126" s="102">
        <v>0</v>
      </c>
      <c r="I126" s="102">
        <v>5500</v>
      </c>
      <c r="J126" s="102">
        <v>0</v>
      </c>
      <c r="K126" s="102">
        <v>0</v>
      </c>
      <c r="L126" s="102">
        <v>0</v>
      </c>
      <c r="M126" s="102">
        <v>250</v>
      </c>
      <c r="N126" s="102">
        <v>0</v>
      </c>
      <c r="O126" s="102">
        <v>0</v>
      </c>
      <c r="P126" s="103">
        <f t="shared" si="15"/>
        <v>16918</v>
      </c>
      <c r="Q126" s="103">
        <f t="shared" si="13"/>
        <v>500.04</v>
      </c>
      <c r="R126" s="103">
        <f t="shared" si="16"/>
        <v>1833.48</v>
      </c>
      <c r="S126" s="103">
        <v>541.87</v>
      </c>
      <c r="T126" s="103">
        <v>145.80000000000001</v>
      </c>
      <c r="U126" s="103">
        <f t="shared" si="17"/>
        <v>3021.19</v>
      </c>
      <c r="V126" s="103">
        <f t="shared" si="12"/>
        <v>13896.81</v>
      </c>
      <c r="W126" s="103">
        <v>0</v>
      </c>
    </row>
    <row r="127" spans="1:23" s="87" customFormat="1" ht="25.5" x14ac:dyDescent="0.2">
      <c r="A127" s="128">
        <v>118</v>
      </c>
      <c r="B127" s="58" t="s">
        <v>705</v>
      </c>
      <c r="C127" s="122" t="s">
        <v>574</v>
      </c>
      <c r="D127" s="101">
        <v>1350</v>
      </c>
      <c r="E127" s="102">
        <v>2000</v>
      </c>
      <c r="F127" s="102">
        <v>0</v>
      </c>
      <c r="G127" s="102">
        <v>0</v>
      </c>
      <c r="H127" s="102">
        <v>1600</v>
      </c>
      <c r="I127" s="102">
        <v>2900</v>
      </c>
      <c r="J127" s="102">
        <v>0</v>
      </c>
      <c r="K127" s="102">
        <v>50</v>
      </c>
      <c r="L127" s="102">
        <v>0</v>
      </c>
      <c r="M127" s="102">
        <v>250</v>
      </c>
      <c r="N127" s="102">
        <v>0</v>
      </c>
      <c r="O127" s="102">
        <v>0</v>
      </c>
      <c r="P127" s="103">
        <f t="shared" si="15"/>
        <v>8150</v>
      </c>
      <c r="Q127" s="103">
        <f t="shared" si="13"/>
        <v>237</v>
      </c>
      <c r="R127" s="103">
        <f t="shared" si="16"/>
        <v>869</v>
      </c>
      <c r="S127" s="103">
        <v>0</v>
      </c>
      <c r="T127" s="103">
        <v>0</v>
      </c>
      <c r="U127" s="103">
        <f t="shared" si="17"/>
        <v>1106</v>
      </c>
      <c r="V127" s="103">
        <f t="shared" si="12"/>
        <v>7044</v>
      </c>
      <c r="W127" s="103">
        <f>765</f>
        <v>765</v>
      </c>
    </row>
    <row r="128" spans="1:23" s="87" customFormat="1" ht="38.25" x14ac:dyDescent="0.2">
      <c r="A128" s="128">
        <v>119</v>
      </c>
      <c r="B128" s="58" t="s">
        <v>706</v>
      </c>
      <c r="C128" s="58" t="s">
        <v>707</v>
      </c>
      <c r="D128" s="101">
        <v>2885</v>
      </c>
      <c r="E128" s="102">
        <v>0</v>
      </c>
      <c r="F128" s="102">
        <v>3606.25</v>
      </c>
      <c r="G128" s="102">
        <v>0</v>
      </c>
      <c r="H128" s="102">
        <v>0</v>
      </c>
      <c r="I128" s="102">
        <v>0</v>
      </c>
      <c r="J128" s="102">
        <v>0</v>
      </c>
      <c r="K128" s="102">
        <v>0</v>
      </c>
      <c r="L128" s="102">
        <v>0</v>
      </c>
      <c r="M128" s="102">
        <v>0</v>
      </c>
      <c r="N128" s="102">
        <v>0</v>
      </c>
      <c r="O128" s="102">
        <v>0</v>
      </c>
      <c r="P128" s="103">
        <f t="shared" si="15"/>
        <v>6491.25</v>
      </c>
      <c r="Q128" s="103">
        <f t="shared" si="13"/>
        <v>194.74</v>
      </c>
      <c r="R128" s="103">
        <f t="shared" si="16"/>
        <v>714.04</v>
      </c>
      <c r="S128" s="103">
        <v>72.63</v>
      </c>
      <c r="T128" s="103">
        <v>0</v>
      </c>
      <c r="U128" s="103">
        <f t="shared" si="17"/>
        <v>981.41</v>
      </c>
      <c r="V128" s="103">
        <f t="shared" si="12"/>
        <v>5509.84</v>
      </c>
      <c r="W128" s="103">
        <v>0</v>
      </c>
    </row>
    <row r="129" spans="1:23" s="87" customFormat="1" x14ac:dyDescent="0.2">
      <c r="A129" s="128">
        <v>120</v>
      </c>
      <c r="B129" s="125" t="s">
        <v>935</v>
      </c>
      <c r="C129" s="58" t="s">
        <v>936</v>
      </c>
      <c r="D129" s="101">
        <v>1350</v>
      </c>
      <c r="E129" s="102">
        <v>0</v>
      </c>
      <c r="F129" s="102">
        <v>0</v>
      </c>
      <c r="G129" s="102">
        <v>0</v>
      </c>
      <c r="H129" s="102">
        <v>0</v>
      </c>
      <c r="I129" s="102">
        <v>4500</v>
      </c>
      <c r="J129" s="102">
        <v>0</v>
      </c>
      <c r="K129" s="102">
        <v>0</v>
      </c>
      <c r="L129" s="102">
        <v>0</v>
      </c>
      <c r="M129" s="102">
        <v>250</v>
      </c>
      <c r="N129" s="102">
        <v>0</v>
      </c>
      <c r="O129" s="102">
        <v>0</v>
      </c>
      <c r="P129" s="103">
        <f t="shared" ref="P129:P160" si="18">SUM(D129:N129)</f>
        <v>6100</v>
      </c>
      <c r="Q129" s="103">
        <f t="shared" si="13"/>
        <v>175.5</v>
      </c>
      <c r="R129" s="103">
        <f t="shared" si="16"/>
        <v>643.5</v>
      </c>
      <c r="S129" s="103">
        <v>0</v>
      </c>
      <c r="T129" s="103">
        <v>0</v>
      </c>
      <c r="U129" s="103">
        <f t="shared" si="17"/>
        <v>819</v>
      </c>
      <c r="V129" s="103">
        <f t="shared" si="12"/>
        <v>5281</v>
      </c>
      <c r="W129" s="103">
        <v>0</v>
      </c>
    </row>
    <row r="130" spans="1:23" s="87" customFormat="1" ht="25.5" x14ac:dyDescent="0.2">
      <c r="A130" s="128">
        <v>121</v>
      </c>
      <c r="B130" s="58" t="s">
        <v>708</v>
      </c>
      <c r="C130" s="58" t="s">
        <v>709</v>
      </c>
      <c r="D130" s="101">
        <f>(362*5)</f>
        <v>1810</v>
      </c>
      <c r="E130" s="102">
        <v>0</v>
      </c>
      <c r="F130" s="102">
        <f>271.5*5</f>
        <v>1357.5</v>
      </c>
      <c r="G130" s="102">
        <v>0</v>
      </c>
      <c r="H130" s="102">
        <v>0</v>
      </c>
      <c r="I130" s="102">
        <v>0</v>
      </c>
      <c r="J130" s="102">
        <v>0</v>
      </c>
      <c r="K130" s="102">
        <v>0</v>
      </c>
      <c r="L130" s="102">
        <v>0</v>
      </c>
      <c r="M130" s="102">
        <v>0</v>
      </c>
      <c r="N130" s="102">
        <v>0</v>
      </c>
      <c r="O130" s="102">
        <v>0</v>
      </c>
      <c r="P130" s="103">
        <f t="shared" si="18"/>
        <v>3167.5</v>
      </c>
      <c r="Q130" s="103">
        <f t="shared" si="13"/>
        <v>95.03</v>
      </c>
      <c r="R130" s="103">
        <f t="shared" ref="R130:R164" si="19">(D130+E130+F130+G130+H130+I130+J130+K130+N130)*11%</f>
        <v>348.43</v>
      </c>
      <c r="S130" s="103">
        <v>0</v>
      </c>
      <c r="T130" s="103">
        <v>0</v>
      </c>
      <c r="U130" s="103">
        <f t="shared" si="17"/>
        <v>443.46</v>
      </c>
      <c r="V130" s="103">
        <f t="shared" si="12"/>
        <v>2724.04</v>
      </c>
      <c r="W130" s="103">
        <v>0</v>
      </c>
    </row>
    <row r="131" spans="1:23" s="87" customFormat="1" ht="25.5" x14ac:dyDescent="0.2">
      <c r="A131" s="128">
        <v>122</v>
      </c>
      <c r="B131" s="58" t="s">
        <v>710</v>
      </c>
      <c r="C131" s="122" t="s">
        <v>574</v>
      </c>
      <c r="D131" s="101">
        <v>1350</v>
      </c>
      <c r="E131" s="102">
        <v>2000</v>
      </c>
      <c r="F131" s="102">
        <v>0</v>
      </c>
      <c r="G131" s="102">
        <v>0</v>
      </c>
      <c r="H131" s="102">
        <v>1600</v>
      </c>
      <c r="I131" s="102">
        <v>2900</v>
      </c>
      <c r="J131" s="102">
        <v>0</v>
      </c>
      <c r="K131" s="102">
        <v>75</v>
      </c>
      <c r="L131" s="102">
        <v>0</v>
      </c>
      <c r="M131" s="102">
        <v>250</v>
      </c>
      <c r="N131" s="102">
        <v>0</v>
      </c>
      <c r="O131" s="102">
        <v>0</v>
      </c>
      <c r="P131" s="103">
        <f t="shared" si="18"/>
        <v>8175</v>
      </c>
      <c r="Q131" s="103">
        <f t="shared" si="13"/>
        <v>237.75</v>
      </c>
      <c r="R131" s="103">
        <f t="shared" si="19"/>
        <v>871.75</v>
      </c>
      <c r="S131" s="103">
        <v>145.13</v>
      </c>
      <c r="T131" s="103">
        <v>0</v>
      </c>
      <c r="U131" s="103">
        <f t="shared" si="17"/>
        <v>1254.6300000000001</v>
      </c>
      <c r="V131" s="103">
        <f t="shared" si="12"/>
        <v>6920.37</v>
      </c>
      <c r="W131" s="103">
        <f>960.75</f>
        <v>960.75</v>
      </c>
    </row>
    <row r="132" spans="1:23" s="87" customFormat="1" x14ac:dyDescent="0.2">
      <c r="A132" s="128">
        <v>123</v>
      </c>
      <c r="B132" s="58" t="s">
        <v>711</v>
      </c>
      <c r="C132" s="58" t="s">
        <v>581</v>
      </c>
      <c r="D132" s="101">
        <v>1476</v>
      </c>
      <c r="E132" s="102">
        <v>2000</v>
      </c>
      <c r="F132" s="102">
        <v>0</v>
      </c>
      <c r="G132" s="102">
        <v>1900</v>
      </c>
      <c r="H132" s="102">
        <v>0</v>
      </c>
      <c r="I132" s="102">
        <v>2600</v>
      </c>
      <c r="J132" s="102">
        <v>0</v>
      </c>
      <c r="K132" s="102">
        <v>50</v>
      </c>
      <c r="L132" s="102">
        <v>0</v>
      </c>
      <c r="M132" s="102">
        <v>250</v>
      </c>
      <c r="N132" s="102">
        <v>0</v>
      </c>
      <c r="O132" s="102">
        <v>0</v>
      </c>
      <c r="P132" s="103">
        <f t="shared" si="18"/>
        <v>8276</v>
      </c>
      <c r="Q132" s="103">
        <f t="shared" si="13"/>
        <v>240.78</v>
      </c>
      <c r="R132" s="103">
        <f t="shared" si="19"/>
        <v>882.86</v>
      </c>
      <c r="S132" s="103">
        <v>146.41</v>
      </c>
      <c r="T132" s="103">
        <v>0</v>
      </c>
      <c r="U132" s="103">
        <f t="shared" ref="U132:U163" si="20">SUM(Q132:T132)</f>
        <v>1270.05</v>
      </c>
      <c r="V132" s="103">
        <f t="shared" si="12"/>
        <v>7005.95</v>
      </c>
      <c r="W132" s="103">
        <f>205+620</f>
        <v>825</v>
      </c>
    </row>
    <row r="133" spans="1:23" s="87" customFormat="1" ht="25.5" x14ac:dyDescent="0.2">
      <c r="A133" s="128">
        <v>124</v>
      </c>
      <c r="B133" s="58" t="s">
        <v>712</v>
      </c>
      <c r="C133" s="58" t="s">
        <v>569</v>
      </c>
      <c r="D133" s="101">
        <v>1634</v>
      </c>
      <c r="E133" s="102">
        <v>1800</v>
      </c>
      <c r="F133" s="102">
        <v>0</v>
      </c>
      <c r="G133" s="102">
        <v>0</v>
      </c>
      <c r="H133" s="102">
        <v>2200</v>
      </c>
      <c r="I133" s="102">
        <v>0</v>
      </c>
      <c r="J133" s="102">
        <v>0</v>
      </c>
      <c r="K133" s="102">
        <v>75</v>
      </c>
      <c r="L133" s="102">
        <v>0</v>
      </c>
      <c r="M133" s="102">
        <v>250</v>
      </c>
      <c r="N133" s="102">
        <v>0</v>
      </c>
      <c r="O133" s="102">
        <v>0</v>
      </c>
      <c r="P133" s="103">
        <f t="shared" si="18"/>
        <v>5959</v>
      </c>
      <c r="Q133" s="103">
        <f t="shared" si="13"/>
        <v>171.27</v>
      </c>
      <c r="R133" s="103">
        <f t="shared" si="19"/>
        <v>627.99</v>
      </c>
      <c r="S133" s="103">
        <v>55.97</v>
      </c>
      <c r="T133" s="103">
        <v>0</v>
      </c>
      <c r="U133" s="103">
        <f t="shared" si="20"/>
        <v>855.23</v>
      </c>
      <c r="V133" s="103">
        <f t="shared" si="12"/>
        <v>5103.7700000000004</v>
      </c>
      <c r="W133" s="103">
        <v>0</v>
      </c>
    </row>
    <row r="134" spans="1:23" s="87" customFormat="1" ht="25.5" x14ac:dyDescent="0.2">
      <c r="A134" s="128">
        <v>125</v>
      </c>
      <c r="B134" s="122" t="s">
        <v>939</v>
      </c>
      <c r="C134" s="122" t="s">
        <v>934</v>
      </c>
      <c r="D134" s="101">
        <v>1105</v>
      </c>
      <c r="E134" s="102">
        <v>0</v>
      </c>
      <c r="F134" s="102">
        <v>0</v>
      </c>
      <c r="G134" s="102">
        <v>1000</v>
      </c>
      <c r="H134" s="102">
        <v>0</v>
      </c>
      <c r="I134" s="102">
        <v>0</v>
      </c>
      <c r="J134" s="102">
        <v>0</v>
      </c>
      <c r="K134" s="102">
        <v>0</v>
      </c>
      <c r="L134" s="102">
        <v>0</v>
      </c>
      <c r="M134" s="102">
        <v>250</v>
      </c>
      <c r="N134" s="102">
        <v>0</v>
      </c>
      <c r="O134" s="102">
        <v>0</v>
      </c>
      <c r="P134" s="103">
        <f t="shared" si="18"/>
        <v>2355</v>
      </c>
      <c r="Q134" s="103">
        <f t="shared" si="13"/>
        <v>63.15</v>
      </c>
      <c r="R134" s="103">
        <f t="shared" si="19"/>
        <v>231.55</v>
      </c>
      <c r="S134" s="103">
        <v>0</v>
      </c>
      <c r="T134" s="103">
        <v>0</v>
      </c>
      <c r="U134" s="103">
        <f t="shared" si="20"/>
        <v>294.7</v>
      </c>
      <c r="V134" s="103">
        <f t="shared" si="12"/>
        <v>2060.3000000000002</v>
      </c>
      <c r="W134" s="103">
        <v>0</v>
      </c>
    </row>
    <row r="135" spans="1:23" s="87" customFormat="1" ht="25.5" x14ac:dyDescent="0.2">
      <c r="A135" s="128">
        <v>126</v>
      </c>
      <c r="B135" s="122" t="s">
        <v>713</v>
      </c>
      <c r="C135" s="122" t="s">
        <v>953</v>
      </c>
      <c r="D135" s="102">
        <v>1476</v>
      </c>
      <c r="E135" s="102">
        <v>2000</v>
      </c>
      <c r="F135" s="102">
        <v>0</v>
      </c>
      <c r="G135" s="102">
        <v>0</v>
      </c>
      <c r="H135" s="102">
        <v>1900</v>
      </c>
      <c r="I135" s="102">
        <v>2600</v>
      </c>
      <c r="J135" s="102">
        <v>0</v>
      </c>
      <c r="K135" s="102">
        <v>0</v>
      </c>
      <c r="L135" s="102">
        <v>0</v>
      </c>
      <c r="M135" s="102">
        <v>0</v>
      </c>
      <c r="N135" s="102">
        <v>0</v>
      </c>
      <c r="O135" s="102">
        <v>0</v>
      </c>
      <c r="P135" s="103">
        <f t="shared" si="18"/>
        <v>7976</v>
      </c>
      <c r="Q135" s="103">
        <f t="shared" si="13"/>
        <v>239.28</v>
      </c>
      <c r="R135" s="103">
        <f t="shared" si="19"/>
        <v>877.36</v>
      </c>
      <c r="S135" s="103">
        <v>148.33000000000001</v>
      </c>
      <c r="T135" s="103">
        <v>0</v>
      </c>
      <c r="U135" s="103">
        <f t="shared" si="20"/>
        <v>1264.97</v>
      </c>
      <c r="V135" s="103">
        <f t="shared" si="12"/>
        <v>6711.03</v>
      </c>
      <c r="W135" s="103">
        <f>399.7</f>
        <v>399.7</v>
      </c>
    </row>
    <row r="136" spans="1:23" s="87" customFormat="1" ht="38.25" x14ac:dyDescent="0.2">
      <c r="A136" s="128">
        <v>127</v>
      </c>
      <c r="B136" s="123" t="s">
        <v>714</v>
      </c>
      <c r="C136" s="123" t="s">
        <v>715</v>
      </c>
      <c r="D136" s="101">
        <f>388*4</f>
        <v>1552</v>
      </c>
      <c r="E136" s="102">
        <v>0</v>
      </c>
      <c r="F136" s="102">
        <v>0</v>
      </c>
      <c r="G136" s="102">
        <v>0</v>
      </c>
      <c r="H136" s="102">
        <v>0</v>
      </c>
      <c r="I136" s="102">
        <v>0</v>
      </c>
      <c r="J136" s="102">
        <v>0</v>
      </c>
      <c r="K136" s="102">
        <v>0</v>
      </c>
      <c r="L136" s="102">
        <v>0</v>
      </c>
      <c r="M136" s="102">
        <v>0</v>
      </c>
      <c r="N136" s="102">
        <v>0</v>
      </c>
      <c r="O136" s="102">
        <v>0</v>
      </c>
      <c r="P136" s="103">
        <f t="shared" si="18"/>
        <v>1552</v>
      </c>
      <c r="Q136" s="103">
        <f t="shared" si="13"/>
        <v>46.56</v>
      </c>
      <c r="R136" s="103">
        <f t="shared" si="19"/>
        <v>170.72</v>
      </c>
      <c r="S136" s="103">
        <v>0</v>
      </c>
      <c r="T136" s="103">
        <v>0</v>
      </c>
      <c r="U136" s="103">
        <f t="shared" si="20"/>
        <v>217.28</v>
      </c>
      <c r="V136" s="103">
        <f t="shared" si="12"/>
        <v>1334.72</v>
      </c>
      <c r="W136" s="103">
        <v>0</v>
      </c>
    </row>
    <row r="137" spans="1:23" s="87" customFormat="1" x14ac:dyDescent="0.2">
      <c r="A137" s="128">
        <v>128</v>
      </c>
      <c r="B137" s="58" t="s">
        <v>716</v>
      </c>
      <c r="C137" s="58" t="s">
        <v>587</v>
      </c>
      <c r="D137" s="101">
        <v>1223</v>
      </c>
      <c r="E137" s="103">
        <v>2000</v>
      </c>
      <c r="F137" s="102">
        <v>0</v>
      </c>
      <c r="G137" s="102">
        <v>0</v>
      </c>
      <c r="H137" s="102">
        <v>1300</v>
      </c>
      <c r="I137" s="102">
        <v>3200</v>
      </c>
      <c r="J137" s="102">
        <v>0</v>
      </c>
      <c r="K137" s="102">
        <v>0</v>
      </c>
      <c r="L137" s="102">
        <v>0</v>
      </c>
      <c r="M137" s="102">
        <v>250</v>
      </c>
      <c r="N137" s="102">
        <v>0</v>
      </c>
      <c r="O137" s="102">
        <v>0</v>
      </c>
      <c r="P137" s="103">
        <f t="shared" si="18"/>
        <v>7973</v>
      </c>
      <c r="Q137" s="103">
        <f t="shared" si="13"/>
        <v>231.69</v>
      </c>
      <c r="R137" s="103">
        <f t="shared" si="19"/>
        <v>849.53</v>
      </c>
      <c r="S137" s="103">
        <v>140.85</v>
      </c>
      <c r="T137" s="103">
        <v>0</v>
      </c>
      <c r="U137" s="103">
        <f t="shared" si="20"/>
        <v>1222.07</v>
      </c>
      <c r="V137" s="103">
        <f t="shared" si="12"/>
        <v>6750.93</v>
      </c>
      <c r="W137" s="103">
        <v>0</v>
      </c>
    </row>
    <row r="138" spans="1:23" s="87" customFormat="1" ht="38.25" x14ac:dyDescent="0.2">
      <c r="A138" s="128">
        <v>129</v>
      </c>
      <c r="B138" s="58" t="s">
        <v>717</v>
      </c>
      <c r="C138" s="58" t="s">
        <v>718</v>
      </c>
      <c r="D138" s="101">
        <v>2425</v>
      </c>
      <c r="E138" s="102">
        <v>0</v>
      </c>
      <c r="F138" s="102">
        <v>0</v>
      </c>
      <c r="G138" s="102">
        <v>0</v>
      </c>
      <c r="H138" s="102">
        <v>0</v>
      </c>
      <c r="I138" s="102">
        <v>0</v>
      </c>
      <c r="J138" s="102">
        <v>0</v>
      </c>
      <c r="K138" s="102">
        <v>0</v>
      </c>
      <c r="L138" s="102">
        <v>0</v>
      </c>
      <c r="M138" s="102">
        <v>0</v>
      </c>
      <c r="N138" s="102">
        <v>0</v>
      </c>
      <c r="O138" s="102">
        <v>0</v>
      </c>
      <c r="P138" s="103">
        <f t="shared" si="18"/>
        <v>2425</v>
      </c>
      <c r="Q138" s="103">
        <f t="shared" ref="Q138:Q201" si="21">(D138+E138+F138+G138+H138+I138+J138+K138+N138)*3%</f>
        <v>72.75</v>
      </c>
      <c r="R138" s="103">
        <f t="shared" si="19"/>
        <v>266.75</v>
      </c>
      <c r="S138" s="103">
        <v>0</v>
      </c>
      <c r="T138" s="103">
        <v>0</v>
      </c>
      <c r="U138" s="103">
        <f t="shared" si="20"/>
        <v>339.5</v>
      </c>
      <c r="V138" s="103">
        <f t="shared" ref="V138:V201" si="22">P138-U138</f>
        <v>2085.5</v>
      </c>
      <c r="W138" s="103">
        <v>0</v>
      </c>
    </row>
    <row r="139" spans="1:23" s="87" customFormat="1" ht="38.25" x14ac:dyDescent="0.2">
      <c r="A139" s="128">
        <v>130</v>
      </c>
      <c r="B139" s="58" t="s">
        <v>719</v>
      </c>
      <c r="C139" s="58" t="s">
        <v>720</v>
      </c>
      <c r="D139" s="101">
        <f>485*2</f>
        <v>970</v>
      </c>
      <c r="E139" s="102">
        <v>0</v>
      </c>
      <c r="F139" s="102">
        <v>0</v>
      </c>
      <c r="G139" s="102">
        <v>0</v>
      </c>
      <c r="H139" s="102">
        <v>0</v>
      </c>
      <c r="I139" s="102">
        <v>0</v>
      </c>
      <c r="J139" s="102">
        <v>0</v>
      </c>
      <c r="K139" s="102">
        <v>0</v>
      </c>
      <c r="L139" s="102">
        <v>0</v>
      </c>
      <c r="M139" s="102">
        <v>0</v>
      </c>
      <c r="N139" s="102">
        <v>0</v>
      </c>
      <c r="O139" s="102">
        <v>0</v>
      </c>
      <c r="P139" s="103">
        <f t="shared" si="18"/>
        <v>970</v>
      </c>
      <c r="Q139" s="103">
        <f t="shared" si="21"/>
        <v>29.1</v>
      </c>
      <c r="R139" s="103">
        <f t="shared" si="19"/>
        <v>106.7</v>
      </c>
      <c r="S139" s="103">
        <v>0</v>
      </c>
      <c r="T139" s="103">
        <v>0</v>
      </c>
      <c r="U139" s="103">
        <f t="shared" si="20"/>
        <v>135.80000000000001</v>
      </c>
      <c r="V139" s="103">
        <f t="shared" si="22"/>
        <v>834.2</v>
      </c>
      <c r="W139" s="103">
        <v>0</v>
      </c>
    </row>
    <row r="140" spans="1:23" s="87" customFormat="1" ht="25.5" x14ac:dyDescent="0.2">
      <c r="A140" s="128">
        <v>131</v>
      </c>
      <c r="B140" s="58" t="s">
        <v>721</v>
      </c>
      <c r="C140" s="58" t="s">
        <v>572</v>
      </c>
      <c r="D140" s="101">
        <v>1074</v>
      </c>
      <c r="E140" s="102">
        <v>400</v>
      </c>
      <c r="F140" s="102">
        <v>0</v>
      </c>
      <c r="G140" s="102">
        <v>1000</v>
      </c>
      <c r="H140" s="102">
        <v>0</v>
      </c>
      <c r="I140" s="102">
        <v>0</v>
      </c>
      <c r="J140" s="102">
        <v>0</v>
      </c>
      <c r="K140" s="102">
        <v>50</v>
      </c>
      <c r="L140" s="102">
        <v>200</v>
      </c>
      <c r="M140" s="102">
        <v>250</v>
      </c>
      <c r="N140" s="102">
        <v>0</v>
      </c>
      <c r="O140" s="102">
        <v>0</v>
      </c>
      <c r="P140" s="103">
        <f t="shared" si="18"/>
        <v>2974</v>
      </c>
      <c r="Q140" s="103">
        <f t="shared" si="21"/>
        <v>75.72</v>
      </c>
      <c r="R140" s="103">
        <f t="shared" si="19"/>
        <v>277.64</v>
      </c>
      <c r="S140" s="103">
        <v>0</v>
      </c>
      <c r="T140" s="103">
        <v>0</v>
      </c>
      <c r="U140" s="103">
        <f t="shared" si="20"/>
        <v>353.36</v>
      </c>
      <c r="V140" s="103">
        <f t="shared" si="22"/>
        <v>2620.64</v>
      </c>
      <c r="W140" s="103">
        <v>0</v>
      </c>
    </row>
    <row r="141" spans="1:23" s="87" customFormat="1" ht="25.5" x14ac:dyDescent="0.2">
      <c r="A141" s="128">
        <v>132</v>
      </c>
      <c r="B141" s="58" t="s">
        <v>722</v>
      </c>
      <c r="C141" s="58" t="s">
        <v>607</v>
      </c>
      <c r="D141" s="101">
        <v>1168</v>
      </c>
      <c r="E141" s="102">
        <v>0</v>
      </c>
      <c r="F141" s="102">
        <v>0</v>
      </c>
      <c r="G141" s="102">
        <v>1000</v>
      </c>
      <c r="H141" s="102">
        <v>0</v>
      </c>
      <c r="I141" s="102">
        <v>0</v>
      </c>
      <c r="J141" s="102">
        <v>0</v>
      </c>
      <c r="K141" s="102">
        <v>75</v>
      </c>
      <c r="L141" s="102">
        <v>0</v>
      </c>
      <c r="M141" s="102">
        <v>250</v>
      </c>
      <c r="N141" s="102">
        <v>0</v>
      </c>
      <c r="O141" s="102">
        <v>0</v>
      </c>
      <c r="P141" s="103">
        <f t="shared" si="18"/>
        <v>2493</v>
      </c>
      <c r="Q141" s="103">
        <f t="shared" si="21"/>
        <v>67.290000000000006</v>
      </c>
      <c r="R141" s="103">
        <f t="shared" si="19"/>
        <v>246.73</v>
      </c>
      <c r="S141" s="103">
        <v>0</v>
      </c>
      <c r="T141" s="103">
        <v>0</v>
      </c>
      <c r="U141" s="103">
        <f t="shared" si="20"/>
        <v>314.02</v>
      </c>
      <c r="V141" s="103">
        <f t="shared" si="22"/>
        <v>2178.98</v>
      </c>
      <c r="W141" s="103">
        <v>0</v>
      </c>
    </row>
    <row r="142" spans="1:23" s="87" customFormat="1" ht="25.5" x14ac:dyDescent="0.2">
      <c r="A142" s="128">
        <v>133</v>
      </c>
      <c r="B142" s="58" t="s">
        <v>723</v>
      </c>
      <c r="C142" s="58" t="s">
        <v>572</v>
      </c>
      <c r="D142" s="101">
        <v>1074</v>
      </c>
      <c r="E142" s="102">
        <v>400</v>
      </c>
      <c r="F142" s="102">
        <v>0</v>
      </c>
      <c r="G142" s="102">
        <v>1000</v>
      </c>
      <c r="H142" s="102">
        <v>0</v>
      </c>
      <c r="I142" s="102">
        <v>0</v>
      </c>
      <c r="J142" s="102">
        <v>0</v>
      </c>
      <c r="K142" s="102">
        <v>75</v>
      </c>
      <c r="L142" s="102">
        <v>200</v>
      </c>
      <c r="M142" s="102">
        <v>250</v>
      </c>
      <c r="N142" s="102">
        <v>0</v>
      </c>
      <c r="O142" s="102">
        <v>0</v>
      </c>
      <c r="P142" s="103">
        <f t="shared" si="18"/>
        <v>2999</v>
      </c>
      <c r="Q142" s="103">
        <f t="shared" si="21"/>
        <v>76.47</v>
      </c>
      <c r="R142" s="103">
        <f t="shared" si="19"/>
        <v>280.39</v>
      </c>
      <c r="S142" s="103">
        <v>0</v>
      </c>
      <c r="T142" s="103">
        <v>0</v>
      </c>
      <c r="U142" s="103">
        <f t="shared" si="20"/>
        <v>356.86</v>
      </c>
      <c r="V142" s="103">
        <f t="shared" si="22"/>
        <v>2642.14</v>
      </c>
      <c r="W142" s="103">
        <v>0</v>
      </c>
    </row>
    <row r="143" spans="1:23" s="87" customFormat="1" x14ac:dyDescent="0.2">
      <c r="A143" s="128">
        <v>134</v>
      </c>
      <c r="B143" s="58" t="s">
        <v>724</v>
      </c>
      <c r="C143" s="58" t="s">
        <v>576</v>
      </c>
      <c r="D143" s="101">
        <v>1350</v>
      </c>
      <c r="E143" s="102">
        <v>2000</v>
      </c>
      <c r="F143" s="102">
        <v>0</v>
      </c>
      <c r="G143" s="102">
        <v>0</v>
      </c>
      <c r="H143" s="102">
        <v>0</v>
      </c>
      <c r="I143" s="102">
        <v>4500</v>
      </c>
      <c r="J143" s="102">
        <v>0</v>
      </c>
      <c r="K143" s="102">
        <v>0</v>
      </c>
      <c r="L143" s="102">
        <v>0</v>
      </c>
      <c r="M143" s="102">
        <v>250</v>
      </c>
      <c r="N143" s="102">
        <v>0</v>
      </c>
      <c r="O143" s="102">
        <v>0</v>
      </c>
      <c r="P143" s="103">
        <f t="shared" si="18"/>
        <v>8100</v>
      </c>
      <c r="Q143" s="103">
        <f t="shared" si="21"/>
        <v>235.5</v>
      </c>
      <c r="R143" s="103">
        <f t="shared" si="19"/>
        <v>863.5</v>
      </c>
      <c r="S143" s="103">
        <v>143.03</v>
      </c>
      <c r="T143" s="103">
        <v>0</v>
      </c>
      <c r="U143" s="103">
        <f t="shared" si="20"/>
        <v>1242.03</v>
      </c>
      <c r="V143" s="103">
        <f t="shared" si="22"/>
        <v>6857.97</v>
      </c>
      <c r="W143" s="103">
        <v>0</v>
      </c>
    </row>
    <row r="144" spans="1:23" s="87" customFormat="1" ht="25.5" x14ac:dyDescent="0.2">
      <c r="A144" s="128">
        <v>135</v>
      </c>
      <c r="B144" s="58" t="s">
        <v>725</v>
      </c>
      <c r="C144" s="58" t="s">
        <v>596</v>
      </c>
      <c r="D144" s="101">
        <f>485*2</f>
        <v>970</v>
      </c>
      <c r="E144" s="102">
        <v>0</v>
      </c>
      <c r="F144" s="102">
        <f>363.75*2</f>
        <v>727.5</v>
      </c>
      <c r="G144" s="102">
        <v>0</v>
      </c>
      <c r="H144" s="102">
        <v>0</v>
      </c>
      <c r="I144" s="102">
        <v>0</v>
      </c>
      <c r="J144" s="102">
        <v>0</v>
      </c>
      <c r="K144" s="102">
        <v>0</v>
      </c>
      <c r="L144" s="102">
        <v>0</v>
      </c>
      <c r="M144" s="102">
        <v>0</v>
      </c>
      <c r="N144" s="102">
        <v>0</v>
      </c>
      <c r="O144" s="102">
        <v>0</v>
      </c>
      <c r="P144" s="103">
        <f t="shared" si="18"/>
        <v>1697.5</v>
      </c>
      <c r="Q144" s="103">
        <f t="shared" si="21"/>
        <v>50.93</v>
      </c>
      <c r="R144" s="103">
        <f t="shared" si="19"/>
        <v>186.73</v>
      </c>
      <c r="S144" s="103">
        <v>0</v>
      </c>
      <c r="T144" s="103">
        <f>11.41*2</f>
        <v>22.82</v>
      </c>
      <c r="U144" s="103">
        <f t="shared" si="20"/>
        <v>260.48</v>
      </c>
      <c r="V144" s="103">
        <f t="shared" si="22"/>
        <v>1437.02</v>
      </c>
      <c r="W144" s="103">
        <v>0</v>
      </c>
    </row>
    <row r="145" spans="1:170" s="87" customFormat="1" ht="25.5" x14ac:dyDescent="0.2">
      <c r="A145" s="128">
        <v>136</v>
      </c>
      <c r="B145" s="122" t="s">
        <v>922</v>
      </c>
      <c r="C145" s="122" t="s">
        <v>923</v>
      </c>
      <c r="D145" s="101">
        <f>388*7</f>
        <v>2716</v>
      </c>
      <c r="E145" s="102">
        <v>0</v>
      </c>
      <c r="F145" s="102">
        <v>0</v>
      </c>
      <c r="G145" s="102">
        <v>0</v>
      </c>
      <c r="H145" s="102">
        <v>0</v>
      </c>
      <c r="I145" s="102">
        <v>0</v>
      </c>
      <c r="J145" s="102">
        <v>0</v>
      </c>
      <c r="K145" s="102">
        <v>0</v>
      </c>
      <c r="L145" s="102">
        <v>0</v>
      </c>
      <c r="M145" s="102">
        <v>0</v>
      </c>
      <c r="N145" s="102">
        <v>0</v>
      </c>
      <c r="O145" s="102">
        <v>0</v>
      </c>
      <c r="P145" s="103">
        <f t="shared" si="18"/>
        <v>2716</v>
      </c>
      <c r="Q145" s="103">
        <f t="shared" si="21"/>
        <v>81.48</v>
      </c>
      <c r="R145" s="103">
        <f t="shared" si="19"/>
        <v>298.76</v>
      </c>
      <c r="S145" s="103">
        <v>0</v>
      </c>
      <c r="T145" s="103">
        <v>0</v>
      </c>
      <c r="U145" s="103">
        <f t="shared" si="20"/>
        <v>380.24</v>
      </c>
      <c r="V145" s="103">
        <f t="shared" si="22"/>
        <v>2335.7600000000002</v>
      </c>
      <c r="W145" s="103">
        <v>0</v>
      </c>
    </row>
    <row r="146" spans="1:170" s="87" customFormat="1" ht="25.5" x14ac:dyDescent="0.2">
      <c r="A146" s="128">
        <v>137</v>
      </c>
      <c r="B146" s="58" t="s">
        <v>726</v>
      </c>
      <c r="C146" s="58" t="s">
        <v>953</v>
      </c>
      <c r="D146" s="101">
        <v>1476</v>
      </c>
      <c r="E146" s="102">
        <v>2000</v>
      </c>
      <c r="F146" s="102">
        <v>0</v>
      </c>
      <c r="G146" s="102">
        <v>0</v>
      </c>
      <c r="H146" s="102">
        <v>1900</v>
      </c>
      <c r="I146" s="102">
        <v>2600</v>
      </c>
      <c r="J146" s="102">
        <v>0</v>
      </c>
      <c r="K146" s="102">
        <v>50</v>
      </c>
      <c r="L146" s="102">
        <v>0</v>
      </c>
      <c r="M146" s="102">
        <v>250</v>
      </c>
      <c r="N146" s="102">
        <v>0</v>
      </c>
      <c r="O146" s="102">
        <v>0</v>
      </c>
      <c r="P146" s="103">
        <f t="shared" si="18"/>
        <v>8276</v>
      </c>
      <c r="Q146" s="103">
        <f t="shared" si="21"/>
        <v>240.78</v>
      </c>
      <c r="R146" s="103">
        <f t="shared" si="19"/>
        <v>882.86</v>
      </c>
      <c r="S146" s="103">
        <v>146.41</v>
      </c>
      <c r="T146" s="103">
        <v>0</v>
      </c>
      <c r="U146" s="103">
        <f t="shared" si="20"/>
        <v>1270.05</v>
      </c>
      <c r="V146" s="103">
        <f t="shared" si="22"/>
        <v>7005.95</v>
      </c>
      <c r="W146" s="103">
        <f>410.8</f>
        <v>410.8</v>
      </c>
    </row>
    <row r="147" spans="1:170" s="88" customFormat="1" ht="25.5" x14ac:dyDescent="0.2">
      <c r="A147" s="128">
        <v>138</v>
      </c>
      <c r="B147" s="122" t="s">
        <v>727</v>
      </c>
      <c r="C147" s="122" t="s">
        <v>651</v>
      </c>
      <c r="D147" s="168">
        <v>2425</v>
      </c>
      <c r="E147" s="102">
        <v>0</v>
      </c>
      <c r="F147" s="102">
        <v>0</v>
      </c>
      <c r="G147" s="102">
        <v>0</v>
      </c>
      <c r="H147" s="102">
        <v>0</v>
      </c>
      <c r="I147" s="102">
        <v>0</v>
      </c>
      <c r="J147" s="102">
        <v>0</v>
      </c>
      <c r="K147" s="102">
        <v>0</v>
      </c>
      <c r="L147" s="102">
        <v>0</v>
      </c>
      <c r="M147" s="102">
        <v>0</v>
      </c>
      <c r="N147" s="102">
        <v>0</v>
      </c>
      <c r="O147" s="102">
        <v>0</v>
      </c>
      <c r="P147" s="103">
        <f t="shared" si="18"/>
        <v>2425</v>
      </c>
      <c r="Q147" s="103">
        <f t="shared" si="21"/>
        <v>72.75</v>
      </c>
      <c r="R147" s="103">
        <f t="shared" si="19"/>
        <v>266.75</v>
      </c>
      <c r="S147" s="103">
        <v>0</v>
      </c>
      <c r="T147" s="103">
        <v>0</v>
      </c>
      <c r="U147" s="103">
        <f t="shared" si="20"/>
        <v>339.5</v>
      </c>
      <c r="V147" s="103">
        <f t="shared" si="22"/>
        <v>2085.5</v>
      </c>
      <c r="W147" s="103">
        <v>0</v>
      </c>
      <c r="X147" s="87"/>
      <c r="Y147" s="87"/>
      <c r="Z147" s="87"/>
      <c r="AA147" s="87"/>
      <c r="AB147" s="87"/>
      <c r="AC147" s="87"/>
      <c r="AD147" s="87"/>
      <c r="AE147" s="87"/>
      <c r="AF147" s="87"/>
      <c r="AG147" s="87"/>
      <c r="AH147" s="87"/>
      <c r="AI147" s="87"/>
      <c r="AJ147" s="87"/>
      <c r="AK147" s="87"/>
      <c r="AL147" s="87"/>
      <c r="AM147" s="87"/>
      <c r="AN147" s="87"/>
      <c r="AO147" s="87"/>
      <c r="AP147" s="87"/>
      <c r="AQ147" s="87"/>
      <c r="AR147" s="87"/>
      <c r="AS147" s="87"/>
      <c r="AT147" s="87"/>
      <c r="AU147" s="87"/>
      <c r="AV147" s="87"/>
      <c r="AW147" s="87"/>
      <c r="AX147" s="87"/>
      <c r="AY147" s="87"/>
      <c r="AZ147" s="87"/>
      <c r="BA147" s="87"/>
      <c r="BB147" s="87"/>
      <c r="BC147" s="87"/>
      <c r="BD147" s="87"/>
      <c r="BE147" s="87"/>
      <c r="BF147" s="87"/>
      <c r="BG147" s="87"/>
      <c r="BH147" s="87"/>
      <c r="BI147" s="87"/>
      <c r="BJ147" s="87"/>
      <c r="BK147" s="87"/>
      <c r="BL147" s="87"/>
      <c r="BM147" s="87"/>
      <c r="BN147" s="87"/>
      <c r="BO147" s="87"/>
      <c r="BP147" s="87"/>
      <c r="BQ147" s="87"/>
      <c r="BR147" s="87"/>
      <c r="BS147" s="87"/>
      <c r="BT147" s="87"/>
      <c r="BU147" s="87"/>
      <c r="BV147" s="87"/>
      <c r="BW147" s="87"/>
      <c r="BX147" s="87"/>
      <c r="BY147" s="87"/>
      <c r="BZ147" s="87"/>
      <c r="CA147" s="87"/>
      <c r="CB147" s="87"/>
      <c r="CC147" s="87"/>
      <c r="CD147" s="87"/>
      <c r="CE147" s="87"/>
      <c r="CF147" s="87"/>
      <c r="CG147" s="87"/>
      <c r="CH147" s="87"/>
      <c r="CI147" s="87"/>
      <c r="CJ147" s="87"/>
      <c r="CK147" s="87"/>
      <c r="CL147" s="87"/>
      <c r="CM147" s="87"/>
      <c r="CN147" s="87"/>
      <c r="CO147" s="87"/>
      <c r="CP147" s="87"/>
      <c r="CQ147" s="87"/>
      <c r="CR147" s="87"/>
      <c r="CS147" s="87"/>
      <c r="CT147" s="87"/>
      <c r="CU147" s="87"/>
      <c r="CV147" s="87"/>
      <c r="CW147" s="87"/>
      <c r="CX147" s="87"/>
      <c r="CY147" s="87"/>
      <c r="CZ147" s="87"/>
      <c r="DA147" s="87"/>
      <c r="DB147" s="87"/>
      <c r="DC147" s="87"/>
      <c r="DD147" s="87"/>
      <c r="DE147" s="87"/>
      <c r="DF147" s="87"/>
      <c r="DG147" s="87"/>
      <c r="DH147" s="87"/>
      <c r="DI147" s="87"/>
      <c r="DJ147" s="87"/>
      <c r="DK147" s="87"/>
      <c r="DL147" s="87"/>
      <c r="DM147" s="87"/>
      <c r="DN147" s="87"/>
      <c r="DO147" s="87"/>
      <c r="DP147" s="87"/>
      <c r="DQ147" s="87"/>
      <c r="DR147" s="87"/>
      <c r="DS147" s="87"/>
      <c r="DT147" s="87"/>
      <c r="DU147" s="87"/>
      <c r="DV147" s="87"/>
      <c r="DW147" s="87"/>
      <c r="DX147" s="87"/>
      <c r="DY147" s="87"/>
      <c r="DZ147" s="87"/>
      <c r="EA147" s="87"/>
      <c r="EB147" s="87"/>
      <c r="EC147" s="87"/>
      <c r="ED147" s="87"/>
      <c r="EE147" s="87"/>
      <c r="EF147" s="87"/>
      <c r="EG147" s="87"/>
      <c r="EH147" s="87"/>
      <c r="EI147" s="87"/>
      <c r="EJ147" s="87"/>
      <c r="EK147" s="87"/>
      <c r="EL147" s="87"/>
      <c r="EM147" s="87"/>
      <c r="EN147" s="87"/>
      <c r="EO147" s="87"/>
      <c r="EP147" s="87"/>
      <c r="EQ147" s="87"/>
      <c r="ER147" s="87"/>
      <c r="ES147" s="87"/>
      <c r="ET147" s="87"/>
      <c r="EU147" s="87"/>
      <c r="EV147" s="87"/>
      <c r="EW147" s="87"/>
      <c r="EX147" s="87"/>
      <c r="EY147" s="87"/>
      <c r="EZ147" s="87"/>
      <c r="FA147" s="87"/>
      <c r="FB147" s="87"/>
      <c r="FC147" s="87"/>
      <c r="FD147" s="87"/>
      <c r="FE147" s="87"/>
      <c r="FF147" s="87"/>
      <c r="FG147" s="87"/>
      <c r="FH147" s="87"/>
      <c r="FI147" s="87"/>
      <c r="FJ147" s="87"/>
      <c r="FK147" s="87"/>
      <c r="FL147" s="87"/>
      <c r="FM147" s="87"/>
      <c r="FN147" s="87"/>
    </row>
    <row r="148" spans="1:170" s="87" customFormat="1" ht="25.5" x14ac:dyDescent="0.2">
      <c r="A148" s="128">
        <v>139</v>
      </c>
      <c r="B148" s="58" t="s">
        <v>728</v>
      </c>
      <c r="C148" s="58" t="s">
        <v>615</v>
      </c>
      <c r="D148" s="101">
        <v>1302</v>
      </c>
      <c r="E148" s="102">
        <v>600</v>
      </c>
      <c r="F148" s="102">
        <v>0</v>
      </c>
      <c r="G148" s="102">
        <v>1000</v>
      </c>
      <c r="H148" s="102">
        <v>0</v>
      </c>
      <c r="I148" s="102">
        <v>0</v>
      </c>
      <c r="J148" s="102">
        <v>0</v>
      </c>
      <c r="K148" s="102">
        <v>50</v>
      </c>
      <c r="L148" s="102">
        <v>0</v>
      </c>
      <c r="M148" s="102">
        <v>250</v>
      </c>
      <c r="N148" s="102">
        <v>0</v>
      </c>
      <c r="O148" s="102">
        <v>0</v>
      </c>
      <c r="P148" s="103">
        <f t="shared" si="18"/>
        <v>3202</v>
      </c>
      <c r="Q148" s="103">
        <f t="shared" si="21"/>
        <v>88.56</v>
      </c>
      <c r="R148" s="103">
        <f t="shared" si="19"/>
        <v>324.72000000000003</v>
      </c>
      <c r="S148" s="103">
        <v>0</v>
      </c>
      <c r="T148" s="103">
        <v>0</v>
      </c>
      <c r="U148" s="103">
        <f t="shared" si="20"/>
        <v>413.28</v>
      </c>
      <c r="V148" s="103">
        <f t="shared" si="22"/>
        <v>2788.72</v>
      </c>
      <c r="W148" s="103">
        <v>0</v>
      </c>
    </row>
    <row r="149" spans="1:170" s="87" customFormat="1" ht="25.5" x14ac:dyDescent="0.2">
      <c r="A149" s="128">
        <v>140</v>
      </c>
      <c r="B149" s="58" t="s">
        <v>729</v>
      </c>
      <c r="C149" s="58" t="s">
        <v>569</v>
      </c>
      <c r="D149" s="101">
        <v>2885</v>
      </c>
      <c r="E149" s="102">
        <v>0</v>
      </c>
      <c r="F149" s="102">
        <v>3606.25</v>
      </c>
      <c r="G149" s="102">
        <v>0</v>
      </c>
      <c r="H149" s="102">
        <v>0</v>
      </c>
      <c r="I149" s="102">
        <v>0</v>
      </c>
      <c r="J149" s="102">
        <v>0</v>
      </c>
      <c r="K149" s="102">
        <v>0</v>
      </c>
      <c r="L149" s="102">
        <v>0</v>
      </c>
      <c r="M149" s="102">
        <v>250</v>
      </c>
      <c r="N149" s="102">
        <v>0</v>
      </c>
      <c r="O149" s="102">
        <v>0</v>
      </c>
      <c r="P149" s="103">
        <f t="shared" si="18"/>
        <v>6741.25</v>
      </c>
      <c r="Q149" s="103">
        <f t="shared" si="21"/>
        <v>194.74</v>
      </c>
      <c r="R149" s="103">
        <f t="shared" si="19"/>
        <v>714.04</v>
      </c>
      <c r="S149" s="103">
        <v>73.47</v>
      </c>
      <c r="T149" s="103">
        <v>0</v>
      </c>
      <c r="U149" s="103">
        <f t="shared" si="20"/>
        <v>982.25</v>
      </c>
      <c r="V149" s="103">
        <f t="shared" si="22"/>
        <v>5759</v>
      </c>
      <c r="W149" s="103">
        <v>0</v>
      </c>
    </row>
    <row r="150" spans="1:170" s="87" customFormat="1" ht="25.5" x14ac:dyDescent="0.2">
      <c r="A150" s="128">
        <v>141</v>
      </c>
      <c r="B150" s="58" t="s">
        <v>730</v>
      </c>
      <c r="C150" s="58" t="s">
        <v>596</v>
      </c>
      <c r="D150" s="101">
        <f>485*5</f>
        <v>2425</v>
      </c>
      <c r="E150" s="102">
        <v>0</v>
      </c>
      <c r="F150" s="102">
        <f>363.75*5</f>
        <v>1818.75</v>
      </c>
      <c r="G150" s="102">
        <v>0</v>
      </c>
      <c r="H150" s="102">
        <v>0</v>
      </c>
      <c r="I150" s="102">
        <v>0</v>
      </c>
      <c r="J150" s="102">
        <v>0</v>
      </c>
      <c r="K150" s="102">
        <v>0</v>
      </c>
      <c r="L150" s="102">
        <v>0</v>
      </c>
      <c r="M150" s="102">
        <v>0</v>
      </c>
      <c r="N150" s="102">
        <v>0</v>
      </c>
      <c r="O150" s="102">
        <v>0</v>
      </c>
      <c r="P150" s="103">
        <f t="shared" si="18"/>
        <v>4243.75</v>
      </c>
      <c r="Q150" s="103">
        <f t="shared" si="21"/>
        <v>127.31</v>
      </c>
      <c r="R150" s="103">
        <f t="shared" si="19"/>
        <v>466.81</v>
      </c>
      <c r="S150" s="103">
        <v>0</v>
      </c>
      <c r="T150" s="103">
        <f>11.41*5</f>
        <v>57.05</v>
      </c>
      <c r="U150" s="103">
        <f t="shared" si="20"/>
        <v>651.16999999999996</v>
      </c>
      <c r="V150" s="103">
        <f t="shared" si="22"/>
        <v>3592.58</v>
      </c>
      <c r="W150" s="103">
        <v>0</v>
      </c>
    </row>
    <row r="151" spans="1:170" s="89" customFormat="1" ht="25.5" x14ac:dyDescent="0.2">
      <c r="A151" s="128">
        <v>142</v>
      </c>
      <c r="B151" s="123" t="s">
        <v>731</v>
      </c>
      <c r="C151" s="122" t="s">
        <v>574</v>
      </c>
      <c r="D151" s="101">
        <v>1350</v>
      </c>
      <c r="E151" s="102">
        <v>1500</v>
      </c>
      <c r="F151" s="102">
        <v>0</v>
      </c>
      <c r="G151" s="102">
        <v>0</v>
      </c>
      <c r="H151" s="102">
        <v>0</v>
      </c>
      <c r="I151" s="102">
        <v>4500</v>
      </c>
      <c r="J151" s="102">
        <v>0</v>
      </c>
      <c r="K151" s="102">
        <v>0</v>
      </c>
      <c r="L151" s="102">
        <v>0</v>
      </c>
      <c r="M151" s="102">
        <v>250</v>
      </c>
      <c r="N151" s="102">
        <v>0</v>
      </c>
      <c r="O151" s="102">
        <v>0</v>
      </c>
      <c r="P151" s="103">
        <f t="shared" si="18"/>
        <v>7600</v>
      </c>
      <c r="Q151" s="103">
        <f t="shared" si="21"/>
        <v>220.5</v>
      </c>
      <c r="R151" s="103">
        <f t="shared" si="19"/>
        <v>808.5</v>
      </c>
      <c r="S151" s="103">
        <v>0</v>
      </c>
      <c r="T151" s="103">
        <v>0</v>
      </c>
      <c r="U151" s="103">
        <f t="shared" si="20"/>
        <v>1029</v>
      </c>
      <c r="V151" s="103">
        <f t="shared" si="22"/>
        <v>6571</v>
      </c>
      <c r="W151" s="103">
        <v>0</v>
      </c>
    </row>
    <row r="152" spans="1:170" s="89" customFormat="1" ht="38.25" x14ac:dyDescent="0.2">
      <c r="A152" s="128">
        <v>143</v>
      </c>
      <c r="B152" s="58" t="s">
        <v>732</v>
      </c>
      <c r="C152" s="58" t="s">
        <v>702</v>
      </c>
      <c r="D152" s="101">
        <f>(485*3)+1350</f>
        <v>2805</v>
      </c>
      <c r="E152" s="102">
        <v>2000</v>
      </c>
      <c r="F152" s="102">
        <f>363.75*3</f>
        <v>1091.25</v>
      </c>
      <c r="G152" s="102">
        <v>0</v>
      </c>
      <c r="H152" s="102">
        <v>0</v>
      </c>
      <c r="I152" s="102">
        <v>4500</v>
      </c>
      <c r="J152" s="102">
        <v>0</v>
      </c>
      <c r="K152" s="102">
        <v>75</v>
      </c>
      <c r="L152" s="102">
        <v>0</v>
      </c>
      <c r="M152" s="102">
        <v>250</v>
      </c>
      <c r="N152" s="102">
        <v>0</v>
      </c>
      <c r="O152" s="102">
        <v>0</v>
      </c>
      <c r="P152" s="103">
        <f t="shared" si="18"/>
        <v>10721.25</v>
      </c>
      <c r="Q152" s="103">
        <f t="shared" si="21"/>
        <v>314.14</v>
      </c>
      <c r="R152" s="103">
        <f t="shared" si="19"/>
        <v>1151.8399999999999</v>
      </c>
      <c r="S152" s="103">
        <v>242.66</v>
      </c>
      <c r="T152" s="103">
        <v>0</v>
      </c>
      <c r="U152" s="103">
        <f t="shared" si="20"/>
        <v>1708.64</v>
      </c>
      <c r="V152" s="103">
        <f t="shared" si="22"/>
        <v>9012.61</v>
      </c>
      <c r="W152" s="103">
        <v>0</v>
      </c>
    </row>
    <row r="153" spans="1:170" s="89" customFormat="1" ht="76.5" x14ac:dyDescent="0.2">
      <c r="A153" s="128">
        <v>144</v>
      </c>
      <c r="B153" s="58" t="s">
        <v>733</v>
      </c>
      <c r="C153" s="58" t="s">
        <v>734</v>
      </c>
      <c r="D153" s="101">
        <v>2425</v>
      </c>
      <c r="E153" s="102">
        <v>0</v>
      </c>
      <c r="F153" s="102">
        <v>0</v>
      </c>
      <c r="G153" s="102">
        <v>0</v>
      </c>
      <c r="H153" s="102">
        <v>0</v>
      </c>
      <c r="I153" s="102">
        <v>0</v>
      </c>
      <c r="J153" s="102">
        <v>0</v>
      </c>
      <c r="K153" s="102">
        <v>0</v>
      </c>
      <c r="L153" s="102">
        <v>0</v>
      </c>
      <c r="M153" s="102">
        <v>0</v>
      </c>
      <c r="N153" s="102">
        <v>0</v>
      </c>
      <c r="O153" s="102">
        <v>0</v>
      </c>
      <c r="P153" s="103">
        <f t="shared" si="18"/>
        <v>2425</v>
      </c>
      <c r="Q153" s="103">
        <f t="shared" si="21"/>
        <v>72.75</v>
      </c>
      <c r="R153" s="103">
        <f t="shared" si="19"/>
        <v>266.75</v>
      </c>
      <c r="S153" s="103" t="s">
        <v>570</v>
      </c>
      <c r="T153" s="103">
        <v>0</v>
      </c>
      <c r="U153" s="103">
        <f t="shared" si="20"/>
        <v>339.5</v>
      </c>
      <c r="V153" s="103">
        <f t="shared" si="22"/>
        <v>2085.5</v>
      </c>
      <c r="W153" s="103">
        <v>0</v>
      </c>
    </row>
    <row r="154" spans="1:170" s="89" customFormat="1" x14ac:dyDescent="0.2">
      <c r="A154" s="128">
        <v>145</v>
      </c>
      <c r="B154" s="122" t="s">
        <v>921</v>
      </c>
      <c r="C154" s="58" t="s">
        <v>572</v>
      </c>
      <c r="D154" s="236">
        <v>1074</v>
      </c>
      <c r="E154" s="102">
        <v>1000</v>
      </c>
      <c r="F154" s="102">
        <v>0</v>
      </c>
      <c r="G154" s="102">
        <v>0</v>
      </c>
      <c r="H154" s="102">
        <v>0</v>
      </c>
      <c r="I154" s="102">
        <v>0</v>
      </c>
      <c r="J154" s="102">
        <v>0</v>
      </c>
      <c r="K154" s="102">
        <v>0</v>
      </c>
      <c r="L154" s="102">
        <v>0</v>
      </c>
      <c r="M154" s="102">
        <v>250</v>
      </c>
      <c r="N154" s="102">
        <v>0</v>
      </c>
      <c r="O154" s="102">
        <v>0</v>
      </c>
      <c r="P154" s="103">
        <f t="shared" si="18"/>
        <v>2324</v>
      </c>
      <c r="Q154" s="103">
        <f t="shared" si="21"/>
        <v>62.22</v>
      </c>
      <c r="R154" s="103">
        <f t="shared" si="19"/>
        <v>228.14</v>
      </c>
      <c r="S154" s="103">
        <v>0</v>
      </c>
      <c r="T154" s="103">
        <v>0</v>
      </c>
      <c r="U154" s="103">
        <f t="shared" si="20"/>
        <v>290.36</v>
      </c>
      <c r="V154" s="103">
        <f t="shared" si="22"/>
        <v>2033.64</v>
      </c>
      <c r="W154" s="103">
        <v>0</v>
      </c>
    </row>
    <row r="155" spans="1:170" s="89" customFormat="1" x14ac:dyDescent="0.2">
      <c r="A155" s="128">
        <v>146</v>
      </c>
      <c r="B155" s="122" t="s">
        <v>937</v>
      </c>
      <c r="C155" s="122" t="s">
        <v>581</v>
      </c>
      <c r="D155" s="133">
        <v>1476</v>
      </c>
      <c r="E155" s="102">
        <v>0</v>
      </c>
      <c r="F155" s="102">
        <v>0</v>
      </c>
      <c r="G155" s="102">
        <v>0</v>
      </c>
      <c r="H155" s="102">
        <v>1900</v>
      </c>
      <c r="I155" s="133">
        <v>2600</v>
      </c>
      <c r="J155" s="102">
        <v>0</v>
      </c>
      <c r="K155" s="102">
        <v>0</v>
      </c>
      <c r="L155" s="102">
        <v>0</v>
      </c>
      <c r="M155" s="102">
        <v>250</v>
      </c>
      <c r="N155" s="102">
        <v>0</v>
      </c>
      <c r="O155" s="102">
        <v>0</v>
      </c>
      <c r="P155" s="103">
        <f t="shared" si="18"/>
        <v>6226</v>
      </c>
      <c r="Q155" s="103">
        <f t="shared" si="21"/>
        <v>179.28</v>
      </c>
      <c r="R155" s="103">
        <f t="shared" si="19"/>
        <v>657.36</v>
      </c>
      <c r="S155" s="103">
        <v>67.31</v>
      </c>
      <c r="T155" s="103">
        <v>0</v>
      </c>
      <c r="U155" s="103">
        <f t="shared" si="20"/>
        <v>903.95</v>
      </c>
      <c r="V155" s="103">
        <f t="shared" si="22"/>
        <v>5322.05</v>
      </c>
      <c r="W155" s="103">
        <v>0</v>
      </c>
    </row>
    <row r="156" spans="1:170" s="89" customFormat="1" ht="25.5" x14ac:dyDescent="0.2">
      <c r="A156" s="128">
        <v>147</v>
      </c>
      <c r="B156" s="58" t="s">
        <v>735</v>
      </c>
      <c r="C156" s="58" t="s">
        <v>596</v>
      </c>
      <c r="D156" s="101">
        <f>485*4</f>
        <v>1940</v>
      </c>
      <c r="E156" s="102">
        <v>0</v>
      </c>
      <c r="F156" s="102">
        <f>606.25*4</f>
        <v>2425</v>
      </c>
      <c r="G156" s="102">
        <v>0</v>
      </c>
      <c r="H156" s="102">
        <v>0</v>
      </c>
      <c r="I156" s="102">
        <v>0</v>
      </c>
      <c r="J156" s="102">
        <v>0</v>
      </c>
      <c r="K156" s="102">
        <v>0</v>
      </c>
      <c r="L156" s="102">
        <v>0</v>
      </c>
      <c r="M156" s="102">
        <v>0</v>
      </c>
      <c r="N156" s="102">
        <v>0</v>
      </c>
      <c r="O156" s="102">
        <v>0</v>
      </c>
      <c r="P156" s="103">
        <f t="shared" si="18"/>
        <v>4365</v>
      </c>
      <c r="Q156" s="103">
        <f t="shared" si="21"/>
        <v>130.94999999999999</v>
      </c>
      <c r="R156" s="103">
        <f t="shared" si="19"/>
        <v>480.15</v>
      </c>
      <c r="S156" s="103">
        <v>0</v>
      </c>
      <c r="T156" s="103">
        <v>0</v>
      </c>
      <c r="U156" s="103">
        <f t="shared" si="20"/>
        <v>611.1</v>
      </c>
      <c r="V156" s="103">
        <f t="shared" si="22"/>
        <v>3753.9</v>
      </c>
      <c r="W156" s="103">
        <v>0</v>
      </c>
    </row>
    <row r="157" spans="1:170" s="89" customFormat="1" x14ac:dyDescent="0.2">
      <c r="A157" s="128">
        <v>148</v>
      </c>
      <c r="B157" s="58" t="s">
        <v>736</v>
      </c>
      <c r="C157" s="58" t="s">
        <v>581</v>
      </c>
      <c r="D157" s="101">
        <v>1476</v>
      </c>
      <c r="E157" s="102">
        <v>2000</v>
      </c>
      <c r="F157" s="102">
        <v>0</v>
      </c>
      <c r="G157" s="102">
        <v>1900</v>
      </c>
      <c r="H157" s="102">
        <v>0</v>
      </c>
      <c r="I157" s="102">
        <v>2600</v>
      </c>
      <c r="J157" s="102">
        <v>0</v>
      </c>
      <c r="K157" s="102">
        <v>50</v>
      </c>
      <c r="L157" s="102">
        <v>0</v>
      </c>
      <c r="M157" s="102">
        <v>250</v>
      </c>
      <c r="N157" s="102">
        <v>0</v>
      </c>
      <c r="O157" s="102">
        <v>0</v>
      </c>
      <c r="P157" s="103">
        <f t="shared" si="18"/>
        <v>8276</v>
      </c>
      <c r="Q157" s="103">
        <f t="shared" si="21"/>
        <v>240.78</v>
      </c>
      <c r="R157" s="103">
        <f t="shared" si="19"/>
        <v>882.86</v>
      </c>
      <c r="S157" s="103">
        <v>148.33000000000001</v>
      </c>
      <c r="T157" s="103">
        <v>0</v>
      </c>
      <c r="U157" s="103">
        <f t="shared" si="20"/>
        <v>1271.97</v>
      </c>
      <c r="V157" s="103">
        <f t="shared" si="22"/>
        <v>7004.03</v>
      </c>
      <c r="W157" s="103">
        <f>1050+1463</f>
        <v>2513</v>
      </c>
    </row>
    <row r="158" spans="1:170" s="89" customFormat="1" ht="38.25" x14ac:dyDescent="0.2">
      <c r="A158" s="128">
        <v>149</v>
      </c>
      <c r="B158" s="58" t="s">
        <v>737</v>
      </c>
      <c r="C158" s="58" t="s">
        <v>720</v>
      </c>
      <c r="D158" s="101">
        <f>485*3</f>
        <v>1455</v>
      </c>
      <c r="E158" s="102">
        <v>0</v>
      </c>
      <c r="F158" s="102">
        <f>242.5*3</f>
        <v>727.5</v>
      </c>
      <c r="G158" s="102">
        <v>0</v>
      </c>
      <c r="H158" s="102">
        <v>0</v>
      </c>
      <c r="I158" s="102">
        <v>0</v>
      </c>
      <c r="J158" s="102">
        <v>0</v>
      </c>
      <c r="K158" s="102">
        <v>0</v>
      </c>
      <c r="L158" s="102">
        <v>0</v>
      </c>
      <c r="M158" s="102">
        <v>0</v>
      </c>
      <c r="N158" s="102">
        <v>0</v>
      </c>
      <c r="O158" s="102">
        <v>0</v>
      </c>
      <c r="P158" s="103">
        <f t="shared" si="18"/>
        <v>2182.5</v>
      </c>
      <c r="Q158" s="103">
        <f t="shared" si="21"/>
        <v>65.48</v>
      </c>
      <c r="R158" s="103">
        <f t="shared" si="19"/>
        <v>240.08</v>
      </c>
      <c r="S158" s="103">
        <v>0</v>
      </c>
      <c r="T158" s="103">
        <f>9.78*3</f>
        <v>29.34</v>
      </c>
      <c r="U158" s="103">
        <f t="shared" si="20"/>
        <v>334.9</v>
      </c>
      <c r="V158" s="103">
        <f t="shared" si="22"/>
        <v>1847.6</v>
      </c>
      <c r="W158" s="103">
        <v>0</v>
      </c>
    </row>
    <row r="159" spans="1:170" ht="25.5" x14ac:dyDescent="0.2">
      <c r="A159" s="128">
        <v>150</v>
      </c>
      <c r="B159" s="58" t="s">
        <v>738</v>
      </c>
      <c r="C159" s="58" t="s">
        <v>953</v>
      </c>
      <c r="D159" s="101">
        <v>1476</v>
      </c>
      <c r="E159" s="102">
        <v>2000</v>
      </c>
      <c r="F159" s="102">
        <v>0</v>
      </c>
      <c r="G159" s="102">
        <v>0</v>
      </c>
      <c r="H159" s="102">
        <v>1900</v>
      </c>
      <c r="I159" s="102">
        <v>2600</v>
      </c>
      <c r="J159" s="102">
        <v>0</v>
      </c>
      <c r="K159" s="102">
        <v>75</v>
      </c>
      <c r="L159" s="102">
        <v>0</v>
      </c>
      <c r="M159" s="102">
        <v>250</v>
      </c>
      <c r="N159" s="102">
        <v>0</v>
      </c>
      <c r="O159" s="102">
        <v>0</v>
      </c>
      <c r="P159" s="103">
        <f t="shared" si="18"/>
        <v>8301</v>
      </c>
      <c r="Q159" s="103">
        <f t="shared" si="21"/>
        <v>241.53</v>
      </c>
      <c r="R159" s="103">
        <f t="shared" si="19"/>
        <v>885.61</v>
      </c>
      <c r="S159" s="103">
        <v>147.44999999999999</v>
      </c>
      <c r="T159" s="103">
        <v>0</v>
      </c>
      <c r="U159" s="103">
        <f t="shared" si="20"/>
        <v>1274.5899999999999</v>
      </c>
      <c r="V159" s="103">
        <f t="shared" si="22"/>
        <v>7026.41</v>
      </c>
      <c r="W159" s="103">
        <v>0</v>
      </c>
    </row>
    <row r="160" spans="1:170" x14ac:dyDescent="0.2">
      <c r="A160" s="128">
        <v>151</v>
      </c>
      <c r="B160" s="58" t="s">
        <v>739</v>
      </c>
      <c r="C160" s="58" t="s">
        <v>587</v>
      </c>
      <c r="D160" s="101">
        <v>2885</v>
      </c>
      <c r="E160" s="102">
        <v>0</v>
      </c>
      <c r="F160" s="102">
        <v>2885</v>
      </c>
      <c r="G160" s="102">
        <v>0</v>
      </c>
      <c r="H160" s="102">
        <v>0</v>
      </c>
      <c r="I160" s="102">
        <v>0</v>
      </c>
      <c r="J160" s="102">
        <v>0</v>
      </c>
      <c r="K160" s="102">
        <v>0</v>
      </c>
      <c r="L160" s="102">
        <v>0</v>
      </c>
      <c r="M160" s="102">
        <v>0</v>
      </c>
      <c r="N160" s="102">
        <v>0</v>
      </c>
      <c r="O160" s="102">
        <v>0</v>
      </c>
      <c r="P160" s="103">
        <f t="shared" si="18"/>
        <v>5770</v>
      </c>
      <c r="Q160" s="103">
        <f t="shared" si="21"/>
        <v>173.1</v>
      </c>
      <c r="R160" s="103">
        <f t="shared" si="19"/>
        <v>634.70000000000005</v>
      </c>
      <c r="S160" s="103">
        <v>46.06</v>
      </c>
      <c r="T160" s="103">
        <v>0</v>
      </c>
      <c r="U160" s="103">
        <f t="shared" si="20"/>
        <v>853.86</v>
      </c>
      <c r="V160" s="103">
        <f t="shared" si="22"/>
        <v>4916.1400000000003</v>
      </c>
      <c r="W160" s="103">
        <v>500</v>
      </c>
    </row>
    <row r="161" spans="1:170" ht="38.25" x14ac:dyDescent="0.2">
      <c r="A161" s="128">
        <v>152</v>
      </c>
      <c r="B161" s="58" t="s">
        <v>740</v>
      </c>
      <c r="C161" s="58" t="s">
        <v>954</v>
      </c>
      <c r="D161" s="101">
        <v>1476</v>
      </c>
      <c r="E161" s="102">
        <v>1600</v>
      </c>
      <c r="F161" s="102">
        <v>0</v>
      </c>
      <c r="G161" s="102">
        <v>0</v>
      </c>
      <c r="H161" s="102">
        <v>1900</v>
      </c>
      <c r="I161" s="102">
        <v>0</v>
      </c>
      <c r="J161" s="102">
        <v>0</v>
      </c>
      <c r="K161" s="102">
        <v>50</v>
      </c>
      <c r="L161" s="102">
        <v>0</v>
      </c>
      <c r="M161" s="102">
        <v>250</v>
      </c>
      <c r="N161" s="102">
        <v>0</v>
      </c>
      <c r="O161" s="102">
        <v>0</v>
      </c>
      <c r="P161" s="103">
        <f t="shared" ref="P161:P192" si="23">SUM(D161:N161)</f>
        <v>5276</v>
      </c>
      <c r="Q161" s="103">
        <f t="shared" si="21"/>
        <v>150.78</v>
      </c>
      <c r="R161" s="103">
        <f t="shared" si="19"/>
        <v>552.86</v>
      </c>
      <c r="S161" s="103">
        <v>21.91</v>
      </c>
      <c r="T161" s="103">
        <v>0</v>
      </c>
      <c r="U161" s="103">
        <f t="shared" si="20"/>
        <v>725.55</v>
      </c>
      <c r="V161" s="103">
        <f t="shared" si="22"/>
        <v>4550.45</v>
      </c>
      <c r="W161" s="103">
        <v>0</v>
      </c>
    </row>
    <row r="162" spans="1:170" ht="25.5" x14ac:dyDescent="0.2">
      <c r="A162" s="128">
        <v>153</v>
      </c>
      <c r="B162" s="58" t="s">
        <v>741</v>
      </c>
      <c r="C162" s="122" t="s">
        <v>574</v>
      </c>
      <c r="D162" s="101">
        <v>1350</v>
      </c>
      <c r="E162" s="102">
        <v>2000</v>
      </c>
      <c r="F162" s="102">
        <v>0</v>
      </c>
      <c r="G162" s="102">
        <v>0</v>
      </c>
      <c r="H162" s="102">
        <v>1600</v>
      </c>
      <c r="I162" s="102">
        <f>2900</f>
        <v>2900</v>
      </c>
      <c r="J162" s="102">
        <v>0</v>
      </c>
      <c r="K162" s="102">
        <v>0</v>
      </c>
      <c r="L162" s="102">
        <v>0</v>
      </c>
      <c r="M162" s="102">
        <v>250</v>
      </c>
      <c r="N162" s="102">
        <v>0</v>
      </c>
      <c r="O162" s="102">
        <v>0</v>
      </c>
      <c r="P162" s="103">
        <f t="shared" si="23"/>
        <v>8100</v>
      </c>
      <c r="Q162" s="103">
        <f t="shared" si="21"/>
        <v>235.5</v>
      </c>
      <c r="R162" s="103">
        <f t="shared" si="19"/>
        <v>863.5</v>
      </c>
      <c r="S162" s="103">
        <v>146.18</v>
      </c>
      <c r="T162" s="103">
        <v>0</v>
      </c>
      <c r="U162" s="103">
        <f t="shared" si="20"/>
        <v>1245.18</v>
      </c>
      <c r="V162" s="103">
        <f t="shared" si="22"/>
        <v>6854.82</v>
      </c>
      <c r="W162" s="103">
        <v>0</v>
      </c>
    </row>
    <row r="163" spans="1:170" x14ac:dyDescent="0.2">
      <c r="A163" s="128">
        <v>154</v>
      </c>
      <c r="B163" s="58" t="s">
        <v>742</v>
      </c>
      <c r="C163" s="58" t="s">
        <v>576</v>
      </c>
      <c r="D163" s="101">
        <v>1350</v>
      </c>
      <c r="E163" s="102">
        <v>2000</v>
      </c>
      <c r="F163" s="102">
        <v>0</v>
      </c>
      <c r="G163" s="102">
        <v>0</v>
      </c>
      <c r="H163" s="102">
        <v>0</v>
      </c>
      <c r="I163" s="102">
        <v>4500</v>
      </c>
      <c r="J163" s="102">
        <v>0</v>
      </c>
      <c r="K163" s="102">
        <v>0</v>
      </c>
      <c r="L163" s="102">
        <v>0</v>
      </c>
      <c r="M163" s="102">
        <v>250</v>
      </c>
      <c r="N163" s="102">
        <v>0</v>
      </c>
      <c r="O163" s="102">
        <v>0</v>
      </c>
      <c r="P163" s="103">
        <f t="shared" si="23"/>
        <v>8100</v>
      </c>
      <c r="Q163" s="103">
        <f t="shared" si="21"/>
        <v>235.5</v>
      </c>
      <c r="R163" s="103">
        <f t="shared" si="19"/>
        <v>863.5</v>
      </c>
      <c r="S163" s="103">
        <v>143.03</v>
      </c>
      <c r="T163" s="103">
        <v>0</v>
      </c>
      <c r="U163" s="103">
        <f t="shared" si="20"/>
        <v>1242.03</v>
      </c>
      <c r="V163" s="103">
        <f t="shared" si="22"/>
        <v>6857.97</v>
      </c>
      <c r="W163" s="103">
        <v>0</v>
      </c>
    </row>
    <row r="164" spans="1:170" ht="25.5" x14ac:dyDescent="0.2">
      <c r="A164" s="128">
        <v>155</v>
      </c>
      <c r="B164" s="58" t="s">
        <v>743</v>
      </c>
      <c r="C164" s="58" t="s">
        <v>953</v>
      </c>
      <c r="D164" s="101">
        <v>1476</v>
      </c>
      <c r="E164" s="102">
        <v>2000</v>
      </c>
      <c r="F164" s="102">
        <v>0</v>
      </c>
      <c r="G164" s="102">
        <v>0</v>
      </c>
      <c r="H164" s="102">
        <v>1900</v>
      </c>
      <c r="I164" s="102">
        <v>2600</v>
      </c>
      <c r="J164" s="102">
        <v>0</v>
      </c>
      <c r="K164" s="102">
        <v>50</v>
      </c>
      <c r="L164" s="102">
        <v>0</v>
      </c>
      <c r="M164" s="102">
        <v>250</v>
      </c>
      <c r="N164" s="102">
        <v>0</v>
      </c>
      <c r="O164" s="102">
        <v>0</v>
      </c>
      <c r="P164" s="103">
        <f t="shared" si="23"/>
        <v>8276</v>
      </c>
      <c r="Q164" s="103">
        <f t="shared" si="21"/>
        <v>240.78</v>
      </c>
      <c r="R164" s="103">
        <f t="shared" si="19"/>
        <v>882.86</v>
      </c>
      <c r="S164" s="103">
        <v>20.420000000000002</v>
      </c>
      <c r="T164" s="103">
        <v>0</v>
      </c>
      <c r="U164" s="103">
        <f>SUM(Q164:T164)</f>
        <v>1144.06</v>
      </c>
      <c r="V164" s="103">
        <f t="shared" si="22"/>
        <v>7131.94</v>
      </c>
      <c r="W164" s="103">
        <f>802.95</f>
        <v>802.95</v>
      </c>
    </row>
    <row r="165" spans="1:170" x14ac:dyDescent="0.2">
      <c r="A165" s="128">
        <v>156</v>
      </c>
      <c r="B165" s="194" t="s">
        <v>970</v>
      </c>
      <c r="C165" s="194" t="s">
        <v>971</v>
      </c>
      <c r="D165" s="101">
        <v>10949</v>
      </c>
      <c r="E165" s="102">
        <v>0</v>
      </c>
      <c r="F165" s="102">
        <v>0</v>
      </c>
      <c r="G165" s="102">
        <v>5000</v>
      </c>
      <c r="H165" s="102">
        <v>0</v>
      </c>
      <c r="I165" s="102">
        <v>0</v>
      </c>
      <c r="J165" s="102">
        <v>375</v>
      </c>
      <c r="K165" s="102">
        <v>0</v>
      </c>
      <c r="L165" s="102">
        <v>0</v>
      </c>
      <c r="M165" s="102">
        <v>250</v>
      </c>
      <c r="N165" s="102">
        <v>6000</v>
      </c>
      <c r="O165" s="102">
        <v>0</v>
      </c>
      <c r="P165" s="103">
        <f t="shared" si="23"/>
        <v>22574</v>
      </c>
      <c r="Q165" s="103">
        <f t="shared" si="21"/>
        <v>669.72</v>
      </c>
      <c r="R165" s="103">
        <f>(D165+E165+F165+G165+H165+I165+J165+K165+N165)*15%</f>
        <v>3348.6</v>
      </c>
      <c r="S165" s="103">
        <v>508.94</v>
      </c>
      <c r="T165" s="103">
        <v>214.35</v>
      </c>
      <c r="U165" s="103">
        <f>SUM(Q165:T165)</f>
        <v>4741.6099999999997</v>
      </c>
      <c r="V165" s="103">
        <f t="shared" si="22"/>
        <v>17832.39</v>
      </c>
      <c r="W165" s="103">
        <v>0</v>
      </c>
    </row>
    <row r="166" spans="1:170" ht="25.5" x14ac:dyDescent="0.2">
      <c r="A166" s="128">
        <v>157</v>
      </c>
      <c r="B166" s="123" t="s">
        <v>744</v>
      </c>
      <c r="C166" s="58" t="s">
        <v>745</v>
      </c>
      <c r="D166" s="102">
        <v>1039</v>
      </c>
      <c r="E166" s="102">
        <v>400</v>
      </c>
      <c r="F166" s="102">
        <v>0</v>
      </c>
      <c r="G166" s="102">
        <v>1000</v>
      </c>
      <c r="H166" s="102">
        <v>0</v>
      </c>
      <c r="I166" s="102">
        <v>0</v>
      </c>
      <c r="J166" s="102">
        <v>0</v>
      </c>
      <c r="K166" s="102">
        <v>0</v>
      </c>
      <c r="L166" s="102">
        <v>200</v>
      </c>
      <c r="M166" s="102">
        <v>250</v>
      </c>
      <c r="N166" s="102">
        <v>0</v>
      </c>
      <c r="O166" s="102">
        <v>0</v>
      </c>
      <c r="P166" s="103">
        <f t="shared" si="23"/>
        <v>2889</v>
      </c>
      <c r="Q166" s="103">
        <f t="shared" si="21"/>
        <v>73.17</v>
      </c>
      <c r="R166" s="103">
        <f t="shared" ref="R166:R201" si="24">(D166+E166+F166+G166+H166+I166+J166+K166+N166)*11%</f>
        <v>268.29000000000002</v>
      </c>
      <c r="S166" s="103">
        <v>0</v>
      </c>
      <c r="T166" s="103">
        <v>0</v>
      </c>
      <c r="U166" s="103">
        <f t="shared" ref="U166:U197" si="25">SUM(Q166:T166)</f>
        <v>341.46</v>
      </c>
      <c r="V166" s="103">
        <f t="shared" si="22"/>
        <v>2547.54</v>
      </c>
      <c r="W166" s="103">
        <v>0</v>
      </c>
    </row>
    <row r="167" spans="1:170" x14ac:dyDescent="0.2">
      <c r="A167" s="128">
        <v>158</v>
      </c>
      <c r="B167" s="125" t="s">
        <v>933</v>
      </c>
      <c r="C167" s="58" t="s">
        <v>660</v>
      </c>
      <c r="D167" s="102">
        <v>1575</v>
      </c>
      <c r="E167" s="102">
        <v>0</v>
      </c>
      <c r="F167" s="102">
        <v>0</v>
      </c>
      <c r="G167" s="102">
        <v>1000</v>
      </c>
      <c r="H167" s="102">
        <v>0</v>
      </c>
      <c r="I167" s="102">
        <v>0</v>
      </c>
      <c r="J167" s="102">
        <v>0</v>
      </c>
      <c r="K167" s="102">
        <v>0</v>
      </c>
      <c r="L167" s="102">
        <v>0</v>
      </c>
      <c r="M167" s="102">
        <v>250</v>
      </c>
      <c r="N167" s="102">
        <v>0</v>
      </c>
      <c r="O167" s="102">
        <v>0</v>
      </c>
      <c r="P167" s="103">
        <f t="shared" si="23"/>
        <v>2825</v>
      </c>
      <c r="Q167" s="103">
        <f t="shared" si="21"/>
        <v>77.25</v>
      </c>
      <c r="R167" s="103">
        <f t="shared" si="24"/>
        <v>283.25</v>
      </c>
      <c r="S167" s="103">
        <v>0</v>
      </c>
      <c r="T167" s="103">
        <v>34.61</v>
      </c>
      <c r="U167" s="103">
        <f t="shared" si="25"/>
        <v>395.11</v>
      </c>
      <c r="V167" s="103">
        <f t="shared" si="22"/>
        <v>2429.89</v>
      </c>
      <c r="W167" s="103">
        <v>0</v>
      </c>
    </row>
    <row r="168" spans="1:170" ht="25.5" x14ac:dyDescent="0.2">
      <c r="A168" s="128">
        <v>159</v>
      </c>
      <c r="B168" s="58" t="s">
        <v>746</v>
      </c>
      <c r="C168" s="58" t="s">
        <v>953</v>
      </c>
      <c r="D168" s="101">
        <v>1476</v>
      </c>
      <c r="E168" s="102">
        <v>2000</v>
      </c>
      <c r="F168" s="102">
        <v>0</v>
      </c>
      <c r="G168" s="102">
        <v>0</v>
      </c>
      <c r="H168" s="102">
        <v>1900</v>
      </c>
      <c r="I168" s="102">
        <v>2600</v>
      </c>
      <c r="J168" s="102">
        <v>0</v>
      </c>
      <c r="K168" s="102">
        <v>0</v>
      </c>
      <c r="L168" s="102">
        <v>0</v>
      </c>
      <c r="M168" s="102">
        <v>250</v>
      </c>
      <c r="N168" s="102">
        <v>0</v>
      </c>
      <c r="O168" s="102">
        <v>0</v>
      </c>
      <c r="P168" s="103">
        <f t="shared" si="23"/>
        <v>8226</v>
      </c>
      <c r="Q168" s="103">
        <f t="shared" si="21"/>
        <v>239.28</v>
      </c>
      <c r="R168" s="103">
        <f t="shared" si="24"/>
        <v>877.36</v>
      </c>
      <c r="S168" s="103">
        <v>148.33000000000001</v>
      </c>
      <c r="T168" s="103">
        <v>0</v>
      </c>
      <c r="U168" s="103">
        <f t="shared" si="25"/>
        <v>1264.97</v>
      </c>
      <c r="V168" s="103">
        <f t="shared" si="22"/>
        <v>6961.03</v>
      </c>
      <c r="W168" s="103">
        <f>273</f>
        <v>273</v>
      </c>
    </row>
    <row r="169" spans="1:170" x14ac:dyDescent="0.2">
      <c r="A169" s="128">
        <v>160</v>
      </c>
      <c r="B169" s="58" t="s">
        <v>747</v>
      </c>
      <c r="C169" s="58" t="s">
        <v>581</v>
      </c>
      <c r="D169" s="101">
        <v>1476</v>
      </c>
      <c r="E169" s="102">
        <v>2000</v>
      </c>
      <c r="F169" s="102">
        <v>0</v>
      </c>
      <c r="G169" s="102">
        <v>0</v>
      </c>
      <c r="H169" s="102">
        <v>0</v>
      </c>
      <c r="I169" s="102">
        <v>4500</v>
      </c>
      <c r="J169" s="102">
        <v>0</v>
      </c>
      <c r="K169" s="102">
        <v>0</v>
      </c>
      <c r="L169" s="102">
        <v>0</v>
      </c>
      <c r="M169" s="102">
        <v>250</v>
      </c>
      <c r="N169" s="102">
        <v>0</v>
      </c>
      <c r="O169" s="102">
        <v>0</v>
      </c>
      <c r="P169" s="103">
        <f t="shared" si="23"/>
        <v>8226</v>
      </c>
      <c r="Q169" s="103">
        <f t="shared" si="21"/>
        <v>239.28</v>
      </c>
      <c r="R169" s="103">
        <f t="shared" si="24"/>
        <v>877.36</v>
      </c>
      <c r="S169" s="103">
        <v>148.33000000000001</v>
      </c>
      <c r="T169" s="103">
        <v>0</v>
      </c>
      <c r="U169" s="103">
        <f t="shared" si="25"/>
        <v>1264.97</v>
      </c>
      <c r="V169" s="103">
        <f t="shared" si="22"/>
        <v>6961.03</v>
      </c>
      <c r="W169" s="103">
        <v>0</v>
      </c>
    </row>
    <row r="170" spans="1:170" s="90" customFormat="1" ht="25.5" x14ac:dyDescent="0.2">
      <c r="A170" s="128">
        <v>161</v>
      </c>
      <c r="B170" s="125" t="s">
        <v>748</v>
      </c>
      <c r="C170" s="58" t="s">
        <v>749</v>
      </c>
      <c r="D170" s="101">
        <v>3081</v>
      </c>
      <c r="E170" s="102">
        <v>1000</v>
      </c>
      <c r="F170" s="102">
        <v>0</v>
      </c>
      <c r="G170" s="102">
        <v>0</v>
      </c>
      <c r="H170" s="102">
        <v>0</v>
      </c>
      <c r="I170" s="102">
        <v>0</v>
      </c>
      <c r="J170" s="102">
        <v>0</v>
      </c>
      <c r="K170" s="102">
        <v>0</v>
      </c>
      <c r="L170" s="102">
        <v>0</v>
      </c>
      <c r="M170" s="102">
        <v>250</v>
      </c>
      <c r="N170" s="102">
        <v>0</v>
      </c>
      <c r="O170" s="102">
        <v>0</v>
      </c>
      <c r="P170" s="103">
        <f t="shared" si="23"/>
        <v>4331</v>
      </c>
      <c r="Q170" s="103">
        <f t="shared" si="21"/>
        <v>122.43</v>
      </c>
      <c r="R170" s="103">
        <f t="shared" si="24"/>
        <v>448.91</v>
      </c>
      <c r="S170" s="103">
        <v>0</v>
      </c>
      <c r="T170" s="103">
        <v>0</v>
      </c>
      <c r="U170" s="103">
        <f t="shared" si="25"/>
        <v>571.34</v>
      </c>
      <c r="V170" s="103">
        <f t="shared" si="22"/>
        <v>3759.66</v>
      </c>
      <c r="W170" s="103">
        <v>0</v>
      </c>
      <c r="X170" s="89"/>
      <c r="Y170" s="89"/>
      <c r="Z170" s="89"/>
      <c r="AA170" s="89"/>
      <c r="AB170" s="89"/>
      <c r="AC170" s="89"/>
      <c r="AD170" s="89"/>
      <c r="AE170" s="89"/>
      <c r="AF170" s="89"/>
      <c r="AG170" s="89"/>
      <c r="AH170" s="89"/>
      <c r="AI170" s="89"/>
      <c r="AJ170" s="89"/>
      <c r="AK170" s="89"/>
      <c r="AL170" s="89"/>
      <c r="AM170" s="89"/>
      <c r="AN170" s="89"/>
      <c r="AO170" s="89"/>
      <c r="AP170" s="89"/>
      <c r="AQ170" s="89"/>
      <c r="AR170" s="89"/>
      <c r="AS170" s="89"/>
      <c r="AT170" s="89"/>
      <c r="AU170" s="89"/>
      <c r="AV170" s="89"/>
      <c r="AW170" s="89"/>
      <c r="AX170" s="89"/>
      <c r="AY170" s="89"/>
      <c r="AZ170" s="89"/>
      <c r="BA170" s="89"/>
      <c r="BB170" s="89"/>
      <c r="BC170" s="89"/>
      <c r="BD170" s="89"/>
      <c r="BE170" s="89"/>
      <c r="BF170" s="89"/>
      <c r="BG170" s="89"/>
      <c r="BH170" s="89"/>
      <c r="BI170" s="89"/>
      <c r="BJ170" s="89"/>
      <c r="BK170" s="89"/>
      <c r="BL170" s="89"/>
      <c r="BM170" s="89"/>
      <c r="BN170" s="89"/>
      <c r="BO170" s="89"/>
      <c r="BP170" s="89"/>
      <c r="BQ170" s="89"/>
      <c r="BR170" s="89"/>
      <c r="BS170" s="89"/>
      <c r="BT170" s="89"/>
      <c r="BU170" s="89"/>
      <c r="BV170" s="89"/>
      <c r="BW170" s="89"/>
      <c r="BX170" s="89"/>
      <c r="BY170" s="89"/>
      <c r="BZ170" s="89"/>
      <c r="CA170" s="89"/>
      <c r="CB170" s="89"/>
      <c r="CC170" s="89"/>
      <c r="CD170" s="89"/>
      <c r="CE170" s="89"/>
      <c r="CF170" s="89"/>
      <c r="CG170" s="89"/>
      <c r="CH170" s="89"/>
      <c r="CI170" s="89"/>
      <c r="CJ170" s="89"/>
      <c r="CK170" s="89"/>
      <c r="CL170" s="89"/>
      <c r="CM170" s="89"/>
      <c r="CN170" s="89"/>
      <c r="CO170" s="89"/>
      <c r="CP170" s="89"/>
      <c r="CQ170" s="89"/>
      <c r="CR170" s="89"/>
      <c r="CS170" s="89"/>
      <c r="CT170" s="89"/>
      <c r="CU170" s="89"/>
      <c r="CV170" s="89"/>
      <c r="CW170" s="89"/>
      <c r="CX170" s="89"/>
      <c r="CY170" s="89"/>
      <c r="CZ170" s="89"/>
      <c r="DA170" s="89"/>
      <c r="DB170" s="89"/>
      <c r="DC170" s="89"/>
      <c r="DD170" s="89"/>
      <c r="DE170" s="89"/>
      <c r="DF170" s="89"/>
      <c r="DG170" s="89"/>
      <c r="DH170" s="89"/>
      <c r="DI170" s="89"/>
      <c r="DJ170" s="89"/>
      <c r="DK170" s="89"/>
      <c r="DL170" s="89"/>
      <c r="DM170" s="89"/>
      <c r="DN170" s="89"/>
      <c r="DO170" s="89"/>
      <c r="DP170" s="89"/>
      <c r="DQ170" s="89"/>
      <c r="DR170" s="89"/>
      <c r="DS170" s="89"/>
      <c r="DT170" s="89"/>
      <c r="DU170" s="89"/>
      <c r="DV170" s="89"/>
      <c r="DW170" s="89"/>
      <c r="DX170" s="89"/>
      <c r="DY170" s="89"/>
      <c r="DZ170" s="89"/>
      <c r="EA170" s="89"/>
      <c r="EB170" s="89"/>
      <c r="EC170" s="89"/>
      <c r="ED170" s="89"/>
      <c r="EE170" s="89"/>
      <c r="EF170" s="89"/>
      <c r="EG170" s="89"/>
      <c r="EH170" s="89"/>
      <c r="EI170" s="89"/>
      <c r="EJ170" s="89"/>
      <c r="EK170" s="89"/>
      <c r="EL170" s="89"/>
      <c r="EM170" s="89"/>
      <c r="EN170" s="89"/>
      <c r="EO170" s="89"/>
      <c r="EP170" s="89"/>
      <c r="EQ170" s="89"/>
      <c r="ER170" s="89"/>
      <c r="ES170" s="89"/>
      <c r="ET170" s="89"/>
      <c r="EU170" s="89"/>
      <c r="EV170" s="89"/>
      <c r="EW170" s="89"/>
      <c r="EX170" s="89"/>
      <c r="EY170" s="89"/>
      <c r="EZ170" s="89"/>
      <c r="FA170" s="89"/>
      <c r="FB170" s="89"/>
      <c r="FC170" s="89"/>
      <c r="FD170" s="89"/>
      <c r="FE170" s="89"/>
      <c r="FF170" s="89"/>
      <c r="FG170" s="89"/>
      <c r="FH170" s="89"/>
      <c r="FI170" s="89"/>
      <c r="FJ170" s="89"/>
      <c r="FK170" s="89"/>
      <c r="FL170" s="89"/>
      <c r="FM170" s="89"/>
      <c r="FN170" s="89"/>
    </row>
    <row r="171" spans="1:170" ht="25.5" x14ac:dyDescent="0.2">
      <c r="A171" s="128">
        <v>162</v>
      </c>
      <c r="B171" s="58" t="s">
        <v>750</v>
      </c>
      <c r="C171" s="58" t="s">
        <v>953</v>
      </c>
      <c r="D171" s="101">
        <v>1476</v>
      </c>
      <c r="E171" s="102">
        <v>2000</v>
      </c>
      <c r="F171" s="102">
        <v>0</v>
      </c>
      <c r="G171" s="102">
        <v>0</v>
      </c>
      <c r="H171" s="102">
        <v>1900</v>
      </c>
      <c r="I171" s="102">
        <v>2600</v>
      </c>
      <c r="J171" s="102">
        <v>0</v>
      </c>
      <c r="K171" s="102">
        <v>75</v>
      </c>
      <c r="L171" s="102">
        <v>0</v>
      </c>
      <c r="M171" s="102">
        <v>250</v>
      </c>
      <c r="N171" s="102">
        <v>0</v>
      </c>
      <c r="O171" s="102">
        <v>0</v>
      </c>
      <c r="P171" s="103">
        <f t="shared" si="23"/>
        <v>8301</v>
      </c>
      <c r="Q171" s="103">
        <f t="shared" si="21"/>
        <v>241.53</v>
      </c>
      <c r="R171" s="103">
        <f t="shared" si="24"/>
        <v>885.61</v>
      </c>
      <c r="S171" s="103">
        <v>146.41</v>
      </c>
      <c r="T171" s="103">
        <v>0</v>
      </c>
      <c r="U171" s="103">
        <f t="shared" si="25"/>
        <v>1273.55</v>
      </c>
      <c r="V171" s="103">
        <f t="shared" si="22"/>
        <v>7027.45</v>
      </c>
      <c r="W171" s="103">
        <f>567.5+1048+1379</f>
        <v>2994.5</v>
      </c>
    </row>
    <row r="172" spans="1:170" x14ac:dyDescent="0.2">
      <c r="A172" s="128">
        <v>163</v>
      </c>
      <c r="B172" s="58" t="s">
        <v>751</v>
      </c>
      <c r="C172" s="58" t="s">
        <v>587</v>
      </c>
      <c r="D172" s="101">
        <v>1223</v>
      </c>
      <c r="E172" s="102">
        <v>650</v>
      </c>
      <c r="F172" s="102">
        <v>0</v>
      </c>
      <c r="G172" s="102">
        <v>1000</v>
      </c>
      <c r="H172" s="102">
        <v>0</v>
      </c>
      <c r="I172" s="102">
        <v>0</v>
      </c>
      <c r="J172" s="102">
        <v>0</v>
      </c>
      <c r="K172" s="102">
        <v>0</v>
      </c>
      <c r="L172" s="102">
        <v>0</v>
      </c>
      <c r="M172" s="102">
        <v>250</v>
      </c>
      <c r="N172" s="102">
        <v>0</v>
      </c>
      <c r="O172" s="102">
        <v>0</v>
      </c>
      <c r="P172" s="103">
        <f t="shared" si="23"/>
        <v>3123</v>
      </c>
      <c r="Q172" s="103">
        <f t="shared" si="21"/>
        <v>86.19</v>
      </c>
      <c r="R172" s="103">
        <f t="shared" si="24"/>
        <v>316.02999999999997</v>
      </c>
      <c r="S172" s="103">
        <v>0</v>
      </c>
      <c r="T172" s="103">
        <v>0</v>
      </c>
      <c r="U172" s="103">
        <f t="shared" si="25"/>
        <v>402.22</v>
      </c>
      <c r="V172" s="103">
        <f t="shared" si="22"/>
        <v>2720.78</v>
      </c>
      <c r="W172" s="103">
        <v>0</v>
      </c>
    </row>
    <row r="173" spans="1:170" ht="51" x14ac:dyDescent="0.2">
      <c r="A173" s="128">
        <v>164</v>
      </c>
      <c r="B173" s="58" t="s">
        <v>752</v>
      </c>
      <c r="C173" s="58" t="s">
        <v>753</v>
      </c>
      <c r="D173" s="101">
        <f>2425+388</f>
        <v>2813</v>
      </c>
      <c r="E173" s="102">
        <v>0</v>
      </c>
      <c r="F173" s="102">
        <v>3031.25</v>
      </c>
      <c r="G173" s="102">
        <v>0</v>
      </c>
      <c r="H173" s="102">
        <v>0</v>
      </c>
      <c r="I173" s="102">
        <v>0</v>
      </c>
      <c r="J173" s="102">
        <v>0</v>
      </c>
      <c r="K173" s="102">
        <v>0</v>
      </c>
      <c r="L173" s="102">
        <v>0</v>
      </c>
      <c r="M173" s="102">
        <v>0</v>
      </c>
      <c r="N173" s="102">
        <v>0</v>
      </c>
      <c r="O173" s="102">
        <v>0</v>
      </c>
      <c r="P173" s="103">
        <f t="shared" si="23"/>
        <v>5844.25</v>
      </c>
      <c r="Q173" s="103">
        <f t="shared" si="21"/>
        <v>175.33</v>
      </c>
      <c r="R173" s="103">
        <f t="shared" si="24"/>
        <v>642.87</v>
      </c>
      <c r="S173" s="103">
        <v>104.47</v>
      </c>
      <c r="T173" s="103">
        <v>0</v>
      </c>
      <c r="U173" s="103">
        <f t="shared" si="25"/>
        <v>922.67</v>
      </c>
      <c r="V173" s="103">
        <f t="shared" si="22"/>
        <v>4921.58</v>
      </c>
      <c r="W173" s="103">
        <v>0</v>
      </c>
    </row>
    <row r="174" spans="1:170" x14ac:dyDescent="0.2">
      <c r="A174" s="128">
        <v>165</v>
      </c>
      <c r="B174" s="58" t="s">
        <v>754</v>
      </c>
      <c r="C174" s="58" t="s">
        <v>592</v>
      </c>
      <c r="D174" s="101">
        <v>1105</v>
      </c>
      <c r="E174" s="102">
        <v>400</v>
      </c>
      <c r="F174" s="102">
        <v>0</v>
      </c>
      <c r="G174" s="102">
        <v>1000</v>
      </c>
      <c r="H174" s="102">
        <v>0</v>
      </c>
      <c r="I174" s="102">
        <v>0</v>
      </c>
      <c r="J174" s="102">
        <v>0</v>
      </c>
      <c r="K174" s="102">
        <v>50</v>
      </c>
      <c r="L174" s="102">
        <v>0</v>
      </c>
      <c r="M174" s="102">
        <v>250</v>
      </c>
      <c r="N174" s="102">
        <v>0</v>
      </c>
      <c r="O174" s="102">
        <v>0</v>
      </c>
      <c r="P174" s="103">
        <f t="shared" si="23"/>
        <v>2805</v>
      </c>
      <c r="Q174" s="103">
        <f t="shared" si="21"/>
        <v>76.650000000000006</v>
      </c>
      <c r="R174" s="103">
        <f t="shared" si="24"/>
        <v>281.05</v>
      </c>
      <c r="S174" s="103">
        <v>0</v>
      </c>
      <c r="T174" s="103">
        <v>0</v>
      </c>
      <c r="U174" s="103">
        <f t="shared" si="25"/>
        <v>357.7</v>
      </c>
      <c r="V174" s="103">
        <f t="shared" si="22"/>
        <v>2447.3000000000002</v>
      </c>
      <c r="W174" s="103">
        <v>0</v>
      </c>
    </row>
    <row r="175" spans="1:170" ht="38.25" x14ac:dyDescent="0.2">
      <c r="A175" s="128">
        <v>166</v>
      </c>
      <c r="B175" s="58" t="s">
        <v>755</v>
      </c>
      <c r="C175" s="58" t="s">
        <v>756</v>
      </c>
      <c r="D175" s="101">
        <f>(485*3)+2656</f>
        <v>4111</v>
      </c>
      <c r="E175" s="102">
        <v>2400</v>
      </c>
      <c r="F175" s="102">
        <f>485*3</f>
        <v>1455</v>
      </c>
      <c r="G175" s="102">
        <v>0</v>
      </c>
      <c r="H175" s="102">
        <v>0</v>
      </c>
      <c r="I175" s="102">
        <v>5400</v>
      </c>
      <c r="J175" s="102">
        <v>0</v>
      </c>
      <c r="K175" s="102">
        <v>0</v>
      </c>
      <c r="L175" s="102">
        <v>0</v>
      </c>
      <c r="M175" s="102">
        <v>250</v>
      </c>
      <c r="N175" s="102">
        <v>0</v>
      </c>
      <c r="O175" s="102">
        <v>0</v>
      </c>
      <c r="P175" s="103">
        <f t="shared" si="23"/>
        <v>13616</v>
      </c>
      <c r="Q175" s="103">
        <f t="shared" si="21"/>
        <v>400.98</v>
      </c>
      <c r="R175" s="103">
        <f t="shared" si="24"/>
        <v>1470.26</v>
      </c>
      <c r="S175" s="103">
        <v>361.64</v>
      </c>
      <c r="T175" s="103">
        <v>140.53</v>
      </c>
      <c r="U175" s="103">
        <f t="shared" si="25"/>
        <v>2373.41</v>
      </c>
      <c r="V175" s="103">
        <f t="shared" si="22"/>
        <v>11242.59</v>
      </c>
      <c r="W175" s="103">
        <v>0</v>
      </c>
    </row>
    <row r="176" spans="1:170" x14ac:dyDescent="0.2">
      <c r="A176" s="128">
        <v>167</v>
      </c>
      <c r="B176" s="122" t="s">
        <v>928</v>
      </c>
      <c r="C176" s="122" t="s">
        <v>572</v>
      </c>
      <c r="D176" s="101">
        <v>1074</v>
      </c>
      <c r="E176" s="102">
        <v>0</v>
      </c>
      <c r="F176" s="102">
        <v>0</v>
      </c>
      <c r="G176" s="102">
        <v>1000</v>
      </c>
      <c r="H176" s="102">
        <v>0</v>
      </c>
      <c r="I176" s="102">
        <v>0</v>
      </c>
      <c r="J176" s="102">
        <v>0</v>
      </c>
      <c r="K176" s="102">
        <v>0</v>
      </c>
      <c r="L176" s="102">
        <v>0</v>
      </c>
      <c r="M176" s="102">
        <v>250</v>
      </c>
      <c r="N176" s="102">
        <v>0</v>
      </c>
      <c r="O176" s="102">
        <v>0</v>
      </c>
      <c r="P176" s="103">
        <f t="shared" si="23"/>
        <v>2324</v>
      </c>
      <c r="Q176" s="103">
        <f t="shared" si="21"/>
        <v>62.22</v>
      </c>
      <c r="R176" s="103">
        <f t="shared" si="24"/>
        <v>228.14</v>
      </c>
      <c r="S176" s="103">
        <v>0</v>
      </c>
      <c r="T176" s="103">
        <v>0</v>
      </c>
      <c r="U176" s="103">
        <f t="shared" si="25"/>
        <v>290.36</v>
      </c>
      <c r="V176" s="103">
        <f t="shared" si="22"/>
        <v>2033.64</v>
      </c>
      <c r="W176" s="103">
        <v>0</v>
      </c>
    </row>
    <row r="177" spans="1:23" x14ac:dyDescent="0.2">
      <c r="A177" s="128">
        <v>168</v>
      </c>
      <c r="B177" s="58" t="s">
        <v>757</v>
      </c>
      <c r="C177" s="58" t="s">
        <v>587</v>
      </c>
      <c r="D177" s="101">
        <v>1223</v>
      </c>
      <c r="E177" s="102">
        <v>650</v>
      </c>
      <c r="F177" s="102">
        <v>0</v>
      </c>
      <c r="G177" s="102">
        <v>1000</v>
      </c>
      <c r="H177" s="102">
        <v>0</v>
      </c>
      <c r="I177" s="102">
        <v>0</v>
      </c>
      <c r="J177" s="102">
        <v>0</v>
      </c>
      <c r="K177" s="102">
        <v>75</v>
      </c>
      <c r="L177" s="102">
        <v>0</v>
      </c>
      <c r="M177" s="102">
        <v>250</v>
      </c>
      <c r="N177" s="102">
        <v>0</v>
      </c>
      <c r="O177" s="102">
        <v>0</v>
      </c>
      <c r="P177" s="103">
        <f t="shared" si="23"/>
        <v>3198</v>
      </c>
      <c r="Q177" s="103">
        <f t="shared" si="21"/>
        <v>88.44</v>
      </c>
      <c r="R177" s="103">
        <f t="shared" si="24"/>
        <v>324.27999999999997</v>
      </c>
      <c r="S177" s="103">
        <v>0</v>
      </c>
      <c r="T177" s="103">
        <v>0</v>
      </c>
      <c r="U177" s="103">
        <f t="shared" si="25"/>
        <v>412.72</v>
      </c>
      <c r="V177" s="103">
        <f t="shared" si="22"/>
        <v>2785.28</v>
      </c>
      <c r="W177" s="103">
        <v>0</v>
      </c>
    </row>
    <row r="178" spans="1:23" ht="25.5" x14ac:dyDescent="0.2">
      <c r="A178" s="128">
        <v>169</v>
      </c>
      <c r="B178" s="58" t="s">
        <v>758</v>
      </c>
      <c r="C178" s="122" t="s">
        <v>574</v>
      </c>
      <c r="D178" s="101">
        <v>1350</v>
      </c>
      <c r="E178" s="102">
        <v>2000</v>
      </c>
      <c r="F178" s="102">
        <v>0</v>
      </c>
      <c r="G178" s="102">
        <v>0</v>
      </c>
      <c r="H178" s="102">
        <v>1600</v>
      </c>
      <c r="I178" s="102">
        <v>2900</v>
      </c>
      <c r="J178" s="102">
        <v>0</v>
      </c>
      <c r="K178" s="102">
        <v>75</v>
      </c>
      <c r="L178" s="102">
        <v>0</v>
      </c>
      <c r="M178" s="102">
        <v>250</v>
      </c>
      <c r="N178" s="102">
        <v>0</v>
      </c>
      <c r="O178" s="102">
        <v>0</v>
      </c>
      <c r="P178" s="103">
        <f t="shared" si="23"/>
        <v>8175</v>
      </c>
      <c r="Q178" s="103">
        <f t="shared" si="21"/>
        <v>237.75</v>
      </c>
      <c r="R178" s="103">
        <f t="shared" si="24"/>
        <v>871.75</v>
      </c>
      <c r="S178" s="103">
        <v>146.18</v>
      </c>
      <c r="T178" s="103">
        <v>0</v>
      </c>
      <c r="U178" s="103">
        <f t="shared" si="25"/>
        <v>1255.68</v>
      </c>
      <c r="V178" s="103">
        <f t="shared" si="22"/>
        <v>6919.32</v>
      </c>
      <c r="W178" s="103">
        <f>870</f>
        <v>870</v>
      </c>
    </row>
    <row r="179" spans="1:23" ht="25.5" x14ac:dyDescent="0.2">
      <c r="A179" s="128">
        <v>170</v>
      </c>
      <c r="B179" s="58" t="s">
        <v>759</v>
      </c>
      <c r="C179" s="58" t="s">
        <v>576</v>
      </c>
      <c r="D179" s="101">
        <v>1350</v>
      </c>
      <c r="E179" s="102">
        <v>2000</v>
      </c>
      <c r="F179" s="102">
        <v>0</v>
      </c>
      <c r="G179" s="102">
        <v>0</v>
      </c>
      <c r="H179" s="102">
        <v>0</v>
      </c>
      <c r="I179" s="102">
        <v>4500</v>
      </c>
      <c r="J179" s="102">
        <v>0</v>
      </c>
      <c r="K179" s="102">
        <v>75</v>
      </c>
      <c r="L179" s="102">
        <v>0</v>
      </c>
      <c r="M179" s="102">
        <v>250</v>
      </c>
      <c r="N179" s="102">
        <v>0</v>
      </c>
      <c r="O179" s="102">
        <v>0</v>
      </c>
      <c r="P179" s="103">
        <f t="shared" si="23"/>
        <v>8175</v>
      </c>
      <c r="Q179" s="103">
        <f t="shared" si="21"/>
        <v>237.75</v>
      </c>
      <c r="R179" s="103">
        <f t="shared" si="24"/>
        <v>871.75</v>
      </c>
      <c r="S179" s="103">
        <v>146.18</v>
      </c>
      <c r="T179" s="103">
        <v>0</v>
      </c>
      <c r="U179" s="103">
        <f t="shared" si="25"/>
        <v>1255.68</v>
      </c>
      <c r="V179" s="103">
        <f t="shared" si="22"/>
        <v>6919.32</v>
      </c>
      <c r="W179" s="103">
        <v>0</v>
      </c>
    </row>
    <row r="180" spans="1:23" x14ac:dyDescent="0.2">
      <c r="A180" s="128">
        <v>171</v>
      </c>
      <c r="B180" s="58" t="s">
        <v>760</v>
      </c>
      <c r="C180" s="58" t="s">
        <v>666</v>
      </c>
      <c r="D180" s="101">
        <v>1039</v>
      </c>
      <c r="E180" s="102">
        <v>400</v>
      </c>
      <c r="F180" s="102">
        <v>0</v>
      </c>
      <c r="G180" s="102">
        <v>1000</v>
      </c>
      <c r="H180" s="102">
        <v>0</v>
      </c>
      <c r="I180" s="102">
        <v>0</v>
      </c>
      <c r="J180" s="102">
        <v>0</v>
      </c>
      <c r="K180" s="102">
        <v>50</v>
      </c>
      <c r="L180" s="102">
        <v>200</v>
      </c>
      <c r="M180" s="102">
        <v>250</v>
      </c>
      <c r="N180" s="102">
        <v>0</v>
      </c>
      <c r="O180" s="102">
        <v>0</v>
      </c>
      <c r="P180" s="103">
        <f t="shared" si="23"/>
        <v>2939</v>
      </c>
      <c r="Q180" s="103">
        <f t="shared" si="21"/>
        <v>74.67</v>
      </c>
      <c r="R180" s="103">
        <f t="shared" si="24"/>
        <v>273.79000000000002</v>
      </c>
      <c r="S180" s="103">
        <v>0</v>
      </c>
      <c r="T180" s="103">
        <v>0</v>
      </c>
      <c r="U180" s="103">
        <f t="shared" si="25"/>
        <v>348.46</v>
      </c>
      <c r="V180" s="103">
        <f t="shared" si="22"/>
        <v>2590.54</v>
      </c>
      <c r="W180" s="103">
        <v>0</v>
      </c>
    </row>
    <row r="181" spans="1:23" ht="38.25" x14ac:dyDescent="0.2">
      <c r="A181" s="128">
        <v>172</v>
      </c>
      <c r="B181" s="58" t="s">
        <v>761</v>
      </c>
      <c r="C181" s="58" t="s">
        <v>720</v>
      </c>
      <c r="D181" s="101">
        <f>485*3</f>
        <v>1455</v>
      </c>
      <c r="E181" s="102">
        <v>0</v>
      </c>
      <c r="F181" s="102">
        <v>0</v>
      </c>
      <c r="G181" s="102">
        <v>0</v>
      </c>
      <c r="H181" s="102">
        <v>0</v>
      </c>
      <c r="I181" s="102">
        <v>0</v>
      </c>
      <c r="J181" s="102">
        <v>0</v>
      </c>
      <c r="K181" s="102">
        <v>0</v>
      </c>
      <c r="L181" s="102">
        <v>0</v>
      </c>
      <c r="M181" s="102">
        <v>0</v>
      </c>
      <c r="N181" s="102">
        <v>0</v>
      </c>
      <c r="O181" s="102">
        <v>0</v>
      </c>
      <c r="P181" s="103">
        <f t="shared" si="23"/>
        <v>1455</v>
      </c>
      <c r="Q181" s="103">
        <f t="shared" si="21"/>
        <v>43.65</v>
      </c>
      <c r="R181" s="103">
        <f t="shared" si="24"/>
        <v>160.05000000000001</v>
      </c>
      <c r="S181" s="103">
        <v>0</v>
      </c>
      <c r="T181" s="103"/>
      <c r="U181" s="103">
        <f t="shared" si="25"/>
        <v>203.7</v>
      </c>
      <c r="V181" s="103">
        <f t="shared" si="22"/>
        <v>1251.3</v>
      </c>
      <c r="W181" s="103">
        <v>0</v>
      </c>
    </row>
    <row r="182" spans="1:23" x14ac:dyDescent="0.2">
      <c r="A182" s="128">
        <v>173</v>
      </c>
      <c r="B182" s="58" t="s">
        <v>762</v>
      </c>
      <c r="C182" s="58" t="s">
        <v>576</v>
      </c>
      <c r="D182" s="101">
        <v>1350</v>
      </c>
      <c r="E182" s="102">
        <v>2000</v>
      </c>
      <c r="F182" s="102">
        <v>0</v>
      </c>
      <c r="G182" s="102">
        <v>0</v>
      </c>
      <c r="H182" s="102">
        <v>0</v>
      </c>
      <c r="I182" s="102">
        <v>4500</v>
      </c>
      <c r="J182" s="102">
        <v>0</v>
      </c>
      <c r="K182" s="102">
        <v>0</v>
      </c>
      <c r="L182" s="102">
        <v>0</v>
      </c>
      <c r="M182" s="102">
        <v>250</v>
      </c>
      <c r="N182" s="102">
        <v>0</v>
      </c>
      <c r="O182" s="102">
        <v>0</v>
      </c>
      <c r="P182" s="103">
        <f t="shared" si="23"/>
        <v>8100</v>
      </c>
      <c r="Q182" s="103">
        <f t="shared" si="21"/>
        <v>235.5</v>
      </c>
      <c r="R182" s="103">
        <f t="shared" si="24"/>
        <v>863.5</v>
      </c>
      <c r="S182" s="103">
        <v>143.03</v>
      </c>
      <c r="T182" s="103">
        <v>0</v>
      </c>
      <c r="U182" s="103">
        <f t="shared" si="25"/>
        <v>1242.03</v>
      </c>
      <c r="V182" s="103">
        <f t="shared" si="22"/>
        <v>6857.97</v>
      </c>
      <c r="W182" s="103">
        <v>0</v>
      </c>
    </row>
    <row r="183" spans="1:23" ht="25.5" x14ac:dyDescent="0.2">
      <c r="A183" s="128">
        <v>174</v>
      </c>
      <c r="B183" s="122" t="s">
        <v>763</v>
      </c>
      <c r="C183" s="122" t="s">
        <v>953</v>
      </c>
      <c r="D183" s="102">
        <v>1476</v>
      </c>
      <c r="E183" s="102">
        <v>2000</v>
      </c>
      <c r="F183" s="102">
        <v>0</v>
      </c>
      <c r="G183" s="102">
        <v>0</v>
      </c>
      <c r="H183" s="102">
        <v>1900</v>
      </c>
      <c r="I183" s="102">
        <v>2600</v>
      </c>
      <c r="J183" s="102">
        <v>0</v>
      </c>
      <c r="K183" s="102">
        <v>75</v>
      </c>
      <c r="L183" s="102">
        <v>0</v>
      </c>
      <c r="M183" s="102">
        <v>250</v>
      </c>
      <c r="N183" s="102">
        <v>0</v>
      </c>
      <c r="O183" s="102">
        <v>0</v>
      </c>
      <c r="P183" s="103">
        <f t="shared" si="23"/>
        <v>8301</v>
      </c>
      <c r="Q183" s="103">
        <f t="shared" si="21"/>
        <v>241.53</v>
      </c>
      <c r="R183" s="103">
        <f t="shared" si="24"/>
        <v>885.61</v>
      </c>
      <c r="S183" s="103">
        <v>146.41</v>
      </c>
      <c r="T183" s="103">
        <v>0</v>
      </c>
      <c r="U183" s="103">
        <f t="shared" si="25"/>
        <v>1273.55</v>
      </c>
      <c r="V183" s="103">
        <f t="shared" si="22"/>
        <v>7027.45</v>
      </c>
      <c r="W183" s="103">
        <f>1050+1446.5</f>
        <v>2496.5</v>
      </c>
    </row>
    <row r="184" spans="1:23" ht="25.5" x14ac:dyDescent="0.2">
      <c r="A184" s="128">
        <v>175</v>
      </c>
      <c r="B184" s="58" t="s">
        <v>764</v>
      </c>
      <c r="C184" s="58" t="s">
        <v>596</v>
      </c>
      <c r="D184" s="101">
        <f>485*4</f>
        <v>1940</v>
      </c>
      <c r="E184" s="102">
        <v>0</v>
      </c>
      <c r="F184" s="102">
        <f>606.25*2</f>
        <v>1212.5</v>
      </c>
      <c r="G184" s="102">
        <v>0</v>
      </c>
      <c r="H184" s="102">
        <v>0</v>
      </c>
      <c r="I184" s="102">
        <v>0</v>
      </c>
      <c r="J184" s="102">
        <v>0</v>
      </c>
      <c r="K184" s="102">
        <v>0</v>
      </c>
      <c r="L184" s="102">
        <v>0</v>
      </c>
      <c r="M184" s="102">
        <v>0</v>
      </c>
      <c r="N184" s="102">
        <v>0</v>
      </c>
      <c r="O184" s="102">
        <v>0</v>
      </c>
      <c r="P184" s="103">
        <f t="shared" si="23"/>
        <v>3152.5</v>
      </c>
      <c r="Q184" s="103">
        <f t="shared" si="21"/>
        <v>94.58</v>
      </c>
      <c r="R184" s="103">
        <f t="shared" si="24"/>
        <v>346.78</v>
      </c>
      <c r="S184" s="103">
        <v>0</v>
      </c>
      <c r="T184" s="103">
        <v>0</v>
      </c>
      <c r="U184" s="103">
        <f t="shared" si="25"/>
        <v>441.36</v>
      </c>
      <c r="V184" s="103">
        <f t="shared" si="22"/>
        <v>2711.14</v>
      </c>
      <c r="W184" s="103">
        <v>0</v>
      </c>
    </row>
    <row r="185" spans="1:23" x14ac:dyDescent="0.2">
      <c r="A185" s="128">
        <v>176</v>
      </c>
      <c r="B185" s="58" t="s">
        <v>765</v>
      </c>
      <c r="C185" s="58" t="s">
        <v>952</v>
      </c>
      <c r="D185" s="101">
        <v>1460</v>
      </c>
      <c r="E185" s="102">
        <v>650</v>
      </c>
      <c r="F185" s="102">
        <v>0</v>
      </c>
      <c r="G185" s="102">
        <v>1000</v>
      </c>
      <c r="H185" s="102">
        <v>0</v>
      </c>
      <c r="I185" s="102">
        <v>0</v>
      </c>
      <c r="J185" s="102">
        <v>0</v>
      </c>
      <c r="K185" s="102">
        <v>0</v>
      </c>
      <c r="L185" s="102">
        <v>0</v>
      </c>
      <c r="M185" s="102">
        <v>250</v>
      </c>
      <c r="N185" s="102">
        <v>0</v>
      </c>
      <c r="O185" s="102">
        <v>0</v>
      </c>
      <c r="P185" s="103">
        <f t="shared" si="23"/>
        <v>3360</v>
      </c>
      <c r="Q185" s="103">
        <f t="shared" si="21"/>
        <v>93.3</v>
      </c>
      <c r="R185" s="103">
        <f t="shared" si="24"/>
        <v>342.1</v>
      </c>
      <c r="S185" s="103">
        <v>0</v>
      </c>
      <c r="T185" s="103">
        <v>41.8</v>
      </c>
      <c r="U185" s="103">
        <f t="shared" si="25"/>
        <v>477.2</v>
      </c>
      <c r="V185" s="103">
        <f t="shared" si="22"/>
        <v>2882.8</v>
      </c>
      <c r="W185" s="103">
        <v>0</v>
      </c>
    </row>
    <row r="186" spans="1:23" ht="27" customHeight="1" x14ac:dyDescent="0.2">
      <c r="A186" s="128">
        <v>177</v>
      </c>
      <c r="B186" s="58" t="s">
        <v>766</v>
      </c>
      <c r="C186" s="122" t="s">
        <v>569</v>
      </c>
      <c r="D186" s="101">
        <v>1634</v>
      </c>
      <c r="E186" s="102">
        <v>2000</v>
      </c>
      <c r="F186" s="102">
        <v>0</v>
      </c>
      <c r="G186" s="102">
        <v>0</v>
      </c>
      <c r="H186" s="102">
        <v>2200</v>
      </c>
      <c r="I186" s="102">
        <v>3200</v>
      </c>
      <c r="J186" s="102">
        <v>0</v>
      </c>
      <c r="K186" s="102">
        <v>75</v>
      </c>
      <c r="L186" s="102">
        <v>0</v>
      </c>
      <c r="M186" s="102">
        <v>250</v>
      </c>
      <c r="N186" s="102">
        <v>0</v>
      </c>
      <c r="O186" s="102">
        <v>0</v>
      </c>
      <c r="P186" s="103">
        <f t="shared" si="23"/>
        <v>9359</v>
      </c>
      <c r="Q186" s="103">
        <f t="shared" si="21"/>
        <v>273.27</v>
      </c>
      <c r="R186" s="103">
        <f t="shared" si="24"/>
        <v>1001.99</v>
      </c>
      <c r="S186" s="103">
        <v>147.44999999999999</v>
      </c>
      <c r="T186" s="103">
        <v>0</v>
      </c>
      <c r="U186" s="103">
        <f t="shared" si="25"/>
        <v>1422.71</v>
      </c>
      <c r="V186" s="103">
        <f t="shared" si="22"/>
        <v>7936.29</v>
      </c>
      <c r="W186" s="103">
        <v>0</v>
      </c>
    </row>
    <row r="187" spans="1:23" x14ac:dyDescent="0.2">
      <c r="A187" s="128">
        <v>178</v>
      </c>
      <c r="B187" s="125" t="s">
        <v>938</v>
      </c>
      <c r="C187" s="122" t="s">
        <v>576</v>
      </c>
      <c r="D187" s="207">
        <v>1350</v>
      </c>
      <c r="E187" s="102">
        <v>0</v>
      </c>
      <c r="F187" s="237">
        <v>0</v>
      </c>
      <c r="G187" s="102">
        <v>0</v>
      </c>
      <c r="H187" s="102">
        <v>0</v>
      </c>
      <c r="I187" s="237">
        <v>4500</v>
      </c>
      <c r="J187" s="102">
        <v>0</v>
      </c>
      <c r="K187" s="102">
        <v>0</v>
      </c>
      <c r="L187" s="102">
        <v>0</v>
      </c>
      <c r="M187" s="102">
        <v>250</v>
      </c>
      <c r="N187" s="102">
        <v>0</v>
      </c>
      <c r="O187" s="102">
        <v>0</v>
      </c>
      <c r="P187" s="103">
        <f t="shared" si="23"/>
        <v>6100</v>
      </c>
      <c r="Q187" s="103">
        <f t="shared" si="21"/>
        <v>175.5</v>
      </c>
      <c r="R187" s="103">
        <f t="shared" si="24"/>
        <v>643.5</v>
      </c>
      <c r="S187" s="103">
        <v>61.96</v>
      </c>
      <c r="T187" s="103">
        <v>0</v>
      </c>
      <c r="U187" s="103">
        <f t="shared" si="25"/>
        <v>880.96</v>
      </c>
      <c r="V187" s="103">
        <f t="shared" si="22"/>
        <v>5219.04</v>
      </c>
      <c r="W187" s="103">
        <v>0</v>
      </c>
    </row>
    <row r="188" spans="1:23" x14ac:dyDescent="0.2">
      <c r="A188" s="128">
        <v>179</v>
      </c>
      <c r="B188" s="58" t="s">
        <v>767</v>
      </c>
      <c r="C188" s="58" t="s">
        <v>569</v>
      </c>
      <c r="D188" s="101">
        <v>1634</v>
      </c>
      <c r="E188" s="102">
        <v>2400</v>
      </c>
      <c r="F188" s="102">
        <v>0</v>
      </c>
      <c r="G188" s="102">
        <v>0</v>
      </c>
      <c r="H188" s="102">
        <v>3000</v>
      </c>
      <c r="I188" s="102">
        <v>2400</v>
      </c>
      <c r="J188" s="102">
        <v>0</v>
      </c>
      <c r="K188" s="102">
        <v>0</v>
      </c>
      <c r="L188" s="102">
        <v>0</v>
      </c>
      <c r="M188" s="102">
        <v>250</v>
      </c>
      <c r="N188" s="102">
        <v>0</v>
      </c>
      <c r="O188" s="102">
        <v>0</v>
      </c>
      <c r="P188" s="103">
        <f t="shared" si="23"/>
        <v>9684</v>
      </c>
      <c r="Q188" s="103">
        <f t="shared" si="21"/>
        <v>283.02</v>
      </c>
      <c r="R188" s="103">
        <f t="shared" si="24"/>
        <v>1037.74</v>
      </c>
      <c r="S188" s="103">
        <v>284.3</v>
      </c>
      <c r="T188" s="103">
        <v>0</v>
      </c>
      <c r="U188" s="103">
        <f t="shared" si="25"/>
        <v>1605.06</v>
      </c>
      <c r="V188" s="103">
        <f t="shared" si="22"/>
        <v>8078.94</v>
      </c>
      <c r="W188" s="103">
        <v>0</v>
      </c>
    </row>
    <row r="189" spans="1:23" ht="25.5" x14ac:dyDescent="0.2">
      <c r="A189" s="128">
        <v>180</v>
      </c>
      <c r="B189" s="58" t="s">
        <v>768</v>
      </c>
      <c r="C189" s="58" t="s">
        <v>572</v>
      </c>
      <c r="D189" s="101">
        <v>1074</v>
      </c>
      <c r="E189" s="102">
        <v>0</v>
      </c>
      <c r="F189" s="102">
        <v>0</v>
      </c>
      <c r="G189" s="102">
        <v>1000</v>
      </c>
      <c r="H189" s="102">
        <v>0</v>
      </c>
      <c r="I189" s="102">
        <v>0</v>
      </c>
      <c r="J189" s="102">
        <v>0</v>
      </c>
      <c r="K189" s="102">
        <v>0</v>
      </c>
      <c r="L189" s="102">
        <v>600</v>
      </c>
      <c r="M189" s="102">
        <v>250</v>
      </c>
      <c r="N189" s="102">
        <v>0</v>
      </c>
      <c r="O189" s="102">
        <v>0</v>
      </c>
      <c r="P189" s="103">
        <f t="shared" si="23"/>
        <v>2924</v>
      </c>
      <c r="Q189" s="103">
        <f t="shared" si="21"/>
        <v>62.22</v>
      </c>
      <c r="R189" s="103">
        <f t="shared" si="24"/>
        <v>228.14</v>
      </c>
      <c r="S189" s="103">
        <v>0</v>
      </c>
      <c r="T189" s="103">
        <v>0</v>
      </c>
      <c r="U189" s="103">
        <f t="shared" si="25"/>
        <v>290.36</v>
      </c>
      <c r="V189" s="103">
        <f t="shared" si="22"/>
        <v>2633.64</v>
      </c>
      <c r="W189" s="103">
        <v>0</v>
      </c>
    </row>
    <row r="190" spans="1:23" ht="25.5" x14ac:dyDescent="0.2">
      <c r="A190" s="128">
        <v>181</v>
      </c>
      <c r="B190" s="58" t="s">
        <v>769</v>
      </c>
      <c r="C190" s="58" t="s">
        <v>734</v>
      </c>
      <c r="D190" s="101">
        <v>2425</v>
      </c>
      <c r="E190" s="102">
        <v>0</v>
      </c>
      <c r="F190" s="102">
        <v>3031.25</v>
      </c>
      <c r="G190" s="102">
        <v>0</v>
      </c>
      <c r="H190" s="102">
        <v>0</v>
      </c>
      <c r="I190" s="102">
        <v>0</v>
      </c>
      <c r="J190" s="102">
        <v>0</v>
      </c>
      <c r="K190" s="102">
        <v>0</v>
      </c>
      <c r="L190" s="102">
        <v>0</v>
      </c>
      <c r="M190" s="102">
        <v>0</v>
      </c>
      <c r="N190" s="102">
        <v>0</v>
      </c>
      <c r="O190" s="102">
        <v>0</v>
      </c>
      <c r="P190" s="103">
        <f t="shared" si="23"/>
        <v>5456.25</v>
      </c>
      <c r="Q190" s="103">
        <f t="shared" si="21"/>
        <v>163.69</v>
      </c>
      <c r="R190" s="103">
        <f t="shared" si="24"/>
        <v>600.19000000000005</v>
      </c>
      <c r="S190" s="103">
        <v>32.72</v>
      </c>
      <c r="T190" s="103">
        <v>0</v>
      </c>
      <c r="U190" s="103">
        <f t="shared" si="25"/>
        <v>796.6</v>
      </c>
      <c r="V190" s="103">
        <f t="shared" si="22"/>
        <v>4659.6499999999996</v>
      </c>
      <c r="W190" s="103">
        <v>0</v>
      </c>
    </row>
    <row r="191" spans="1:23" x14ac:dyDescent="0.2">
      <c r="A191" s="128">
        <v>182</v>
      </c>
      <c r="B191" s="58" t="s">
        <v>770</v>
      </c>
      <c r="C191" s="58" t="s">
        <v>576</v>
      </c>
      <c r="D191" s="101">
        <v>1350</v>
      </c>
      <c r="E191" s="102">
        <v>2000</v>
      </c>
      <c r="F191" s="102">
        <v>0</v>
      </c>
      <c r="G191" s="102">
        <v>0</v>
      </c>
      <c r="H191" s="102">
        <v>0</v>
      </c>
      <c r="I191" s="102">
        <v>4500</v>
      </c>
      <c r="J191" s="102">
        <v>0</v>
      </c>
      <c r="K191" s="102">
        <v>0</v>
      </c>
      <c r="L191" s="102">
        <v>0</v>
      </c>
      <c r="M191" s="102">
        <v>250</v>
      </c>
      <c r="N191" s="102">
        <v>0</v>
      </c>
      <c r="O191" s="102">
        <v>0</v>
      </c>
      <c r="P191" s="103">
        <f t="shared" si="23"/>
        <v>8100</v>
      </c>
      <c r="Q191" s="103">
        <f t="shared" si="21"/>
        <v>235.5</v>
      </c>
      <c r="R191" s="103">
        <f t="shared" si="24"/>
        <v>863.5</v>
      </c>
      <c r="S191" s="103">
        <v>143.03</v>
      </c>
      <c r="T191" s="103">
        <v>0</v>
      </c>
      <c r="U191" s="103">
        <f t="shared" si="25"/>
        <v>1242.03</v>
      </c>
      <c r="V191" s="103">
        <f t="shared" si="22"/>
        <v>6857.97</v>
      </c>
      <c r="W191" s="103">
        <v>0</v>
      </c>
    </row>
    <row r="192" spans="1:23" x14ac:dyDescent="0.2">
      <c r="A192" s="128">
        <v>183</v>
      </c>
      <c r="B192" s="58" t="s">
        <v>771</v>
      </c>
      <c r="C192" s="58" t="s">
        <v>587</v>
      </c>
      <c r="D192" s="101">
        <v>2885</v>
      </c>
      <c r="E192" s="102">
        <v>0</v>
      </c>
      <c r="F192" s="102">
        <v>7910.48</v>
      </c>
      <c r="G192" s="102">
        <v>0</v>
      </c>
      <c r="H192" s="102">
        <v>0</v>
      </c>
      <c r="I192" s="102">
        <v>0</v>
      </c>
      <c r="J192" s="102">
        <v>0</v>
      </c>
      <c r="K192" s="102">
        <v>0</v>
      </c>
      <c r="L192" s="102">
        <v>0</v>
      </c>
      <c r="M192" s="102">
        <v>0</v>
      </c>
      <c r="N192" s="102">
        <v>0</v>
      </c>
      <c r="O192" s="102">
        <v>0</v>
      </c>
      <c r="P192" s="103">
        <f t="shared" si="23"/>
        <v>10795.48</v>
      </c>
      <c r="Q192" s="103">
        <f t="shared" si="21"/>
        <v>323.86</v>
      </c>
      <c r="R192" s="103">
        <f t="shared" si="24"/>
        <v>1187.5</v>
      </c>
      <c r="S192" s="103">
        <v>138.78</v>
      </c>
      <c r="T192" s="103">
        <v>0</v>
      </c>
      <c r="U192" s="103">
        <f t="shared" si="25"/>
        <v>1650.14</v>
      </c>
      <c r="V192" s="103">
        <f t="shared" si="22"/>
        <v>9145.34</v>
      </c>
      <c r="W192" s="103">
        <v>0</v>
      </c>
    </row>
    <row r="193" spans="1:23" ht="25.5" x14ac:dyDescent="0.2">
      <c r="A193" s="128">
        <v>184</v>
      </c>
      <c r="B193" s="58" t="s">
        <v>772</v>
      </c>
      <c r="C193" s="58" t="s">
        <v>581</v>
      </c>
      <c r="D193" s="101">
        <v>1476</v>
      </c>
      <c r="E193" s="102">
        <v>2000</v>
      </c>
      <c r="F193" s="102">
        <v>0</v>
      </c>
      <c r="G193" s="102">
        <v>0</v>
      </c>
      <c r="H193" s="102">
        <v>0</v>
      </c>
      <c r="I193" s="102">
        <v>4500</v>
      </c>
      <c r="J193" s="102">
        <v>0</v>
      </c>
      <c r="K193" s="102">
        <v>75</v>
      </c>
      <c r="L193" s="102">
        <v>0</v>
      </c>
      <c r="M193" s="102">
        <v>250</v>
      </c>
      <c r="N193" s="102">
        <v>0</v>
      </c>
      <c r="O193" s="102">
        <v>0</v>
      </c>
      <c r="P193" s="103">
        <f t="shared" ref="P193:P220" si="26">SUM(D193:N193)</f>
        <v>8301</v>
      </c>
      <c r="Q193" s="103">
        <f t="shared" si="21"/>
        <v>241.53</v>
      </c>
      <c r="R193" s="103">
        <f t="shared" si="24"/>
        <v>885.61</v>
      </c>
      <c r="S193" s="103">
        <v>147.44999999999999</v>
      </c>
      <c r="T193" s="103">
        <v>0</v>
      </c>
      <c r="U193" s="103">
        <f t="shared" si="25"/>
        <v>1274.5899999999999</v>
      </c>
      <c r="V193" s="103">
        <f t="shared" si="22"/>
        <v>7026.41</v>
      </c>
      <c r="W193" s="103">
        <v>0</v>
      </c>
    </row>
    <row r="194" spans="1:23" ht="25.5" x14ac:dyDescent="0.2">
      <c r="A194" s="128">
        <v>185</v>
      </c>
      <c r="B194" s="58" t="s">
        <v>773</v>
      </c>
      <c r="C194" s="122" t="s">
        <v>574</v>
      </c>
      <c r="D194" s="101">
        <v>1350</v>
      </c>
      <c r="E194" s="102">
        <f>2000</f>
        <v>2000</v>
      </c>
      <c r="F194" s="102">
        <v>0</v>
      </c>
      <c r="G194" s="102">
        <v>0</v>
      </c>
      <c r="H194" s="102">
        <v>1600</v>
      </c>
      <c r="I194" s="102">
        <f>2900</f>
        <v>2900</v>
      </c>
      <c r="J194" s="102">
        <v>0</v>
      </c>
      <c r="K194" s="102">
        <v>50</v>
      </c>
      <c r="L194" s="102">
        <v>0</v>
      </c>
      <c r="M194" s="102">
        <v>250</v>
      </c>
      <c r="N194" s="102">
        <v>0</v>
      </c>
      <c r="O194" s="102">
        <v>0</v>
      </c>
      <c r="P194" s="103">
        <f t="shared" si="26"/>
        <v>8150</v>
      </c>
      <c r="Q194" s="103">
        <f t="shared" si="21"/>
        <v>237</v>
      </c>
      <c r="R194" s="103">
        <f t="shared" si="24"/>
        <v>869</v>
      </c>
      <c r="S194" s="103">
        <v>146.18</v>
      </c>
      <c r="T194" s="103">
        <v>0</v>
      </c>
      <c r="U194" s="103">
        <f t="shared" si="25"/>
        <v>1252.18</v>
      </c>
      <c r="V194" s="103">
        <f t="shared" si="22"/>
        <v>6897.82</v>
      </c>
      <c r="W194" s="103">
        <v>0</v>
      </c>
    </row>
    <row r="195" spans="1:23" ht="25.5" x14ac:dyDescent="0.2">
      <c r="A195" s="128">
        <v>186</v>
      </c>
      <c r="B195" s="58" t="s">
        <v>774</v>
      </c>
      <c r="C195" s="58" t="s">
        <v>569</v>
      </c>
      <c r="D195" s="101">
        <v>1634</v>
      </c>
      <c r="E195" s="102">
        <v>2400</v>
      </c>
      <c r="F195" s="102">
        <v>0</v>
      </c>
      <c r="G195" s="102">
        <v>0</v>
      </c>
      <c r="H195" s="102">
        <v>3000</v>
      </c>
      <c r="I195" s="102">
        <v>2400</v>
      </c>
      <c r="J195" s="102">
        <v>0</v>
      </c>
      <c r="K195" s="102">
        <v>0</v>
      </c>
      <c r="L195" s="102">
        <v>0</v>
      </c>
      <c r="M195" s="102">
        <v>250</v>
      </c>
      <c r="N195" s="102">
        <v>0</v>
      </c>
      <c r="O195" s="102">
        <v>0</v>
      </c>
      <c r="P195" s="103">
        <f t="shared" si="26"/>
        <v>9684</v>
      </c>
      <c r="Q195" s="103">
        <f t="shared" si="21"/>
        <v>283.02</v>
      </c>
      <c r="R195" s="103">
        <f t="shared" si="24"/>
        <v>1037.74</v>
      </c>
      <c r="S195" s="103">
        <v>207.96</v>
      </c>
      <c r="T195" s="103">
        <v>0</v>
      </c>
      <c r="U195" s="103">
        <f t="shared" si="25"/>
        <v>1528.72</v>
      </c>
      <c r="V195" s="103">
        <f t="shared" si="22"/>
        <v>8155.28</v>
      </c>
      <c r="W195" s="103">
        <v>0</v>
      </c>
    </row>
    <row r="196" spans="1:23" ht="25.5" x14ac:dyDescent="0.2">
      <c r="A196" s="128">
        <v>187</v>
      </c>
      <c r="B196" s="58" t="s">
        <v>775</v>
      </c>
      <c r="C196" s="58" t="s">
        <v>576</v>
      </c>
      <c r="D196" s="101">
        <v>1350</v>
      </c>
      <c r="E196" s="102">
        <v>2000</v>
      </c>
      <c r="F196" s="102">
        <v>0</v>
      </c>
      <c r="G196" s="102">
        <v>0</v>
      </c>
      <c r="H196" s="102">
        <v>0</v>
      </c>
      <c r="I196" s="102">
        <v>4500</v>
      </c>
      <c r="J196" s="102">
        <v>0</v>
      </c>
      <c r="K196" s="102">
        <v>0</v>
      </c>
      <c r="L196" s="102">
        <v>0</v>
      </c>
      <c r="M196" s="102">
        <v>250</v>
      </c>
      <c r="N196" s="102">
        <v>0</v>
      </c>
      <c r="O196" s="102">
        <v>0</v>
      </c>
      <c r="P196" s="103">
        <f t="shared" si="26"/>
        <v>8100</v>
      </c>
      <c r="Q196" s="103">
        <f t="shared" si="21"/>
        <v>235.5</v>
      </c>
      <c r="R196" s="103">
        <f t="shared" si="24"/>
        <v>863.5</v>
      </c>
      <c r="S196" s="103">
        <v>143.03</v>
      </c>
      <c r="T196" s="103">
        <v>0</v>
      </c>
      <c r="U196" s="103">
        <f t="shared" si="25"/>
        <v>1242.03</v>
      </c>
      <c r="V196" s="103">
        <f t="shared" si="22"/>
        <v>6857.97</v>
      </c>
      <c r="W196" s="103">
        <v>0</v>
      </c>
    </row>
    <row r="197" spans="1:23" ht="38.25" x14ac:dyDescent="0.2">
      <c r="A197" s="128">
        <v>188</v>
      </c>
      <c r="B197" s="58" t="s">
        <v>776</v>
      </c>
      <c r="C197" s="58" t="s">
        <v>720</v>
      </c>
      <c r="D197" s="101">
        <f>485*3</f>
        <v>1455</v>
      </c>
      <c r="E197" s="102">
        <v>0</v>
      </c>
      <c r="F197" s="102">
        <v>0</v>
      </c>
      <c r="G197" s="102">
        <v>0</v>
      </c>
      <c r="H197" s="102">
        <v>0</v>
      </c>
      <c r="I197" s="102">
        <v>0</v>
      </c>
      <c r="J197" s="102">
        <v>0</v>
      </c>
      <c r="K197" s="102">
        <v>0</v>
      </c>
      <c r="L197" s="102">
        <v>0</v>
      </c>
      <c r="M197" s="102">
        <v>0</v>
      </c>
      <c r="N197" s="102">
        <v>0</v>
      </c>
      <c r="O197" s="102">
        <v>0</v>
      </c>
      <c r="P197" s="103">
        <f t="shared" si="26"/>
        <v>1455</v>
      </c>
      <c r="Q197" s="103">
        <f t="shared" si="21"/>
        <v>43.65</v>
      </c>
      <c r="R197" s="103">
        <f t="shared" si="24"/>
        <v>160.05000000000001</v>
      </c>
      <c r="S197" s="103">
        <v>0</v>
      </c>
      <c r="T197" s="103">
        <v>0</v>
      </c>
      <c r="U197" s="103">
        <f t="shared" si="25"/>
        <v>203.7</v>
      </c>
      <c r="V197" s="103">
        <f t="shared" si="22"/>
        <v>1251.3</v>
      </c>
      <c r="W197" s="103">
        <v>0</v>
      </c>
    </row>
    <row r="198" spans="1:23" ht="25.5" x14ac:dyDescent="0.2">
      <c r="A198" s="128">
        <v>189</v>
      </c>
      <c r="B198" s="58" t="s">
        <v>777</v>
      </c>
      <c r="C198" s="58" t="s">
        <v>944</v>
      </c>
      <c r="D198" s="101">
        <v>2441</v>
      </c>
      <c r="E198" s="102">
        <v>1000</v>
      </c>
      <c r="F198" s="102">
        <v>0</v>
      </c>
      <c r="G198" s="102">
        <v>1000</v>
      </c>
      <c r="H198" s="102">
        <v>0</v>
      </c>
      <c r="I198" s="102">
        <v>0</v>
      </c>
      <c r="J198" s="102">
        <v>0</v>
      </c>
      <c r="K198" s="102">
        <v>0</v>
      </c>
      <c r="L198" s="102">
        <v>0</v>
      </c>
      <c r="M198" s="102">
        <v>250</v>
      </c>
      <c r="N198" s="102">
        <v>0</v>
      </c>
      <c r="O198" s="102">
        <v>0</v>
      </c>
      <c r="P198" s="103">
        <f t="shared" si="26"/>
        <v>4691</v>
      </c>
      <c r="Q198" s="103">
        <f t="shared" si="21"/>
        <v>133.22999999999999</v>
      </c>
      <c r="R198" s="103">
        <f t="shared" si="24"/>
        <v>488.51</v>
      </c>
      <c r="S198" s="103">
        <v>0</v>
      </c>
      <c r="T198" s="103">
        <v>0</v>
      </c>
      <c r="U198" s="103">
        <f t="shared" ref="U198:U228" si="27">SUM(Q198:T198)</f>
        <v>621.74</v>
      </c>
      <c r="V198" s="103">
        <f t="shared" si="22"/>
        <v>4069.26</v>
      </c>
      <c r="W198" s="103">
        <v>0</v>
      </c>
    </row>
    <row r="199" spans="1:23" ht="25.5" x14ac:dyDescent="0.2">
      <c r="A199" s="128">
        <v>190</v>
      </c>
      <c r="B199" s="58" t="s">
        <v>778</v>
      </c>
      <c r="C199" s="58" t="s">
        <v>955</v>
      </c>
      <c r="D199" s="101">
        <v>1555</v>
      </c>
      <c r="E199" s="102">
        <v>600</v>
      </c>
      <c r="F199" s="102">
        <v>0</v>
      </c>
      <c r="G199" s="102">
        <v>1000</v>
      </c>
      <c r="H199" s="102">
        <v>0</v>
      </c>
      <c r="I199" s="102">
        <v>0</v>
      </c>
      <c r="J199" s="102">
        <v>0</v>
      </c>
      <c r="K199" s="102">
        <v>50</v>
      </c>
      <c r="L199" s="102">
        <v>0</v>
      </c>
      <c r="M199" s="102">
        <v>250</v>
      </c>
      <c r="N199" s="102">
        <v>0</v>
      </c>
      <c r="O199" s="102">
        <v>0</v>
      </c>
      <c r="P199" s="103">
        <f t="shared" si="26"/>
        <v>3455</v>
      </c>
      <c r="Q199" s="103">
        <f t="shared" si="21"/>
        <v>96.15</v>
      </c>
      <c r="R199" s="103">
        <f t="shared" si="24"/>
        <v>352.55</v>
      </c>
      <c r="S199" s="103">
        <v>0</v>
      </c>
      <c r="T199" s="103">
        <v>0</v>
      </c>
      <c r="U199" s="103">
        <f t="shared" si="27"/>
        <v>448.7</v>
      </c>
      <c r="V199" s="103">
        <f t="shared" si="22"/>
        <v>3006.3</v>
      </c>
      <c r="W199" s="103">
        <v>0</v>
      </c>
    </row>
    <row r="200" spans="1:23" ht="25.5" x14ac:dyDescent="0.2">
      <c r="A200" s="128">
        <v>191</v>
      </c>
      <c r="B200" s="58" t="s">
        <v>779</v>
      </c>
      <c r="C200" s="122" t="s">
        <v>574</v>
      </c>
      <c r="D200" s="102">
        <v>1350</v>
      </c>
      <c r="E200" s="103">
        <f>2000</f>
        <v>2000</v>
      </c>
      <c r="F200" s="102">
        <v>0</v>
      </c>
      <c r="G200" s="102">
        <v>0</v>
      </c>
      <c r="H200" s="102">
        <v>1600</v>
      </c>
      <c r="I200" s="102">
        <v>2900</v>
      </c>
      <c r="J200" s="102">
        <v>0</v>
      </c>
      <c r="K200" s="102">
        <v>0</v>
      </c>
      <c r="L200" s="102">
        <v>0</v>
      </c>
      <c r="M200" s="102">
        <v>250</v>
      </c>
      <c r="N200" s="102">
        <v>0</v>
      </c>
      <c r="O200" s="102">
        <v>0</v>
      </c>
      <c r="P200" s="103">
        <f t="shared" si="26"/>
        <v>8100</v>
      </c>
      <c r="Q200" s="103">
        <f t="shared" si="21"/>
        <v>235.5</v>
      </c>
      <c r="R200" s="103">
        <f t="shared" si="24"/>
        <v>863.5</v>
      </c>
      <c r="S200" s="103">
        <v>137.69</v>
      </c>
      <c r="T200" s="103">
        <v>0</v>
      </c>
      <c r="U200" s="103">
        <f t="shared" si="27"/>
        <v>1236.69</v>
      </c>
      <c r="V200" s="103">
        <f t="shared" si="22"/>
        <v>6863.31</v>
      </c>
      <c r="W200" s="103">
        <v>0</v>
      </c>
    </row>
    <row r="201" spans="1:23" ht="24.75" customHeight="1" x14ac:dyDescent="0.2">
      <c r="A201" s="128">
        <v>192</v>
      </c>
      <c r="B201" s="58" t="s">
        <v>780</v>
      </c>
      <c r="C201" s="58" t="s">
        <v>781</v>
      </c>
      <c r="D201" s="101">
        <v>1159</v>
      </c>
      <c r="E201" s="102">
        <v>550</v>
      </c>
      <c r="F201" s="102">
        <v>0</v>
      </c>
      <c r="G201" s="102">
        <v>1000</v>
      </c>
      <c r="H201" s="102">
        <v>0</v>
      </c>
      <c r="I201" s="102">
        <v>0</v>
      </c>
      <c r="J201" s="102">
        <v>0</v>
      </c>
      <c r="K201" s="102">
        <v>0</v>
      </c>
      <c r="L201" s="102">
        <v>0</v>
      </c>
      <c r="M201" s="102">
        <v>250</v>
      </c>
      <c r="N201" s="102">
        <v>0</v>
      </c>
      <c r="O201" s="102">
        <v>0</v>
      </c>
      <c r="P201" s="103">
        <f t="shared" si="26"/>
        <v>2959</v>
      </c>
      <c r="Q201" s="103">
        <f t="shared" si="21"/>
        <v>81.27</v>
      </c>
      <c r="R201" s="103">
        <f t="shared" si="24"/>
        <v>297.99</v>
      </c>
      <c r="S201" s="103">
        <v>0</v>
      </c>
      <c r="T201" s="103">
        <v>0</v>
      </c>
      <c r="U201" s="103">
        <f t="shared" si="27"/>
        <v>379.26</v>
      </c>
      <c r="V201" s="103">
        <f t="shared" si="22"/>
        <v>2579.7399999999998</v>
      </c>
      <c r="W201" s="103">
        <v>0</v>
      </c>
    </row>
    <row r="202" spans="1:23" s="89" customFormat="1" ht="25.5" x14ac:dyDescent="0.2">
      <c r="A202" s="128">
        <v>193</v>
      </c>
      <c r="B202" s="58" t="s">
        <v>782</v>
      </c>
      <c r="C202" s="122" t="s">
        <v>924</v>
      </c>
      <c r="D202" s="101">
        <v>6759</v>
      </c>
      <c r="E202" s="102">
        <v>1800</v>
      </c>
      <c r="F202" s="102">
        <v>0</v>
      </c>
      <c r="G202" s="102">
        <v>4000</v>
      </c>
      <c r="H202" s="102">
        <v>0</v>
      </c>
      <c r="I202" s="102">
        <v>0</v>
      </c>
      <c r="J202" s="102">
        <v>375</v>
      </c>
      <c r="K202" s="102">
        <v>0</v>
      </c>
      <c r="L202" s="102">
        <v>0</v>
      </c>
      <c r="M202" s="102">
        <v>250</v>
      </c>
      <c r="N202" s="102">
        <v>0</v>
      </c>
      <c r="O202" s="102">
        <v>0</v>
      </c>
      <c r="P202" s="103">
        <f t="shared" si="26"/>
        <v>13184</v>
      </c>
      <c r="Q202" s="103">
        <f t="shared" ref="Q202:Q265" si="28">(D202+E202+F202+G202+H202+I202+J202+K202+N202)*3%</f>
        <v>388.02</v>
      </c>
      <c r="R202" s="103">
        <f>(D202+E202+F202+G202+H202+I202+J202+K202+N202)*15%</f>
        <v>1940.1</v>
      </c>
      <c r="S202" s="103">
        <v>343.63</v>
      </c>
      <c r="T202" s="103">
        <v>0</v>
      </c>
      <c r="U202" s="103">
        <f t="shared" si="27"/>
        <v>2671.75</v>
      </c>
      <c r="V202" s="103">
        <f t="shared" ref="V202:V263" si="29">P202-U202</f>
        <v>10512.25</v>
      </c>
      <c r="W202" s="103">
        <v>0</v>
      </c>
    </row>
    <row r="203" spans="1:23" ht="25.5" x14ac:dyDescent="0.2">
      <c r="A203" s="128">
        <v>194</v>
      </c>
      <c r="B203" s="58" t="s">
        <v>783</v>
      </c>
      <c r="C203" s="58" t="s">
        <v>789</v>
      </c>
      <c r="D203" s="101">
        <v>1350</v>
      </c>
      <c r="E203" s="102">
        <v>1500</v>
      </c>
      <c r="F203" s="102">
        <v>0</v>
      </c>
      <c r="G203" s="102">
        <v>0</v>
      </c>
      <c r="H203" s="102">
        <v>1600</v>
      </c>
      <c r="I203" s="102">
        <v>0</v>
      </c>
      <c r="J203" s="102">
        <v>0</v>
      </c>
      <c r="K203" s="102">
        <v>75</v>
      </c>
      <c r="L203" s="102">
        <v>0</v>
      </c>
      <c r="M203" s="102">
        <v>250</v>
      </c>
      <c r="N203" s="102">
        <v>0</v>
      </c>
      <c r="O203" s="102">
        <v>0</v>
      </c>
      <c r="P203" s="103">
        <f t="shared" si="26"/>
        <v>4775</v>
      </c>
      <c r="Q203" s="103">
        <f t="shared" si="28"/>
        <v>135.75</v>
      </c>
      <c r="R203" s="103">
        <f>(D203+E203+F203+G203+H203+I203+J203+K203+N203)*11%</f>
        <v>497.75</v>
      </c>
      <c r="S203" s="103">
        <v>5.65</v>
      </c>
      <c r="T203" s="103">
        <v>0</v>
      </c>
      <c r="U203" s="103">
        <f t="shared" si="27"/>
        <v>639.15</v>
      </c>
      <c r="V203" s="103">
        <f t="shared" si="29"/>
        <v>4135.8500000000004</v>
      </c>
      <c r="W203" s="103">
        <f>898.95</f>
        <v>898.95</v>
      </c>
    </row>
    <row r="204" spans="1:23" ht="25.5" x14ac:dyDescent="0.2">
      <c r="A204" s="128">
        <v>195</v>
      </c>
      <c r="B204" s="58" t="s">
        <v>784</v>
      </c>
      <c r="C204" s="122" t="s">
        <v>574</v>
      </c>
      <c r="D204" s="101">
        <v>1350</v>
      </c>
      <c r="E204" s="102">
        <f>2000</f>
        <v>2000</v>
      </c>
      <c r="F204" s="102">
        <v>0</v>
      </c>
      <c r="G204" s="102">
        <v>0</v>
      </c>
      <c r="H204" s="102">
        <v>1600</v>
      </c>
      <c r="I204" s="102">
        <f>2900</f>
        <v>2900</v>
      </c>
      <c r="J204" s="102">
        <v>0</v>
      </c>
      <c r="K204" s="102">
        <v>50</v>
      </c>
      <c r="L204" s="102">
        <v>0</v>
      </c>
      <c r="M204" s="102">
        <v>250</v>
      </c>
      <c r="N204" s="102">
        <v>0</v>
      </c>
      <c r="O204" s="102">
        <v>0</v>
      </c>
      <c r="P204" s="103">
        <f t="shared" si="26"/>
        <v>8150</v>
      </c>
      <c r="Q204" s="103">
        <f t="shared" si="28"/>
        <v>237</v>
      </c>
      <c r="R204" s="103">
        <f>(D204+E204+F204+G204+H204+I204+J204+K204+N204)*11%</f>
        <v>869</v>
      </c>
      <c r="S204" s="103">
        <v>145.13</v>
      </c>
      <c r="T204" s="103">
        <v>0</v>
      </c>
      <c r="U204" s="103">
        <f t="shared" si="27"/>
        <v>1251.1300000000001</v>
      </c>
      <c r="V204" s="103">
        <f t="shared" si="29"/>
        <v>6898.87</v>
      </c>
      <c r="W204" s="103">
        <v>0</v>
      </c>
    </row>
    <row r="205" spans="1:23" ht="25.5" x14ac:dyDescent="0.2">
      <c r="A205" s="128">
        <v>196</v>
      </c>
      <c r="B205" s="55" t="s">
        <v>117</v>
      </c>
      <c r="C205" s="56" t="s">
        <v>198</v>
      </c>
      <c r="D205" s="57">
        <v>5835</v>
      </c>
      <c r="E205" s="102">
        <v>3000</v>
      </c>
      <c r="F205" s="102">
        <v>0</v>
      </c>
      <c r="G205" s="102">
        <v>3000</v>
      </c>
      <c r="H205" s="102">
        <v>0</v>
      </c>
      <c r="I205" s="102">
        <v>0</v>
      </c>
      <c r="J205" s="102">
        <v>375</v>
      </c>
      <c r="K205" s="102">
        <v>0</v>
      </c>
      <c r="L205" s="102">
        <v>0</v>
      </c>
      <c r="M205" s="102">
        <v>250</v>
      </c>
      <c r="N205" s="102">
        <v>0</v>
      </c>
      <c r="O205" s="102">
        <v>0</v>
      </c>
      <c r="P205" s="103">
        <f t="shared" si="26"/>
        <v>12460</v>
      </c>
      <c r="Q205" s="103">
        <f t="shared" si="28"/>
        <v>366.3</v>
      </c>
      <c r="R205" s="103">
        <f>(D205+E205+F205+G205+H205+I205+J205+K205+N205)*11%</f>
        <v>1343.1</v>
      </c>
      <c r="S205" s="28">
        <v>313.94</v>
      </c>
      <c r="T205" s="103">
        <v>0</v>
      </c>
      <c r="U205" s="103">
        <f t="shared" si="27"/>
        <v>2023.34</v>
      </c>
      <c r="V205" s="103">
        <f t="shared" si="29"/>
        <v>10436.66</v>
      </c>
      <c r="W205" s="103">
        <v>0</v>
      </c>
    </row>
    <row r="206" spans="1:23" s="89" customFormat="1" ht="25.5" x14ac:dyDescent="0.2">
      <c r="A206" s="128">
        <v>197</v>
      </c>
      <c r="B206" s="58" t="s">
        <v>785</v>
      </c>
      <c r="C206" s="122" t="s">
        <v>574</v>
      </c>
      <c r="D206" s="101">
        <v>1350</v>
      </c>
      <c r="E206" s="102">
        <v>2000</v>
      </c>
      <c r="F206" s="102">
        <v>0</v>
      </c>
      <c r="G206" s="102">
        <v>0</v>
      </c>
      <c r="H206" s="102">
        <v>1600</v>
      </c>
      <c r="I206" s="102">
        <v>2900</v>
      </c>
      <c r="J206" s="102">
        <v>0</v>
      </c>
      <c r="K206" s="102">
        <v>50</v>
      </c>
      <c r="L206" s="102">
        <v>0</v>
      </c>
      <c r="M206" s="102">
        <v>250</v>
      </c>
      <c r="N206" s="102">
        <v>0</v>
      </c>
      <c r="O206" s="102">
        <v>0</v>
      </c>
      <c r="P206" s="103">
        <f t="shared" si="26"/>
        <v>8150</v>
      </c>
      <c r="Q206" s="103">
        <f t="shared" si="28"/>
        <v>237</v>
      </c>
      <c r="R206" s="103">
        <f>(D206+E206+F206+G206+H206+I206+J206+K206+N206)*13%</f>
        <v>1027</v>
      </c>
      <c r="S206" s="103">
        <v>157.63999999999999</v>
      </c>
      <c r="T206" s="103">
        <v>0</v>
      </c>
      <c r="U206" s="103">
        <f t="shared" si="27"/>
        <v>1421.64</v>
      </c>
      <c r="V206" s="103">
        <f t="shared" si="29"/>
        <v>6728.36</v>
      </c>
      <c r="W206" s="103">
        <f>913</f>
        <v>913</v>
      </c>
    </row>
    <row r="207" spans="1:23" ht="25.5" x14ac:dyDescent="0.2">
      <c r="A207" s="128">
        <v>198</v>
      </c>
      <c r="B207" s="58" t="s">
        <v>786</v>
      </c>
      <c r="C207" s="122" t="s">
        <v>574</v>
      </c>
      <c r="D207" s="101">
        <v>1350</v>
      </c>
      <c r="E207" s="102">
        <v>2000</v>
      </c>
      <c r="F207" s="102">
        <v>0</v>
      </c>
      <c r="G207" s="102">
        <v>0</v>
      </c>
      <c r="H207" s="102">
        <v>1600</v>
      </c>
      <c r="I207" s="102">
        <v>2900</v>
      </c>
      <c r="J207" s="102">
        <v>0</v>
      </c>
      <c r="K207" s="102">
        <v>75</v>
      </c>
      <c r="L207" s="102">
        <v>0</v>
      </c>
      <c r="M207" s="102">
        <v>250</v>
      </c>
      <c r="N207" s="102">
        <v>0</v>
      </c>
      <c r="O207" s="102">
        <v>0</v>
      </c>
      <c r="P207" s="103">
        <f t="shared" si="26"/>
        <v>8175</v>
      </c>
      <c r="Q207" s="103">
        <f t="shared" si="28"/>
        <v>237.75</v>
      </c>
      <c r="R207" s="103">
        <f t="shared" ref="R207:R238" si="30">(D207+E207+F207+G207+H207+I207+J207+K207+N207)*11%</f>
        <v>871.75</v>
      </c>
      <c r="S207" s="103">
        <v>146.18</v>
      </c>
      <c r="T207" s="103">
        <v>0</v>
      </c>
      <c r="U207" s="103">
        <f t="shared" si="27"/>
        <v>1255.68</v>
      </c>
      <c r="V207" s="103">
        <f t="shared" si="29"/>
        <v>6919.32</v>
      </c>
      <c r="W207" s="103">
        <v>0</v>
      </c>
    </row>
    <row r="208" spans="1:23" ht="25.5" x14ac:dyDescent="0.2">
      <c r="A208" s="128">
        <v>199</v>
      </c>
      <c r="B208" s="58" t="s">
        <v>787</v>
      </c>
      <c r="C208" s="58" t="s">
        <v>576</v>
      </c>
      <c r="D208" s="101">
        <v>1350</v>
      </c>
      <c r="E208" s="102">
        <v>2000</v>
      </c>
      <c r="F208" s="102">
        <v>0</v>
      </c>
      <c r="G208" s="102">
        <v>0</v>
      </c>
      <c r="H208" s="102">
        <v>0</v>
      </c>
      <c r="I208" s="102">
        <v>4500</v>
      </c>
      <c r="J208" s="102">
        <v>0</v>
      </c>
      <c r="K208" s="102">
        <v>0</v>
      </c>
      <c r="L208" s="102">
        <v>0</v>
      </c>
      <c r="M208" s="102">
        <v>250</v>
      </c>
      <c r="N208" s="102">
        <v>0</v>
      </c>
      <c r="O208" s="102">
        <v>0</v>
      </c>
      <c r="P208" s="103">
        <f t="shared" si="26"/>
        <v>8100</v>
      </c>
      <c r="Q208" s="103">
        <f t="shared" si="28"/>
        <v>235.5</v>
      </c>
      <c r="R208" s="103">
        <f t="shared" si="30"/>
        <v>863.5</v>
      </c>
      <c r="S208" s="103">
        <v>143.03</v>
      </c>
      <c r="T208" s="103">
        <v>0</v>
      </c>
      <c r="U208" s="103">
        <f t="shared" si="27"/>
        <v>1242.03</v>
      </c>
      <c r="V208" s="103">
        <f t="shared" si="29"/>
        <v>6857.97</v>
      </c>
      <c r="W208" s="103">
        <v>0</v>
      </c>
    </row>
    <row r="209" spans="1:23" ht="25.5" x14ac:dyDescent="0.2">
      <c r="A209" s="128">
        <v>200</v>
      </c>
      <c r="B209" s="58" t="s">
        <v>788</v>
      </c>
      <c r="C209" s="58" t="s">
        <v>789</v>
      </c>
      <c r="D209" s="101">
        <v>1350</v>
      </c>
      <c r="E209" s="102">
        <v>2000</v>
      </c>
      <c r="F209" s="102">
        <v>0</v>
      </c>
      <c r="G209" s="102">
        <v>0</v>
      </c>
      <c r="H209" s="102">
        <v>0</v>
      </c>
      <c r="I209" s="102">
        <v>4500</v>
      </c>
      <c r="J209" s="102">
        <v>0</v>
      </c>
      <c r="K209" s="102">
        <v>0</v>
      </c>
      <c r="L209" s="102">
        <v>0</v>
      </c>
      <c r="M209" s="102">
        <v>250</v>
      </c>
      <c r="N209" s="102">
        <v>0</v>
      </c>
      <c r="O209" s="102">
        <v>0</v>
      </c>
      <c r="P209" s="103">
        <f t="shared" si="26"/>
        <v>8100</v>
      </c>
      <c r="Q209" s="103">
        <f t="shared" si="28"/>
        <v>235.5</v>
      </c>
      <c r="R209" s="103">
        <f t="shared" si="30"/>
        <v>863.5</v>
      </c>
      <c r="S209" s="103">
        <v>143.03</v>
      </c>
      <c r="T209" s="103">
        <v>105.5</v>
      </c>
      <c r="U209" s="103">
        <f t="shared" si="27"/>
        <v>1347.53</v>
      </c>
      <c r="V209" s="103">
        <f t="shared" si="29"/>
        <v>6752.47</v>
      </c>
      <c r="W209" s="103">
        <v>0</v>
      </c>
    </row>
    <row r="210" spans="1:23" ht="25.5" x14ac:dyDescent="0.2">
      <c r="A210" s="128">
        <v>201</v>
      </c>
      <c r="B210" s="58" t="s">
        <v>790</v>
      </c>
      <c r="C210" s="58" t="s">
        <v>592</v>
      </c>
      <c r="D210" s="101">
        <v>1105</v>
      </c>
      <c r="E210" s="102">
        <v>400</v>
      </c>
      <c r="F210" s="102">
        <v>0</v>
      </c>
      <c r="G210" s="102">
        <v>1000</v>
      </c>
      <c r="H210" s="102">
        <v>0</v>
      </c>
      <c r="I210" s="102">
        <v>0</v>
      </c>
      <c r="J210" s="102">
        <v>0</v>
      </c>
      <c r="K210" s="102">
        <v>35</v>
      </c>
      <c r="L210" s="102">
        <v>200</v>
      </c>
      <c r="M210" s="102">
        <v>250</v>
      </c>
      <c r="N210" s="102">
        <v>0</v>
      </c>
      <c r="O210" s="102">
        <v>0</v>
      </c>
      <c r="P210" s="103">
        <f t="shared" si="26"/>
        <v>2990</v>
      </c>
      <c r="Q210" s="103">
        <f t="shared" si="28"/>
        <v>76.2</v>
      </c>
      <c r="R210" s="103">
        <f t="shared" si="30"/>
        <v>279.39999999999998</v>
      </c>
      <c r="S210" s="103">
        <v>0</v>
      </c>
      <c r="T210" s="103">
        <v>0</v>
      </c>
      <c r="U210" s="103">
        <f t="shared" si="27"/>
        <v>355.6</v>
      </c>
      <c r="V210" s="103">
        <f t="shared" si="29"/>
        <v>2634.4</v>
      </c>
      <c r="W210" s="103">
        <v>0</v>
      </c>
    </row>
    <row r="211" spans="1:23" ht="25.5" x14ac:dyDescent="0.2">
      <c r="A211" s="128">
        <v>202</v>
      </c>
      <c r="B211" s="58" t="s">
        <v>791</v>
      </c>
      <c r="C211" s="58" t="s">
        <v>948</v>
      </c>
      <c r="D211" s="101">
        <v>1381</v>
      </c>
      <c r="E211" s="102">
        <v>650</v>
      </c>
      <c r="F211" s="102">
        <v>0</v>
      </c>
      <c r="G211" s="102">
        <v>1000</v>
      </c>
      <c r="H211" s="102">
        <v>0</v>
      </c>
      <c r="I211" s="102">
        <v>0</v>
      </c>
      <c r="J211" s="102">
        <v>0</v>
      </c>
      <c r="K211" s="102">
        <v>0</v>
      </c>
      <c r="L211" s="102">
        <v>0</v>
      </c>
      <c r="M211" s="102">
        <v>250</v>
      </c>
      <c r="N211" s="102">
        <v>0</v>
      </c>
      <c r="O211" s="102">
        <v>0</v>
      </c>
      <c r="P211" s="103">
        <f t="shared" si="26"/>
        <v>3281</v>
      </c>
      <c r="Q211" s="103">
        <f t="shared" si="28"/>
        <v>90.93</v>
      </c>
      <c r="R211" s="103">
        <f t="shared" si="30"/>
        <v>333.41</v>
      </c>
      <c r="S211" s="103">
        <v>0</v>
      </c>
      <c r="T211" s="103">
        <v>0</v>
      </c>
      <c r="U211" s="103">
        <f t="shared" si="27"/>
        <v>424.34</v>
      </c>
      <c r="V211" s="103">
        <f t="shared" si="29"/>
        <v>2856.66</v>
      </c>
      <c r="W211" s="103">
        <v>0</v>
      </c>
    </row>
    <row r="212" spans="1:23" x14ac:dyDescent="0.2">
      <c r="A212" s="128">
        <v>203</v>
      </c>
      <c r="B212" s="58" t="s">
        <v>792</v>
      </c>
      <c r="C212" s="58" t="s">
        <v>605</v>
      </c>
      <c r="D212" s="101">
        <v>1792</v>
      </c>
      <c r="E212" s="102">
        <v>2500</v>
      </c>
      <c r="F212" s="102">
        <v>0</v>
      </c>
      <c r="G212" s="102">
        <v>0</v>
      </c>
      <c r="H212" s="102">
        <v>2500</v>
      </c>
      <c r="I212" s="102">
        <v>3000</v>
      </c>
      <c r="J212" s="102">
        <v>0</v>
      </c>
      <c r="K212" s="102">
        <v>50</v>
      </c>
      <c r="L212" s="102">
        <v>0</v>
      </c>
      <c r="M212" s="102">
        <v>250</v>
      </c>
      <c r="N212" s="102">
        <v>0</v>
      </c>
      <c r="O212" s="102">
        <v>0</v>
      </c>
      <c r="P212" s="103">
        <f t="shared" si="26"/>
        <v>10092</v>
      </c>
      <c r="Q212" s="103">
        <f t="shared" si="28"/>
        <v>295.26</v>
      </c>
      <c r="R212" s="103">
        <f t="shared" si="30"/>
        <v>1082.6199999999999</v>
      </c>
      <c r="S212" s="103">
        <v>221.78</v>
      </c>
      <c r="T212" s="103">
        <v>132.28</v>
      </c>
      <c r="U212" s="103">
        <f t="shared" si="27"/>
        <v>1731.94</v>
      </c>
      <c r="V212" s="103">
        <f t="shared" si="29"/>
        <v>8360.06</v>
      </c>
      <c r="W212" s="103">
        <f>310</f>
        <v>310</v>
      </c>
    </row>
    <row r="213" spans="1:23" x14ac:dyDescent="0.2">
      <c r="A213" s="128">
        <v>204</v>
      </c>
      <c r="B213" s="58" t="s">
        <v>793</v>
      </c>
      <c r="C213" s="58" t="s">
        <v>581</v>
      </c>
      <c r="D213" s="101">
        <v>1476</v>
      </c>
      <c r="E213" s="102">
        <v>2000</v>
      </c>
      <c r="F213" s="102">
        <v>0</v>
      </c>
      <c r="G213" s="102">
        <v>0</v>
      </c>
      <c r="H213" s="102">
        <v>0</v>
      </c>
      <c r="I213" s="102">
        <v>4500</v>
      </c>
      <c r="J213" s="102">
        <v>0</v>
      </c>
      <c r="K213" s="102">
        <v>0</v>
      </c>
      <c r="L213" s="102">
        <v>0</v>
      </c>
      <c r="M213" s="102">
        <v>250</v>
      </c>
      <c r="N213" s="102">
        <v>0</v>
      </c>
      <c r="O213" s="102">
        <v>0</v>
      </c>
      <c r="P213" s="103">
        <f t="shared" si="26"/>
        <v>8226</v>
      </c>
      <c r="Q213" s="103">
        <f t="shared" si="28"/>
        <v>239.28</v>
      </c>
      <c r="R213" s="103">
        <f t="shared" si="30"/>
        <v>877.36</v>
      </c>
      <c r="S213" s="103">
        <v>148.33000000000001</v>
      </c>
      <c r="T213" s="103">
        <v>0</v>
      </c>
      <c r="U213" s="103">
        <f t="shared" si="27"/>
        <v>1264.97</v>
      </c>
      <c r="V213" s="103">
        <f t="shared" si="29"/>
        <v>6961.03</v>
      </c>
      <c r="W213" s="103">
        <v>0</v>
      </c>
    </row>
    <row r="214" spans="1:23" x14ac:dyDescent="0.2">
      <c r="A214" s="128">
        <v>205</v>
      </c>
      <c r="B214" s="58" t="s">
        <v>794</v>
      </c>
      <c r="C214" s="58" t="s">
        <v>587</v>
      </c>
      <c r="D214" s="101">
        <v>1223</v>
      </c>
      <c r="E214" s="103">
        <f>2000</f>
        <v>2000</v>
      </c>
      <c r="F214" s="102">
        <v>0</v>
      </c>
      <c r="G214" s="102">
        <v>0</v>
      </c>
      <c r="H214" s="102">
        <v>1300</v>
      </c>
      <c r="I214" s="102">
        <f>3200</f>
        <v>3200</v>
      </c>
      <c r="J214" s="102">
        <v>0</v>
      </c>
      <c r="K214" s="102">
        <v>0</v>
      </c>
      <c r="L214" s="102">
        <v>0</v>
      </c>
      <c r="M214" s="102">
        <v>250</v>
      </c>
      <c r="N214" s="102">
        <v>0</v>
      </c>
      <c r="O214" s="102">
        <v>0</v>
      </c>
      <c r="P214" s="103">
        <f t="shared" si="26"/>
        <v>7973</v>
      </c>
      <c r="Q214" s="103">
        <f t="shared" si="28"/>
        <v>231.69</v>
      </c>
      <c r="R214" s="103">
        <f t="shared" si="30"/>
        <v>849.53</v>
      </c>
      <c r="S214" s="103">
        <v>137.69</v>
      </c>
      <c r="T214" s="103">
        <v>0</v>
      </c>
      <c r="U214" s="103">
        <f t="shared" si="27"/>
        <v>1218.9100000000001</v>
      </c>
      <c r="V214" s="103">
        <f t="shared" si="29"/>
        <v>6754.09</v>
      </c>
      <c r="W214" s="103">
        <v>0</v>
      </c>
    </row>
    <row r="215" spans="1:23" ht="25.5" x14ac:dyDescent="0.2">
      <c r="A215" s="128">
        <v>206</v>
      </c>
      <c r="B215" s="58" t="s">
        <v>795</v>
      </c>
      <c r="C215" s="58" t="s">
        <v>734</v>
      </c>
      <c r="D215" s="101">
        <v>2425</v>
      </c>
      <c r="E215" s="102">
        <v>0</v>
      </c>
      <c r="F215" s="102">
        <v>1818.75</v>
      </c>
      <c r="G215" s="102">
        <v>0</v>
      </c>
      <c r="H215" s="102">
        <v>0</v>
      </c>
      <c r="I215" s="102">
        <v>0</v>
      </c>
      <c r="J215" s="102">
        <v>0</v>
      </c>
      <c r="K215" s="102">
        <v>0</v>
      </c>
      <c r="L215" s="102">
        <v>0</v>
      </c>
      <c r="M215" s="102">
        <v>0</v>
      </c>
      <c r="N215" s="102">
        <v>0</v>
      </c>
      <c r="O215" s="102">
        <v>0</v>
      </c>
      <c r="P215" s="103">
        <f t="shared" si="26"/>
        <v>4243.75</v>
      </c>
      <c r="Q215" s="103">
        <f t="shared" si="28"/>
        <v>127.31</v>
      </c>
      <c r="R215" s="103">
        <f t="shared" si="30"/>
        <v>466.81</v>
      </c>
      <c r="S215" s="103">
        <v>48.43</v>
      </c>
      <c r="T215" s="103">
        <v>0</v>
      </c>
      <c r="U215" s="103">
        <f t="shared" si="27"/>
        <v>642.54999999999995</v>
      </c>
      <c r="V215" s="103">
        <f t="shared" si="29"/>
        <v>3601.2</v>
      </c>
      <c r="W215" s="103">
        <v>0</v>
      </c>
    </row>
    <row r="216" spans="1:23" ht="25.5" x14ac:dyDescent="0.2">
      <c r="A216" s="128">
        <v>207</v>
      </c>
      <c r="B216" s="58" t="s">
        <v>796</v>
      </c>
      <c r="C216" s="58" t="s">
        <v>781</v>
      </c>
      <c r="D216" s="101">
        <v>1159</v>
      </c>
      <c r="E216" s="102">
        <v>550</v>
      </c>
      <c r="F216" s="102">
        <v>0</v>
      </c>
      <c r="G216" s="102">
        <v>1000</v>
      </c>
      <c r="H216" s="102">
        <v>0</v>
      </c>
      <c r="I216" s="102">
        <v>0</v>
      </c>
      <c r="J216" s="102">
        <v>0</v>
      </c>
      <c r="K216" s="102">
        <v>50</v>
      </c>
      <c r="L216" s="102">
        <v>200</v>
      </c>
      <c r="M216" s="102">
        <v>250</v>
      </c>
      <c r="N216" s="102">
        <v>0</v>
      </c>
      <c r="O216" s="102">
        <v>0</v>
      </c>
      <c r="P216" s="103">
        <f t="shared" si="26"/>
        <v>3209</v>
      </c>
      <c r="Q216" s="103">
        <f t="shared" si="28"/>
        <v>82.77</v>
      </c>
      <c r="R216" s="103">
        <f t="shared" si="30"/>
        <v>303.49</v>
      </c>
      <c r="S216" s="103">
        <v>0</v>
      </c>
      <c r="T216" s="103">
        <v>0</v>
      </c>
      <c r="U216" s="103">
        <f t="shared" si="27"/>
        <v>386.26</v>
      </c>
      <c r="V216" s="103">
        <f t="shared" si="29"/>
        <v>2822.74</v>
      </c>
      <c r="W216" s="103">
        <v>0</v>
      </c>
    </row>
    <row r="217" spans="1:23" s="89" customFormat="1" ht="25.5" x14ac:dyDescent="0.2">
      <c r="A217" s="128">
        <v>208</v>
      </c>
      <c r="B217" s="58" t="s">
        <v>797</v>
      </c>
      <c r="C217" s="58" t="s">
        <v>798</v>
      </c>
      <c r="D217" s="101">
        <v>1246</v>
      </c>
      <c r="E217" s="102">
        <v>500</v>
      </c>
      <c r="F217" s="102">
        <v>0</v>
      </c>
      <c r="G217" s="102">
        <v>1000</v>
      </c>
      <c r="H217" s="102">
        <v>0</v>
      </c>
      <c r="I217" s="102">
        <v>0</v>
      </c>
      <c r="J217" s="102">
        <v>0</v>
      </c>
      <c r="K217" s="102">
        <v>0</v>
      </c>
      <c r="L217" s="102">
        <v>0</v>
      </c>
      <c r="M217" s="102">
        <v>250</v>
      </c>
      <c r="N217" s="102">
        <v>0</v>
      </c>
      <c r="O217" s="102">
        <v>0</v>
      </c>
      <c r="P217" s="103">
        <f t="shared" si="26"/>
        <v>2996</v>
      </c>
      <c r="Q217" s="103">
        <f t="shared" si="28"/>
        <v>82.38</v>
      </c>
      <c r="R217" s="103">
        <f t="shared" si="30"/>
        <v>302.06</v>
      </c>
      <c r="S217" s="103">
        <v>0</v>
      </c>
      <c r="T217" s="103">
        <v>0</v>
      </c>
      <c r="U217" s="103">
        <f t="shared" si="27"/>
        <v>384.44</v>
      </c>
      <c r="V217" s="103">
        <f t="shared" si="29"/>
        <v>2611.56</v>
      </c>
      <c r="W217" s="103">
        <v>0</v>
      </c>
    </row>
    <row r="218" spans="1:23" ht="25.5" x14ac:dyDescent="0.2">
      <c r="A218" s="128">
        <v>209</v>
      </c>
      <c r="B218" s="58" t="s">
        <v>799</v>
      </c>
      <c r="C218" s="58" t="s">
        <v>569</v>
      </c>
      <c r="D218" s="101">
        <v>1634</v>
      </c>
      <c r="E218" s="102">
        <v>2400</v>
      </c>
      <c r="F218" s="102">
        <v>0</v>
      </c>
      <c r="G218" s="102">
        <v>0</v>
      </c>
      <c r="H218" s="102">
        <v>3000</v>
      </c>
      <c r="I218" s="102">
        <v>2400</v>
      </c>
      <c r="J218" s="102">
        <v>0</v>
      </c>
      <c r="K218" s="102">
        <v>75</v>
      </c>
      <c r="L218" s="102">
        <v>0</v>
      </c>
      <c r="M218" s="102">
        <v>250</v>
      </c>
      <c r="N218" s="102">
        <v>0</v>
      </c>
      <c r="O218" s="102">
        <v>0</v>
      </c>
      <c r="P218" s="103">
        <f t="shared" si="26"/>
        <v>9759</v>
      </c>
      <c r="Q218" s="103">
        <f t="shared" si="28"/>
        <v>285.27</v>
      </c>
      <c r="R218" s="103">
        <f t="shared" si="30"/>
        <v>1045.99</v>
      </c>
      <c r="S218" s="103">
        <v>207.96</v>
      </c>
      <c r="T218" s="103">
        <v>0</v>
      </c>
      <c r="U218" s="103">
        <f t="shared" si="27"/>
        <v>1539.22</v>
      </c>
      <c r="V218" s="103">
        <f t="shared" si="29"/>
        <v>8219.7800000000007</v>
      </c>
      <c r="W218" s="103">
        <v>0</v>
      </c>
    </row>
    <row r="219" spans="1:23" ht="25.5" x14ac:dyDescent="0.2">
      <c r="A219" s="128">
        <v>210</v>
      </c>
      <c r="B219" s="58" t="s">
        <v>800</v>
      </c>
      <c r="C219" s="58" t="s">
        <v>572</v>
      </c>
      <c r="D219" s="101">
        <v>1074</v>
      </c>
      <c r="E219" s="102">
        <v>400</v>
      </c>
      <c r="F219" s="102">
        <v>0</v>
      </c>
      <c r="G219" s="102">
        <v>1000</v>
      </c>
      <c r="H219" s="102">
        <v>0</v>
      </c>
      <c r="I219" s="102">
        <v>0</v>
      </c>
      <c r="J219" s="102">
        <v>0</v>
      </c>
      <c r="K219" s="102">
        <v>50</v>
      </c>
      <c r="L219" s="102">
        <v>200</v>
      </c>
      <c r="M219" s="102">
        <v>250</v>
      </c>
      <c r="N219" s="102">
        <v>0</v>
      </c>
      <c r="O219" s="102">
        <v>0</v>
      </c>
      <c r="P219" s="103">
        <f t="shared" si="26"/>
        <v>2974</v>
      </c>
      <c r="Q219" s="103">
        <f t="shared" si="28"/>
        <v>75.72</v>
      </c>
      <c r="R219" s="103">
        <f t="shared" si="30"/>
        <v>277.64</v>
      </c>
      <c r="S219" s="103">
        <v>0</v>
      </c>
      <c r="T219" s="103">
        <v>0</v>
      </c>
      <c r="U219" s="103">
        <f t="shared" si="27"/>
        <v>353.36</v>
      </c>
      <c r="V219" s="103">
        <f t="shared" si="29"/>
        <v>2620.64</v>
      </c>
      <c r="W219" s="103">
        <v>0</v>
      </c>
    </row>
    <row r="220" spans="1:23" ht="25.5" x14ac:dyDescent="0.2">
      <c r="A220" s="128">
        <v>211</v>
      </c>
      <c r="B220" s="58" t="s">
        <v>801</v>
      </c>
      <c r="C220" s="58" t="s">
        <v>651</v>
      </c>
      <c r="D220" s="101">
        <v>2425</v>
      </c>
      <c r="E220" s="102">
        <v>0</v>
      </c>
      <c r="F220" s="102">
        <v>3031.25</v>
      </c>
      <c r="G220" s="102">
        <v>0</v>
      </c>
      <c r="H220" s="102">
        <v>0</v>
      </c>
      <c r="I220" s="102">
        <v>0</v>
      </c>
      <c r="J220" s="102">
        <v>0</v>
      </c>
      <c r="K220" s="102">
        <v>0</v>
      </c>
      <c r="L220" s="102">
        <v>0</v>
      </c>
      <c r="M220" s="102">
        <v>0</v>
      </c>
      <c r="N220" s="102">
        <v>0</v>
      </c>
      <c r="O220" s="102">
        <v>0</v>
      </c>
      <c r="P220" s="103">
        <f t="shared" si="26"/>
        <v>5456.25</v>
      </c>
      <c r="Q220" s="103">
        <f t="shared" si="28"/>
        <v>163.69</v>
      </c>
      <c r="R220" s="103">
        <f t="shared" si="30"/>
        <v>600.19000000000005</v>
      </c>
      <c r="S220" s="103">
        <v>6.13</v>
      </c>
      <c r="T220" s="103">
        <v>0</v>
      </c>
      <c r="U220" s="103">
        <f t="shared" si="27"/>
        <v>770.01</v>
      </c>
      <c r="V220" s="103">
        <f t="shared" si="29"/>
        <v>4686.24</v>
      </c>
      <c r="W220" s="103">
        <v>580</v>
      </c>
    </row>
    <row r="221" spans="1:23" ht="25.5" x14ac:dyDescent="0.2">
      <c r="A221" s="128">
        <v>212</v>
      </c>
      <c r="B221" s="58" t="s">
        <v>993</v>
      </c>
      <c r="C221" s="58" t="s">
        <v>29</v>
      </c>
      <c r="D221" s="101">
        <v>1074</v>
      </c>
      <c r="E221" s="102">
        <v>0</v>
      </c>
      <c r="F221" s="102">
        <v>0</v>
      </c>
      <c r="G221" s="102">
        <v>1000</v>
      </c>
      <c r="H221" s="102">
        <v>0</v>
      </c>
      <c r="I221" s="102">
        <v>0</v>
      </c>
      <c r="J221" s="102">
        <v>0</v>
      </c>
      <c r="K221" s="102">
        <v>0</v>
      </c>
      <c r="L221" s="102">
        <v>0</v>
      </c>
      <c r="M221" s="102">
        <v>250</v>
      </c>
      <c r="N221" s="102">
        <v>0</v>
      </c>
      <c r="O221" s="102">
        <v>0</v>
      </c>
      <c r="P221" s="103">
        <f>SUM(D221:O221)</f>
        <v>2324</v>
      </c>
      <c r="Q221" s="103">
        <f t="shared" si="28"/>
        <v>62.22</v>
      </c>
      <c r="R221" s="103">
        <f t="shared" si="30"/>
        <v>228.14</v>
      </c>
      <c r="S221" s="103">
        <v>0</v>
      </c>
      <c r="T221" s="103">
        <v>0</v>
      </c>
      <c r="U221" s="103">
        <f t="shared" si="27"/>
        <v>290.36</v>
      </c>
      <c r="V221" s="103">
        <f t="shared" si="29"/>
        <v>2033.64</v>
      </c>
      <c r="W221" s="103">
        <v>0</v>
      </c>
    </row>
    <row r="222" spans="1:23" ht="25.5" x14ac:dyDescent="0.2">
      <c r="A222" s="128">
        <v>213</v>
      </c>
      <c r="B222" s="58" t="s">
        <v>802</v>
      </c>
      <c r="C222" s="58" t="s">
        <v>581</v>
      </c>
      <c r="D222" s="101">
        <v>1476</v>
      </c>
      <c r="E222" s="102">
        <v>2000</v>
      </c>
      <c r="F222" s="102">
        <v>0</v>
      </c>
      <c r="G222" s="102">
        <v>1900</v>
      </c>
      <c r="H222" s="102">
        <v>0</v>
      </c>
      <c r="I222" s="102">
        <v>2600</v>
      </c>
      <c r="J222" s="102">
        <v>0</v>
      </c>
      <c r="K222" s="102">
        <v>0</v>
      </c>
      <c r="L222" s="102">
        <v>0</v>
      </c>
      <c r="M222" s="102">
        <v>250</v>
      </c>
      <c r="N222" s="102">
        <v>0</v>
      </c>
      <c r="O222" s="102">
        <v>0</v>
      </c>
      <c r="P222" s="103">
        <f t="shared" ref="P222:P251" si="31">SUM(D222:N222)</f>
        <v>8226</v>
      </c>
      <c r="Q222" s="103">
        <f t="shared" si="28"/>
        <v>239.28</v>
      </c>
      <c r="R222" s="103">
        <f t="shared" si="30"/>
        <v>877.36</v>
      </c>
      <c r="S222" s="103">
        <v>148.33000000000001</v>
      </c>
      <c r="T222" s="103">
        <v>0</v>
      </c>
      <c r="U222" s="103">
        <f t="shared" si="27"/>
        <v>1264.97</v>
      </c>
      <c r="V222" s="103">
        <f t="shared" si="29"/>
        <v>6961.03</v>
      </c>
      <c r="W222" s="103">
        <f>363</f>
        <v>363</v>
      </c>
    </row>
    <row r="223" spans="1:23" ht="25.5" x14ac:dyDescent="0.2">
      <c r="A223" s="128">
        <v>214</v>
      </c>
      <c r="B223" s="58" t="s">
        <v>803</v>
      </c>
      <c r="C223" s="58" t="s">
        <v>576</v>
      </c>
      <c r="D223" s="101">
        <v>1350</v>
      </c>
      <c r="E223" s="102">
        <v>2000</v>
      </c>
      <c r="F223" s="102">
        <v>0</v>
      </c>
      <c r="G223" s="102">
        <v>0</v>
      </c>
      <c r="H223" s="102">
        <v>0</v>
      </c>
      <c r="I223" s="102">
        <v>4500</v>
      </c>
      <c r="J223" s="102">
        <v>0</v>
      </c>
      <c r="K223" s="102">
        <v>75</v>
      </c>
      <c r="L223" s="102">
        <v>0</v>
      </c>
      <c r="M223" s="102">
        <v>250</v>
      </c>
      <c r="N223" s="102">
        <v>0</v>
      </c>
      <c r="O223" s="102">
        <v>0</v>
      </c>
      <c r="P223" s="103">
        <f t="shared" si="31"/>
        <v>8175</v>
      </c>
      <c r="Q223" s="103">
        <f t="shared" si="28"/>
        <v>237.75</v>
      </c>
      <c r="R223" s="103">
        <f t="shared" si="30"/>
        <v>871.75</v>
      </c>
      <c r="S223" s="103">
        <v>145.13</v>
      </c>
      <c r="T223" s="103">
        <v>0</v>
      </c>
      <c r="U223" s="103">
        <f t="shared" si="27"/>
        <v>1254.6300000000001</v>
      </c>
      <c r="V223" s="103">
        <f t="shared" si="29"/>
        <v>6920.37</v>
      </c>
      <c r="W223" s="103">
        <v>0</v>
      </c>
    </row>
    <row r="224" spans="1:23" ht="25.5" x14ac:dyDescent="0.2">
      <c r="A224" s="128">
        <v>215</v>
      </c>
      <c r="B224" s="58" t="s">
        <v>804</v>
      </c>
      <c r="C224" s="58" t="s">
        <v>789</v>
      </c>
      <c r="D224" s="101">
        <v>1350</v>
      </c>
      <c r="E224" s="102">
        <v>1500</v>
      </c>
      <c r="F224" s="102">
        <v>0</v>
      </c>
      <c r="G224" s="102">
        <v>0</v>
      </c>
      <c r="H224" s="102">
        <v>1600</v>
      </c>
      <c r="I224" s="102">
        <v>0</v>
      </c>
      <c r="J224" s="102">
        <v>0</v>
      </c>
      <c r="K224" s="102">
        <v>0</v>
      </c>
      <c r="L224" s="102">
        <v>0</v>
      </c>
      <c r="M224" s="102">
        <v>250</v>
      </c>
      <c r="N224" s="102">
        <v>0</v>
      </c>
      <c r="O224" s="102">
        <v>0</v>
      </c>
      <c r="P224" s="103">
        <f t="shared" si="31"/>
        <v>4700</v>
      </c>
      <c r="Q224" s="103">
        <f t="shared" si="28"/>
        <v>133.5</v>
      </c>
      <c r="R224" s="103">
        <f t="shared" si="30"/>
        <v>489.5</v>
      </c>
      <c r="S224" s="103">
        <v>2.46</v>
      </c>
      <c r="T224" s="103">
        <v>0</v>
      </c>
      <c r="U224" s="103">
        <f t="shared" si="27"/>
        <v>625.46</v>
      </c>
      <c r="V224" s="103">
        <f t="shared" si="29"/>
        <v>4074.54</v>
      </c>
      <c r="W224" s="103">
        <f>300</f>
        <v>300</v>
      </c>
    </row>
    <row r="225" spans="1:23" ht="25.5" x14ac:dyDescent="0.2">
      <c r="A225" s="128">
        <v>216</v>
      </c>
      <c r="B225" s="58" t="s">
        <v>805</v>
      </c>
      <c r="C225" s="58" t="s">
        <v>587</v>
      </c>
      <c r="D225" s="101">
        <v>1223</v>
      </c>
      <c r="E225" s="103">
        <f>2000</f>
        <v>2000</v>
      </c>
      <c r="F225" s="102">
        <v>0</v>
      </c>
      <c r="G225" s="102">
        <v>0</v>
      </c>
      <c r="H225" s="102">
        <v>1300</v>
      </c>
      <c r="I225" s="102">
        <f>3200</f>
        <v>3200</v>
      </c>
      <c r="J225" s="102">
        <v>0</v>
      </c>
      <c r="K225" s="102">
        <v>0</v>
      </c>
      <c r="L225" s="102">
        <v>0</v>
      </c>
      <c r="M225" s="102">
        <v>250</v>
      </c>
      <c r="N225" s="102">
        <v>0</v>
      </c>
      <c r="O225" s="102">
        <v>0</v>
      </c>
      <c r="P225" s="103">
        <f t="shared" si="31"/>
        <v>7973</v>
      </c>
      <c r="Q225" s="103">
        <f t="shared" si="28"/>
        <v>231.69</v>
      </c>
      <c r="R225" s="103">
        <f t="shared" si="30"/>
        <v>849.53</v>
      </c>
      <c r="S225" s="103">
        <v>139.80000000000001</v>
      </c>
      <c r="T225" s="103">
        <v>0</v>
      </c>
      <c r="U225" s="103">
        <f t="shared" si="27"/>
        <v>1221.02</v>
      </c>
      <c r="V225" s="103">
        <f t="shared" si="29"/>
        <v>6751.98</v>
      </c>
      <c r="W225" s="103">
        <v>0</v>
      </c>
    </row>
    <row r="226" spans="1:23" ht="25.5" x14ac:dyDescent="0.2">
      <c r="A226" s="128">
        <v>217</v>
      </c>
      <c r="B226" s="58" t="s">
        <v>806</v>
      </c>
      <c r="C226" s="58" t="s">
        <v>596</v>
      </c>
      <c r="D226" s="101">
        <v>485</v>
      </c>
      <c r="E226" s="102">
        <v>0</v>
      </c>
      <c r="F226" s="102">
        <v>485</v>
      </c>
      <c r="G226" s="102">
        <v>0</v>
      </c>
      <c r="H226" s="102">
        <v>0</v>
      </c>
      <c r="I226" s="102">
        <v>0</v>
      </c>
      <c r="J226" s="102">
        <v>0</v>
      </c>
      <c r="K226" s="102">
        <v>0</v>
      </c>
      <c r="L226" s="102">
        <v>0</v>
      </c>
      <c r="M226" s="102">
        <v>0</v>
      </c>
      <c r="N226" s="102">
        <v>0</v>
      </c>
      <c r="O226" s="102">
        <v>0</v>
      </c>
      <c r="P226" s="103">
        <f t="shared" si="31"/>
        <v>970</v>
      </c>
      <c r="Q226" s="103">
        <f t="shared" si="28"/>
        <v>29.1</v>
      </c>
      <c r="R226" s="103">
        <f t="shared" si="30"/>
        <v>106.7</v>
      </c>
      <c r="S226" s="103">
        <v>0</v>
      </c>
      <c r="T226" s="103">
        <v>0</v>
      </c>
      <c r="U226" s="103">
        <f t="shared" si="27"/>
        <v>135.80000000000001</v>
      </c>
      <c r="V226" s="103">
        <f t="shared" si="29"/>
        <v>834.2</v>
      </c>
      <c r="W226" s="103">
        <v>0</v>
      </c>
    </row>
    <row r="227" spans="1:23" ht="25.5" x14ac:dyDescent="0.2">
      <c r="A227" s="128">
        <v>218</v>
      </c>
      <c r="B227" s="58" t="s">
        <v>807</v>
      </c>
      <c r="C227" s="58" t="s">
        <v>572</v>
      </c>
      <c r="D227" s="101">
        <v>1074</v>
      </c>
      <c r="E227" s="102">
        <v>400</v>
      </c>
      <c r="F227" s="102">
        <v>0</v>
      </c>
      <c r="G227" s="102">
        <v>1000</v>
      </c>
      <c r="H227" s="102">
        <v>0</v>
      </c>
      <c r="I227" s="102">
        <v>0</v>
      </c>
      <c r="J227" s="102">
        <v>0</v>
      </c>
      <c r="K227" s="102">
        <v>0</v>
      </c>
      <c r="L227" s="102">
        <v>200</v>
      </c>
      <c r="M227" s="102">
        <v>250</v>
      </c>
      <c r="N227" s="102">
        <v>0</v>
      </c>
      <c r="O227" s="102">
        <v>0</v>
      </c>
      <c r="P227" s="103">
        <f t="shared" si="31"/>
        <v>2924</v>
      </c>
      <c r="Q227" s="103">
        <f t="shared" si="28"/>
        <v>74.22</v>
      </c>
      <c r="R227" s="103">
        <f t="shared" si="30"/>
        <v>272.14</v>
      </c>
      <c r="S227" s="103">
        <v>0</v>
      </c>
      <c r="T227" s="103">
        <v>0</v>
      </c>
      <c r="U227" s="103">
        <f t="shared" si="27"/>
        <v>346.36</v>
      </c>
      <c r="V227" s="103">
        <f t="shared" si="29"/>
        <v>2577.64</v>
      </c>
      <c r="W227" s="103">
        <v>0</v>
      </c>
    </row>
    <row r="228" spans="1:23" ht="25.5" x14ac:dyDescent="0.2">
      <c r="A228" s="128">
        <v>219</v>
      </c>
      <c r="B228" s="58" t="s">
        <v>808</v>
      </c>
      <c r="C228" s="58" t="s">
        <v>576</v>
      </c>
      <c r="D228" s="101">
        <v>1350</v>
      </c>
      <c r="E228" s="102">
        <v>2000</v>
      </c>
      <c r="F228" s="102">
        <v>0</v>
      </c>
      <c r="G228" s="102">
        <v>0</v>
      </c>
      <c r="H228" s="102">
        <v>0</v>
      </c>
      <c r="I228" s="102">
        <v>4500</v>
      </c>
      <c r="J228" s="102">
        <v>0</v>
      </c>
      <c r="K228" s="102">
        <v>0</v>
      </c>
      <c r="L228" s="102">
        <v>0</v>
      </c>
      <c r="M228" s="102">
        <v>250</v>
      </c>
      <c r="N228" s="102">
        <v>0</v>
      </c>
      <c r="O228" s="102">
        <v>0</v>
      </c>
      <c r="P228" s="103">
        <f t="shared" si="31"/>
        <v>8100</v>
      </c>
      <c r="Q228" s="103">
        <f t="shared" si="28"/>
        <v>235.5</v>
      </c>
      <c r="R228" s="103">
        <f t="shared" si="30"/>
        <v>863.5</v>
      </c>
      <c r="S228" s="103">
        <v>143.03</v>
      </c>
      <c r="T228" s="103">
        <v>0</v>
      </c>
      <c r="U228" s="103">
        <f t="shared" si="27"/>
        <v>1242.03</v>
      </c>
      <c r="V228" s="103">
        <f t="shared" si="29"/>
        <v>6857.97</v>
      </c>
      <c r="W228" s="103">
        <v>0</v>
      </c>
    </row>
    <row r="229" spans="1:23" ht="25.5" x14ac:dyDescent="0.2">
      <c r="A229" s="128">
        <v>220</v>
      </c>
      <c r="B229" s="58" t="s">
        <v>809</v>
      </c>
      <c r="C229" s="58" t="s">
        <v>789</v>
      </c>
      <c r="D229" s="101">
        <v>1350</v>
      </c>
      <c r="E229" s="102">
        <v>1500</v>
      </c>
      <c r="F229" s="102">
        <v>0</v>
      </c>
      <c r="G229" s="102">
        <v>0</v>
      </c>
      <c r="H229" s="102">
        <v>1600</v>
      </c>
      <c r="I229" s="102">
        <v>0</v>
      </c>
      <c r="J229" s="102">
        <v>0</v>
      </c>
      <c r="K229" s="102">
        <v>75</v>
      </c>
      <c r="L229" s="102">
        <v>0</v>
      </c>
      <c r="M229" s="102">
        <v>250</v>
      </c>
      <c r="N229" s="102">
        <v>0</v>
      </c>
      <c r="O229" s="102">
        <v>0</v>
      </c>
      <c r="P229" s="103">
        <f t="shared" si="31"/>
        <v>4775</v>
      </c>
      <c r="Q229" s="103">
        <f t="shared" si="28"/>
        <v>135.75</v>
      </c>
      <c r="R229" s="103">
        <f t="shared" si="30"/>
        <v>497.75</v>
      </c>
      <c r="S229" s="103">
        <v>5.65</v>
      </c>
      <c r="T229" s="103">
        <v>0</v>
      </c>
      <c r="U229" s="103">
        <f t="shared" ref="U229:U239" si="32">SUM(Q229:T229)</f>
        <v>639.15</v>
      </c>
      <c r="V229" s="103">
        <f t="shared" si="29"/>
        <v>4135.8500000000004</v>
      </c>
      <c r="W229" s="103">
        <f>772</f>
        <v>772</v>
      </c>
    </row>
    <row r="230" spans="1:23" ht="25.5" x14ac:dyDescent="0.2">
      <c r="A230" s="128">
        <v>221</v>
      </c>
      <c r="B230" s="58" t="s">
        <v>810</v>
      </c>
      <c r="C230" s="58" t="s">
        <v>581</v>
      </c>
      <c r="D230" s="101">
        <v>1476</v>
      </c>
      <c r="E230" s="102">
        <v>2000</v>
      </c>
      <c r="F230" s="102">
        <v>0</v>
      </c>
      <c r="G230" s="102">
        <v>1900</v>
      </c>
      <c r="H230" s="102">
        <v>0</v>
      </c>
      <c r="I230" s="102">
        <v>2600</v>
      </c>
      <c r="J230" s="102">
        <v>0</v>
      </c>
      <c r="K230" s="102">
        <v>50</v>
      </c>
      <c r="L230" s="102">
        <v>0</v>
      </c>
      <c r="M230" s="102">
        <v>250</v>
      </c>
      <c r="N230" s="102">
        <v>0</v>
      </c>
      <c r="O230" s="102">
        <v>0</v>
      </c>
      <c r="P230" s="103">
        <f t="shared" si="31"/>
        <v>8276</v>
      </c>
      <c r="Q230" s="103">
        <f t="shared" si="28"/>
        <v>240.78</v>
      </c>
      <c r="R230" s="103">
        <f t="shared" si="30"/>
        <v>882.86</v>
      </c>
      <c r="S230" s="103">
        <v>146.11000000000001</v>
      </c>
      <c r="T230" s="103">
        <v>0</v>
      </c>
      <c r="U230" s="103">
        <f t="shared" si="32"/>
        <v>1269.75</v>
      </c>
      <c r="V230" s="103">
        <f t="shared" si="29"/>
        <v>7006.25</v>
      </c>
      <c r="W230" s="103">
        <f>416.8</f>
        <v>416.8</v>
      </c>
    </row>
    <row r="231" spans="1:23" x14ac:dyDescent="0.2">
      <c r="A231" s="128">
        <v>222</v>
      </c>
      <c r="B231" s="58" t="s">
        <v>811</v>
      </c>
      <c r="C231" s="58" t="s">
        <v>666</v>
      </c>
      <c r="D231" s="101">
        <v>1039</v>
      </c>
      <c r="E231" s="102">
        <v>400</v>
      </c>
      <c r="F231" s="102">
        <v>0</v>
      </c>
      <c r="G231" s="102">
        <v>1000</v>
      </c>
      <c r="H231" s="102">
        <v>0</v>
      </c>
      <c r="I231" s="102">
        <v>0</v>
      </c>
      <c r="J231" s="102">
        <v>0</v>
      </c>
      <c r="K231" s="102">
        <v>50</v>
      </c>
      <c r="L231" s="102">
        <v>200</v>
      </c>
      <c r="M231" s="102">
        <v>250</v>
      </c>
      <c r="N231" s="102">
        <v>0</v>
      </c>
      <c r="O231" s="102">
        <v>0</v>
      </c>
      <c r="P231" s="103">
        <f t="shared" si="31"/>
        <v>2939</v>
      </c>
      <c r="Q231" s="103">
        <f t="shared" si="28"/>
        <v>74.67</v>
      </c>
      <c r="R231" s="103">
        <f t="shared" si="30"/>
        <v>273.79000000000002</v>
      </c>
      <c r="S231" s="103">
        <v>0</v>
      </c>
      <c r="T231" s="103">
        <v>0</v>
      </c>
      <c r="U231" s="103">
        <f t="shared" si="32"/>
        <v>348.46</v>
      </c>
      <c r="V231" s="103">
        <f t="shared" si="29"/>
        <v>2590.54</v>
      </c>
      <c r="W231" s="103">
        <v>0</v>
      </c>
    </row>
    <row r="232" spans="1:23" ht="25.5" x14ac:dyDescent="0.2">
      <c r="A232" s="128">
        <v>223</v>
      </c>
      <c r="B232" s="58" t="s">
        <v>812</v>
      </c>
      <c r="C232" s="122" t="s">
        <v>574</v>
      </c>
      <c r="D232" s="101">
        <v>1350</v>
      </c>
      <c r="E232" s="102">
        <v>2000</v>
      </c>
      <c r="F232" s="102">
        <v>0</v>
      </c>
      <c r="G232" s="102">
        <v>0</v>
      </c>
      <c r="H232" s="102">
        <v>1600</v>
      </c>
      <c r="I232" s="102">
        <v>2900</v>
      </c>
      <c r="J232" s="102">
        <v>0</v>
      </c>
      <c r="K232" s="102">
        <v>75</v>
      </c>
      <c r="L232" s="102">
        <v>0</v>
      </c>
      <c r="M232" s="102">
        <v>250</v>
      </c>
      <c r="N232" s="102">
        <v>0</v>
      </c>
      <c r="O232" s="102">
        <v>0</v>
      </c>
      <c r="P232" s="103">
        <f t="shared" si="31"/>
        <v>8175</v>
      </c>
      <c r="Q232" s="103">
        <f t="shared" si="28"/>
        <v>237.75</v>
      </c>
      <c r="R232" s="103">
        <f t="shared" si="30"/>
        <v>871.75</v>
      </c>
      <c r="S232" s="103">
        <v>146.18</v>
      </c>
      <c r="T232" s="103">
        <v>0</v>
      </c>
      <c r="U232" s="103">
        <f t="shared" si="32"/>
        <v>1255.68</v>
      </c>
      <c r="V232" s="103">
        <f t="shared" si="29"/>
        <v>6919.32</v>
      </c>
      <c r="W232" s="103">
        <v>0</v>
      </c>
    </row>
    <row r="233" spans="1:23" ht="25.5" x14ac:dyDescent="0.2">
      <c r="A233" s="128">
        <v>224</v>
      </c>
      <c r="B233" s="123" t="s">
        <v>813</v>
      </c>
      <c r="C233" s="58" t="s">
        <v>651</v>
      </c>
      <c r="D233" s="102">
        <v>2425</v>
      </c>
      <c r="E233" s="102">
        <v>0</v>
      </c>
      <c r="F233" s="102">
        <v>0</v>
      </c>
      <c r="G233" s="102">
        <v>0</v>
      </c>
      <c r="H233" s="102">
        <v>0</v>
      </c>
      <c r="I233" s="102">
        <v>0</v>
      </c>
      <c r="J233" s="102">
        <v>0</v>
      </c>
      <c r="K233" s="102">
        <v>0</v>
      </c>
      <c r="L233" s="102">
        <v>0</v>
      </c>
      <c r="M233" s="102">
        <v>0</v>
      </c>
      <c r="N233" s="102">
        <v>0</v>
      </c>
      <c r="O233" s="102">
        <v>0</v>
      </c>
      <c r="P233" s="103">
        <f t="shared" si="31"/>
        <v>2425</v>
      </c>
      <c r="Q233" s="103">
        <f t="shared" si="28"/>
        <v>72.75</v>
      </c>
      <c r="R233" s="103">
        <f t="shared" si="30"/>
        <v>266.75</v>
      </c>
      <c r="S233" s="103">
        <v>0</v>
      </c>
      <c r="T233" s="103">
        <v>0</v>
      </c>
      <c r="U233" s="103">
        <f t="shared" si="32"/>
        <v>339.5</v>
      </c>
      <c r="V233" s="103">
        <f t="shared" si="29"/>
        <v>2085.5</v>
      </c>
      <c r="W233" s="103">
        <v>0</v>
      </c>
    </row>
    <row r="234" spans="1:23" ht="25.5" x14ac:dyDescent="0.2">
      <c r="A234" s="128">
        <v>225</v>
      </c>
      <c r="B234" s="123" t="s">
        <v>814</v>
      </c>
      <c r="C234" s="58" t="s">
        <v>651</v>
      </c>
      <c r="D234" s="102">
        <v>2425</v>
      </c>
      <c r="E234" s="102">
        <v>0</v>
      </c>
      <c r="F234" s="102">
        <v>0</v>
      </c>
      <c r="G234" s="102">
        <v>0</v>
      </c>
      <c r="H234" s="102">
        <v>0</v>
      </c>
      <c r="I234" s="102">
        <v>0</v>
      </c>
      <c r="J234" s="102">
        <v>0</v>
      </c>
      <c r="K234" s="102">
        <v>0</v>
      </c>
      <c r="L234" s="102">
        <v>0</v>
      </c>
      <c r="M234" s="102">
        <v>0</v>
      </c>
      <c r="N234" s="102">
        <v>0</v>
      </c>
      <c r="O234" s="102">
        <v>0</v>
      </c>
      <c r="P234" s="103">
        <f t="shared" si="31"/>
        <v>2425</v>
      </c>
      <c r="Q234" s="103">
        <f t="shared" si="28"/>
        <v>72.75</v>
      </c>
      <c r="R234" s="103">
        <f t="shared" si="30"/>
        <v>266.75</v>
      </c>
      <c r="S234" s="103">
        <v>0</v>
      </c>
      <c r="T234" s="103">
        <v>0</v>
      </c>
      <c r="U234" s="103">
        <f t="shared" si="32"/>
        <v>339.5</v>
      </c>
      <c r="V234" s="103">
        <f t="shared" si="29"/>
        <v>2085.5</v>
      </c>
      <c r="W234" s="103">
        <v>0</v>
      </c>
    </row>
    <row r="235" spans="1:23" ht="25.5" x14ac:dyDescent="0.2">
      <c r="A235" s="128">
        <v>226</v>
      </c>
      <c r="B235" s="58" t="s">
        <v>815</v>
      </c>
      <c r="C235" s="58" t="s">
        <v>953</v>
      </c>
      <c r="D235" s="101">
        <v>1476</v>
      </c>
      <c r="E235" s="102">
        <v>2000</v>
      </c>
      <c r="F235" s="102">
        <v>0</v>
      </c>
      <c r="G235" s="102">
        <v>0</v>
      </c>
      <c r="H235" s="102">
        <v>1900</v>
      </c>
      <c r="I235" s="102">
        <v>2600</v>
      </c>
      <c r="J235" s="102">
        <v>0</v>
      </c>
      <c r="K235" s="102">
        <v>35</v>
      </c>
      <c r="L235" s="102">
        <v>0</v>
      </c>
      <c r="M235" s="102">
        <v>250</v>
      </c>
      <c r="N235" s="102">
        <v>0</v>
      </c>
      <c r="O235" s="102">
        <v>0</v>
      </c>
      <c r="P235" s="103">
        <f t="shared" si="31"/>
        <v>8261</v>
      </c>
      <c r="Q235" s="103">
        <f t="shared" si="28"/>
        <v>240.33</v>
      </c>
      <c r="R235" s="103">
        <f t="shared" si="30"/>
        <v>881.21</v>
      </c>
      <c r="S235" s="103">
        <v>145.79</v>
      </c>
      <c r="T235" s="103">
        <v>0</v>
      </c>
      <c r="U235" s="103">
        <f t="shared" si="32"/>
        <v>1267.33</v>
      </c>
      <c r="V235" s="103">
        <f t="shared" si="29"/>
        <v>6993.67</v>
      </c>
      <c r="W235" s="103">
        <f>203.5</f>
        <v>203.5</v>
      </c>
    </row>
    <row r="236" spans="1:23" ht="25.5" x14ac:dyDescent="0.2">
      <c r="A236" s="128">
        <v>227</v>
      </c>
      <c r="B236" s="58" t="s">
        <v>816</v>
      </c>
      <c r="C236" s="122" t="s">
        <v>574</v>
      </c>
      <c r="D236" s="101">
        <v>1350</v>
      </c>
      <c r="E236" s="102">
        <v>2000</v>
      </c>
      <c r="F236" s="102">
        <v>0</v>
      </c>
      <c r="G236" s="102">
        <v>0</v>
      </c>
      <c r="H236" s="102">
        <v>1600</v>
      </c>
      <c r="I236" s="102">
        <v>2900</v>
      </c>
      <c r="J236" s="102">
        <v>0</v>
      </c>
      <c r="K236" s="102">
        <v>75</v>
      </c>
      <c r="L236" s="102">
        <v>0</v>
      </c>
      <c r="M236" s="102">
        <v>250</v>
      </c>
      <c r="N236" s="102">
        <v>0</v>
      </c>
      <c r="O236" s="102">
        <v>0</v>
      </c>
      <c r="P236" s="103">
        <f t="shared" si="31"/>
        <v>8175</v>
      </c>
      <c r="Q236" s="103">
        <f t="shared" si="28"/>
        <v>237.75</v>
      </c>
      <c r="R236" s="103">
        <f t="shared" si="30"/>
        <v>871.75</v>
      </c>
      <c r="S236" s="103">
        <v>146.18</v>
      </c>
      <c r="T236" s="103">
        <v>0</v>
      </c>
      <c r="U236" s="103">
        <f t="shared" si="32"/>
        <v>1255.68</v>
      </c>
      <c r="V236" s="103">
        <f t="shared" si="29"/>
        <v>6919.32</v>
      </c>
      <c r="W236" s="103">
        <f>758</f>
        <v>758</v>
      </c>
    </row>
    <row r="237" spans="1:23" ht="25.5" x14ac:dyDescent="0.2">
      <c r="A237" s="128">
        <v>228</v>
      </c>
      <c r="B237" s="58" t="s">
        <v>817</v>
      </c>
      <c r="C237" s="58" t="s">
        <v>789</v>
      </c>
      <c r="D237" s="101">
        <v>1350</v>
      </c>
      <c r="E237" s="102">
        <v>2000</v>
      </c>
      <c r="F237" s="102">
        <v>0</v>
      </c>
      <c r="G237" s="102">
        <v>1600</v>
      </c>
      <c r="H237" s="102">
        <v>0</v>
      </c>
      <c r="I237" s="102">
        <v>2900</v>
      </c>
      <c r="J237" s="102">
        <v>0</v>
      </c>
      <c r="K237" s="102">
        <v>35</v>
      </c>
      <c r="L237" s="102">
        <v>0</v>
      </c>
      <c r="M237" s="102">
        <v>250</v>
      </c>
      <c r="N237" s="102">
        <v>0</v>
      </c>
      <c r="O237" s="102">
        <v>0</v>
      </c>
      <c r="P237" s="103">
        <f t="shared" si="31"/>
        <v>8135</v>
      </c>
      <c r="Q237" s="103">
        <f t="shared" si="28"/>
        <v>236.55</v>
      </c>
      <c r="R237" s="103">
        <f t="shared" si="30"/>
        <v>867.35</v>
      </c>
      <c r="S237" s="103">
        <v>639</v>
      </c>
      <c r="T237" s="103">
        <v>0</v>
      </c>
      <c r="U237" s="103">
        <f t="shared" si="32"/>
        <v>1742.9</v>
      </c>
      <c r="V237" s="103">
        <f t="shared" si="29"/>
        <v>6392.1</v>
      </c>
      <c r="W237" s="103">
        <v>0</v>
      </c>
    </row>
    <row r="238" spans="1:23" s="89" customFormat="1" ht="25.5" x14ac:dyDescent="0.2">
      <c r="A238" s="128">
        <v>229</v>
      </c>
      <c r="B238" s="122" t="s">
        <v>818</v>
      </c>
      <c r="C238" s="122" t="s">
        <v>596</v>
      </c>
      <c r="D238" s="102">
        <v>485</v>
      </c>
      <c r="E238" s="102">
        <v>0</v>
      </c>
      <c r="F238" s="102">
        <v>0</v>
      </c>
      <c r="G238" s="102">
        <v>0</v>
      </c>
      <c r="H238" s="102">
        <v>0</v>
      </c>
      <c r="I238" s="102">
        <v>0</v>
      </c>
      <c r="J238" s="102">
        <v>0</v>
      </c>
      <c r="K238" s="102">
        <v>0</v>
      </c>
      <c r="L238" s="102">
        <v>0</v>
      </c>
      <c r="M238" s="102">
        <v>0</v>
      </c>
      <c r="N238" s="102">
        <v>0</v>
      </c>
      <c r="O238" s="102">
        <v>0</v>
      </c>
      <c r="P238" s="103">
        <f t="shared" si="31"/>
        <v>485</v>
      </c>
      <c r="Q238" s="103">
        <f t="shared" si="28"/>
        <v>14.55</v>
      </c>
      <c r="R238" s="103">
        <f t="shared" si="30"/>
        <v>53.35</v>
      </c>
      <c r="S238" s="103">
        <v>0</v>
      </c>
      <c r="T238" s="103">
        <v>0</v>
      </c>
      <c r="U238" s="103">
        <f t="shared" si="32"/>
        <v>67.900000000000006</v>
      </c>
      <c r="V238" s="103">
        <f t="shared" si="29"/>
        <v>417.1</v>
      </c>
      <c r="W238" s="103">
        <v>0</v>
      </c>
    </row>
    <row r="239" spans="1:23" s="89" customFormat="1" x14ac:dyDescent="0.2">
      <c r="A239" s="128">
        <v>230</v>
      </c>
      <c r="B239" s="24" t="s">
        <v>964</v>
      </c>
      <c r="C239" s="33" t="s">
        <v>965</v>
      </c>
      <c r="D239" s="102">
        <v>1960</v>
      </c>
      <c r="E239" s="102">
        <v>0</v>
      </c>
      <c r="F239" s="102">
        <v>0</v>
      </c>
      <c r="G239" s="102">
        <v>1000</v>
      </c>
      <c r="H239" s="102">
        <v>0</v>
      </c>
      <c r="I239" s="102">
        <v>0</v>
      </c>
      <c r="J239" s="102">
        <v>0</v>
      </c>
      <c r="K239" s="102">
        <v>0</v>
      </c>
      <c r="L239" s="102">
        <v>0</v>
      </c>
      <c r="M239" s="102">
        <v>250</v>
      </c>
      <c r="N239" s="102"/>
      <c r="O239" s="102">
        <v>0</v>
      </c>
      <c r="P239" s="103">
        <f t="shared" si="31"/>
        <v>3210</v>
      </c>
      <c r="Q239" s="103">
        <f t="shared" si="28"/>
        <v>88.8</v>
      </c>
      <c r="R239" s="103">
        <f t="shared" ref="R239:R271" si="33">(D239+E239+F239+G239+H239+I239+J239+K239+N239)*11%</f>
        <v>325.60000000000002</v>
      </c>
      <c r="S239" s="103">
        <v>0</v>
      </c>
      <c r="T239" s="103">
        <v>0</v>
      </c>
      <c r="U239" s="103">
        <f t="shared" si="32"/>
        <v>414.4</v>
      </c>
      <c r="V239" s="103">
        <f t="shared" si="29"/>
        <v>2795.6</v>
      </c>
      <c r="W239" s="103">
        <v>0</v>
      </c>
    </row>
    <row r="240" spans="1:23" ht="25.5" x14ac:dyDescent="0.2">
      <c r="A240" s="128">
        <v>231</v>
      </c>
      <c r="B240" s="58" t="s">
        <v>819</v>
      </c>
      <c r="C240" s="58" t="s">
        <v>789</v>
      </c>
      <c r="D240" s="101">
        <v>1350</v>
      </c>
      <c r="E240" s="102">
        <v>1500</v>
      </c>
      <c r="F240" s="102">
        <v>0</v>
      </c>
      <c r="G240" s="102">
        <v>0</v>
      </c>
      <c r="H240" s="102">
        <v>1600</v>
      </c>
      <c r="I240" s="102">
        <v>0</v>
      </c>
      <c r="J240" s="102">
        <v>0</v>
      </c>
      <c r="K240" s="102">
        <v>75</v>
      </c>
      <c r="L240" s="102">
        <v>0</v>
      </c>
      <c r="M240" s="102">
        <v>250</v>
      </c>
      <c r="N240" s="102">
        <v>0</v>
      </c>
      <c r="O240" s="102">
        <v>0</v>
      </c>
      <c r="P240" s="103">
        <f t="shared" si="31"/>
        <v>4775</v>
      </c>
      <c r="Q240" s="103">
        <f t="shared" si="28"/>
        <v>135.75</v>
      </c>
      <c r="R240" s="103">
        <f t="shared" si="33"/>
        <v>497.75</v>
      </c>
      <c r="S240" s="103">
        <v>0</v>
      </c>
      <c r="T240" s="103">
        <v>0</v>
      </c>
      <c r="U240" s="103">
        <f>SUM(Q240:T240)</f>
        <v>633.5</v>
      </c>
      <c r="V240" s="103">
        <f t="shared" si="29"/>
        <v>4141.5</v>
      </c>
      <c r="W240" s="103">
        <v>0</v>
      </c>
    </row>
    <row r="241" spans="1:23" ht="25.5" x14ac:dyDescent="0.2">
      <c r="A241" s="128">
        <v>232</v>
      </c>
      <c r="B241" s="58" t="s">
        <v>820</v>
      </c>
      <c r="C241" s="58" t="s">
        <v>953</v>
      </c>
      <c r="D241" s="101">
        <v>1476</v>
      </c>
      <c r="E241" s="102">
        <v>2000</v>
      </c>
      <c r="F241" s="102">
        <v>0</v>
      </c>
      <c r="G241" s="102">
        <v>0</v>
      </c>
      <c r="H241" s="102">
        <v>1900</v>
      </c>
      <c r="I241" s="102">
        <v>2600</v>
      </c>
      <c r="J241" s="102">
        <v>0</v>
      </c>
      <c r="K241" s="102">
        <v>75</v>
      </c>
      <c r="L241" s="102">
        <v>0</v>
      </c>
      <c r="M241" s="102">
        <v>250</v>
      </c>
      <c r="N241" s="102">
        <v>0</v>
      </c>
      <c r="O241" s="102">
        <v>0</v>
      </c>
      <c r="P241" s="103">
        <f t="shared" si="31"/>
        <v>8301</v>
      </c>
      <c r="Q241" s="103">
        <f t="shared" si="28"/>
        <v>241.53</v>
      </c>
      <c r="R241" s="103">
        <f t="shared" si="33"/>
        <v>885.61</v>
      </c>
      <c r="S241" s="103">
        <v>146.41</v>
      </c>
      <c r="T241" s="103">
        <v>0</v>
      </c>
      <c r="U241" s="103">
        <f>SUM(Q241:T241)</f>
        <v>1273.55</v>
      </c>
      <c r="V241" s="103">
        <f t="shared" si="29"/>
        <v>7027.45</v>
      </c>
      <c r="W241" s="103">
        <f>983+1305.5</f>
        <v>2288.5</v>
      </c>
    </row>
    <row r="242" spans="1:23" ht="25.5" x14ac:dyDescent="0.2">
      <c r="A242" s="128">
        <v>233</v>
      </c>
      <c r="B242" s="33" t="s">
        <v>974</v>
      </c>
      <c r="C242" s="33" t="s">
        <v>975</v>
      </c>
      <c r="D242" s="101">
        <v>1012.5</v>
      </c>
      <c r="E242" s="102">
        <v>1200</v>
      </c>
      <c r="F242" s="102">
        <v>0</v>
      </c>
      <c r="G242" s="102">
        <v>0</v>
      </c>
      <c r="H242" s="102">
        <v>2175</v>
      </c>
      <c r="I242" s="102">
        <v>0</v>
      </c>
      <c r="J242" s="102">
        <v>0</v>
      </c>
      <c r="K242" s="102">
        <v>0</v>
      </c>
      <c r="L242" s="102">
        <v>0</v>
      </c>
      <c r="M242" s="102">
        <v>250</v>
      </c>
      <c r="N242" s="102">
        <v>0</v>
      </c>
      <c r="O242" s="102">
        <v>0</v>
      </c>
      <c r="P242" s="103">
        <f t="shared" si="31"/>
        <v>4637.5</v>
      </c>
      <c r="Q242" s="103">
        <f t="shared" si="28"/>
        <v>131.63</v>
      </c>
      <c r="R242" s="103">
        <f t="shared" si="33"/>
        <v>482.63</v>
      </c>
      <c r="S242" s="103"/>
      <c r="T242" s="103"/>
      <c r="U242" s="103"/>
      <c r="V242" s="103">
        <f t="shared" si="29"/>
        <v>4637.5</v>
      </c>
      <c r="W242" s="103">
        <v>0</v>
      </c>
    </row>
    <row r="243" spans="1:23" ht="25.5" x14ac:dyDescent="0.2">
      <c r="A243" s="128">
        <v>234</v>
      </c>
      <c r="B243" s="58" t="s">
        <v>821</v>
      </c>
      <c r="C243" s="58" t="s">
        <v>569</v>
      </c>
      <c r="D243" s="101">
        <v>1634</v>
      </c>
      <c r="E243" s="102">
        <v>2400</v>
      </c>
      <c r="F243" s="102">
        <v>0</v>
      </c>
      <c r="G243" s="102">
        <v>0</v>
      </c>
      <c r="H243" s="102">
        <v>3000</v>
      </c>
      <c r="I243" s="102">
        <v>2400</v>
      </c>
      <c r="J243" s="102">
        <v>0</v>
      </c>
      <c r="K243" s="102">
        <v>75</v>
      </c>
      <c r="L243" s="102">
        <v>0</v>
      </c>
      <c r="M243" s="102">
        <v>250</v>
      </c>
      <c r="N243" s="102">
        <v>0</v>
      </c>
      <c r="O243" s="102">
        <v>0</v>
      </c>
      <c r="P243" s="103">
        <f t="shared" si="31"/>
        <v>9759</v>
      </c>
      <c r="Q243" s="103">
        <f t="shared" si="28"/>
        <v>285.27</v>
      </c>
      <c r="R243" s="103">
        <f t="shared" si="33"/>
        <v>1045.99</v>
      </c>
      <c r="S243" s="103">
        <v>203.2</v>
      </c>
      <c r="T243" s="103">
        <v>0</v>
      </c>
      <c r="U243" s="103">
        <f t="shared" ref="U243:U250" si="34">SUM(Q243:T243)</f>
        <v>1534.46</v>
      </c>
      <c r="V243" s="103">
        <f t="shared" si="29"/>
        <v>8224.5400000000009</v>
      </c>
      <c r="W243" s="103">
        <v>0</v>
      </c>
    </row>
    <row r="244" spans="1:23" ht="25.5" x14ac:dyDescent="0.2">
      <c r="A244" s="128">
        <v>235</v>
      </c>
      <c r="B244" s="58" t="s">
        <v>822</v>
      </c>
      <c r="C244" s="58" t="s">
        <v>576</v>
      </c>
      <c r="D244" s="101">
        <v>1476</v>
      </c>
      <c r="E244" s="102">
        <v>2000</v>
      </c>
      <c r="F244" s="102">
        <v>0</v>
      </c>
      <c r="G244" s="102">
        <v>0</v>
      </c>
      <c r="H244" s="102">
        <v>1900</v>
      </c>
      <c r="I244" s="102">
        <v>2600</v>
      </c>
      <c r="J244" s="102">
        <v>0</v>
      </c>
      <c r="K244" s="102">
        <v>0</v>
      </c>
      <c r="L244" s="102">
        <v>0</v>
      </c>
      <c r="M244" s="102">
        <v>250</v>
      </c>
      <c r="N244" s="102">
        <v>0</v>
      </c>
      <c r="O244" s="102">
        <v>0</v>
      </c>
      <c r="P244" s="103">
        <f t="shared" si="31"/>
        <v>8226</v>
      </c>
      <c r="Q244" s="103">
        <f t="shared" si="28"/>
        <v>239.28</v>
      </c>
      <c r="R244" s="103">
        <f t="shared" si="33"/>
        <v>877.36</v>
      </c>
      <c r="S244" s="103">
        <v>148.33000000000001</v>
      </c>
      <c r="T244" s="103">
        <v>0</v>
      </c>
      <c r="U244" s="103">
        <f t="shared" si="34"/>
        <v>1264.97</v>
      </c>
      <c r="V244" s="103">
        <f t="shared" si="29"/>
        <v>6961.03</v>
      </c>
      <c r="W244" s="103">
        <v>0</v>
      </c>
    </row>
    <row r="245" spans="1:23" ht="25.5" x14ac:dyDescent="0.2">
      <c r="A245" s="128">
        <v>236</v>
      </c>
      <c r="B245" s="58" t="s">
        <v>823</v>
      </c>
      <c r="C245" s="58" t="s">
        <v>569</v>
      </c>
      <c r="D245" s="101">
        <v>1634</v>
      </c>
      <c r="E245" s="102">
        <v>2400</v>
      </c>
      <c r="F245" s="102">
        <v>0</v>
      </c>
      <c r="G245" s="102">
        <v>0</v>
      </c>
      <c r="H245" s="102">
        <v>3000</v>
      </c>
      <c r="I245" s="102">
        <v>2400</v>
      </c>
      <c r="J245" s="102">
        <v>0</v>
      </c>
      <c r="K245" s="102">
        <v>75</v>
      </c>
      <c r="L245" s="102">
        <v>0</v>
      </c>
      <c r="M245" s="102">
        <v>250</v>
      </c>
      <c r="N245" s="102">
        <v>0</v>
      </c>
      <c r="O245" s="102">
        <v>0</v>
      </c>
      <c r="P245" s="103">
        <f t="shared" si="31"/>
        <v>9759</v>
      </c>
      <c r="Q245" s="103">
        <f t="shared" si="28"/>
        <v>285.27</v>
      </c>
      <c r="R245" s="103">
        <f t="shared" si="33"/>
        <v>1045.99</v>
      </c>
      <c r="S245" s="103">
        <v>207.96</v>
      </c>
      <c r="T245" s="103">
        <v>0</v>
      </c>
      <c r="U245" s="103">
        <f t="shared" si="34"/>
        <v>1539.22</v>
      </c>
      <c r="V245" s="103">
        <f t="shared" si="29"/>
        <v>8219.7800000000007</v>
      </c>
      <c r="W245" s="103">
        <v>0</v>
      </c>
    </row>
    <row r="246" spans="1:23" ht="25.5" x14ac:dyDescent="0.2">
      <c r="A246" s="128">
        <v>237</v>
      </c>
      <c r="B246" s="58" t="s">
        <v>824</v>
      </c>
      <c r="C246" s="58" t="s">
        <v>953</v>
      </c>
      <c r="D246" s="101">
        <v>1476</v>
      </c>
      <c r="E246" s="102">
        <v>2000</v>
      </c>
      <c r="F246" s="102">
        <v>0</v>
      </c>
      <c r="G246" s="102">
        <v>0</v>
      </c>
      <c r="H246" s="102">
        <v>1900</v>
      </c>
      <c r="I246" s="102">
        <v>2600</v>
      </c>
      <c r="J246" s="102">
        <v>0</v>
      </c>
      <c r="K246" s="102">
        <v>75</v>
      </c>
      <c r="L246" s="102">
        <v>0</v>
      </c>
      <c r="M246" s="102">
        <v>250</v>
      </c>
      <c r="N246" s="102">
        <v>0</v>
      </c>
      <c r="O246" s="102">
        <v>0</v>
      </c>
      <c r="P246" s="103">
        <f t="shared" si="31"/>
        <v>8301</v>
      </c>
      <c r="Q246" s="103">
        <f t="shared" si="28"/>
        <v>241.53</v>
      </c>
      <c r="R246" s="103">
        <f t="shared" si="33"/>
        <v>885.61</v>
      </c>
      <c r="S246" s="103">
        <v>146.41</v>
      </c>
      <c r="T246" s="103">
        <v>0</v>
      </c>
      <c r="U246" s="103">
        <f t="shared" si="34"/>
        <v>1273.55</v>
      </c>
      <c r="V246" s="103">
        <f t="shared" si="29"/>
        <v>7027.45</v>
      </c>
      <c r="W246" s="103">
        <f>953+1354</f>
        <v>2307</v>
      </c>
    </row>
    <row r="247" spans="1:23" ht="25.5" x14ac:dyDescent="0.2">
      <c r="A247" s="128">
        <v>238</v>
      </c>
      <c r="B247" s="58" t="s">
        <v>825</v>
      </c>
      <c r="C247" s="58" t="s">
        <v>953</v>
      </c>
      <c r="D247" s="101">
        <v>1476</v>
      </c>
      <c r="E247" s="102">
        <v>2000</v>
      </c>
      <c r="F247" s="102">
        <v>0</v>
      </c>
      <c r="G247" s="102">
        <v>0</v>
      </c>
      <c r="H247" s="102">
        <v>1900</v>
      </c>
      <c r="I247" s="102">
        <v>2600</v>
      </c>
      <c r="J247" s="102">
        <v>0</v>
      </c>
      <c r="K247" s="102">
        <v>75</v>
      </c>
      <c r="L247" s="102">
        <v>0</v>
      </c>
      <c r="M247" s="102">
        <v>250</v>
      </c>
      <c r="N247" s="102">
        <v>0</v>
      </c>
      <c r="O247" s="102">
        <v>0</v>
      </c>
      <c r="P247" s="103">
        <f t="shared" si="31"/>
        <v>8301</v>
      </c>
      <c r="Q247" s="103">
        <f t="shared" si="28"/>
        <v>241.53</v>
      </c>
      <c r="R247" s="103">
        <f t="shared" si="33"/>
        <v>885.61</v>
      </c>
      <c r="S247" s="103">
        <v>146.41</v>
      </c>
      <c r="T247" s="103">
        <v>0</v>
      </c>
      <c r="U247" s="103">
        <f t="shared" si="34"/>
        <v>1273.55</v>
      </c>
      <c r="V247" s="103">
        <f t="shared" si="29"/>
        <v>7027.45</v>
      </c>
      <c r="W247" s="103">
        <f>605.5+1050+1402.5</f>
        <v>3058</v>
      </c>
    </row>
    <row r="248" spans="1:23" ht="25.5" x14ac:dyDescent="0.2">
      <c r="A248" s="128">
        <v>239</v>
      </c>
      <c r="B248" s="58" t="s">
        <v>826</v>
      </c>
      <c r="C248" s="58" t="s">
        <v>953</v>
      </c>
      <c r="D248" s="101">
        <v>1476</v>
      </c>
      <c r="E248" s="102">
        <v>2000</v>
      </c>
      <c r="F248" s="102">
        <v>0</v>
      </c>
      <c r="G248" s="102">
        <v>0</v>
      </c>
      <c r="H248" s="102">
        <v>1900</v>
      </c>
      <c r="I248" s="102">
        <v>2600</v>
      </c>
      <c r="J248" s="102">
        <v>0</v>
      </c>
      <c r="K248" s="102">
        <v>75</v>
      </c>
      <c r="L248" s="102">
        <v>0</v>
      </c>
      <c r="M248" s="102">
        <v>250</v>
      </c>
      <c r="N248" s="102">
        <v>0</v>
      </c>
      <c r="O248" s="102">
        <v>0</v>
      </c>
      <c r="P248" s="103">
        <f t="shared" si="31"/>
        <v>8301</v>
      </c>
      <c r="Q248" s="103">
        <f t="shared" si="28"/>
        <v>241.53</v>
      </c>
      <c r="R248" s="103">
        <f t="shared" si="33"/>
        <v>885.61</v>
      </c>
      <c r="S248" s="103">
        <v>146.41</v>
      </c>
      <c r="T248" s="103">
        <v>0</v>
      </c>
      <c r="U248" s="103">
        <f t="shared" si="34"/>
        <v>1273.55</v>
      </c>
      <c r="V248" s="103">
        <f t="shared" si="29"/>
        <v>7027.45</v>
      </c>
      <c r="W248" s="103">
        <f>938+1344.85</f>
        <v>2282.85</v>
      </c>
    </row>
    <row r="249" spans="1:23" ht="30.75" customHeight="1" x14ac:dyDescent="0.2">
      <c r="A249" s="128">
        <v>240</v>
      </c>
      <c r="B249" s="58" t="s">
        <v>827</v>
      </c>
      <c r="C249" s="58" t="s">
        <v>572</v>
      </c>
      <c r="D249" s="101">
        <v>1074</v>
      </c>
      <c r="E249" s="102">
        <v>400</v>
      </c>
      <c r="F249" s="102">
        <v>0</v>
      </c>
      <c r="G249" s="102">
        <v>1000</v>
      </c>
      <c r="H249" s="102">
        <v>0</v>
      </c>
      <c r="I249" s="102">
        <v>0</v>
      </c>
      <c r="J249" s="102">
        <v>0</v>
      </c>
      <c r="K249" s="102">
        <v>0</v>
      </c>
      <c r="L249" s="102">
        <v>200</v>
      </c>
      <c r="M249" s="102">
        <v>250</v>
      </c>
      <c r="N249" s="102">
        <v>0</v>
      </c>
      <c r="O249" s="102">
        <v>0</v>
      </c>
      <c r="P249" s="103">
        <f t="shared" si="31"/>
        <v>2924</v>
      </c>
      <c r="Q249" s="103">
        <f t="shared" si="28"/>
        <v>74.22</v>
      </c>
      <c r="R249" s="103">
        <f t="shared" si="33"/>
        <v>272.14</v>
      </c>
      <c r="S249" s="103">
        <v>0</v>
      </c>
      <c r="T249" s="103">
        <v>0</v>
      </c>
      <c r="U249" s="103">
        <f t="shared" si="34"/>
        <v>346.36</v>
      </c>
      <c r="V249" s="103">
        <f t="shared" si="29"/>
        <v>2577.64</v>
      </c>
      <c r="W249" s="103">
        <v>0</v>
      </c>
    </row>
    <row r="250" spans="1:23" ht="25.5" x14ac:dyDescent="0.2">
      <c r="A250" s="128">
        <v>241</v>
      </c>
      <c r="B250" s="58" t="s">
        <v>828</v>
      </c>
      <c r="C250" s="58" t="s">
        <v>675</v>
      </c>
      <c r="D250" s="101">
        <v>1253</v>
      </c>
      <c r="E250" s="102">
        <v>550</v>
      </c>
      <c r="F250" s="102">
        <v>0</v>
      </c>
      <c r="G250" s="102">
        <v>1000</v>
      </c>
      <c r="H250" s="102">
        <v>0</v>
      </c>
      <c r="I250" s="102">
        <v>0</v>
      </c>
      <c r="J250" s="102">
        <v>0</v>
      </c>
      <c r="K250" s="102">
        <v>50</v>
      </c>
      <c r="L250" s="102">
        <v>0</v>
      </c>
      <c r="M250" s="102">
        <v>250</v>
      </c>
      <c r="N250" s="102">
        <v>0</v>
      </c>
      <c r="O250" s="102">
        <v>0</v>
      </c>
      <c r="P250" s="103">
        <f t="shared" si="31"/>
        <v>3103</v>
      </c>
      <c r="Q250" s="103">
        <f t="shared" si="28"/>
        <v>85.59</v>
      </c>
      <c r="R250" s="103">
        <f t="shared" si="33"/>
        <v>313.83</v>
      </c>
      <c r="S250" s="103">
        <v>0</v>
      </c>
      <c r="T250" s="103">
        <v>38.340000000000003</v>
      </c>
      <c r="U250" s="103">
        <f t="shared" si="34"/>
        <v>437.76</v>
      </c>
      <c r="V250" s="103">
        <f t="shared" si="29"/>
        <v>2665.24</v>
      </c>
      <c r="W250" s="103">
        <v>0</v>
      </c>
    </row>
    <row r="251" spans="1:23" ht="25.5" x14ac:dyDescent="0.2">
      <c r="A251" s="128">
        <v>242</v>
      </c>
      <c r="B251" s="58" t="s">
        <v>829</v>
      </c>
      <c r="C251" s="58" t="s">
        <v>596</v>
      </c>
      <c r="D251" s="101">
        <f>485*2</f>
        <v>970</v>
      </c>
      <c r="E251" s="102">
        <v>0</v>
      </c>
      <c r="F251" s="102">
        <v>0</v>
      </c>
      <c r="G251" s="102">
        <v>0</v>
      </c>
      <c r="H251" s="102">
        <v>0</v>
      </c>
      <c r="I251" s="102">
        <v>0</v>
      </c>
      <c r="J251" s="102">
        <v>0</v>
      </c>
      <c r="K251" s="102">
        <v>0</v>
      </c>
      <c r="L251" s="102">
        <v>0</v>
      </c>
      <c r="M251" s="102">
        <v>0</v>
      </c>
      <c r="N251" s="102">
        <v>0</v>
      </c>
      <c r="O251" s="102">
        <v>0</v>
      </c>
      <c r="P251" s="103">
        <f t="shared" si="31"/>
        <v>970</v>
      </c>
      <c r="Q251" s="103">
        <f t="shared" si="28"/>
        <v>29.1</v>
      </c>
      <c r="R251" s="103">
        <f t="shared" si="33"/>
        <v>106.7</v>
      </c>
      <c r="S251" s="103">
        <v>9.64</v>
      </c>
      <c r="T251" s="103">
        <v>0</v>
      </c>
      <c r="U251" s="103">
        <f t="shared" ref="U251:U282" si="35">SUM(Q251:T251)</f>
        <v>145.44</v>
      </c>
      <c r="V251" s="103">
        <f t="shared" si="29"/>
        <v>824.56</v>
      </c>
      <c r="W251" s="103">
        <v>0</v>
      </c>
    </row>
    <row r="252" spans="1:23" ht="25.5" x14ac:dyDescent="0.2">
      <c r="A252" s="128">
        <v>243</v>
      </c>
      <c r="B252" s="58" t="s">
        <v>830</v>
      </c>
      <c r="C252" s="58" t="s">
        <v>666</v>
      </c>
      <c r="D252" s="101">
        <v>1039</v>
      </c>
      <c r="E252" s="102">
        <v>400</v>
      </c>
      <c r="F252" s="102">
        <v>0</v>
      </c>
      <c r="G252" s="102">
        <v>1000</v>
      </c>
      <c r="H252" s="102">
        <v>0</v>
      </c>
      <c r="I252" s="102">
        <v>0</v>
      </c>
      <c r="J252" s="102">
        <v>0</v>
      </c>
      <c r="K252" s="102">
        <v>50</v>
      </c>
      <c r="L252" s="102">
        <v>200</v>
      </c>
      <c r="M252" s="102">
        <v>250</v>
      </c>
      <c r="N252" s="102">
        <v>0</v>
      </c>
      <c r="O252" s="102">
        <v>0</v>
      </c>
      <c r="P252" s="103">
        <f t="shared" ref="P252:P283" si="36">SUM(D252:N252)</f>
        <v>2939</v>
      </c>
      <c r="Q252" s="103">
        <f t="shared" si="28"/>
        <v>74.67</v>
      </c>
      <c r="R252" s="103">
        <f t="shared" si="33"/>
        <v>273.79000000000002</v>
      </c>
      <c r="S252" s="103">
        <v>0</v>
      </c>
      <c r="T252" s="103">
        <v>0</v>
      </c>
      <c r="U252" s="103">
        <f t="shared" si="35"/>
        <v>348.46</v>
      </c>
      <c r="V252" s="103">
        <f t="shared" si="29"/>
        <v>2590.54</v>
      </c>
      <c r="W252" s="103">
        <v>0</v>
      </c>
    </row>
    <row r="253" spans="1:23" ht="25.5" x14ac:dyDescent="0.2">
      <c r="A253" s="128">
        <v>244</v>
      </c>
      <c r="B253" s="58" t="s">
        <v>831</v>
      </c>
      <c r="C253" s="58" t="s">
        <v>832</v>
      </c>
      <c r="D253" s="101">
        <v>1039</v>
      </c>
      <c r="E253" s="102">
        <v>400</v>
      </c>
      <c r="F253" s="102">
        <v>0</v>
      </c>
      <c r="G253" s="102">
        <v>1000</v>
      </c>
      <c r="H253" s="102">
        <v>0</v>
      </c>
      <c r="I253" s="102">
        <v>0</v>
      </c>
      <c r="J253" s="102">
        <v>0</v>
      </c>
      <c r="K253" s="102">
        <v>0</v>
      </c>
      <c r="L253" s="102">
        <v>200</v>
      </c>
      <c r="M253" s="102">
        <v>250</v>
      </c>
      <c r="N253" s="102">
        <v>0</v>
      </c>
      <c r="O253" s="102">
        <v>0</v>
      </c>
      <c r="P253" s="103">
        <f t="shared" si="36"/>
        <v>2889</v>
      </c>
      <c r="Q253" s="103">
        <f t="shared" si="28"/>
        <v>73.17</v>
      </c>
      <c r="R253" s="103">
        <f t="shared" si="33"/>
        <v>268.29000000000002</v>
      </c>
      <c r="S253" s="103">
        <v>0</v>
      </c>
      <c r="T253" s="103">
        <v>0</v>
      </c>
      <c r="U253" s="103">
        <f t="shared" si="35"/>
        <v>341.46</v>
      </c>
      <c r="V253" s="103">
        <f t="shared" si="29"/>
        <v>2547.54</v>
      </c>
      <c r="W253" s="103">
        <v>0</v>
      </c>
    </row>
    <row r="254" spans="1:23" ht="25.5" x14ac:dyDescent="0.2">
      <c r="A254" s="128">
        <v>245</v>
      </c>
      <c r="B254" s="58" t="s">
        <v>833</v>
      </c>
      <c r="C254" s="58" t="s">
        <v>949</v>
      </c>
      <c r="D254" s="101">
        <v>1381</v>
      </c>
      <c r="E254" s="102">
        <v>600</v>
      </c>
      <c r="F254" s="102">
        <v>0</v>
      </c>
      <c r="G254" s="102">
        <v>1000</v>
      </c>
      <c r="H254" s="102">
        <v>0</v>
      </c>
      <c r="I254" s="102">
        <v>0</v>
      </c>
      <c r="J254" s="102">
        <v>0</v>
      </c>
      <c r="K254" s="102">
        <v>0</v>
      </c>
      <c r="L254" s="102">
        <v>0</v>
      </c>
      <c r="M254" s="102">
        <v>250</v>
      </c>
      <c r="N254" s="102">
        <v>0</v>
      </c>
      <c r="O254" s="102">
        <v>0</v>
      </c>
      <c r="P254" s="103">
        <f t="shared" si="36"/>
        <v>3231</v>
      </c>
      <c r="Q254" s="103">
        <f t="shared" si="28"/>
        <v>89.43</v>
      </c>
      <c r="R254" s="103">
        <f t="shared" si="33"/>
        <v>327.91</v>
      </c>
      <c r="S254" s="103">
        <v>0</v>
      </c>
      <c r="T254" s="103">
        <v>40.06</v>
      </c>
      <c r="U254" s="103">
        <f t="shared" si="35"/>
        <v>457.4</v>
      </c>
      <c r="V254" s="103">
        <f t="shared" si="29"/>
        <v>2773.6</v>
      </c>
      <c r="W254" s="103">
        <v>0</v>
      </c>
    </row>
    <row r="255" spans="1:23" ht="25.5" x14ac:dyDescent="0.2">
      <c r="A255" s="128">
        <v>246</v>
      </c>
      <c r="B255" s="58" t="s">
        <v>834</v>
      </c>
      <c r="C255" s="58" t="s">
        <v>957</v>
      </c>
      <c r="D255" s="101">
        <v>1575</v>
      </c>
      <c r="E255" s="102">
        <v>816</v>
      </c>
      <c r="F255" s="102">
        <v>0</v>
      </c>
      <c r="G255" s="102">
        <v>1000</v>
      </c>
      <c r="H255" s="102">
        <v>0</v>
      </c>
      <c r="I255" s="102">
        <v>0</v>
      </c>
      <c r="J255" s="102">
        <v>0</v>
      </c>
      <c r="K255" s="102">
        <v>75</v>
      </c>
      <c r="L255" s="102">
        <v>0</v>
      </c>
      <c r="M255" s="102">
        <v>250</v>
      </c>
      <c r="N255" s="102">
        <v>0</v>
      </c>
      <c r="O255" s="102">
        <v>0</v>
      </c>
      <c r="P255" s="103">
        <f t="shared" si="36"/>
        <v>3716</v>
      </c>
      <c r="Q255" s="103">
        <f t="shared" si="28"/>
        <v>103.98</v>
      </c>
      <c r="R255" s="103">
        <f t="shared" si="33"/>
        <v>381.26</v>
      </c>
      <c r="S255" s="103">
        <v>0</v>
      </c>
      <c r="T255" s="103">
        <v>0</v>
      </c>
      <c r="U255" s="103">
        <f t="shared" si="35"/>
        <v>485.24</v>
      </c>
      <c r="V255" s="103">
        <f t="shared" si="29"/>
        <v>3230.76</v>
      </c>
      <c r="W255" s="103">
        <v>0</v>
      </c>
    </row>
    <row r="256" spans="1:23" ht="25.5" x14ac:dyDescent="0.2">
      <c r="A256" s="128">
        <v>247</v>
      </c>
      <c r="B256" s="58" t="s">
        <v>835</v>
      </c>
      <c r="C256" s="58" t="s">
        <v>789</v>
      </c>
      <c r="D256" s="101">
        <v>1350</v>
      </c>
      <c r="E256" s="102">
        <v>2000</v>
      </c>
      <c r="F256" s="102">
        <v>0</v>
      </c>
      <c r="G256" s="102">
        <v>1600</v>
      </c>
      <c r="H256" s="102">
        <v>0</v>
      </c>
      <c r="I256" s="102">
        <v>2900</v>
      </c>
      <c r="J256" s="102">
        <v>0</v>
      </c>
      <c r="K256" s="102">
        <v>35</v>
      </c>
      <c r="L256" s="102">
        <v>0</v>
      </c>
      <c r="M256" s="102">
        <v>250</v>
      </c>
      <c r="N256" s="102">
        <v>0</v>
      </c>
      <c r="O256" s="102">
        <v>0</v>
      </c>
      <c r="P256" s="103">
        <f t="shared" si="36"/>
        <v>8135</v>
      </c>
      <c r="Q256" s="103">
        <f t="shared" si="28"/>
        <v>236.55</v>
      </c>
      <c r="R256" s="103">
        <f t="shared" si="33"/>
        <v>867.35</v>
      </c>
      <c r="S256" s="103">
        <v>140.56</v>
      </c>
      <c r="T256" s="103">
        <v>0</v>
      </c>
      <c r="U256" s="103">
        <f t="shared" si="35"/>
        <v>1244.46</v>
      </c>
      <c r="V256" s="103">
        <f t="shared" si="29"/>
        <v>6890.54</v>
      </c>
      <c r="W256" s="103">
        <v>627</v>
      </c>
    </row>
    <row r="257" spans="1:23" ht="25.5" x14ac:dyDescent="0.2">
      <c r="A257" s="128">
        <v>248</v>
      </c>
      <c r="B257" s="58" t="s">
        <v>836</v>
      </c>
      <c r="C257" s="58" t="s">
        <v>581</v>
      </c>
      <c r="D257" s="101">
        <v>1476</v>
      </c>
      <c r="E257" s="102">
        <v>2000</v>
      </c>
      <c r="F257" s="102">
        <v>0</v>
      </c>
      <c r="G257" s="102">
        <v>1900</v>
      </c>
      <c r="H257" s="102">
        <v>0</v>
      </c>
      <c r="I257" s="102">
        <v>2600</v>
      </c>
      <c r="J257" s="102">
        <v>0</v>
      </c>
      <c r="K257" s="102">
        <v>50</v>
      </c>
      <c r="L257" s="102">
        <v>0</v>
      </c>
      <c r="M257" s="102">
        <v>250</v>
      </c>
      <c r="N257" s="102">
        <v>0</v>
      </c>
      <c r="O257" s="102">
        <v>0</v>
      </c>
      <c r="P257" s="103">
        <f t="shared" si="36"/>
        <v>8276</v>
      </c>
      <c r="Q257" s="103">
        <f t="shared" si="28"/>
        <v>240.78</v>
      </c>
      <c r="R257" s="103">
        <f t="shared" si="33"/>
        <v>882.86</v>
      </c>
      <c r="S257" s="103">
        <v>146.41</v>
      </c>
      <c r="T257" s="103">
        <v>0</v>
      </c>
      <c r="U257" s="103">
        <f t="shared" si="35"/>
        <v>1270.05</v>
      </c>
      <c r="V257" s="103">
        <f t="shared" si="29"/>
        <v>7005.95</v>
      </c>
      <c r="W257" s="103">
        <f>602.8+210+197+605</f>
        <v>1614.8</v>
      </c>
    </row>
    <row r="258" spans="1:23" ht="25.5" x14ac:dyDescent="0.2">
      <c r="A258" s="128">
        <v>249</v>
      </c>
      <c r="B258" s="58" t="s">
        <v>837</v>
      </c>
      <c r="C258" s="58" t="s">
        <v>596</v>
      </c>
      <c r="D258" s="101">
        <f>485*4</f>
        <v>1940</v>
      </c>
      <c r="E258" s="102">
        <v>0</v>
      </c>
      <c r="F258" s="102">
        <v>0</v>
      </c>
      <c r="G258" s="102">
        <v>0</v>
      </c>
      <c r="H258" s="102">
        <v>0</v>
      </c>
      <c r="I258" s="102">
        <v>0</v>
      </c>
      <c r="J258" s="102">
        <v>0</v>
      </c>
      <c r="K258" s="102">
        <v>0</v>
      </c>
      <c r="L258" s="102">
        <v>0</v>
      </c>
      <c r="M258" s="102">
        <v>0</v>
      </c>
      <c r="N258" s="102">
        <v>0</v>
      </c>
      <c r="O258" s="102">
        <v>0</v>
      </c>
      <c r="P258" s="103">
        <f t="shared" si="36"/>
        <v>1940</v>
      </c>
      <c r="Q258" s="103">
        <f t="shared" si="28"/>
        <v>58.2</v>
      </c>
      <c r="R258" s="103">
        <f t="shared" si="33"/>
        <v>213.4</v>
      </c>
      <c r="S258" s="103">
        <v>0</v>
      </c>
      <c r="T258" s="103">
        <v>0</v>
      </c>
      <c r="U258" s="103">
        <f t="shared" si="35"/>
        <v>271.60000000000002</v>
      </c>
      <c r="V258" s="103">
        <f t="shared" si="29"/>
        <v>1668.4</v>
      </c>
      <c r="W258" s="103">
        <v>0</v>
      </c>
    </row>
    <row r="259" spans="1:23" ht="25.5" x14ac:dyDescent="0.2">
      <c r="A259" s="128">
        <v>250</v>
      </c>
      <c r="B259" s="126" t="s">
        <v>838</v>
      </c>
      <c r="C259" s="58" t="s">
        <v>651</v>
      </c>
      <c r="D259" s="102">
        <v>2425</v>
      </c>
      <c r="E259" s="102">
        <v>0</v>
      </c>
      <c r="F259" s="102">
        <v>0</v>
      </c>
      <c r="G259" s="102">
        <v>0</v>
      </c>
      <c r="H259" s="102">
        <v>0</v>
      </c>
      <c r="I259" s="102">
        <v>0</v>
      </c>
      <c r="J259" s="102">
        <v>0</v>
      </c>
      <c r="K259" s="102">
        <v>0</v>
      </c>
      <c r="L259" s="102">
        <v>0</v>
      </c>
      <c r="M259" s="102">
        <v>0</v>
      </c>
      <c r="N259" s="102">
        <v>0</v>
      </c>
      <c r="O259" s="102">
        <v>0</v>
      </c>
      <c r="P259" s="103">
        <f t="shared" si="36"/>
        <v>2425</v>
      </c>
      <c r="Q259" s="103">
        <f t="shared" si="28"/>
        <v>72.75</v>
      </c>
      <c r="R259" s="103">
        <f t="shared" si="33"/>
        <v>266.75</v>
      </c>
      <c r="S259" s="103">
        <v>0</v>
      </c>
      <c r="T259" s="103">
        <v>0</v>
      </c>
      <c r="U259" s="103">
        <f t="shared" si="35"/>
        <v>339.5</v>
      </c>
      <c r="V259" s="103">
        <f t="shared" si="29"/>
        <v>2085.5</v>
      </c>
      <c r="W259" s="103">
        <v>0</v>
      </c>
    </row>
    <row r="260" spans="1:23" ht="25.5" x14ac:dyDescent="0.2">
      <c r="A260" s="128">
        <v>251</v>
      </c>
      <c r="B260" s="58" t="s">
        <v>839</v>
      </c>
      <c r="C260" s="58" t="s">
        <v>569</v>
      </c>
      <c r="D260" s="101">
        <v>1634</v>
      </c>
      <c r="E260" s="102">
        <v>2400</v>
      </c>
      <c r="F260" s="102">
        <v>0</v>
      </c>
      <c r="G260" s="102">
        <v>0</v>
      </c>
      <c r="H260" s="102">
        <v>3000</v>
      </c>
      <c r="I260" s="102">
        <v>2400</v>
      </c>
      <c r="J260" s="102">
        <v>0</v>
      </c>
      <c r="K260" s="102">
        <v>0</v>
      </c>
      <c r="L260" s="102">
        <v>0</v>
      </c>
      <c r="M260" s="102">
        <v>250</v>
      </c>
      <c r="N260" s="102">
        <v>0</v>
      </c>
      <c r="O260" s="102">
        <v>0</v>
      </c>
      <c r="P260" s="103">
        <f t="shared" si="36"/>
        <v>9684</v>
      </c>
      <c r="Q260" s="103">
        <f t="shared" si="28"/>
        <v>283.02</v>
      </c>
      <c r="R260" s="103">
        <f t="shared" si="33"/>
        <v>1037.74</v>
      </c>
      <c r="S260" s="103">
        <v>207.96</v>
      </c>
      <c r="T260" s="103">
        <v>0</v>
      </c>
      <c r="U260" s="103">
        <f t="shared" si="35"/>
        <v>1528.72</v>
      </c>
      <c r="V260" s="103">
        <f t="shared" si="29"/>
        <v>8155.28</v>
      </c>
      <c r="W260" s="103">
        <v>0</v>
      </c>
    </row>
    <row r="261" spans="1:23" ht="25.5" x14ac:dyDescent="0.2">
      <c r="A261" s="128">
        <v>252</v>
      </c>
      <c r="B261" s="58" t="s">
        <v>840</v>
      </c>
      <c r="C261" s="122" t="s">
        <v>574</v>
      </c>
      <c r="D261" s="101">
        <v>1350</v>
      </c>
      <c r="E261" s="102">
        <v>1500</v>
      </c>
      <c r="F261" s="102">
        <v>0</v>
      </c>
      <c r="G261" s="102">
        <v>0</v>
      </c>
      <c r="H261" s="102">
        <v>0</v>
      </c>
      <c r="I261" s="102">
        <v>4500</v>
      </c>
      <c r="J261" s="102">
        <v>0</v>
      </c>
      <c r="K261" s="102">
        <v>0</v>
      </c>
      <c r="L261" s="102">
        <v>0</v>
      </c>
      <c r="M261" s="102">
        <v>250</v>
      </c>
      <c r="N261" s="102">
        <v>0</v>
      </c>
      <c r="O261" s="102">
        <v>0</v>
      </c>
      <c r="P261" s="103">
        <f t="shared" si="36"/>
        <v>7600</v>
      </c>
      <c r="Q261" s="103">
        <f t="shared" si="28"/>
        <v>220.5</v>
      </c>
      <c r="R261" s="103">
        <f t="shared" si="33"/>
        <v>808.5</v>
      </c>
      <c r="S261" s="103">
        <v>122.03</v>
      </c>
      <c r="T261" s="103">
        <v>0</v>
      </c>
      <c r="U261" s="103">
        <f t="shared" si="35"/>
        <v>1151.03</v>
      </c>
      <c r="V261" s="103">
        <f t="shared" si="29"/>
        <v>6448.97</v>
      </c>
      <c r="W261" s="103">
        <v>0</v>
      </c>
    </row>
    <row r="262" spans="1:23" ht="25.5" x14ac:dyDescent="0.2">
      <c r="A262" s="128">
        <v>253</v>
      </c>
      <c r="B262" s="123" t="s">
        <v>841</v>
      </c>
      <c r="C262" s="122" t="s">
        <v>574</v>
      </c>
      <c r="D262" s="101">
        <v>1350</v>
      </c>
      <c r="E262" s="102">
        <v>2000</v>
      </c>
      <c r="F262" s="102">
        <v>0</v>
      </c>
      <c r="G262" s="102">
        <v>0</v>
      </c>
      <c r="H262" s="102">
        <v>1600</v>
      </c>
      <c r="I262" s="102">
        <v>2900</v>
      </c>
      <c r="J262" s="102">
        <v>0</v>
      </c>
      <c r="K262" s="102">
        <v>0</v>
      </c>
      <c r="L262" s="102">
        <v>0</v>
      </c>
      <c r="M262" s="102">
        <v>250</v>
      </c>
      <c r="N262" s="102">
        <v>0</v>
      </c>
      <c r="O262" s="102">
        <v>0</v>
      </c>
      <c r="P262" s="103">
        <f t="shared" si="36"/>
        <v>8100</v>
      </c>
      <c r="Q262" s="103">
        <f t="shared" si="28"/>
        <v>235.5</v>
      </c>
      <c r="R262" s="103">
        <f t="shared" si="33"/>
        <v>863.5</v>
      </c>
      <c r="S262" s="103">
        <v>139.11000000000001</v>
      </c>
      <c r="T262" s="103">
        <v>0</v>
      </c>
      <c r="U262" s="103">
        <f t="shared" si="35"/>
        <v>1238.1099999999999</v>
      </c>
      <c r="V262" s="103">
        <f t="shared" si="29"/>
        <v>6861.89</v>
      </c>
      <c r="W262" s="103">
        <f>618.9+623</f>
        <v>1241.9000000000001</v>
      </c>
    </row>
    <row r="263" spans="1:23" x14ac:dyDescent="0.2">
      <c r="A263" s="128">
        <v>254</v>
      </c>
      <c r="B263" s="58" t="s">
        <v>842</v>
      </c>
      <c r="C263" s="58" t="s">
        <v>576</v>
      </c>
      <c r="D263" s="101">
        <v>1350</v>
      </c>
      <c r="E263" s="102">
        <v>2000</v>
      </c>
      <c r="F263" s="102">
        <v>0</v>
      </c>
      <c r="G263" s="102">
        <v>0</v>
      </c>
      <c r="H263" s="102">
        <v>0</v>
      </c>
      <c r="I263" s="102">
        <v>4500</v>
      </c>
      <c r="J263" s="102">
        <v>0</v>
      </c>
      <c r="K263" s="102">
        <v>75</v>
      </c>
      <c r="L263" s="102">
        <v>0</v>
      </c>
      <c r="M263" s="102">
        <v>250</v>
      </c>
      <c r="N263" s="102">
        <v>0</v>
      </c>
      <c r="O263" s="102">
        <v>0</v>
      </c>
      <c r="P263" s="103">
        <f t="shared" si="36"/>
        <v>8175</v>
      </c>
      <c r="Q263" s="103">
        <f t="shared" si="28"/>
        <v>237.75</v>
      </c>
      <c r="R263" s="103">
        <f t="shared" si="33"/>
        <v>871.75</v>
      </c>
      <c r="S263" s="103">
        <v>146.18</v>
      </c>
      <c r="T263" s="103">
        <v>0</v>
      </c>
      <c r="U263" s="103">
        <f t="shared" si="35"/>
        <v>1255.68</v>
      </c>
      <c r="V263" s="103">
        <f t="shared" si="29"/>
        <v>6919.32</v>
      </c>
      <c r="W263" s="103">
        <v>0</v>
      </c>
    </row>
    <row r="264" spans="1:23" ht="25.5" x14ac:dyDescent="0.2">
      <c r="A264" s="128">
        <v>255</v>
      </c>
      <c r="B264" s="58" t="s">
        <v>843</v>
      </c>
      <c r="C264" s="58" t="s">
        <v>951</v>
      </c>
      <c r="D264" s="101">
        <v>1460</v>
      </c>
      <c r="E264" s="102">
        <v>400</v>
      </c>
      <c r="F264" s="102">
        <v>0</v>
      </c>
      <c r="G264" s="102">
        <v>1000</v>
      </c>
      <c r="H264" s="102">
        <v>0</v>
      </c>
      <c r="I264" s="102">
        <v>0</v>
      </c>
      <c r="J264" s="102">
        <v>0</v>
      </c>
      <c r="K264" s="102">
        <v>50</v>
      </c>
      <c r="L264" s="102">
        <v>0</v>
      </c>
      <c r="M264" s="102">
        <v>250</v>
      </c>
      <c r="N264" s="102">
        <v>0</v>
      </c>
      <c r="O264" s="102">
        <v>0</v>
      </c>
      <c r="P264" s="103">
        <f t="shared" si="36"/>
        <v>3160</v>
      </c>
      <c r="Q264" s="103">
        <f t="shared" si="28"/>
        <v>87.3</v>
      </c>
      <c r="R264" s="103">
        <f t="shared" si="33"/>
        <v>320.10000000000002</v>
      </c>
      <c r="S264" s="103">
        <v>0</v>
      </c>
      <c r="T264" s="103">
        <v>0</v>
      </c>
      <c r="U264" s="103">
        <f t="shared" si="35"/>
        <v>407.4</v>
      </c>
      <c r="V264" s="103">
        <f t="shared" ref="V264:V327" si="37">P264-U264</f>
        <v>2752.6</v>
      </c>
      <c r="W264" s="103">
        <v>0</v>
      </c>
    </row>
    <row r="265" spans="1:23" x14ac:dyDescent="0.2">
      <c r="A265" s="128">
        <v>256</v>
      </c>
      <c r="B265" s="58" t="s">
        <v>844</v>
      </c>
      <c r="C265" s="58" t="s">
        <v>572</v>
      </c>
      <c r="D265" s="101">
        <v>1074</v>
      </c>
      <c r="E265" s="102">
        <v>400</v>
      </c>
      <c r="F265" s="102">
        <v>0</v>
      </c>
      <c r="G265" s="102">
        <v>1000</v>
      </c>
      <c r="H265" s="102">
        <v>0</v>
      </c>
      <c r="I265" s="102">
        <v>0</v>
      </c>
      <c r="J265" s="102">
        <v>0</v>
      </c>
      <c r="K265" s="102">
        <v>0</v>
      </c>
      <c r="L265" s="102">
        <v>200</v>
      </c>
      <c r="M265" s="102">
        <v>250</v>
      </c>
      <c r="N265" s="102">
        <v>0</v>
      </c>
      <c r="O265" s="102">
        <v>0</v>
      </c>
      <c r="P265" s="103">
        <f t="shared" si="36"/>
        <v>2924</v>
      </c>
      <c r="Q265" s="103">
        <f t="shared" si="28"/>
        <v>74.22</v>
      </c>
      <c r="R265" s="103">
        <f t="shared" si="33"/>
        <v>272.14</v>
      </c>
      <c r="S265" s="103">
        <v>0</v>
      </c>
      <c r="T265" s="103">
        <v>0</v>
      </c>
      <c r="U265" s="103">
        <f t="shared" si="35"/>
        <v>346.36</v>
      </c>
      <c r="V265" s="103">
        <f t="shared" si="37"/>
        <v>2577.64</v>
      </c>
      <c r="W265" s="103">
        <v>0</v>
      </c>
    </row>
    <row r="266" spans="1:23" ht="38.25" x14ac:dyDescent="0.2">
      <c r="A266" s="128">
        <v>257</v>
      </c>
      <c r="B266" s="58" t="s">
        <v>845</v>
      </c>
      <c r="C266" s="58" t="s">
        <v>846</v>
      </c>
      <c r="D266" s="101">
        <v>1074</v>
      </c>
      <c r="E266" s="102">
        <v>0</v>
      </c>
      <c r="F266" s="102">
        <v>0</v>
      </c>
      <c r="G266" s="102">
        <v>1000</v>
      </c>
      <c r="H266" s="102">
        <v>0</v>
      </c>
      <c r="I266" s="102">
        <v>0</v>
      </c>
      <c r="J266" s="102">
        <v>0</v>
      </c>
      <c r="K266" s="102">
        <v>0</v>
      </c>
      <c r="L266" s="102">
        <v>200</v>
      </c>
      <c r="M266" s="102">
        <v>250</v>
      </c>
      <c r="N266" s="102">
        <v>0</v>
      </c>
      <c r="O266" s="102">
        <v>0</v>
      </c>
      <c r="P266" s="103">
        <f t="shared" si="36"/>
        <v>2524</v>
      </c>
      <c r="Q266" s="103">
        <f t="shared" ref="Q266:Q284" si="38">(D266+E266+F266+G266+H266+I266+J266+K266+N266)*3%</f>
        <v>62.22</v>
      </c>
      <c r="R266" s="103">
        <f t="shared" si="33"/>
        <v>228.14</v>
      </c>
      <c r="S266" s="103">
        <v>0</v>
      </c>
      <c r="T266" s="103">
        <v>0</v>
      </c>
      <c r="U266" s="103">
        <f t="shared" si="35"/>
        <v>290.36</v>
      </c>
      <c r="V266" s="103">
        <f t="shared" si="37"/>
        <v>2233.64</v>
      </c>
      <c r="W266" s="103">
        <v>0</v>
      </c>
    </row>
    <row r="267" spans="1:23" ht="25.5" x14ac:dyDescent="0.2">
      <c r="A267" s="128">
        <v>258</v>
      </c>
      <c r="B267" s="58" t="s">
        <v>847</v>
      </c>
      <c r="C267" s="58" t="s">
        <v>848</v>
      </c>
      <c r="D267" s="101">
        <v>970</v>
      </c>
      <c r="E267" s="102">
        <v>0</v>
      </c>
      <c r="F267" s="102">
        <v>0</v>
      </c>
      <c r="G267" s="102">
        <v>0</v>
      </c>
      <c r="H267" s="102">
        <v>0</v>
      </c>
      <c r="I267" s="102">
        <v>0</v>
      </c>
      <c r="J267" s="102">
        <v>0</v>
      </c>
      <c r="K267" s="102">
        <v>0</v>
      </c>
      <c r="L267" s="102">
        <v>0</v>
      </c>
      <c r="M267" s="102">
        <v>0</v>
      </c>
      <c r="N267" s="102">
        <v>0</v>
      </c>
      <c r="O267" s="102">
        <v>0</v>
      </c>
      <c r="P267" s="103">
        <f t="shared" si="36"/>
        <v>970</v>
      </c>
      <c r="Q267" s="103">
        <f t="shared" si="38"/>
        <v>29.1</v>
      </c>
      <c r="R267" s="103">
        <f t="shared" si="33"/>
        <v>106.7</v>
      </c>
      <c r="S267" s="103">
        <v>0</v>
      </c>
      <c r="T267" s="103">
        <v>0</v>
      </c>
      <c r="U267" s="103">
        <f t="shared" si="35"/>
        <v>135.80000000000001</v>
      </c>
      <c r="V267" s="103">
        <f t="shared" si="37"/>
        <v>834.2</v>
      </c>
      <c r="W267" s="103">
        <v>0</v>
      </c>
    </row>
    <row r="268" spans="1:23" ht="25.5" x14ac:dyDescent="0.2">
      <c r="A268" s="128">
        <v>259</v>
      </c>
      <c r="B268" s="58" t="s">
        <v>849</v>
      </c>
      <c r="C268" s="58" t="s">
        <v>572</v>
      </c>
      <c r="D268" s="101">
        <v>1074</v>
      </c>
      <c r="E268" s="102">
        <v>400</v>
      </c>
      <c r="F268" s="102">
        <v>0</v>
      </c>
      <c r="G268" s="102">
        <v>1000</v>
      </c>
      <c r="H268" s="102">
        <v>0</v>
      </c>
      <c r="I268" s="102">
        <v>0</v>
      </c>
      <c r="J268" s="102">
        <v>0</v>
      </c>
      <c r="K268" s="102">
        <v>50</v>
      </c>
      <c r="L268" s="102">
        <v>200</v>
      </c>
      <c r="M268" s="102">
        <v>250</v>
      </c>
      <c r="N268" s="102">
        <v>0</v>
      </c>
      <c r="O268" s="102">
        <v>0</v>
      </c>
      <c r="P268" s="103">
        <f t="shared" si="36"/>
        <v>2974</v>
      </c>
      <c r="Q268" s="103">
        <f t="shared" si="38"/>
        <v>75.72</v>
      </c>
      <c r="R268" s="103">
        <f t="shared" si="33"/>
        <v>277.64</v>
      </c>
      <c r="S268" s="103">
        <v>0</v>
      </c>
      <c r="T268" s="103">
        <v>0</v>
      </c>
      <c r="U268" s="103">
        <f t="shared" si="35"/>
        <v>353.36</v>
      </c>
      <c r="V268" s="103">
        <f t="shared" si="37"/>
        <v>2620.64</v>
      </c>
      <c r="W268" s="103">
        <v>0</v>
      </c>
    </row>
    <row r="269" spans="1:23" ht="25.5" x14ac:dyDescent="0.2">
      <c r="A269" s="128">
        <v>260</v>
      </c>
      <c r="B269" s="58" t="s">
        <v>850</v>
      </c>
      <c r="C269" s="58" t="s">
        <v>569</v>
      </c>
      <c r="D269" s="101">
        <v>1634</v>
      </c>
      <c r="E269" s="102">
        <v>2400</v>
      </c>
      <c r="F269" s="102">
        <v>0</v>
      </c>
      <c r="G269" s="102">
        <v>2200</v>
      </c>
      <c r="H269" s="102">
        <v>0</v>
      </c>
      <c r="I269" s="102">
        <v>3200</v>
      </c>
      <c r="J269" s="102">
        <v>0</v>
      </c>
      <c r="K269" s="102">
        <v>50</v>
      </c>
      <c r="L269" s="102">
        <v>0</v>
      </c>
      <c r="M269" s="102">
        <v>250</v>
      </c>
      <c r="N269" s="102">
        <v>0</v>
      </c>
      <c r="O269" s="102">
        <v>0</v>
      </c>
      <c r="P269" s="103">
        <f t="shared" si="36"/>
        <v>9734</v>
      </c>
      <c r="Q269" s="103">
        <f t="shared" si="38"/>
        <v>284.52</v>
      </c>
      <c r="R269" s="103">
        <f t="shared" si="33"/>
        <v>1043.24</v>
      </c>
      <c r="S269" s="103">
        <v>206.92</v>
      </c>
      <c r="T269" s="103">
        <v>0</v>
      </c>
      <c r="U269" s="103">
        <f t="shared" si="35"/>
        <v>1534.68</v>
      </c>
      <c r="V269" s="103">
        <f t="shared" si="37"/>
        <v>8199.32</v>
      </c>
      <c r="W269" s="103">
        <v>0</v>
      </c>
    </row>
    <row r="270" spans="1:23" x14ac:dyDescent="0.2">
      <c r="A270" s="128">
        <v>261</v>
      </c>
      <c r="B270" s="58" t="s">
        <v>851</v>
      </c>
      <c r="C270" s="58" t="s">
        <v>581</v>
      </c>
      <c r="D270" s="101">
        <v>1476</v>
      </c>
      <c r="E270" s="102">
        <v>2000</v>
      </c>
      <c r="F270" s="102">
        <v>0</v>
      </c>
      <c r="G270" s="102">
        <v>1900</v>
      </c>
      <c r="H270" s="102">
        <v>0</v>
      </c>
      <c r="I270" s="102">
        <v>2600</v>
      </c>
      <c r="J270" s="102">
        <v>0</v>
      </c>
      <c r="K270" s="102">
        <v>50</v>
      </c>
      <c r="L270" s="102">
        <v>0</v>
      </c>
      <c r="M270" s="102">
        <v>250</v>
      </c>
      <c r="N270" s="102">
        <v>0</v>
      </c>
      <c r="O270" s="102">
        <v>0</v>
      </c>
      <c r="P270" s="103">
        <f t="shared" si="36"/>
        <v>8276</v>
      </c>
      <c r="Q270" s="103">
        <f t="shared" si="38"/>
        <v>240.78</v>
      </c>
      <c r="R270" s="103">
        <f t="shared" si="33"/>
        <v>882.86</v>
      </c>
      <c r="S270" s="103">
        <v>146.41</v>
      </c>
      <c r="T270" s="103">
        <v>0</v>
      </c>
      <c r="U270" s="103">
        <f t="shared" si="35"/>
        <v>1270.05</v>
      </c>
      <c r="V270" s="103">
        <f t="shared" si="37"/>
        <v>7005.95</v>
      </c>
      <c r="W270" s="103">
        <v>287</v>
      </c>
    </row>
    <row r="271" spans="1:23" ht="25.5" x14ac:dyDescent="0.2">
      <c r="A271" s="128">
        <v>262</v>
      </c>
      <c r="B271" s="58" t="s">
        <v>852</v>
      </c>
      <c r="C271" s="58" t="s">
        <v>853</v>
      </c>
      <c r="D271" s="101">
        <v>1105</v>
      </c>
      <c r="E271" s="102">
        <v>500</v>
      </c>
      <c r="F271" s="102">
        <v>0</v>
      </c>
      <c r="G271" s="102">
        <v>1000</v>
      </c>
      <c r="H271" s="102">
        <v>0</v>
      </c>
      <c r="I271" s="102">
        <v>0</v>
      </c>
      <c r="J271" s="102">
        <v>0</v>
      </c>
      <c r="K271" s="102">
        <v>50</v>
      </c>
      <c r="L271" s="102">
        <v>200</v>
      </c>
      <c r="M271" s="102">
        <v>250</v>
      </c>
      <c r="N271" s="102">
        <v>0</v>
      </c>
      <c r="O271" s="102">
        <v>0</v>
      </c>
      <c r="P271" s="103">
        <f t="shared" si="36"/>
        <v>3105</v>
      </c>
      <c r="Q271" s="103">
        <f t="shared" si="38"/>
        <v>79.650000000000006</v>
      </c>
      <c r="R271" s="103">
        <f t="shared" si="33"/>
        <v>292.05</v>
      </c>
      <c r="S271" s="103">
        <v>0</v>
      </c>
      <c r="T271" s="103">
        <v>0</v>
      </c>
      <c r="U271" s="103">
        <f t="shared" si="35"/>
        <v>371.7</v>
      </c>
      <c r="V271" s="103">
        <f t="shared" si="37"/>
        <v>2733.3</v>
      </c>
      <c r="W271" s="103">
        <v>0</v>
      </c>
    </row>
    <row r="272" spans="1:23" s="89" customFormat="1" ht="25.5" x14ac:dyDescent="0.2">
      <c r="A272" s="128">
        <v>263</v>
      </c>
      <c r="B272" s="58" t="s">
        <v>854</v>
      </c>
      <c r="C272" s="58" t="s">
        <v>587</v>
      </c>
      <c r="D272" s="101">
        <v>2885</v>
      </c>
      <c r="E272" s="102">
        <v>0</v>
      </c>
      <c r="F272" s="102">
        <v>1442.5</v>
      </c>
      <c r="G272" s="102">
        <v>0</v>
      </c>
      <c r="H272" s="102">
        <v>0</v>
      </c>
      <c r="I272" s="102">
        <v>0</v>
      </c>
      <c r="J272" s="102">
        <v>0</v>
      </c>
      <c r="K272" s="102">
        <v>0</v>
      </c>
      <c r="L272" s="102">
        <v>0</v>
      </c>
      <c r="M272" s="102">
        <v>0</v>
      </c>
      <c r="N272" s="102">
        <v>0</v>
      </c>
      <c r="O272" s="102">
        <v>0</v>
      </c>
      <c r="P272" s="103">
        <f t="shared" si="36"/>
        <v>4327.5</v>
      </c>
      <c r="Q272" s="103">
        <f t="shared" si="38"/>
        <v>129.83000000000001</v>
      </c>
      <c r="R272" s="103">
        <f>(D272+E272+F272+G272+H272+I272+J272+K272+N272)*12%</f>
        <v>519.29999999999995</v>
      </c>
      <c r="S272" s="103">
        <v>0</v>
      </c>
      <c r="T272" s="103">
        <v>0</v>
      </c>
      <c r="U272" s="103">
        <f t="shared" si="35"/>
        <v>649.13</v>
      </c>
      <c r="V272" s="103">
        <f t="shared" si="37"/>
        <v>3678.37</v>
      </c>
      <c r="W272" s="103">
        <v>0</v>
      </c>
    </row>
    <row r="273" spans="1:23" ht="27" customHeight="1" x14ac:dyDescent="0.2">
      <c r="A273" s="128">
        <v>264</v>
      </c>
      <c r="B273" s="58" t="s">
        <v>855</v>
      </c>
      <c r="C273" s="58" t="s">
        <v>572</v>
      </c>
      <c r="D273" s="101">
        <v>1074</v>
      </c>
      <c r="E273" s="102">
        <v>0</v>
      </c>
      <c r="F273" s="102">
        <v>0</v>
      </c>
      <c r="G273" s="102">
        <v>1000</v>
      </c>
      <c r="H273" s="102">
        <v>0</v>
      </c>
      <c r="I273" s="102">
        <v>0</v>
      </c>
      <c r="J273" s="102">
        <v>0</v>
      </c>
      <c r="K273" s="102">
        <v>0</v>
      </c>
      <c r="L273" s="102">
        <v>200</v>
      </c>
      <c r="M273" s="102">
        <v>250</v>
      </c>
      <c r="N273" s="102">
        <v>0</v>
      </c>
      <c r="O273" s="102">
        <v>0</v>
      </c>
      <c r="P273" s="103">
        <f t="shared" si="36"/>
        <v>2524</v>
      </c>
      <c r="Q273" s="103">
        <f t="shared" si="38"/>
        <v>62.22</v>
      </c>
      <c r="R273" s="103">
        <f>(D273+E273+F273+G273+H273+I273+J273+K273+N273)*11%</f>
        <v>228.14</v>
      </c>
      <c r="S273" s="103">
        <v>0</v>
      </c>
      <c r="T273" s="103">
        <v>0</v>
      </c>
      <c r="U273" s="103">
        <f t="shared" si="35"/>
        <v>290.36</v>
      </c>
      <c r="V273" s="103">
        <f t="shared" si="37"/>
        <v>2233.64</v>
      </c>
      <c r="W273" s="103">
        <v>0</v>
      </c>
    </row>
    <row r="274" spans="1:23" x14ac:dyDescent="0.2">
      <c r="A274" s="128">
        <v>265</v>
      </c>
      <c r="B274" s="58" t="s">
        <v>856</v>
      </c>
      <c r="C274" s="58" t="s">
        <v>572</v>
      </c>
      <c r="D274" s="101">
        <v>1074</v>
      </c>
      <c r="E274" s="102">
        <v>0</v>
      </c>
      <c r="F274" s="102">
        <v>0</v>
      </c>
      <c r="G274" s="102">
        <v>1000</v>
      </c>
      <c r="H274" s="102">
        <v>0</v>
      </c>
      <c r="I274" s="102">
        <v>0</v>
      </c>
      <c r="J274" s="102">
        <v>0</v>
      </c>
      <c r="K274" s="102">
        <v>0</v>
      </c>
      <c r="L274" s="102">
        <v>0</v>
      </c>
      <c r="M274" s="102">
        <v>250</v>
      </c>
      <c r="N274" s="102">
        <v>0</v>
      </c>
      <c r="O274" s="102">
        <v>0</v>
      </c>
      <c r="P274" s="103">
        <f t="shared" si="36"/>
        <v>2324</v>
      </c>
      <c r="Q274" s="103">
        <f t="shared" si="38"/>
        <v>62.22</v>
      </c>
      <c r="R274" s="103">
        <f>(D274+E274+F274+G274+H274+I274+J274+K274+N274)*11%</f>
        <v>228.14</v>
      </c>
      <c r="S274" s="103">
        <v>0</v>
      </c>
      <c r="T274" s="103">
        <v>0</v>
      </c>
      <c r="U274" s="103">
        <f t="shared" si="35"/>
        <v>290.36</v>
      </c>
      <c r="V274" s="103">
        <f t="shared" si="37"/>
        <v>2033.64</v>
      </c>
      <c r="W274" s="103">
        <v>0</v>
      </c>
    </row>
    <row r="275" spans="1:23" s="89" customFormat="1" ht="25.5" x14ac:dyDescent="0.2">
      <c r="A275" s="128">
        <v>266</v>
      </c>
      <c r="B275" s="58" t="s">
        <v>857</v>
      </c>
      <c r="C275" s="122" t="s">
        <v>574</v>
      </c>
      <c r="D275" s="101">
        <v>1350</v>
      </c>
      <c r="E275" s="102">
        <v>2000</v>
      </c>
      <c r="F275" s="102">
        <v>0</v>
      </c>
      <c r="G275" s="102">
        <v>0</v>
      </c>
      <c r="H275" s="102">
        <v>1600</v>
      </c>
      <c r="I275" s="102">
        <v>2900</v>
      </c>
      <c r="J275" s="102">
        <v>0</v>
      </c>
      <c r="K275" s="102">
        <v>0</v>
      </c>
      <c r="L275" s="102">
        <v>0</v>
      </c>
      <c r="M275" s="102">
        <v>250</v>
      </c>
      <c r="N275" s="102">
        <v>0</v>
      </c>
      <c r="O275" s="102">
        <v>0</v>
      </c>
      <c r="P275" s="103">
        <f t="shared" si="36"/>
        <v>8100</v>
      </c>
      <c r="Q275" s="103">
        <f t="shared" si="38"/>
        <v>235.5</v>
      </c>
      <c r="R275" s="103">
        <f>(D275+E275+F275+G275+H275+I275+J275+K275+N275)*13%</f>
        <v>1020.5</v>
      </c>
      <c r="S275" s="103">
        <v>156.04</v>
      </c>
      <c r="T275" s="103">
        <v>0</v>
      </c>
      <c r="U275" s="103">
        <f t="shared" si="35"/>
        <v>1412.04</v>
      </c>
      <c r="V275" s="103">
        <f t="shared" si="37"/>
        <v>6687.96</v>
      </c>
      <c r="W275" s="103">
        <v>0</v>
      </c>
    </row>
    <row r="276" spans="1:23" ht="29.25" customHeight="1" x14ac:dyDescent="0.2">
      <c r="A276" s="128">
        <v>267</v>
      </c>
      <c r="B276" s="58" t="s">
        <v>858</v>
      </c>
      <c r="C276" s="58" t="s">
        <v>572</v>
      </c>
      <c r="D276" s="101">
        <v>1074</v>
      </c>
      <c r="E276" s="102">
        <v>0</v>
      </c>
      <c r="F276" s="102">
        <v>0</v>
      </c>
      <c r="G276" s="102">
        <v>1000</v>
      </c>
      <c r="H276" s="102">
        <v>0</v>
      </c>
      <c r="I276" s="102">
        <v>0</v>
      </c>
      <c r="J276" s="102">
        <v>0</v>
      </c>
      <c r="K276" s="102">
        <v>50</v>
      </c>
      <c r="L276" s="102">
        <v>0</v>
      </c>
      <c r="M276" s="102">
        <v>250</v>
      </c>
      <c r="N276" s="102">
        <v>0</v>
      </c>
      <c r="O276" s="102">
        <v>0</v>
      </c>
      <c r="P276" s="103">
        <f t="shared" si="36"/>
        <v>2374</v>
      </c>
      <c r="Q276" s="103">
        <f t="shared" si="38"/>
        <v>63.72</v>
      </c>
      <c r="R276" s="103">
        <f t="shared" ref="R276:R284" si="39">(D276+E276+F276+G276+H276+I276+J276+K276+N276)*11%</f>
        <v>233.64</v>
      </c>
      <c r="S276" s="103">
        <v>0</v>
      </c>
      <c r="T276" s="103">
        <v>0</v>
      </c>
      <c r="U276" s="103">
        <f t="shared" si="35"/>
        <v>297.36</v>
      </c>
      <c r="V276" s="103">
        <f t="shared" si="37"/>
        <v>2076.64</v>
      </c>
      <c r="W276" s="103">
        <v>0</v>
      </c>
    </row>
    <row r="277" spans="1:23" ht="25.5" x14ac:dyDescent="0.2">
      <c r="A277" s="128">
        <v>268</v>
      </c>
      <c r="B277" s="58" t="s">
        <v>859</v>
      </c>
      <c r="C277" s="58" t="s">
        <v>576</v>
      </c>
      <c r="D277" s="101">
        <v>1350</v>
      </c>
      <c r="E277" s="102">
        <v>2000</v>
      </c>
      <c r="F277" s="102">
        <v>0</v>
      </c>
      <c r="G277" s="102">
        <v>0</v>
      </c>
      <c r="H277" s="102">
        <v>0</v>
      </c>
      <c r="I277" s="102">
        <v>4500</v>
      </c>
      <c r="J277" s="102">
        <v>0</v>
      </c>
      <c r="K277" s="102">
        <v>75</v>
      </c>
      <c r="L277" s="102">
        <v>0</v>
      </c>
      <c r="M277" s="102">
        <v>250</v>
      </c>
      <c r="N277" s="102">
        <v>0</v>
      </c>
      <c r="O277" s="102">
        <v>0</v>
      </c>
      <c r="P277" s="103">
        <f t="shared" si="36"/>
        <v>8175</v>
      </c>
      <c r="Q277" s="103">
        <f t="shared" si="38"/>
        <v>237.75</v>
      </c>
      <c r="R277" s="103">
        <f t="shared" si="39"/>
        <v>871.75</v>
      </c>
      <c r="S277" s="103">
        <v>146.18</v>
      </c>
      <c r="T277" s="103">
        <v>0</v>
      </c>
      <c r="U277" s="103">
        <f t="shared" si="35"/>
        <v>1255.68</v>
      </c>
      <c r="V277" s="103">
        <f t="shared" si="37"/>
        <v>6919.32</v>
      </c>
      <c r="W277" s="103">
        <v>0</v>
      </c>
    </row>
    <row r="278" spans="1:23" x14ac:dyDescent="0.2">
      <c r="A278" s="128">
        <v>269</v>
      </c>
      <c r="B278" s="58" t="s">
        <v>860</v>
      </c>
      <c r="C278" s="58" t="s">
        <v>569</v>
      </c>
      <c r="D278" s="101">
        <v>1634</v>
      </c>
      <c r="E278" s="102">
        <v>2400</v>
      </c>
      <c r="F278" s="102">
        <v>0</v>
      </c>
      <c r="G278" s="102">
        <v>0</v>
      </c>
      <c r="H278" s="102">
        <v>3000</v>
      </c>
      <c r="I278" s="102">
        <v>2400</v>
      </c>
      <c r="J278" s="102">
        <v>0</v>
      </c>
      <c r="K278" s="102">
        <v>0</v>
      </c>
      <c r="L278" s="102">
        <v>0</v>
      </c>
      <c r="M278" s="102">
        <v>250</v>
      </c>
      <c r="N278" s="102">
        <v>0</v>
      </c>
      <c r="O278" s="102">
        <v>0</v>
      </c>
      <c r="P278" s="103">
        <f t="shared" si="36"/>
        <v>9684</v>
      </c>
      <c r="Q278" s="103">
        <f t="shared" si="38"/>
        <v>283.02</v>
      </c>
      <c r="R278" s="103">
        <f t="shared" si="39"/>
        <v>1037.74</v>
      </c>
      <c r="S278" s="103">
        <v>204.84</v>
      </c>
      <c r="T278" s="103">
        <v>0</v>
      </c>
      <c r="U278" s="103">
        <f t="shared" si="35"/>
        <v>1525.6</v>
      </c>
      <c r="V278" s="103">
        <f t="shared" si="37"/>
        <v>8158.4</v>
      </c>
      <c r="W278" s="103">
        <v>0</v>
      </c>
    </row>
    <row r="279" spans="1:23" ht="25.5" x14ac:dyDescent="0.2">
      <c r="A279" s="128">
        <v>270</v>
      </c>
      <c r="B279" s="58" t="s">
        <v>861</v>
      </c>
      <c r="C279" s="58" t="s">
        <v>862</v>
      </c>
      <c r="D279" s="101">
        <f>(362*2)+485</f>
        <v>1209</v>
      </c>
      <c r="E279" s="102">
        <v>0</v>
      </c>
      <c r="F279" s="102">
        <f>(181*2)+242.5</f>
        <v>604.5</v>
      </c>
      <c r="G279" s="102">
        <v>0</v>
      </c>
      <c r="H279" s="102">
        <v>0</v>
      </c>
      <c r="I279" s="102">
        <v>0</v>
      </c>
      <c r="J279" s="102">
        <v>0</v>
      </c>
      <c r="K279" s="102">
        <v>0</v>
      </c>
      <c r="L279" s="102">
        <v>0</v>
      </c>
      <c r="M279" s="102">
        <v>0</v>
      </c>
      <c r="N279" s="102">
        <v>0</v>
      </c>
      <c r="O279" s="102">
        <v>0</v>
      </c>
      <c r="P279" s="103">
        <f t="shared" si="36"/>
        <v>1813.5</v>
      </c>
      <c r="Q279" s="103">
        <f t="shared" si="38"/>
        <v>54.41</v>
      </c>
      <c r="R279" s="103">
        <f t="shared" si="39"/>
        <v>199.49</v>
      </c>
      <c r="S279" s="103">
        <v>0</v>
      </c>
      <c r="T279" s="103">
        <v>0</v>
      </c>
      <c r="U279" s="103">
        <f t="shared" si="35"/>
        <v>253.9</v>
      </c>
      <c r="V279" s="103">
        <f t="shared" si="37"/>
        <v>1559.6</v>
      </c>
      <c r="W279" s="103">
        <v>0</v>
      </c>
    </row>
    <row r="280" spans="1:23" ht="25.5" x14ac:dyDescent="0.2">
      <c r="A280" s="128">
        <v>271</v>
      </c>
      <c r="B280" s="58" t="s">
        <v>863</v>
      </c>
      <c r="C280" s="58" t="s">
        <v>632</v>
      </c>
      <c r="D280" s="101">
        <v>1135</v>
      </c>
      <c r="E280" s="102">
        <v>400</v>
      </c>
      <c r="F280" s="102">
        <v>0</v>
      </c>
      <c r="G280" s="102">
        <v>1000</v>
      </c>
      <c r="H280" s="102">
        <v>0</v>
      </c>
      <c r="I280" s="102">
        <v>0</v>
      </c>
      <c r="J280" s="102">
        <v>0</v>
      </c>
      <c r="K280" s="102">
        <v>75</v>
      </c>
      <c r="L280" s="102">
        <v>0</v>
      </c>
      <c r="M280" s="102">
        <v>250</v>
      </c>
      <c r="N280" s="102">
        <v>0</v>
      </c>
      <c r="O280" s="102">
        <v>0</v>
      </c>
      <c r="P280" s="103">
        <f t="shared" si="36"/>
        <v>2860</v>
      </c>
      <c r="Q280" s="103">
        <f t="shared" si="38"/>
        <v>78.3</v>
      </c>
      <c r="R280" s="103">
        <f t="shared" si="39"/>
        <v>287.10000000000002</v>
      </c>
      <c r="S280" s="103">
        <v>0</v>
      </c>
      <c r="T280" s="103">
        <v>0</v>
      </c>
      <c r="U280" s="103">
        <f t="shared" si="35"/>
        <v>365.4</v>
      </c>
      <c r="V280" s="103">
        <f t="shared" si="37"/>
        <v>2494.6</v>
      </c>
      <c r="W280" s="103">
        <v>0</v>
      </c>
    </row>
    <row r="281" spans="1:23" ht="25.5" x14ac:dyDescent="0.2">
      <c r="A281" s="128">
        <v>272</v>
      </c>
      <c r="B281" s="58" t="s">
        <v>864</v>
      </c>
      <c r="C281" s="58" t="s">
        <v>581</v>
      </c>
      <c r="D281" s="101">
        <v>1476</v>
      </c>
      <c r="E281" s="102">
        <v>2000</v>
      </c>
      <c r="F281" s="102">
        <v>0</v>
      </c>
      <c r="G281" s="102">
        <v>1900</v>
      </c>
      <c r="H281" s="102">
        <v>0</v>
      </c>
      <c r="I281" s="102">
        <v>2600</v>
      </c>
      <c r="J281" s="102">
        <v>0</v>
      </c>
      <c r="K281" s="102">
        <v>50</v>
      </c>
      <c r="L281" s="102">
        <v>0</v>
      </c>
      <c r="M281" s="102">
        <v>250</v>
      </c>
      <c r="N281" s="102">
        <v>0</v>
      </c>
      <c r="O281" s="102">
        <v>0</v>
      </c>
      <c r="P281" s="103">
        <f t="shared" si="36"/>
        <v>8276</v>
      </c>
      <c r="Q281" s="103">
        <f t="shared" si="38"/>
        <v>240.78</v>
      </c>
      <c r="R281" s="103">
        <f t="shared" si="39"/>
        <v>882.86</v>
      </c>
      <c r="S281" s="103">
        <v>146.41</v>
      </c>
      <c r="T281" s="103">
        <v>0</v>
      </c>
      <c r="U281" s="103">
        <f t="shared" si="35"/>
        <v>1270.05</v>
      </c>
      <c r="V281" s="103">
        <f t="shared" si="37"/>
        <v>7005.95</v>
      </c>
      <c r="W281" s="103">
        <f>420</f>
        <v>420</v>
      </c>
    </row>
    <row r="282" spans="1:23" x14ac:dyDescent="0.2">
      <c r="A282" s="128">
        <v>273</v>
      </c>
      <c r="B282" s="58" t="s">
        <v>865</v>
      </c>
      <c r="C282" s="58" t="s">
        <v>576</v>
      </c>
      <c r="D282" s="101">
        <v>1350</v>
      </c>
      <c r="E282" s="102">
        <v>2000</v>
      </c>
      <c r="F282" s="102">
        <v>0</v>
      </c>
      <c r="G282" s="102">
        <v>0</v>
      </c>
      <c r="H282" s="102">
        <v>0</v>
      </c>
      <c r="I282" s="102">
        <v>4500</v>
      </c>
      <c r="J282" s="102">
        <v>0</v>
      </c>
      <c r="K282" s="102">
        <v>0</v>
      </c>
      <c r="L282" s="102">
        <v>0</v>
      </c>
      <c r="M282" s="102">
        <v>250</v>
      </c>
      <c r="N282" s="102">
        <v>0</v>
      </c>
      <c r="O282" s="102">
        <v>0</v>
      </c>
      <c r="P282" s="103">
        <f t="shared" si="36"/>
        <v>8100</v>
      </c>
      <c r="Q282" s="103">
        <f t="shared" si="38"/>
        <v>235.5</v>
      </c>
      <c r="R282" s="103">
        <f t="shared" si="39"/>
        <v>863.5</v>
      </c>
      <c r="S282" s="103">
        <v>146.96</v>
      </c>
      <c r="T282" s="103">
        <v>0</v>
      </c>
      <c r="U282" s="103">
        <f t="shared" si="35"/>
        <v>1245.96</v>
      </c>
      <c r="V282" s="103">
        <f t="shared" si="37"/>
        <v>6854.04</v>
      </c>
      <c r="W282" s="103">
        <v>0</v>
      </c>
    </row>
    <row r="283" spans="1:23" ht="25.5" x14ac:dyDescent="0.2">
      <c r="A283" s="128">
        <v>274</v>
      </c>
      <c r="B283" s="58" t="s">
        <v>866</v>
      </c>
      <c r="C283" s="58" t="s">
        <v>734</v>
      </c>
      <c r="D283" s="101">
        <v>2425</v>
      </c>
      <c r="E283" s="102">
        <v>0</v>
      </c>
      <c r="F283" s="102">
        <v>606.25</v>
      </c>
      <c r="G283" s="102">
        <v>0</v>
      </c>
      <c r="H283" s="102">
        <v>0</v>
      </c>
      <c r="I283" s="102">
        <v>0</v>
      </c>
      <c r="J283" s="102">
        <v>0</v>
      </c>
      <c r="K283" s="102">
        <v>0</v>
      </c>
      <c r="L283" s="102">
        <v>0</v>
      </c>
      <c r="M283" s="102">
        <v>0</v>
      </c>
      <c r="N283" s="102">
        <v>0</v>
      </c>
      <c r="O283" s="102">
        <v>0</v>
      </c>
      <c r="P283" s="103">
        <f t="shared" si="36"/>
        <v>3031.25</v>
      </c>
      <c r="Q283" s="103">
        <f t="shared" si="38"/>
        <v>90.94</v>
      </c>
      <c r="R283" s="103">
        <f t="shared" si="39"/>
        <v>333.44</v>
      </c>
      <c r="S283" s="103">
        <v>0</v>
      </c>
      <c r="T283" s="103">
        <v>0</v>
      </c>
      <c r="U283" s="103">
        <f t="shared" ref="U283:U307" si="40">SUM(Q283:T283)</f>
        <v>424.38</v>
      </c>
      <c r="V283" s="103">
        <f t="shared" si="37"/>
        <v>2606.87</v>
      </c>
      <c r="W283" s="103">
        <v>0</v>
      </c>
    </row>
    <row r="284" spans="1:23" ht="25.5" x14ac:dyDescent="0.2">
      <c r="A284" s="128">
        <v>275</v>
      </c>
      <c r="B284" s="58" t="s">
        <v>867</v>
      </c>
      <c r="C284" s="58" t="s">
        <v>572</v>
      </c>
      <c r="D284" s="101">
        <v>1074</v>
      </c>
      <c r="E284" s="102">
        <v>400</v>
      </c>
      <c r="F284" s="102">
        <v>0</v>
      </c>
      <c r="G284" s="102">
        <v>1000</v>
      </c>
      <c r="H284" s="102">
        <v>0</v>
      </c>
      <c r="I284" s="102">
        <v>0</v>
      </c>
      <c r="J284" s="102">
        <v>0</v>
      </c>
      <c r="K284" s="102">
        <v>50</v>
      </c>
      <c r="L284" s="102">
        <v>200</v>
      </c>
      <c r="M284" s="102">
        <v>250</v>
      </c>
      <c r="N284" s="102">
        <v>0</v>
      </c>
      <c r="O284" s="102">
        <v>0</v>
      </c>
      <c r="P284" s="103">
        <f t="shared" ref="P284:P315" si="41">SUM(D284:N284)</f>
        <v>2974</v>
      </c>
      <c r="Q284" s="103">
        <f t="shared" si="38"/>
        <v>75.72</v>
      </c>
      <c r="R284" s="103">
        <f t="shared" si="39"/>
        <v>277.64</v>
      </c>
      <c r="S284" s="103">
        <v>0</v>
      </c>
      <c r="T284" s="103">
        <v>0</v>
      </c>
      <c r="U284" s="103">
        <f t="shared" si="40"/>
        <v>353.36</v>
      </c>
      <c r="V284" s="103">
        <f t="shared" si="37"/>
        <v>2620.64</v>
      </c>
      <c r="W284" s="103">
        <v>0</v>
      </c>
    </row>
    <row r="285" spans="1:23" s="89" customFormat="1" x14ac:dyDescent="0.2">
      <c r="A285" s="128">
        <v>276</v>
      </c>
      <c r="B285" s="58" t="s">
        <v>868</v>
      </c>
      <c r="C285" s="58" t="s">
        <v>572</v>
      </c>
      <c r="D285" s="101">
        <v>1074</v>
      </c>
      <c r="E285" s="102">
        <v>400</v>
      </c>
      <c r="F285" s="102">
        <v>0</v>
      </c>
      <c r="G285" s="102">
        <v>1000</v>
      </c>
      <c r="H285" s="102">
        <v>0</v>
      </c>
      <c r="I285" s="102">
        <v>0</v>
      </c>
      <c r="J285" s="102">
        <v>0</v>
      </c>
      <c r="K285" s="102">
        <v>50</v>
      </c>
      <c r="L285" s="102">
        <v>200</v>
      </c>
      <c r="M285" s="102">
        <v>250</v>
      </c>
      <c r="N285" s="102">
        <v>0</v>
      </c>
      <c r="O285" s="102">
        <v>0</v>
      </c>
      <c r="P285" s="103">
        <f t="shared" si="41"/>
        <v>2974</v>
      </c>
      <c r="Q285" s="103">
        <f>(D285+E285+F285+G285+H285+I285+J285+K285+L285+N285)*3%</f>
        <v>81.72</v>
      </c>
      <c r="R285" s="103">
        <f>(D285+E285+F285+G285+H285+I285+J285+K285+L285+N285)*11%</f>
        <v>299.64</v>
      </c>
      <c r="S285" s="103">
        <v>0</v>
      </c>
      <c r="T285" s="103">
        <v>0</v>
      </c>
      <c r="U285" s="103">
        <f t="shared" si="40"/>
        <v>381.36</v>
      </c>
      <c r="V285" s="103">
        <f t="shared" si="37"/>
        <v>2592.64</v>
      </c>
      <c r="W285" s="103">
        <v>0</v>
      </c>
    </row>
    <row r="286" spans="1:23" ht="25.5" x14ac:dyDescent="0.2">
      <c r="A286" s="128">
        <v>277</v>
      </c>
      <c r="B286" s="58" t="s">
        <v>869</v>
      </c>
      <c r="C286" s="58" t="s">
        <v>953</v>
      </c>
      <c r="D286" s="101">
        <v>1476</v>
      </c>
      <c r="E286" s="102">
        <v>2000</v>
      </c>
      <c r="F286" s="102">
        <v>0</v>
      </c>
      <c r="G286" s="102">
        <v>1900</v>
      </c>
      <c r="H286" s="102">
        <v>1900</v>
      </c>
      <c r="I286" s="102">
        <v>0</v>
      </c>
      <c r="J286" s="102">
        <v>0</v>
      </c>
      <c r="K286" s="102">
        <v>50</v>
      </c>
      <c r="L286" s="102">
        <v>0</v>
      </c>
      <c r="M286" s="102">
        <v>250</v>
      </c>
      <c r="N286" s="102">
        <v>0</v>
      </c>
      <c r="O286" s="102">
        <v>0</v>
      </c>
      <c r="P286" s="103">
        <f t="shared" si="41"/>
        <v>7576</v>
      </c>
      <c r="Q286" s="103">
        <f t="shared" ref="Q286:Q317" si="42">(D286+E286+F286+G286+H286+I286+J286+K286+N286)*3%</f>
        <v>219.78</v>
      </c>
      <c r="R286" s="103">
        <f t="shared" ref="R286:R317" si="43">(D286+E286+F286+G286+H286+I286+J286+K286+N286)*11%</f>
        <v>805.86</v>
      </c>
      <c r="S286" s="103">
        <v>26.94</v>
      </c>
      <c r="T286" s="103">
        <v>0</v>
      </c>
      <c r="U286" s="103">
        <f t="shared" si="40"/>
        <v>1052.58</v>
      </c>
      <c r="V286" s="103">
        <f t="shared" si="37"/>
        <v>6523.42</v>
      </c>
      <c r="W286" s="103">
        <f>630</f>
        <v>630</v>
      </c>
    </row>
    <row r="287" spans="1:23" ht="25.5" x14ac:dyDescent="0.2">
      <c r="A287" s="128">
        <v>278</v>
      </c>
      <c r="B287" s="58" t="s">
        <v>870</v>
      </c>
      <c r="C287" s="58" t="s">
        <v>587</v>
      </c>
      <c r="D287" s="101">
        <v>1223</v>
      </c>
      <c r="E287" s="103">
        <f>2000</f>
        <v>2000</v>
      </c>
      <c r="F287" s="102">
        <v>0</v>
      </c>
      <c r="G287" s="102">
        <v>0</v>
      </c>
      <c r="H287" s="102">
        <v>1300</v>
      </c>
      <c r="I287" s="102">
        <f>3200</f>
        <v>3200</v>
      </c>
      <c r="J287" s="102">
        <v>0</v>
      </c>
      <c r="K287" s="102">
        <v>0</v>
      </c>
      <c r="L287" s="102">
        <v>0</v>
      </c>
      <c r="M287" s="102">
        <v>250</v>
      </c>
      <c r="N287" s="102">
        <v>0</v>
      </c>
      <c r="O287" s="102">
        <v>0</v>
      </c>
      <c r="P287" s="103">
        <f t="shared" si="41"/>
        <v>7973</v>
      </c>
      <c r="Q287" s="103">
        <f t="shared" si="42"/>
        <v>231.69</v>
      </c>
      <c r="R287" s="103">
        <f t="shared" si="43"/>
        <v>849.53</v>
      </c>
      <c r="S287" s="103">
        <v>139.80000000000001</v>
      </c>
      <c r="T287" s="103">
        <v>0</v>
      </c>
      <c r="U287" s="103">
        <f t="shared" si="40"/>
        <v>1221.02</v>
      </c>
      <c r="V287" s="103">
        <f t="shared" si="37"/>
        <v>6751.98</v>
      </c>
      <c r="W287" s="103">
        <v>0</v>
      </c>
    </row>
    <row r="288" spans="1:23" ht="38.25" x14ac:dyDescent="0.2">
      <c r="A288" s="128">
        <v>279</v>
      </c>
      <c r="B288" s="58" t="s">
        <v>871</v>
      </c>
      <c r="C288" s="58" t="s">
        <v>702</v>
      </c>
      <c r="D288" s="101">
        <f>(485*4)+1476</f>
        <v>3416</v>
      </c>
      <c r="E288" s="102">
        <v>2000</v>
      </c>
      <c r="F288" s="102">
        <f>606.25*4</f>
        <v>2425</v>
      </c>
      <c r="G288" s="102">
        <v>0</v>
      </c>
      <c r="H288" s="102">
        <v>0</v>
      </c>
      <c r="I288" s="102">
        <v>4500</v>
      </c>
      <c r="J288" s="102">
        <v>0</v>
      </c>
      <c r="K288" s="102">
        <v>0</v>
      </c>
      <c r="L288" s="102">
        <v>0</v>
      </c>
      <c r="M288" s="102">
        <v>250</v>
      </c>
      <c r="N288" s="102">
        <v>0</v>
      </c>
      <c r="O288" s="102">
        <v>0</v>
      </c>
      <c r="P288" s="103">
        <f t="shared" si="41"/>
        <v>12591</v>
      </c>
      <c r="Q288" s="103">
        <f t="shared" si="42"/>
        <v>370.23</v>
      </c>
      <c r="R288" s="103">
        <f t="shared" si="43"/>
        <v>1357.51</v>
      </c>
      <c r="S288" s="103">
        <v>319.31</v>
      </c>
      <c r="T288" s="103">
        <v>0</v>
      </c>
      <c r="U288" s="103">
        <f t="shared" si="40"/>
        <v>2047.05</v>
      </c>
      <c r="V288" s="103">
        <f t="shared" si="37"/>
        <v>10543.95</v>
      </c>
      <c r="W288" s="103">
        <v>0</v>
      </c>
    </row>
    <row r="289" spans="1:23" ht="25.5" x14ac:dyDescent="0.2">
      <c r="A289" s="128">
        <v>280</v>
      </c>
      <c r="B289" s="58" t="s">
        <v>872</v>
      </c>
      <c r="C289" s="122" t="s">
        <v>574</v>
      </c>
      <c r="D289" s="101">
        <v>1350</v>
      </c>
      <c r="E289" s="102">
        <v>2000</v>
      </c>
      <c r="F289" s="102">
        <v>0</v>
      </c>
      <c r="G289" s="102">
        <v>0</v>
      </c>
      <c r="H289" s="102">
        <v>1600</v>
      </c>
      <c r="I289" s="102">
        <v>2900</v>
      </c>
      <c r="J289" s="102">
        <v>0</v>
      </c>
      <c r="K289" s="102">
        <v>75</v>
      </c>
      <c r="L289" s="102">
        <v>0</v>
      </c>
      <c r="M289" s="102">
        <v>250</v>
      </c>
      <c r="N289" s="102">
        <v>0</v>
      </c>
      <c r="O289" s="102">
        <v>0</v>
      </c>
      <c r="P289" s="103">
        <f t="shared" si="41"/>
        <v>8175</v>
      </c>
      <c r="Q289" s="103">
        <f t="shared" si="42"/>
        <v>237.75</v>
      </c>
      <c r="R289" s="103">
        <f t="shared" si="43"/>
        <v>871.75</v>
      </c>
      <c r="S289" s="103">
        <v>146.18</v>
      </c>
      <c r="T289" s="103">
        <v>0</v>
      </c>
      <c r="U289" s="103">
        <f t="shared" si="40"/>
        <v>1255.68</v>
      </c>
      <c r="V289" s="103">
        <f t="shared" si="37"/>
        <v>6919.32</v>
      </c>
      <c r="W289" s="103">
        <v>0</v>
      </c>
    </row>
    <row r="290" spans="1:23" ht="25.5" x14ac:dyDescent="0.2">
      <c r="A290" s="128">
        <v>281</v>
      </c>
      <c r="B290" s="58" t="s">
        <v>873</v>
      </c>
      <c r="C290" s="58" t="s">
        <v>789</v>
      </c>
      <c r="D290" s="101">
        <v>1350</v>
      </c>
      <c r="E290" s="102">
        <v>1500</v>
      </c>
      <c r="F290" s="102">
        <v>0</v>
      </c>
      <c r="G290" s="102">
        <v>0</v>
      </c>
      <c r="H290" s="102">
        <v>1600</v>
      </c>
      <c r="I290" s="102">
        <v>0</v>
      </c>
      <c r="J290" s="102">
        <v>0</v>
      </c>
      <c r="K290" s="102">
        <v>0</v>
      </c>
      <c r="L290" s="102">
        <v>0</v>
      </c>
      <c r="M290" s="102">
        <v>250</v>
      </c>
      <c r="N290" s="102">
        <v>0</v>
      </c>
      <c r="O290" s="102">
        <v>0</v>
      </c>
      <c r="P290" s="103">
        <f t="shared" si="41"/>
        <v>4700</v>
      </c>
      <c r="Q290" s="103">
        <f t="shared" si="42"/>
        <v>133.5</v>
      </c>
      <c r="R290" s="103">
        <f t="shared" si="43"/>
        <v>489.5</v>
      </c>
      <c r="S290" s="103">
        <v>0.23</v>
      </c>
      <c r="T290" s="103">
        <v>0</v>
      </c>
      <c r="U290" s="103">
        <f t="shared" si="40"/>
        <v>623.23</v>
      </c>
      <c r="V290" s="103">
        <f t="shared" si="37"/>
        <v>4076.77</v>
      </c>
      <c r="W290" s="103">
        <f>798</f>
        <v>798</v>
      </c>
    </row>
    <row r="291" spans="1:23" ht="25.5" x14ac:dyDescent="0.2">
      <c r="A291" s="128">
        <v>282</v>
      </c>
      <c r="B291" s="58" t="s">
        <v>874</v>
      </c>
      <c r="C291" s="58" t="s">
        <v>745</v>
      </c>
      <c r="D291" s="101">
        <v>1039</v>
      </c>
      <c r="E291" s="102">
        <v>0</v>
      </c>
      <c r="F291" s="102">
        <v>0</v>
      </c>
      <c r="G291" s="102">
        <v>1000</v>
      </c>
      <c r="H291" s="102">
        <v>0</v>
      </c>
      <c r="I291" s="102">
        <v>0</v>
      </c>
      <c r="J291" s="102">
        <v>0</v>
      </c>
      <c r="K291" s="102">
        <v>0</v>
      </c>
      <c r="L291" s="102">
        <v>200</v>
      </c>
      <c r="M291" s="102">
        <v>250</v>
      </c>
      <c r="N291" s="102">
        <v>0</v>
      </c>
      <c r="O291" s="102">
        <v>0</v>
      </c>
      <c r="P291" s="103">
        <f t="shared" si="41"/>
        <v>2489</v>
      </c>
      <c r="Q291" s="103">
        <f t="shared" si="42"/>
        <v>61.17</v>
      </c>
      <c r="R291" s="103">
        <f t="shared" si="43"/>
        <v>224.29</v>
      </c>
      <c r="S291" s="103">
        <v>0</v>
      </c>
      <c r="T291" s="103">
        <v>0</v>
      </c>
      <c r="U291" s="103">
        <f t="shared" si="40"/>
        <v>285.45999999999998</v>
      </c>
      <c r="V291" s="103">
        <f t="shared" si="37"/>
        <v>2203.54</v>
      </c>
      <c r="W291" s="103">
        <v>0</v>
      </c>
    </row>
    <row r="292" spans="1:23" ht="25.5" x14ac:dyDescent="0.2">
      <c r="A292" s="128">
        <v>283</v>
      </c>
      <c r="B292" s="58" t="s">
        <v>875</v>
      </c>
      <c r="C292" s="58" t="s">
        <v>572</v>
      </c>
      <c r="D292" s="101">
        <v>1074</v>
      </c>
      <c r="E292" s="102">
        <v>400</v>
      </c>
      <c r="F292" s="102">
        <v>0</v>
      </c>
      <c r="G292" s="102">
        <v>600</v>
      </c>
      <c r="H292" s="102">
        <v>0</v>
      </c>
      <c r="I292" s="102">
        <v>1400</v>
      </c>
      <c r="J292" s="102">
        <v>0</v>
      </c>
      <c r="K292" s="102">
        <v>35</v>
      </c>
      <c r="L292" s="102">
        <v>0</v>
      </c>
      <c r="M292" s="102">
        <v>250</v>
      </c>
      <c r="N292" s="102">
        <v>0</v>
      </c>
      <c r="O292" s="102">
        <v>0</v>
      </c>
      <c r="P292" s="103">
        <f t="shared" si="41"/>
        <v>3759</v>
      </c>
      <c r="Q292" s="103">
        <f t="shared" si="42"/>
        <v>105.27</v>
      </c>
      <c r="R292" s="103">
        <f t="shared" si="43"/>
        <v>385.99</v>
      </c>
      <c r="S292" s="103">
        <v>0</v>
      </c>
      <c r="T292" s="103">
        <v>0</v>
      </c>
      <c r="U292" s="103">
        <f t="shared" si="40"/>
        <v>491.26</v>
      </c>
      <c r="V292" s="103">
        <f t="shared" si="37"/>
        <v>3267.74</v>
      </c>
      <c r="W292" s="103">
        <v>0</v>
      </c>
    </row>
    <row r="293" spans="1:23" ht="38.25" x14ac:dyDescent="0.2">
      <c r="A293" s="128">
        <v>284</v>
      </c>
      <c r="B293" s="58" t="s">
        <v>876</v>
      </c>
      <c r="C293" s="58" t="s">
        <v>877</v>
      </c>
      <c r="D293" s="101">
        <f>(485*2)+1476</f>
        <v>2446</v>
      </c>
      <c r="E293" s="102">
        <v>650</v>
      </c>
      <c r="F293" s="102">
        <f>606.25*2</f>
        <v>1212.5</v>
      </c>
      <c r="G293" s="102">
        <v>1000</v>
      </c>
      <c r="H293" s="102">
        <v>0</v>
      </c>
      <c r="I293" s="102">
        <v>0</v>
      </c>
      <c r="J293" s="102">
        <v>0</v>
      </c>
      <c r="K293" s="102">
        <v>0</v>
      </c>
      <c r="L293" s="102">
        <v>0</v>
      </c>
      <c r="M293" s="102">
        <v>250</v>
      </c>
      <c r="N293" s="102">
        <v>0</v>
      </c>
      <c r="O293" s="102">
        <v>0</v>
      </c>
      <c r="P293" s="103">
        <f t="shared" si="41"/>
        <v>5558.5</v>
      </c>
      <c r="Q293" s="103">
        <f t="shared" si="42"/>
        <v>159.26</v>
      </c>
      <c r="R293" s="103">
        <f t="shared" si="43"/>
        <v>583.94000000000005</v>
      </c>
      <c r="S293" s="103">
        <v>38.11</v>
      </c>
      <c r="T293" s="103">
        <f>14.67*2</f>
        <v>29.34</v>
      </c>
      <c r="U293" s="103">
        <f t="shared" si="40"/>
        <v>810.65</v>
      </c>
      <c r="V293" s="103">
        <f t="shared" si="37"/>
        <v>4747.8500000000004</v>
      </c>
      <c r="W293" s="103">
        <v>0</v>
      </c>
    </row>
    <row r="294" spans="1:23" ht="25.5" x14ac:dyDescent="0.2">
      <c r="A294" s="128">
        <v>285</v>
      </c>
      <c r="B294" s="58" t="s">
        <v>878</v>
      </c>
      <c r="C294" s="58" t="s">
        <v>569</v>
      </c>
      <c r="D294" s="101">
        <v>1634</v>
      </c>
      <c r="E294" s="102">
        <v>2400</v>
      </c>
      <c r="F294" s="102">
        <v>0</v>
      </c>
      <c r="G294" s="102">
        <v>0</v>
      </c>
      <c r="H294" s="102">
        <v>0</v>
      </c>
      <c r="I294" s="102">
        <v>5400</v>
      </c>
      <c r="J294" s="102">
        <v>0</v>
      </c>
      <c r="K294" s="102">
        <v>75</v>
      </c>
      <c r="L294" s="102">
        <v>0</v>
      </c>
      <c r="M294" s="102">
        <v>250</v>
      </c>
      <c r="N294" s="102">
        <v>0</v>
      </c>
      <c r="O294" s="102">
        <v>0</v>
      </c>
      <c r="P294" s="103">
        <f t="shared" si="41"/>
        <v>9759</v>
      </c>
      <c r="Q294" s="103">
        <f t="shared" si="42"/>
        <v>285.27</v>
      </c>
      <c r="R294" s="103">
        <f t="shared" si="43"/>
        <v>1045.99</v>
      </c>
      <c r="S294" s="103">
        <v>207.96</v>
      </c>
      <c r="T294" s="103">
        <v>0</v>
      </c>
      <c r="U294" s="103">
        <f t="shared" si="40"/>
        <v>1539.22</v>
      </c>
      <c r="V294" s="103">
        <f t="shared" si="37"/>
        <v>8219.7800000000007</v>
      </c>
      <c r="W294" s="103">
        <v>0</v>
      </c>
    </row>
    <row r="295" spans="1:23" ht="25.5" x14ac:dyDescent="0.2">
      <c r="A295" s="128">
        <v>286</v>
      </c>
      <c r="B295" s="58" t="s">
        <v>879</v>
      </c>
      <c r="C295" s="58" t="s">
        <v>958</v>
      </c>
      <c r="D295" s="105">
        <v>1575</v>
      </c>
      <c r="E295" s="102">
        <v>800</v>
      </c>
      <c r="F295" s="102">
        <v>0</v>
      </c>
      <c r="G295" s="102">
        <v>1000</v>
      </c>
      <c r="H295" s="102">
        <v>0</v>
      </c>
      <c r="I295" s="102">
        <v>0</v>
      </c>
      <c r="J295" s="102">
        <v>0</v>
      </c>
      <c r="K295" s="102">
        <v>0</v>
      </c>
      <c r="L295" s="102">
        <v>0</v>
      </c>
      <c r="M295" s="102">
        <v>250</v>
      </c>
      <c r="N295" s="102">
        <v>0</v>
      </c>
      <c r="O295" s="102">
        <v>0</v>
      </c>
      <c r="P295" s="103">
        <f t="shared" si="41"/>
        <v>3625</v>
      </c>
      <c r="Q295" s="103">
        <f t="shared" si="42"/>
        <v>101.25</v>
      </c>
      <c r="R295" s="103">
        <f t="shared" si="43"/>
        <v>371.25</v>
      </c>
      <c r="S295" s="103">
        <v>0</v>
      </c>
      <c r="T295" s="103">
        <v>0</v>
      </c>
      <c r="U295" s="103">
        <f t="shared" si="40"/>
        <v>472.5</v>
      </c>
      <c r="V295" s="103">
        <f t="shared" si="37"/>
        <v>3152.5</v>
      </c>
      <c r="W295" s="103">
        <v>0</v>
      </c>
    </row>
    <row r="296" spans="1:23" ht="25.5" x14ac:dyDescent="0.2">
      <c r="A296" s="128">
        <v>287</v>
      </c>
      <c r="B296" s="58" t="s">
        <v>880</v>
      </c>
      <c r="C296" s="58" t="s">
        <v>734</v>
      </c>
      <c r="D296" s="101">
        <v>2425</v>
      </c>
      <c r="E296" s="102">
        <v>0</v>
      </c>
      <c r="F296" s="102">
        <v>3031.25</v>
      </c>
      <c r="G296" s="102">
        <v>0</v>
      </c>
      <c r="H296" s="102">
        <v>0</v>
      </c>
      <c r="I296" s="102">
        <v>0</v>
      </c>
      <c r="J296" s="102">
        <v>0</v>
      </c>
      <c r="K296" s="102">
        <v>0</v>
      </c>
      <c r="L296" s="102">
        <v>0</v>
      </c>
      <c r="M296" s="102">
        <v>0</v>
      </c>
      <c r="N296" s="102">
        <v>0</v>
      </c>
      <c r="O296" s="102">
        <v>0</v>
      </c>
      <c r="P296" s="103">
        <f t="shared" si="41"/>
        <v>5456.25</v>
      </c>
      <c r="Q296" s="103">
        <f t="shared" si="42"/>
        <v>163.69</v>
      </c>
      <c r="R296" s="103">
        <f t="shared" si="43"/>
        <v>600.19000000000005</v>
      </c>
      <c r="S296" s="103">
        <v>31.89</v>
      </c>
      <c r="T296" s="103">
        <v>0</v>
      </c>
      <c r="U296" s="103">
        <f t="shared" si="40"/>
        <v>795.77</v>
      </c>
      <c r="V296" s="103">
        <f t="shared" si="37"/>
        <v>4660.4799999999996</v>
      </c>
      <c r="W296" s="103">
        <v>0</v>
      </c>
    </row>
    <row r="297" spans="1:23" ht="25.5" x14ac:dyDescent="0.2">
      <c r="A297" s="128">
        <v>288</v>
      </c>
      <c r="B297" s="58" t="s">
        <v>881</v>
      </c>
      <c r="C297" s="58" t="s">
        <v>882</v>
      </c>
      <c r="D297" s="101">
        <v>1575</v>
      </c>
      <c r="E297" s="102">
        <v>550</v>
      </c>
      <c r="F297" s="102">
        <v>0</v>
      </c>
      <c r="G297" s="102">
        <v>1000</v>
      </c>
      <c r="H297" s="102">
        <v>0</v>
      </c>
      <c r="I297" s="102">
        <v>0</v>
      </c>
      <c r="J297" s="102">
        <v>0</v>
      </c>
      <c r="K297" s="102">
        <v>0</v>
      </c>
      <c r="L297" s="102">
        <v>0</v>
      </c>
      <c r="M297" s="102">
        <v>250</v>
      </c>
      <c r="N297" s="102">
        <v>0</v>
      </c>
      <c r="O297" s="102">
        <v>0</v>
      </c>
      <c r="P297" s="103">
        <f t="shared" si="41"/>
        <v>3375</v>
      </c>
      <c r="Q297" s="103">
        <f t="shared" si="42"/>
        <v>93.75</v>
      </c>
      <c r="R297" s="103">
        <f t="shared" si="43"/>
        <v>343.75</v>
      </c>
      <c r="S297" s="103">
        <v>0</v>
      </c>
      <c r="T297" s="103">
        <v>42</v>
      </c>
      <c r="U297" s="103">
        <f t="shared" si="40"/>
        <v>479.5</v>
      </c>
      <c r="V297" s="103">
        <f t="shared" si="37"/>
        <v>2895.5</v>
      </c>
      <c r="W297" s="103">
        <v>0</v>
      </c>
    </row>
    <row r="298" spans="1:23" s="89" customFormat="1" ht="25.5" x14ac:dyDescent="0.2">
      <c r="A298" s="128">
        <v>289</v>
      </c>
      <c r="B298" s="122" t="s">
        <v>931</v>
      </c>
      <c r="C298" s="58" t="s">
        <v>693</v>
      </c>
      <c r="D298" s="101">
        <v>1128</v>
      </c>
      <c r="E298" s="102">
        <v>0</v>
      </c>
      <c r="F298" s="102">
        <v>0</v>
      </c>
      <c r="G298" s="102">
        <v>1000</v>
      </c>
      <c r="H298" s="102">
        <v>0</v>
      </c>
      <c r="I298" s="102">
        <v>0</v>
      </c>
      <c r="J298" s="102">
        <v>0</v>
      </c>
      <c r="K298" s="102">
        <v>0</v>
      </c>
      <c r="L298" s="102">
        <v>0</v>
      </c>
      <c r="M298" s="102">
        <v>250</v>
      </c>
      <c r="N298" s="102">
        <v>0</v>
      </c>
      <c r="O298" s="102">
        <v>0</v>
      </c>
      <c r="P298" s="103">
        <f t="shared" si="41"/>
        <v>2378</v>
      </c>
      <c r="Q298" s="103">
        <f t="shared" si="42"/>
        <v>63.84</v>
      </c>
      <c r="R298" s="103">
        <f t="shared" si="43"/>
        <v>234.08</v>
      </c>
      <c r="S298" s="103">
        <v>0</v>
      </c>
      <c r="T298" s="103">
        <v>0</v>
      </c>
      <c r="U298" s="103">
        <f t="shared" si="40"/>
        <v>297.92</v>
      </c>
      <c r="V298" s="103">
        <f t="shared" si="37"/>
        <v>2080.08</v>
      </c>
      <c r="W298" s="103">
        <v>0</v>
      </c>
    </row>
    <row r="299" spans="1:23" ht="25.5" x14ac:dyDescent="0.2">
      <c r="A299" s="128">
        <v>290</v>
      </c>
      <c r="B299" s="58" t="s">
        <v>883</v>
      </c>
      <c r="C299" s="58" t="s">
        <v>596</v>
      </c>
      <c r="D299" s="101">
        <f>485*2</f>
        <v>970</v>
      </c>
      <c r="E299" s="102">
        <v>0</v>
      </c>
      <c r="F299" s="102">
        <v>0</v>
      </c>
      <c r="G299" s="102">
        <v>0</v>
      </c>
      <c r="H299" s="102">
        <v>0</v>
      </c>
      <c r="I299" s="102">
        <v>0</v>
      </c>
      <c r="J299" s="102">
        <v>0</v>
      </c>
      <c r="K299" s="102">
        <v>0</v>
      </c>
      <c r="L299" s="102">
        <v>0</v>
      </c>
      <c r="M299" s="102">
        <v>0</v>
      </c>
      <c r="N299" s="102">
        <v>0</v>
      </c>
      <c r="O299" s="102">
        <v>0</v>
      </c>
      <c r="P299" s="103">
        <f t="shared" si="41"/>
        <v>970</v>
      </c>
      <c r="Q299" s="103">
        <f t="shared" si="42"/>
        <v>29.1</v>
      </c>
      <c r="R299" s="103">
        <f t="shared" si="43"/>
        <v>106.7</v>
      </c>
      <c r="S299" s="103">
        <v>0</v>
      </c>
      <c r="T299" s="103">
        <v>0</v>
      </c>
      <c r="U299" s="103">
        <f t="shared" si="40"/>
        <v>135.80000000000001</v>
      </c>
      <c r="V299" s="103">
        <f t="shared" si="37"/>
        <v>834.2</v>
      </c>
      <c r="W299" s="103">
        <v>0</v>
      </c>
    </row>
    <row r="300" spans="1:23" x14ac:dyDescent="0.2">
      <c r="A300" s="128">
        <v>291</v>
      </c>
      <c r="B300" s="58" t="s">
        <v>884</v>
      </c>
      <c r="C300" s="58" t="s">
        <v>569</v>
      </c>
      <c r="D300" s="101">
        <v>1634</v>
      </c>
      <c r="E300" s="102">
        <v>2400</v>
      </c>
      <c r="F300" s="102">
        <v>0</v>
      </c>
      <c r="G300" s="102">
        <v>0</v>
      </c>
      <c r="H300" s="102">
        <v>0</v>
      </c>
      <c r="I300" s="102">
        <v>5400</v>
      </c>
      <c r="J300" s="102">
        <v>0</v>
      </c>
      <c r="K300" s="102">
        <v>0</v>
      </c>
      <c r="L300" s="102">
        <v>0</v>
      </c>
      <c r="M300" s="102">
        <v>250</v>
      </c>
      <c r="N300" s="102">
        <v>0</v>
      </c>
      <c r="O300" s="102">
        <v>0</v>
      </c>
      <c r="P300" s="103">
        <f t="shared" si="41"/>
        <v>9684</v>
      </c>
      <c r="Q300" s="103">
        <f t="shared" si="42"/>
        <v>283.02</v>
      </c>
      <c r="R300" s="103">
        <f t="shared" si="43"/>
        <v>1037.74</v>
      </c>
      <c r="S300" s="103">
        <v>204.84</v>
      </c>
      <c r="T300" s="103">
        <v>0</v>
      </c>
      <c r="U300" s="103">
        <f t="shared" si="40"/>
        <v>1525.6</v>
      </c>
      <c r="V300" s="103">
        <f t="shared" si="37"/>
        <v>8158.4</v>
      </c>
      <c r="W300" s="103">
        <v>0</v>
      </c>
    </row>
    <row r="301" spans="1:23" ht="29.25" customHeight="1" x14ac:dyDescent="0.2">
      <c r="A301" s="128">
        <v>292</v>
      </c>
      <c r="B301" s="58" t="s">
        <v>885</v>
      </c>
      <c r="C301" s="58" t="s">
        <v>576</v>
      </c>
      <c r="D301" s="101">
        <v>1350</v>
      </c>
      <c r="E301" s="102">
        <v>2000</v>
      </c>
      <c r="F301" s="102">
        <v>0</v>
      </c>
      <c r="G301" s="102">
        <v>0</v>
      </c>
      <c r="H301" s="102">
        <v>2500</v>
      </c>
      <c r="I301" s="102">
        <v>2000</v>
      </c>
      <c r="J301" s="102">
        <v>0</v>
      </c>
      <c r="K301" s="102">
        <v>75</v>
      </c>
      <c r="L301" s="102">
        <v>0</v>
      </c>
      <c r="M301" s="102">
        <v>250</v>
      </c>
      <c r="N301" s="102">
        <v>0</v>
      </c>
      <c r="O301" s="102">
        <v>0</v>
      </c>
      <c r="P301" s="103">
        <f t="shared" si="41"/>
        <v>8175</v>
      </c>
      <c r="Q301" s="103">
        <f t="shared" si="42"/>
        <v>237.75</v>
      </c>
      <c r="R301" s="103">
        <f t="shared" si="43"/>
        <v>871.75</v>
      </c>
      <c r="S301" s="103">
        <v>146.18</v>
      </c>
      <c r="T301" s="103">
        <v>0</v>
      </c>
      <c r="U301" s="103">
        <f t="shared" si="40"/>
        <v>1255.68</v>
      </c>
      <c r="V301" s="103">
        <f t="shared" si="37"/>
        <v>6919.32</v>
      </c>
      <c r="W301" s="103">
        <v>0</v>
      </c>
    </row>
    <row r="302" spans="1:23" ht="25.5" x14ac:dyDescent="0.2">
      <c r="A302" s="128">
        <v>293</v>
      </c>
      <c r="B302" s="58" t="s">
        <v>886</v>
      </c>
      <c r="C302" s="58" t="s">
        <v>576</v>
      </c>
      <c r="D302" s="101">
        <v>1350</v>
      </c>
      <c r="E302" s="102">
        <v>2000</v>
      </c>
      <c r="F302" s="102">
        <v>0</v>
      </c>
      <c r="G302" s="102">
        <v>0</v>
      </c>
      <c r="H302" s="102">
        <v>0</v>
      </c>
      <c r="I302" s="102">
        <v>4500</v>
      </c>
      <c r="J302" s="102">
        <v>0</v>
      </c>
      <c r="K302" s="102">
        <v>0</v>
      </c>
      <c r="L302" s="102">
        <v>0</v>
      </c>
      <c r="M302" s="102">
        <v>250</v>
      </c>
      <c r="N302" s="102">
        <v>0</v>
      </c>
      <c r="O302" s="102">
        <v>0</v>
      </c>
      <c r="P302" s="103">
        <f t="shared" si="41"/>
        <v>8100</v>
      </c>
      <c r="Q302" s="103">
        <f t="shared" si="42"/>
        <v>235.5</v>
      </c>
      <c r="R302" s="103">
        <f t="shared" si="43"/>
        <v>863.5</v>
      </c>
      <c r="S302" s="103">
        <v>143.03</v>
      </c>
      <c r="T302" s="103">
        <v>0</v>
      </c>
      <c r="U302" s="103">
        <f t="shared" si="40"/>
        <v>1242.03</v>
      </c>
      <c r="V302" s="103">
        <f t="shared" si="37"/>
        <v>6857.97</v>
      </c>
      <c r="W302" s="103">
        <v>0</v>
      </c>
    </row>
    <row r="303" spans="1:23" ht="25.5" x14ac:dyDescent="0.2">
      <c r="A303" s="128">
        <v>294</v>
      </c>
      <c r="B303" s="58" t="s">
        <v>887</v>
      </c>
      <c r="C303" s="58" t="s">
        <v>569</v>
      </c>
      <c r="D303" s="101">
        <v>1634</v>
      </c>
      <c r="E303" s="102">
        <v>2400</v>
      </c>
      <c r="F303" s="102">
        <v>0</v>
      </c>
      <c r="G303" s="102">
        <v>0</v>
      </c>
      <c r="H303" s="102">
        <v>3000</v>
      </c>
      <c r="I303" s="102">
        <v>2400</v>
      </c>
      <c r="J303" s="102">
        <v>0</v>
      </c>
      <c r="K303" s="102">
        <v>0</v>
      </c>
      <c r="L303" s="102">
        <v>0</v>
      </c>
      <c r="M303" s="102">
        <v>250</v>
      </c>
      <c r="N303" s="102">
        <v>0</v>
      </c>
      <c r="O303" s="102">
        <v>0</v>
      </c>
      <c r="P303" s="103">
        <f t="shared" si="41"/>
        <v>9684</v>
      </c>
      <c r="Q303" s="103">
        <f t="shared" si="42"/>
        <v>283.02</v>
      </c>
      <c r="R303" s="103">
        <f t="shared" si="43"/>
        <v>1037.74</v>
      </c>
      <c r="S303" s="103">
        <v>204.84</v>
      </c>
      <c r="T303" s="103">
        <v>0</v>
      </c>
      <c r="U303" s="103">
        <f t="shared" si="40"/>
        <v>1525.6</v>
      </c>
      <c r="V303" s="103">
        <f t="shared" si="37"/>
        <v>8158.4</v>
      </c>
      <c r="W303" s="103">
        <v>0</v>
      </c>
    </row>
    <row r="304" spans="1:23" ht="25.5" x14ac:dyDescent="0.2">
      <c r="A304" s="128">
        <v>295</v>
      </c>
      <c r="B304" s="58" t="s">
        <v>888</v>
      </c>
      <c r="C304" s="58" t="s">
        <v>569</v>
      </c>
      <c r="D304" s="101">
        <v>1634</v>
      </c>
      <c r="E304" s="102">
        <v>2400</v>
      </c>
      <c r="F304" s="102">
        <v>0</v>
      </c>
      <c r="G304" s="102">
        <v>0</v>
      </c>
      <c r="H304" s="102">
        <v>3000</v>
      </c>
      <c r="I304" s="102">
        <v>2400</v>
      </c>
      <c r="J304" s="102">
        <v>0</v>
      </c>
      <c r="K304" s="102">
        <v>0</v>
      </c>
      <c r="L304" s="102">
        <v>0</v>
      </c>
      <c r="M304" s="102">
        <v>250</v>
      </c>
      <c r="N304" s="102">
        <v>0</v>
      </c>
      <c r="O304" s="102">
        <v>0</v>
      </c>
      <c r="P304" s="103">
        <f t="shared" si="41"/>
        <v>9684</v>
      </c>
      <c r="Q304" s="103">
        <f t="shared" si="42"/>
        <v>283.02</v>
      </c>
      <c r="R304" s="103">
        <f t="shared" si="43"/>
        <v>1037.74</v>
      </c>
      <c r="S304" s="103">
        <v>0</v>
      </c>
      <c r="T304" s="103">
        <v>0</v>
      </c>
      <c r="U304" s="103">
        <f t="shared" si="40"/>
        <v>1320.76</v>
      </c>
      <c r="V304" s="103">
        <f t="shared" si="37"/>
        <v>8363.24</v>
      </c>
      <c r="W304" s="103">
        <v>0</v>
      </c>
    </row>
    <row r="305" spans="1:170" s="90" customFormat="1" ht="25.5" x14ac:dyDescent="0.2">
      <c r="A305" s="128">
        <v>296</v>
      </c>
      <c r="B305" s="122" t="s">
        <v>889</v>
      </c>
      <c r="C305" s="122" t="s">
        <v>890</v>
      </c>
      <c r="D305" s="68">
        <v>1155</v>
      </c>
      <c r="E305" s="102">
        <v>0</v>
      </c>
      <c r="F305" s="102">
        <v>0</v>
      </c>
      <c r="G305" s="102">
        <v>0</v>
      </c>
      <c r="H305" s="102">
        <v>0</v>
      </c>
      <c r="I305" s="102">
        <v>0</v>
      </c>
      <c r="J305" s="102">
        <v>0</v>
      </c>
      <c r="K305" s="102">
        <v>0</v>
      </c>
      <c r="L305" s="102">
        <v>0</v>
      </c>
      <c r="M305" s="102">
        <v>0</v>
      </c>
      <c r="N305" s="102">
        <v>0</v>
      </c>
      <c r="O305" s="102">
        <v>0</v>
      </c>
      <c r="P305" s="103">
        <f t="shared" si="41"/>
        <v>1155</v>
      </c>
      <c r="Q305" s="103">
        <f t="shared" si="42"/>
        <v>34.65</v>
      </c>
      <c r="R305" s="103">
        <f t="shared" si="43"/>
        <v>127.05</v>
      </c>
      <c r="S305" s="103">
        <v>0</v>
      </c>
      <c r="T305" s="103">
        <v>0</v>
      </c>
      <c r="U305" s="103">
        <f t="shared" si="40"/>
        <v>161.69999999999999</v>
      </c>
      <c r="V305" s="103">
        <f t="shared" si="37"/>
        <v>993.3</v>
      </c>
      <c r="W305" s="103">
        <v>0</v>
      </c>
      <c r="X305" s="89"/>
      <c r="Y305" s="89"/>
      <c r="Z305" s="89"/>
      <c r="AA305" s="89"/>
      <c r="AB305" s="89"/>
      <c r="AC305" s="89"/>
      <c r="AD305" s="89"/>
      <c r="AE305" s="89"/>
      <c r="AF305" s="89"/>
      <c r="AG305" s="89"/>
      <c r="AH305" s="89"/>
      <c r="AI305" s="89"/>
      <c r="AJ305" s="89"/>
      <c r="AK305" s="89"/>
      <c r="AL305" s="89"/>
      <c r="AM305" s="89"/>
      <c r="AN305" s="89"/>
      <c r="AO305" s="89"/>
      <c r="AP305" s="89"/>
      <c r="AQ305" s="89"/>
      <c r="AR305" s="89"/>
      <c r="AS305" s="89"/>
      <c r="AT305" s="89"/>
      <c r="AU305" s="89"/>
      <c r="AV305" s="89"/>
      <c r="AW305" s="89"/>
      <c r="AX305" s="89"/>
      <c r="AY305" s="89"/>
      <c r="AZ305" s="89"/>
      <c r="BA305" s="89"/>
      <c r="BB305" s="89"/>
      <c r="BC305" s="89"/>
      <c r="BD305" s="89"/>
      <c r="BE305" s="89"/>
      <c r="BF305" s="89"/>
      <c r="BG305" s="89"/>
      <c r="BH305" s="89"/>
      <c r="BI305" s="89"/>
      <c r="BJ305" s="89"/>
      <c r="BK305" s="89"/>
      <c r="BL305" s="89"/>
      <c r="BM305" s="89"/>
      <c r="BN305" s="89"/>
      <c r="BO305" s="89"/>
      <c r="BP305" s="89"/>
      <c r="BQ305" s="89"/>
      <c r="BR305" s="89"/>
      <c r="BS305" s="89"/>
      <c r="BT305" s="89"/>
      <c r="BU305" s="89"/>
      <c r="BV305" s="89"/>
      <c r="BW305" s="89"/>
      <c r="BX305" s="89"/>
      <c r="BY305" s="89"/>
      <c r="BZ305" s="89"/>
      <c r="CA305" s="89"/>
      <c r="CB305" s="89"/>
      <c r="CC305" s="89"/>
      <c r="CD305" s="89"/>
      <c r="CE305" s="89"/>
      <c r="CF305" s="89"/>
      <c r="CG305" s="89"/>
      <c r="CH305" s="89"/>
      <c r="CI305" s="89"/>
      <c r="CJ305" s="89"/>
      <c r="CK305" s="89"/>
      <c r="CL305" s="89"/>
      <c r="CM305" s="89"/>
      <c r="CN305" s="89"/>
      <c r="CO305" s="89"/>
      <c r="CP305" s="89"/>
      <c r="CQ305" s="89"/>
      <c r="CR305" s="89"/>
      <c r="CS305" s="89"/>
      <c r="CT305" s="89"/>
      <c r="CU305" s="89"/>
      <c r="CV305" s="89"/>
      <c r="CW305" s="89"/>
      <c r="CX305" s="89"/>
      <c r="CY305" s="89"/>
      <c r="CZ305" s="89"/>
      <c r="DA305" s="89"/>
      <c r="DB305" s="89"/>
      <c r="DC305" s="89"/>
      <c r="DD305" s="89"/>
      <c r="DE305" s="89"/>
      <c r="DF305" s="89"/>
      <c r="DG305" s="89"/>
      <c r="DH305" s="89"/>
      <c r="DI305" s="89"/>
      <c r="DJ305" s="89"/>
      <c r="DK305" s="89"/>
      <c r="DL305" s="89"/>
      <c r="DM305" s="89"/>
      <c r="DN305" s="89"/>
      <c r="DO305" s="89"/>
      <c r="DP305" s="89"/>
      <c r="DQ305" s="89"/>
      <c r="DR305" s="89"/>
      <c r="DS305" s="89"/>
      <c r="DT305" s="89"/>
      <c r="DU305" s="89"/>
      <c r="DV305" s="89"/>
      <c r="DW305" s="89"/>
      <c r="DX305" s="89"/>
      <c r="DY305" s="89"/>
      <c r="DZ305" s="89"/>
      <c r="EA305" s="89"/>
      <c r="EB305" s="89"/>
      <c r="EC305" s="89"/>
      <c r="ED305" s="89"/>
      <c r="EE305" s="89"/>
      <c r="EF305" s="89"/>
      <c r="EG305" s="89"/>
      <c r="EH305" s="89"/>
      <c r="EI305" s="89"/>
      <c r="EJ305" s="89"/>
      <c r="EK305" s="89"/>
      <c r="EL305" s="89"/>
      <c r="EM305" s="89"/>
      <c r="EN305" s="89"/>
      <c r="EO305" s="89"/>
      <c r="EP305" s="89"/>
      <c r="EQ305" s="89"/>
      <c r="ER305" s="89"/>
      <c r="ES305" s="89"/>
      <c r="ET305" s="89"/>
      <c r="EU305" s="89"/>
      <c r="EV305" s="89"/>
      <c r="EW305" s="89"/>
      <c r="EX305" s="89"/>
      <c r="EY305" s="89"/>
      <c r="EZ305" s="89"/>
      <c r="FA305" s="89"/>
      <c r="FB305" s="89"/>
      <c r="FC305" s="89"/>
      <c r="FD305" s="89"/>
      <c r="FE305" s="89"/>
      <c r="FF305" s="89"/>
      <c r="FG305" s="89"/>
      <c r="FH305" s="89"/>
      <c r="FI305" s="89"/>
      <c r="FJ305" s="89"/>
      <c r="FK305" s="89"/>
      <c r="FL305" s="89"/>
      <c r="FM305" s="89"/>
      <c r="FN305" s="89"/>
    </row>
    <row r="306" spans="1:170" ht="25.5" x14ac:dyDescent="0.2">
      <c r="A306" s="128">
        <v>297</v>
      </c>
      <c r="B306" s="58" t="s">
        <v>891</v>
      </c>
      <c r="C306" s="58" t="s">
        <v>953</v>
      </c>
      <c r="D306" s="102">
        <v>1476</v>
      </c>
      <c r="E306" s="102">
        <v>2000</v>
      </c>
      <c r="F306" s="102">
        <v>0</v>
      </c>
      <c r="G306" s="102">
        <v>0</v>
      </c>
      <c r="H306" s="102">
        <v>1900</v>
      </c>
      <c r="I306" s="102">
        <v>2600</v>
      </c>
      <c r="J306" s="102">
        <v>0</v>
      </c>
      <c r="K306" s="102">
        <v>0</v>
      </c>
      <c r="L306" s="102">
        <v>0</v>
      </c>
      <c r="M306" s="102">
        <v>250</v>
      </c>
      <c r="N306" s="102">
        <v>0</v>
      </c>
      <c r="O306" s="102">
        <v>0</v>
      </c>
      <c r="P306" s="103">
        <f t="shared" si="41"/>
        <v>8226</v>
      </c>
      <c r="Q306" s="103">
        <f t="shared" si="42"/>
        <v>239.28</v>
      </c>
      <c r="R306" s="103">
        <f t="shared" si="43"/>
        <v>877.36</v>
      </c>
      <c r="S306" s="103">
        <v>146.41</v>
      </c>
      <c r="T306" s="103">
        <v>0</v>
      </c>
      <c r="U306" s="103">
        <f t="shared" si="40"/>
        <v>1263.05</v>
      </c>
      <c r="V306" s="103">
        <f t="shared" si="37"/>
        <v>6962.95</v>
      </c>
      <c r="W306" s="103">
        <v>953.5</v>
      </c>
    </row>
    <row r="307" spans="1:170" x14ac:dyDescent="0.2">
      <c r="A307" s="128">
        <v>298</v>
      </c>
      <c r="B307" s="33" t="s">
        <v>967</v>
      </c>
      <c r="C307" s="33" t="s">
        <v>576</v>
      </c>
      <c r="D307" s="102">
        <v>1350</v>
      </c>
      <c r="E307" s="102">
        <v>0</v>
      </c>
      <c r="F307" s="102">
        <v>0</v>
      </c>
      <c r="G307" s="102">
        <v>0</v>
      </c>
      <c r="H307" s="102">
        <v>0</v>
      </c>
      <c r="I307" s="102">
        <v>4500</v>
      </c>
      <c r="J307" s="102">
        <v>0</v>
      </c>
      <c r="K307" s="102">
        <v>0</v>
      </c>
      <c r="L307" s="102">
        <v>0</v>
      </c>
      <c r="M307" s="102">
        <v>250</v>
      </c>
      <c r="N307" s="102">
        <v>0</v>
      </c>
      <c r="O307" s="102">
        <v>0</v>
      </c>
      <c r="P307" s="103">
        <f t="shared" si="41"/>
        <v>6100</v>
      </c>
      <c r="Q307" s="103">
        <f t="shared" si="42"/>
        <v>175.5</v>
      </c>
      <c r="R307" s="103">
        <f t="shared" si="43"/>
        <v>643.5</v>
      </c>
      <c r="S307" s="103">
        <v>48.15</v>
      </c>
      <c r="T307" s="103">
        <v>0</v>
      </c>
      <c r="U307" s="103">
        <f t="shared" si="40"/>
        <v>867.15</v>
      </c>
      <c r="V307" s="103">
        <f t="shared" si="37"/>
        <v>5232.8500000000004</v>
      </c>
      <c r="W307" s="103">
        <v>0</v>
      </c>
    </row>
    <row r="308" spans="1:170" ht="25.5" x14ac:dyDescent="0.2">
      <c r="A308" s="128">
        <v>299</v>
      </c>
      <c r="B308" s="58" t="s">
        <v>892</v>
      </c>
      <c r="C308" s="58" t="s">
        <v>581</v>
      </c>
      <c r="D308" s="101">
        <v>1377.6</v>
      </c>
      <c r="E308" s="102">
        <v>1866.67</v>
      </c>
      <c r="F308" s="102">
        <v>0</v>
      </c>
      <c r="G308" s="102">
        <v>1773.33</v>
      </c>
      <c r="H308" s="102">
        <v>0</v>
      </c>
      <c r="I308" s="102">
        <v>2426.67</v>
      </c>
      <c r="J308" s="102">
        <v>0</v>
      </c>
      <c r="K308" s="102">
        <v>46.67</v>
      </c>
      <c r="L308" s="102">
        <v>0</v>
      </c>
      <c r="M308" s="102">
        <v>233.33</v>
      </c>
      <c r="N308" s="102">
        <v>0</v>
      </c>
      <c r="O308" s="102">
        <v>0</v>
      </c>
      <c r="P308" s="103">
        <f t="shared" si="41"/>
        <v>7724.27</v>
      </c>
      <c r="Q308" s="103">
        <f t="shared" si="42"/>
        <v>224.73</v>
      </c>
      <c r="R308" s="103">
        <f t="shared" si="43"/>
        <v>824</v>
      </c>
      <c r="S308" s="103">
        <v>146.41</v>
      </c>
      <c r="T308" s="103">
        <v>0</v>
      </c>
      <c r="U308" s="103">
        <f t="shared" ref="U308:U335" si="44">SUM(Q308:T308)</f>
        <v>1195.1400000000001</v>
      </c>
      <c r="V308" s="103">
        <f t="shared" si="37"/>
        <v>6529.13</v>
      </c>
      <c r="W308" s="103">
        <f>210+615.5</f>
        <v>825.5</v>
      </c>
    </row>
    <row r="309" spans="1:170" ht="25.5" x14ac:dyDescent="0.2">
      <c r="A309" s="128">
        <v>300</v>
      </c>
      <c r="B309" s="58" t="s">
        <v>893</v>
      </c>
      <c r="C309" s="58" t="s">
        <v>581</v>
      </c>
      <c r="D309" s="101">
        <v>1476</v>
      </c>
      <c r="E309" s="102">
        <v>2000</v>
      </c>
      <c r="F309" s="102">
        <v>0</v>
      </c>
      <c r="G309" s="102">
        <v>1900</v>
      </c>
      <c r="H309" s="102">
        <v>0</v>
      </c>
      <c r="I309" s="102">
        <v>2600</v>
      </c>
      <c r="J309" s="102">
        <v>0</v>
      </c>
      <c r="K309" s="102">
        <v>50</v>
      </c>
      <c r="L309" s="102">
        <v>0</v>
      </c>
      <c r="M309" s="102">
        <v>250</v>
      </c>
      <c r="N309" s="102">
        <v>0</v>
      </c>
      <c r="O309" s="102">
        <v>0</v>
      </c>
      <c r="P309" s="103">
        <f t="shared" si="41"/>
        <v>8276</v>
      </c>
      <c r="Q309" s="103">
        <f t="shared" si="42"/>
        <v>240.78</v>
      </c>
      <c r="R309" s="103">
        <f t="shared" si="43"/>
        <v>882.86</v>
      </c>
      <c r="S309" s="103">
        <v>145.79</v>
      </c>
      <c r="T309" s="103">
        <v>0</v>
      </c>
      <c r="U309" s="103">
        <f t="shared" si="44"/>
        <v>1269.43</v>
      </c>
      <c r="V309" s="103">
        <f t="shared" si="37"/>
        <v>7006.57</v>
      </c>
      <c r="W309" s="103">
        <f>592.6+205+630</f>
        <v>1427.6</v>
      </c>
    </row>
    <row r="310" spans="1:170" ht="38.25" x14ac:dyDescent="0.2">
      <c r="A310" s="128">
        <v>301</v>
      </c>
      <c r="B310" s="58" t="s">
        <v>894</v>
      </c>
      <c r="C310" s="58" t="s">
        <v>756</v>
      </c>
      <c r="D310" s="101">
        <f>(485*6)+1634</f>
        <v>4544</v>
      </c>
      <c r="E310" s="102">
        <v>1800</v>
      </c>
      <c r="F310" s="102">
        <f>485*6</f>
        <v>2910</v>
      </c>
      <c r="G310" s="102">
        <v>0</v>
      </c>
      <c r="H310" s="102">
        <v>2200</v>
      </c>
      <c r="I310" s="102">
        <v>0</v>
      </c>
      <c r="J310" s="102">
        <v>0</v>
      </c>
      <c r="K310" s="102">
        <v>75</v>
      </c>
      <c r="L310" s="102">
        <v>0</v>
      </c>
      <c r="M310" s="102">
        <v>250</v>
      </c>
      <c r="N310" s="102">
        <v>0</v>
      </c>
      <c r="O310" s="102">
        <v>0</v>
      </c>
      <c r="P310" s="103">
        <f t="shared" si="41"/>
        <v>11779</v>
      </c>
      <c r="Q310" s="103">
        <f t="shared" si="42"/>
        <v>345.87</v>
      </c>
      <c r="R310" s="103">
        <f t="shared" si="43"/>
        <v>1268.19</v>
      </c>
      <c r="S310" s="103">
        <v>286.02</v>
      </c>
      <c r="T310" s="103">
        <v>76.73</v>
      </c>
      <c r="U310" s="103">
        <f t="shared" si="44"/>
        <v>1976.81</v>
      </c>
      <c r="V310" s="103">
        <f t="shared" si="37"/>
        <v>9802.19</v>
      </c>
      <c r="W310" s="103">
        <v>0</v>
      </c>
    </row>
    <row r="311" spans="1:170" ht="25.5" x14ac:dyDescent="0.2">
      <c r="A311" s="128">
        <v>302</v>
      </c>
      <c r="B311" s="58" t="s">
        <v>895</v>
      </c>
      <c r="C311" s="58" t="s">
        <v>789</v>
      </c>
      <c r="D311" s="101">
        <v>1350</v>
      </c>
      <c r="E311" s="102">
        <v>1500</v>
      </c>
      <c r="F311" s="102">
        <v>0</v>
      </c>
      <c r="G311" s="102">
        <v>0</v>
      </c>
      <c r="H311" s="102">
        <v>1600</v>
      </c>
      <c r="I311" s="102">
        <v>0</v>
      </c>
      <c r="J311" s="102">
        <v>0</v>
      </c>
      <c r="K311" s="102">
        <v>75</v>
      </c>
      <c r="L311" s="102">
        <v>0</v>
      </c>
      <c r="M311" s="102">
        <v>250</v>
      </c>
      <c r="N311" s="102">
        <v>0</v>
      </c>
      <c r="O311" s="102">
        <v>0</v>
      </c>
      <c r="P311" s="103">
        <f t="shared" si="41"/>
        <v>4775</v>
      </c>
      <c r="Q311" s="103">
        <f t="shared" si="42"/>
        <v>135.75</v>
      </c>
      <c r="R311" s="103">
        <f t="shared" si="43"/>
        <v>497.75</v>
      </c>
      <c r="S311" s="103">
        <v>5.65</v>
      </c>
      <c r="T311" s="103">
        <v>0</v>
      </c>
      <c r="U311" s="103">
        <f t="shared" si="44"/>
        <v>639.15</v>
      </c>
      <c r="V311" s="103">
        <f t="shared" si="37"/>
        <v>4135.8500000000004</v>
      </c>
      <c r="W311" s="103">
        <f>888</f>
        <v>888</v>
      </c>
    </row>
    <row r="312" spans="1:170" ht="25.5" x14ac:dyDescent="0.2">
      <c r="A312" s="128">
        <v>303</v>
      </c>
      <c r="B312" s="58" t="s">
        <v>896</v>
      </c>
      <c r="C312" s="58" t="s">
        <v>897</v>
      </c>
      <c r="D312" s="101">
        <v>1634</v>
      </c>
      <c r="E312" s="102">
        <v>2000</v>
      </c>
      <c r="F312" s="102">
        <v>0</v>
      </c>
      <c r="G312" s="102">
        <v>0</v>
      </c>
      <c r="H312" s="102">
        <v>0</v>
      </c>
      <c r="I312" s="102">
        <v>5400</v>
      </c>
      <c r="J312" s="102">
        <v>0</v>
      </c>
      <c r="K312" s="102">
        <v>0</v>
      </c>
      <c r="L312" s="102">
        <v>0</v>
      </c>
      <c r="M312" s="102">
        <v>250</v>
      </c>
      <c r="N312" s="102">
        <v>0</v>
      </c>
      <c r="O312" s="102">
        <v>0</v>
      </c>
      <c r="P312" s="103">
        <f t="shared" si="41"/>
        <v>9284</v>
      </c>
      <c r="Q312" s="103">
        <f t="shared" si="42"/>
        <v>271.02</v>
      </c>
      <c r="R312" s="103">
        <f t="shared" si="43"/>
        <v>993.74</v>
      </c>
      <c r="S312" s="103">
        <v>0</v>
      </c>
      <c r="T312" s="103">
        <v>0</v>
      </c>
      <c r="U312" s="103">
        <f t="shared" si="44"/>
        <v>1264.76</v>
      </c>
      <c r="V312" s="103">
        <f t="shared" si="37"/>
        <v>8019.24</v>
      </c>
      <c r="W312" s="103">
        <v>0</v>
      </c>
    </row>
    <row r="313" spans="1:170" x14ac:dyDescent="0.2">
      <c r="A313" s="128">
        <v>304</v>
      </c>
      <c r="B313" s="58" t="s">
        <v>898</v>
      </c>
      <c r="C313" s="58" t="s">
        <v>666</v>
      </c>
      <c r="D313" s="101">
        <v>1039</v>
      </c>
      <c r="E313" s="102">
        <v>400</v>
      </c>
      <c r="F313" s="102">
        <v>0</v>
      </c>
      <c r="G313" s="102">
        <v>1000</v>
      </c>
      <c r="H313" s="102">
        <v>0</v>
      </c>
      <c r="I313" s="102">
        <v>0</v>
      </c>
      <c r="J313" s="102">
        <v>0</v>
      </c>
      <c r="K313" s="102">
        <v>75</v>
      </c>
      <c r="L313" s="102">
        <v>200</v>
      </c>
      <c r="M313" s="102">
        <v>250</v>
      </c>
      <c r="N313" s="102">
        <v>0</v>
      </c>
      <c r="O313" s="102">
        <v>0</v>
      </c>
      <c r="P313" s="103">
        <f t="shared" si="41"/>
        <v>2964</v>
      </c>
      <c r="Q313" s="103">
        <f t="shared" si="42"/>
        <v>75.42</v>
      </c>
      <c r="R313" s="103">
        <f t="shared" si="43"/>
        <v>276.54000000000002</v>
      </c>
      <c r="S313" s="103">
        <v>0</v>
      </c>
      <c r="T313" s="103">
        <v>0</v>
      </c>
      <c r="U313" s="103">
        <f t="shared" si="44"/>
        <v>351.96</v>
      </c>
      <c r="V313" s="103">
        <f t="shared" si="37"/>
        <v>2612.04</v>
      </c>
      <c r="W313" s="103">
        <v>0</v>
      </c>
    </row>
    <row r="314" spans="1:170" ht="25.5" x14ac:dyDescent="0.2">
      <c r="A314" s="128">
        <v>305</v>
      </c>
      <c r="B314" s="58" t="s">
        <v>899</v>
      </c>
      <c r="C314" s="58" t="s">
        <v>581</v>
      </c>
      <c r="D314" s="101">
        <v>1476</v>
      </c>
      <c r="E314" s="102">
        <v>2000</v>
      </c>
      <c r="F314" s="102">
        <v>0</v>
      </c>
      <c r="G314" s="102">
        <v>0</v>
      </c>
      <c r="H314" s="102">
        <v>1900</v>
      </c>
      <c r="I314" s="102">
        <v>2600</v>
      </c>
      <c r="J314" s="102">
        <v>0</v>
      </c>
      <c r="K314" s="102">
        <v>0</v>
      </c>
      <c r="L314" s="102">
        <v>0</v>
      </c>
      <c r="M314" s="102">
        <v>250</v>
      </c>
      <c r="N314" s="102">
        <v>0</v>
      </c>
      <c r="O314" s="102">
        <v>0</v>
      </c>
      <c r="P314" s="103">
        <f t="shared" si="41"/>
        <v>8226</v>
      </c>
      <c r="Q314" s="103">
        <f t="shared" si="42"/>
        <v>239.28</v>
      </c>
      <c r="R314" s="103">
        <f t="shared" si="43"/>
        <v>877.36</v>
      </c>
      <c r="S314" s="103">
        <v>148.33000000000001</v>
      </c>
      <c r="T314" s="103">
        <v>0</v>
      </c>
      <c r="U314" s="103">
        <f t="shared" si="44"/>
        <v>1264.97</v>
      </c>
      <c r="V314" s="103">
        <f t="shared" si="37"/>
        <v>6961.03</v>
      </c>
      <c r="W314" s="103">
        <f>420</f>
        <v>420</v>
      </c>
    </row>
    <row r="315" spans="1:170" x14ac:dyDescent="0.2">
      <c r="A315" s="128">
        <v>306</v>
      </c>
      <c r="B315" s="58" t="s">
        <v>900</v>
      </c>
      <c r="C315" s="58" t="s">
        <v>660</v>
      </c>
      <c r="D315" s="101">
        <v>1575</v>
      </c>
      <c r="E315" s="102">
        <v>550</v>
      </c>
      <c r="F315" s="102">
        <v>0</v>
      </c>
      <c r="G315" s="102">
        <v>1000</v>
      </c>
      <c r="H315" s="102">
        <v>0</v>
      </c>
      <c r="I315" s="102">
        <v>0</v>
      </c>
      <c r="J315" s="102">
        <v>0</v>
      </c>
      <c r="K315" s="102">
        <v>0</v>
      </c>
      <c r="L315" s="102">
        <v>0</v>
      </c>
      <c r="M315" s="102">
        <v>250</v>
      </c>
      <c r="N315" s="102">
        <v>0</v>
      </c>
      <c r="O315" s="102">
        <v>0</v>
      </c>
      <c r="P315" s="103">
        <f t="shared" si="41"/>
        <v>3375</v>
      </c>
      <c r="Q315" s="103">
        <f t="shared" si="42"/>
        <v>93.75</v>
      </c>
      <c r="R315" s="103">
        <f t="shared" si="43"/>
        <v>343.75</v>
      </c>
      <c r="S315" s="103">
        <v>0</v>
      </c>
      <c r="T315" s="103">
        <v>42</v>
      </c>
      <c r="U315" s="103">
        <f t="shared" si="44"/>
        <v>479.5</v>
      </c>
      <c r="V315" s="103">
        <f t="shared" si="37"/>
        <v>2895.5</v>
      </c>
      <c r="W315" s="103">
        <v>0</v>
      </c>
    </row>
    <row r="316" spans="1:170" x14ac:dyDescent="0.2">
      <c r="A316" s="128">
        <v>307</v>
      </c>
      <c r="B316" s="58" t="s">
        <v>901</v>
      </c>
      <c r="C316" s="58" t="s">
        <v>576</v>
      </c>
      <c r="D316" s="101">
        <v>1350</v>
      </c>
      <c r="E316" s="102">
        <v>2000</v>
      </c>
      <c r="F316" s="102">
        <v>0</v>
      </c>
      <c r="G316" s="102">
        <v>0</v>
      </c>
      <c r="H316" s="102">
        <v>0</v>
      </c>
      <c r="I316" s="102">
        <v>4500</v>
      </c>
      <c r="J316" s="102">
        <v>0</v>
      </c>
      <c r="K316" s="102">
        <v>75</v>
      </c>
      <c r="L316" s="102">
        <v>0</v>
      </c>
      <c r="M316" s="102">
        <v>250</v>
      </c>
      <c r="N316" s="102">
        <v>0</v>
      </c>
      <c r="O316" s="102">
        <v>0</v>
      </c>
      <c r="P316" s="103">
        <f t="shared" ref="P316:P335" si="45">SUM(D316:N316)</f>
        <v>8175</v>
      </c>
      <c r="Q316" s="103">
        <f t="shared" si="42"/>
        <v>237.75</v>
      </c>
      <c r="R316" s="103">
        <f t="shared" si="43"/>
        <v>871.75</v>
      </c>
      <c r="S316" s="103">
        <v>146.18</v>
      </c>
      <c r="T316" s="103">
        <v>0</v>
      </c>
      <c r="U316" s="103">
        <f t="shared" si="44"/>
        <v>1255.68</v>
      </c>
      <c r="V316" s="103">
        <f t="shared" si="37"/>
        <v>6919.32</v>
      </c>
      <c r="W316" s="103">
        <v>0</v>
      </c>
    </row>
    <row r="317" spans="1:170" x14ac:dyDescent="0.2">
      <c r="A317" s="128">
        <v>308</v>
      </c>
      <c r="B317" s="58" t="s">
        <v>902</v>
      </c>
      <c r="C317" s="58" t="s">
        <v>693</v>
      </c>
      <c r="D317" s="101">
        <v>1128</v>
      </c>
      <c r="E317" s="102">
        <v>400</v>
      </c>
      <c r="F317" s="102">
        <v>0</v>
      </c>
      <c r="G317" s="102">
        <v>1000</v>
      </c>
      <c r="H317" s="102">
        <v>0</v>
      </c>
      <c r="I317" s="102">
        <v>0</v>
      </c>
      <c r="J317" s="102">
        <v>0</v>
      </c>
      <c r="K317" s="102">
        <v>50</v>
      </c>
      <c r="L317" s="102">
        <v>0</v>
      </c>
      <c r="M317" s="102">
        <v>250</v>
      </c>
      <c r="N317" s="102">
        <v>0</v>
      </c>
      <c r="O317" s="102">
        <v>0</v>
      </c>
      <c r="P317" s="103">
        <f t="shared" si="45"/>
        <v>2828</v>
      </c>
      <c r="Q317" s="103">
        <f t="shared" si="42"/>
        <v>77.34</v>
      </c>
      <c r="R317" s="103">
        <f t="shared" si="43"/>
        <v>283.58</v>
      </c>
      <c r="S317" s="103">
        <v>0</v>
      </c>
      <c r="T317" s="103">
        <v>0</v>
      </c>
      <c r="U317" s="103">
        <f t="shared" si="44"/>
        <v>360.92</v>
      </c>
      <c r="V317" s="103">
        <f t="shared" si="37"/>
        <v>2467.08</v>
      </c>
      <c r="W317" s="103">
        <v>0</v>
      </c>
    </row>
    <row r="318" spans="1:170" x14ac:dyDescent="0.2">
      <c r="A318" s="128">
        <v>309</v>
      </c>
      <c r="B318" s="58" t="s">
        <v>903</v>
      </c>
      <c r="C318" s="58" t="s">
        <v>569</v>
      </c>
      <c r="D318" s="101">
        <f>362*6</f>
        <v>2172</v>
      </c>
      <c r="E318" s="102">
        <v>0</v>
      </c>
      <c r="F318" s="102">
        <v>0</v>
      </c>
      <c r="G318" s="102">
        <v>0</v>
      </c>
      <c r="H318" s="102">
        <v>0</v>
      </c>
      <c r="I318" s="102">
        <v>0</v>
      </c>
      <c r="J318" s="102">
        <v>0</v>
      </c>
      <c r="K318" s="102">
        <v>0</v>
      </c>
      <c r="L318" s="102">
        <v>0</v>
      </c>
      <c r="M318" s="102">
        <v>0</v>
      </c>
      <c r="N318" s="102">
        <v>0</v>
      </c>
      <c r="O318" s="102">
        <v>0</v>
      </c>
      <c r="P318" s="103">
        <f t="shared" si="45"/>
        <v>2172</v>
      </c>
      <c r="Q318" s="103">
        <f t="shared" ref="Q318:Q335" si="46">(D318+E318+F318+G318+H318+I318+J318+K318+N318)*3%</f>
        <v>65.16</v>
      </c>
      <c r="R318" s="103">
        <f t="shared" ref="R318:R334" si="47">(D318+E318+F318+G318+H318+I318+J318+K318+N318)*11%</f>
        <v>238.92</v>
      </c>
      <c r="S318" s="103">
        <v>0</v>
      </c>
      <c r="T318" s="103">
        <v>0</v>
      </c>
      <c r="U318" s="103">
        <f t="shared" si="44"/>
        <v>304.08</v>
      </c>
      <c r="V318" s="103">
        <f t="shared" si="37"/>
        <v>1867.92</v>
      </c>
      <c r="W318" s="103">
        <v>0</v>
      </c>
    </row>
    <row r="319" spans="1:170" ht="25.5" x14ac:dyDescent="0.2">
      <c r="A319" s="128">
        <v>310</v>
      </c>
      <c r="B319" s="123" t="s">
        <v>904</v>
      </c>
      <c r="C319" s="58" t="s">
        <v>745</v>
      </c>
      <c r="D319" s="102">
        <v>1039</v>
      </c>
      <c r="E319" s="102">
        <v>400</v>
      </c>
      <c r="F319" s="102">
        <v>0</v>
      </c>
      <c r="G319" s="102">
        <v>1000</v>
      </c>
      <c r="H319" s="102">
        <v>0</v>
      </c>
      <c r="I319" s="102">
        <v>0</v>
      </c>
      <c r="J319" s="102">
        <v>0</v>
      </c>
      <c r="K319" s="102">
        <v>0</v>
      </c>
      <c r="L319" s="102">
        <v>200</v>
      </c>
      <c r="M319" s="102">
        <v>250</v>
      </c>
      <c r="N319" s="102">
        <v>0</v>
      </c>
      <c r="O319" s="102">
        <v>0</v>
      </c>
      <c r="P319" s="103">
        <f t="shared" si="45"/>
        <v>2889</v>
      </c>
      <c r="Q319" s="103">
        <f t="shared" si="46"/>
        <v>73.17</v>
      </c>
      <c r="R319" s="103">
        <f t="shared" si="47"/>
        <v>268.29000000000002</v>
      </c>
      <c r="S319" s="103">
        <v>0</v>
      </c>
      <c r="T319" s="103">
        <v>0</v>
      </c>
      <c r="U319" s="103">
        <f t="shared" si="44"/>
        <v>341.46</v>
      </c>
      <c r="V319" s="103">
        <f t="shared" si="37"/>
        <v>2547.54</v>
      </c>
      <c r="W319" s="103">
        <v>0</v>
      </c>
    </row>
    <row r="320" spans="1:170" ht="25.5" x14ac:dyDescent="0.2">
      <c r="A320" s="128">
        <v>311</v>
      </c>
      <c r="B320" s="58" t="s">
        <v>905</v>
      </c>
      <c r="C320" s="58" t="s">
        <v>693</v>
      </c>
      <c r="D320" s="101">
        <v>1128</v>
      </c>
      <c r="E320" s="102">
        <v>550</v>
      </c>
      <c r="F320" s="102">
        <v>0</v>
      </c>
      <c r="G320" s="102">
        <v>1000</v>
      </c>
      <c r="H320" s="102">
        <v>0</v>
      </c>
      <c r="I320" s="102">
        <v>0</v>
      </c>
      <c r="J320" s="102">
        <v>0</v>
      </c>
      <c r="K320" s="102">
        <v>75</v>
      </c>
      <c r="L320" s="102">
        <v>0</v>
      </c>
      <c r="M320" s="102">
        <v>250</v>
      </c>
      <c r="N320" s="102">
        <v>0</v>
      </c>
      <c r="O320" s="102">
        <v>0</v>
      </c>
      <c r="P320" s="103">
        <f t="shared" si="45"/>
        <v>3003</v>
      </c>
      <c r="Q320" s="103">
        <f t="shared" si="46"/>
        <v>82.59</v>
      </c>
      <c r="R320" s="103">
        <f t="shared" si="47"/>
        <v>302.83</v>
      </c>
      <c r="S320" s="103">
        <v>0</v>
      </c>
      <c r="T320" s="103">
        <v>0</v>
      </c>
      <c r="U320" s="103">
        <f t="shared" si="44"/>
        <v>385.42</v>
      </c>
      <c r="V320" s="103">
        <f t="shared" si="37"/>
        <v>2617.58</v>
      </c>
      <c r="W320" s="103">
        <v>0</v>
      </c>
    </row>
    <row r="321" spans="1:23" ht="25.5" x14ac:dyDescent="0.2">
      <c r="A321" s="128">
        <v>312</v>
      </c>
      <c r="B321" s="58" t="s">
        <v>906</v>
      </c>
      <c r="C321" s="58" t="s">
        <v>581</v>
      </c>
      <c r="D321" s="101">
        <v>1476</v>
      </c>
      <c r="E321" s="102">
        <v>2000</v>
      </c>
      <c r="F321" s="102">
        <v>0</v>
      </c>
      <c r="G321" s="102">
        <v>1900</v>
      </c>
      <c r="H321" s="102">
        <v>0</v>
      </c>
      <c r="I321" s="102">
        <v>2600</v>
      </c>
      <c r="J321" s="102">
        <v>0</v>
      </c>
      <c r="K321" s="102">
        <v>50</v>
      </c>
      <c r="L321" s="102">
        <v>0</v>
      </c>
      <c r="M321" s="102">
        <v>250</v>
      </c>
      <c r="N321" s="102">
        <v>0</v>
      </c>
      <c r="O321" s="102">
        <v>0</v>
      </c>
      <c r="P321" s="103">
        <f t="shared" si="45"/>
        <v>8276</v>
      </c>
      <c r="Q321" s="103">
        <f t="shared" si="46"/>
        <v>240.78</v>
      </c>
      <c r="R321" s="103">
        <f t="shared" si="47"/>
        <v>882.86</v>
      </c>
      <c r="S321" s="103">
        <v>146.41</v>
      </c>
      <c r="T321" s="103">
        <v>0</v>
      </c>
      <c r="U321" s="103">
        <f t="shared" si="44"/>
        <v>1270.05</v>
      </c>
      <c r="V321" s="103">
        <f t="shared" si="37"/>
        <v>7005.95</v>
      </c>
      <c r="W321" s="103">
        <f>209+629</f>
        <v>838</v>
      </c>
    </row>
    <row r="322" spans="1:23" x14ac:dyDescent="0.2">
      <c r="A322" s="128">
        <v>313</v>
      </c>
      <c r="B322" s="58" t="s">
        <v>907</v>
      </c>
      <c r="C322" s="58" t="s">
        <v>581</v>
      </c>
      <c r="D322" s="101">
        <v>1476</v>
      </c>
      <c r="E322" s="102">
        <v>2000</v>
      </c>
      <c r="F322" s="102">
        <v>0</v>
      </c>
      <c r="G322" s="102">
        <v>1900</v>
      </c>
      <c r="H322" s="102">
        <v>0</v>
      </c>
      <c r="I322" s="102">
        <v>2600</v>
      </c>
      <c r="J322" s="102">
        <v>0</v>
      </c>
      <c r="K322" s="102">
        <v>50</v>
      </c>
      <c r="L322" s="102">
        <v>0</v>
      </c>
      <c r="M322" s="102">
        <v>250</v>
      </c>
      <c r="N322" s="102">
        <v>0</v>
      </c>
      <c r="O322" s="102">
        <v>0</v>
      </c>
      <c r="P322" s="103">
        <f t="shared" si="45"/>
        <v>8276</v>
      </c>
      <c r="Q322" s="103">
        <f t="shared" si="46"/>
        <v>240.78</v>
      </c>
      <c r="R322" s="103">
        <f t="shared" si="47"/>
        <v>882.86</v>
      </c>
      <c r="S322" s="103">
        <v>146.41</v>
      </c>
      <c r="T322" s="103">
        <v>0</v>
      </c>
      <c r="U322" s="103">
        <f t="shared" si="44"/>
        <v>1270.05</v>
      </c>
      <c r="V322" s="103">
        <f t="shared" si="37"/>
        <v>7005.95</v>
      </c>
      <c r="W322" s="103">
        <f>538.2+207+530</f>
        <v>1275.2</v>
      </c>
    </row>
    <row r="323" spans="1:23" ht="38.25" x14ac:dyDescent="0.2">
      <c r="A323" s="128">
        <v>314</v>
      </c>
      <c r="B323" s="58" t="s">
        <v>908</v>
      </c>
      <c r="C323" s="58" t="s">
        <v>720</v>
      </c>
      <c r="D323" s="101">
        <f>485*3</f>
        <v>1455</v>
      </c>
      <c r="E323" s="102">
        <v>0</v>
      </c>
      <c r="F323" s="102">
        <v>0</v>
      </c>
      <c r="G323" s="102">
        <v>0</v>
      </c>
      <c r="H323" s="102">
        <v>0</v>
      </c>
      <c r="I323" s="102">
        <v>0</v>
      </c>
      <c r="J323" s="102">
        <v>0</v>
      </c>
      <c r="K323" s="102">
        <v>0</v>
      </c>
      <c r="L323" s="102">
        <v>0</v>
      </c>
      <c r="M323" s="102">
        <v>0</v>
      </c>
      <c r="N323" s="102">
        <v>0</v>
      </c>
      <c r="O323" s="102">
        <v>0</v>
      </c>
      <c r="P323" s="103">
        <f t="shared" si="45"/>
        <v>1455</v>
      </c>
      <c r="Q323" s="103">
        <f t="shared" si="46"/>
        <v>43.65</v>
      </c>
      <c r="R323" s="103">
        <f t="shared" si="47"/>
        <v>160.05000000000001</v>
      </c>
      <c r="S323" s="103">
        <v>0</v>
      </c>
      <c r="T323" s="103">
        <v>0</v>
      </c>
      <c r="U323" s="103">
        <f t="shared" si="44"/>
        <v>203.7</v>
      </c>
      <c r="V323" s="103">
        <f t="shared" si="37"/>
        <v>1251.3</v>
      </c>
      <c r="W323" s="103">
        <v>0</v>
      </c>
    </row>
    <row r="324" spans="1:23" ht="25.5" x14ac:dyDescent="0.2">
      <c r="A324" s="128">
        <v>315</v>
      </c>
      <c r="B324" s="58" t="s">
        <v>909</v>
      </c>
      <c r="C324" s="58" t="s">
        <v>910</v>
      </c>
      <c r="D324" s="101">
        <v>1074</v>
      </c>
      <c r="E324" s="102">
        <v>0</v>
      </c>
      <c r="F324" s="102">
        <v>0</v>
      </c>
      <c r="G324" s="103">
        <v>1000</v>
      </c>
      <c r="H324" s="102">
        <v>0</v>
      </c>
      <c r="I324" s="102">
        <v>0</v>
      </c>
      <c r="J324" s="102">
        <v>0</v>
      </c>
      <c r="K324" s="102">
        <v>0</v>
      </c>
      <c r="L324" s="102">
        <v>600</v>
      </c>
      <c r="M324" s="102">
        <v>250</v>
      </c>
      <c r="N324" s="102">
        <v>0</v>
      </c>
      <c r="O324" s="102">
        <v>0</v>
      </c>
      <c r="P324" s="103">
        <f t="shared" si="45"/>
        <v>2924</v>
      </c>
      <c r="Q324" s="103">
        <f t="shared" si="46"/>
        <v>62.22</v>
      </c>
      <c r="R324" s="103">
        <f t="shared" si="47"/>
        <v>228.14</v>
      </c>
      <c r="S324" s="103">
        <v>0</v>
      </c>
      <c r="T324" s="103">
        <v>0</v>
      </c>
      <c r="U324" s="103">
        <f t="shared" si="44"/>
        <v>290.36</v>
      </c>
      <c r="V324" s="103">
        <f t="shared" si="37"/>
        <v>2633.64</v>
      </c>
      <c r="W324" s="103">
        <v>0</v>
      </c>
    </row>
    <row r="325" spans="1:23" ht="25.5" x14ac:dyDescent="0.2">
      <c r="A325" s="128">
        <v>316</v>
      </c>
      <c r="B325" s="122" t="s">
        <v>925</v>
      </c>
      <c r="C325" s="122" t="s">
        <v>576</v>
      </c>
      <c r="D325" s="101">
        <v>1350</v>
      </c>
      <c r="E325" s="102">
        <v>0</v>
      </c>
      <c r="F325" s="102">
        <v>0</v>
      </c>
      <c r="G325" s="103">
        <v>0</v>
      </c>
      <c r="H325" s="102">
        <v>0</v>
      </c>
      <c r="I325" s="102">
        <f>2000+2500</f>
        <v>4500</v>
      </c>
      <c r="J325" s="102">
        <v>0</v>
      </c>
      <c r="K325" s="102">
        <v>0</v>
      </c>
      <c r="L325" s="102">
        <v>0</v>
      </c>
      <c r="M325" s="102">
        <v>250</v>
      </c>
      <c r="N325" s="102"/>
      <c r="O325" s="102">
        <v>0</v>
      </c>
      <c r="P325" s="103">
        <f t="shared" si="45"/>
        <v>6100</v>
      </c>
      <c r="Q325" s="103">
        <f t="shared" si="46"/>
        <v>175.5</v>
      </c>
      <c r="R325" s="103">
        <f t="shared" si="47"/>
        <v>643.5</v>
      </c>
      <c r="S325" s="103">
        <v>61.96</v>
      </c>
      <c r="T325" s="103"/>
      <c r="U325" s="103">
        <f t="shared" si="44"/>
        <v>880.96</v>
      </c>
      <c r="V325" s="103">
        <f t="shared" si="37"/>
        <v>5219.04</v>
      </c>
      <c r="W325" s="103">
        <v>0</v>
      </c>
    </row>
    <row r="326" spans="1:23" ht="25.5" x14ac:dyDescent="0.2">
      <c r="A326" s="128">
        <v>317</v>
      </c>
      <c r="B326" s="58" t="s">
        <v>911</v>
      </c>
      <c r="C326" s="122" t="s">
        <v>574</v>
      </c>
      <c r="D326" s="101">
        <v>1350</v>
      </c>
      <c r="E326" s="102">
        <v>2000</v>
      </c>
      <c r="F326" s="102">
        <v>0</v>
      </c>
      <c r="G326" s="102">
        <v>0</v>
      </c>
      <c r="H326" s="102">
        <v>1600</v>
      </c>
      <c r="I326" s="102">
        <v>2900</v>
      </c>
      <c r="J326" s="102">
        <v>0</v>
      </c>
      <c r="K326" s="102">
        <v>75</v>
      </c>
      <c r="L326" s="102">
        <v>0</v>
      </c>
      <c r="M326" s="102">
        <v>250</v>
      </c>
      <c r="N326" s="102">
        <v>0</v>
      </c>
      <c r="O326" s="102">
        <v>0</v>
      </c>
      <c r="P326" s="103">
        <f t="shared" si="45"/>
        <v>8175</v>
      </c>
      <c r="Q326" s="103">
        <f t="shared" si="46"/>
        <v>237.75</v>
      </c>
      <c r="R326" s="103">
        <f t="shared" si="47"/>
        <v>871.75</v>
      </c>
      <c r="S326" s="103">
        <v>143.03</v>
      </c>
      <c r="T326" s="103">
        <v>105.5</v>
      </c>
      <c r="U326" s="103">
        <f t="shared" si="44"/>
        <v>1358.03</v>
      </c>
      <c r="V326" s="103">
        <f t="shared" si="37"/>
        <v>6816.97</v>
      </c>
      <c r="W326" s="103">
        <f>1174.75</f>
        <v>1174.75</v>
      </c>
    </row>
    <row r="327" spans="1:23" ht="25.5" x14ac:dyDescent="0.2">
      <c r="A327" s="128">
        <v>318</v>
      </c>
      <c r="B327" s="58" t="s">
        <v>911</v>
      </c>
      <c r="C327" s="58" t="s">
        <v>581</v>
      </c>
      <c r="D327" s="101">
        <v>1476</v>
      </c>
      <c r="E327" s="102">
        <v>2000</v>
      </c>
      <c r="F327" s="102">
        <v>0</v>
      </c>
      <c r="G327" s="102">
        <v>0</v>
      </c>
      <c r="H327" s="102">
        <v>0</v>
      </c>
      <c r="I327" s="102">
        <v>4500</v>
      </c>
      <c r="J327" s="102">
        <v>0</v>
      </c>
      <c r="K327" s="102">
        <v>0</v>
      </c>
      <c r="L327" s="102">
        <v>0</v>
      </c>
      <c r="M327" s="102">
        <v>250</v>
      </c>
      <c r="N327" s="102">
        <v>0</v>
      </c>
      <c r="O327" s="102">
        <v>0</v>
      </c>
      <c r="P327" s="103">
        <f t="shared" si="45"/>
        <v>8226</v>
      </c>
      <c r="Q327" s="103">
        <f t="shared" si="46"/>
        <v>239.28</v>
      </c>
      <c r="R327" s="103">
        <f t="shared" si="47"/>
        <v>877.36</v>
      </c>
      <c r="S327" s="103">
        <v>148.33000000000001</v>
      </c>
      <c r="T327" s="103">
        <v>0</v>
      </c>
      <c r="U327" s="103">
        <f t="shared" si="44"/>
        <v>1264.97</v>
      </c>
      <c r="V327" s="103">
        <f t="shared" si="37"/>
        <v>6961.03</v>
      </c>
      <c r="W327" s="103">
        <v>0</v>
      </c>
    </row>
    <row r="328" spans="1:23" ht="25.5" x14ac:dyDescent="0.2">
      <c r="A328" s="128">
        <v>319</v>
      </c>
      <c r="B328" s="24" t="s">
        <v>941</v>
      </c>
      <c r="C328" s="24" t="s">
        <v>200</v>
      </c>
      <c r="D328" s="57">
        <v>9581</v>
      </c>
      <c r="E328" s="102">
        <v>4000</v>
      </c>
      <c r="F328" s="102">
        <v>0</v>
      </c>
      <c r="G328" s="102">
        <v>5000</v>
      </c>
      <c r="H328" s="102">
        <v>0</v>
      </c>
      <c r="I328" s="102">
        <v>0</v>
      </c>
      <c r="J328" s="102">
        <v>375</v>
      </c>
      <c r="K328" s="102">
        <v>0</v>
      </c>
      <c r="L328" s="102">
        <v>0</v>
      </c>
      <c r="M328" s="102">
        <v>250</v>
      </c>
      <c r="N328" s="102">
        <v>0</v>
      </c>
      <c r="O328" s="102">
        <v>0</v>
      </c>
      <c r="P328" s="103">
        <f t="shared" si="45"/>
        <v>19206</v>
      </c>
      <c r="Q328" s="103">
        <f t="shared" si="46"/>
        <v>568.67999999999995</v>
      </c>
      <c r="R328" s="103">
        <f t="shared" si="47"/>
        <v>2085.16</v>
      </c>
      <c r="S328" s="28">
        <v>590.53</v>
      </c>
      <c r="T328" s="28">
        <v>254.77</v>
      </c>
      <c r="U328" s="103">
        <f t="shared" si="44"/>
        <v>3499.14</v>
      </c>
      <c r="V328" s="103">
        <f t="shared" ref="V328:V335" si="48">P328-U328</f>
        <v>15706.86</v>
      </c>
      <c r="W328" s="103">
        <v>0</v>
      </c>
    </row>
    <row r="329" spans="1:23" ht="25.5" x14ac:dyDescent="0.2">
      <c r="A329" s="128">
        <v>320</v>
      </c>
      <c r="B329" s="58" t="s">
        <v>912</v>
      </c>
      <c r="C329" s="58" t="s">
        <v>572</v>
      </c>
      <c r="D329" s="101">
        <v>1074</v>
      </c>
      <c r="E329" s="102">
        <v>400</v>
      </c>
      <c r="F329" s="102">
        <v>0</v>
      </c>
      <c r="G329" s="102">
        <v>1000</v>
      </c>
      <c r="H329" s="102">
        <v>0</v>
      </c>
      <c r="I329" s="102">
        <v>0</v>
      </c>
      <c r="J329" s="102">
        <v>0</v>
      </c>
      <c r="K329" s="102">
        <v>50</v>
      </c>
      <c r="L329" s="102">
        <v>200</v>
      </c>
      <c r="M329" s="102">
        <v>250</v>
      </c>
      <c r="N329" s="102">
        <v>0</v>
      </c>
      <c r="O329" s="102">
        <v>0</v>
      </c>
      <c r="P329" s="103">
        <f t="shared" si="45"/>
        <v>2974</v>
      </c>
      <c r="Q329" s="103">
        <f t="shared" si="46"/>
        <v>75.72</v>
      </c>
      <c r="R329" s="103">
        <f t="shared" si="47"/>
        <v>277.64</v>
      </c>
      <c r="S329" s="103">
        <v>0</v>
      </c>
      <c r="T329" s="103">
        <v>0</v>
      </c>
      <c r="U329" s="103">
        <f t="shared" si="44"/>
        <v>353.36</v>
      </c>
      <c r="V329" s="103">
        <f t="shared" si="48"/>
        <v>2620.64</v>
      </c>
      <c r="W329" s="103">
        <v>0</v>
      </c>
    </row>
    <row r="330" spans="1:23" x14ac:dyDescent="0.2">
      <c r="A330" s="128">
        <v>321</v>
      </c>
      <c r="B330" s="58" t="s">
        <v>913</v>
      </c>
      <c r="C330" s="58" t="s">
        <v>572</v>
      </c>
      <c r="D330" s="101">
        <v>1074</v>
      </c>
      <c r="E330" s="102">
        <v>400</v>
      </c>
      <c r="F330" s="102">
        <v>0</v>
      </c>
      <c r="G330" s="102">
        <v>1000</v>
      </c>
      <c r="H330" s="102">
        <v>0</v>
      </c>
      <c r="I330" s="102">
        <v>0</v>
      </c>
      <c r="J330" s="102">
        <v>0</v>
      </c>
      <c r="K330" s="102">
        <v>50</v>
      </c>
      <c r="L330" s="102">
        <v>200</v>
      </c>
      <c r="M330" s="102">
        <v>250</v>
      </c>
      <c r="N330" s="102">
        <v>0</v>
      </c>
      <c r="O330" s="102">
        <v>0</v>
      </c>
      <c r="P330" s="103">
        <f t="shared" si="45"/>
        <v>2974</v>
      </c>
      <c r="Q330" s="103">
        <f t="shared" si="46"/>
        <v>75.72</v>
      </c>
      <c r="R330" s="103">
        <f t="shared" si="47"/>
        <v>277.64</v>
      </c>
      <c r="S330" s="103">
        <v>0</v>
      </c>
      <c r="T330" s="103">
        <v>0</v>
      </c>
      <c r="U330" s="103">
        <f t="shared" si="44"/>
        <v>353.36</v>
      </c>
      <c r="V330" s="103">
        <f t="shared" si="48"/>
        <v>2620.64</v>
      </c>
      <c r="W330" s="103">
        <v>0</v>
      </c>
    </row>
    <row r="331" spans="1:23" ht="25.5" x14ac:dyDescent="0.2">
      <c r="A331" s="128">
        <v>322</v>
      </c>
      <c r="B331" s="58" t="s">
        <v>914</v>
      </c>
      <c r="C331" s="122" t="s">
        <v>574</v>
      </c>
      <c r="D331" s="101">
        <v>1350</v>
      </c>
      <c r="E331" s="102">
        <v>2000</v>
      </c>
      <c r="F331" s="102">
        <v>0</v>
      </c>
      <c r="G331" s="102">
        <v>0</v>
      </c>
      <c r="H331" s="102">
        <v>1600</v>
      </c>
      <c r="I331" s="102">
        <v>2900</v>
      </c>
      <c r="J331" s="102">
        <v>0</v>
      </c>
      <c r="K331" s="102">
        <v>75</v>
      </c>
      <c r="L331" s="102">
        <v>0</v>
      </c>
      <c r="M331" s="102">
        <v>250</v>
      </c>
      <c r="N331" s="102">
        <v>0</v>
      </c>
      <c r="O331" s="102">
        <v>0</v>
      </c>
      <c r="P331" s="103">
        <f t="shared" si="45"/>
        <v>8175</v>
      </c>
      <c r="Q331" s="103">
        <f t="shared" si="46"/>
        <v>237.75</v>
      </c>
      <c r="R331" s="103">
        <f t="shared" si="47"/>
        <v>871.75</v>
      </c>
      <c r="S331" s="103">
        <v>143.03</v>
      </c>
      <c r="T331" s="103">
        <v>0</v>
      </c>
      <c r="U331" s="103">
        <f t="shared" si="44"/>
        <v>1252.53</v>
      </c>
      <c r="V331" s="103">
        <f t="shared" si="48"/>
        <v>6922.47</v>
      </c>
      <c r="W331" s="103">
        <f>1017</f>
        <v>1017</v>
      </c>
    </row>
    <row r="332" spans="1:23" ht="25.5" x14ac:dyDescent="0.2">
      <c r="A332" s="128">
        <v>323</v>
      </c>
      <c r="B332" s="58" t="s">
        <v>915</v>
      </c>
      <c r="C332" s="122" t="s">
        <v>574</v>
      </c>
      <c r="D332" s="101">
        <v>1350</v>
      </c>
      <c r="E332" s="102">
        <v>2000</v>
      </c>
      <c r="F332" s="102">
        <v>0</v>
      </c>
      <c r="G332" s="102">
        <v>0</v>
      </c>
      <c r="H332" s="102">
        <v>1600</v>
      </c>
      <c r="I332" s="102">
        <f>2900</f>
        <v>2900</v>
      </c>
      <c r="J332" s="102">
        <v>0</v>
      </c>
      <c r="K332" s="102">
        <v>0</v>
      </c>
      <c r="L332" s="102">
        <v>0</v>
      </c>
      <c r="M332" s="102">
        <v>250</v>
      </c>
      <c r="N332" s="102">
        <v>0</v>
      </c>
      <c r="O332" s="102">
        <v>0</v>
      </c>
      <c r="P332" s="103">
        <f t="shared" si="45"/>
        <v>8100</v>
      </c>
      <c r="Q332" s="103">
        <f t="shared" si="46"/>
        <v>235.5</v>
      </c>
      <c r="R332" s="103">
        <f t="shared" si="47"/>
        <v>863.5</v>
      </c>
      <c r="S332" s="103">
        <v>146.18</v>
      </c>
      <c r="T332" s="103">
        <v>0</v>
      </c>
      <c r="U332" s="103">
        <f t="shared" si="44"/>
        <v>1245.18</v>
      </c>
      <c r="V332" s="103">
        <f t="shared" si="48"/>
        <v>6854.82</v>
      </c>
      <c r="W332" s="103">
        <v>0</v>
      </c>
    </row>
    <row r="333" spans="1:23" ht="25.5" x14ac:dyDescent="0.2">
      <c r="A333" s="128">
        <v>324</v>
      </c>
      <c r="B333" s="58" t="s">
        <v>916</v>
      </c>
      <c r="C333" s="122" t="s">
        <v>574</v>
      </c>
      <c r="D333" s="101">
        <v>1350</v>
      </c>
      <c r="E333" s="102">
        <v>2000</v>
      </c>
      <c r="F333" s="102">
        <v>0</v>
      </c>
      <c r="G333" s="102">
        <v>0</v>
      </c>
      <c r="H333" s="102">
        <v>1600</v>
      </c>
      <c r="I333" s="102">
        <v>2900</v>
      </c>
      <c r="J333" s="102">
        <v>0</v>
      </c>
      <c r="K333" s="102">
        <v>75</v>
      </c>
      <c r="L333" s="102">
        <v>0</v>
      </c>
      <c r="M333" s="102">
        <v>250</v>
      </c>
      <c r="N333" s="102">
        <v>0</v>
      </c>
      <c r="O333" s="102">
        <v>0</v>
      </c>
      <c r="P333" s="103">
        <f t="shared" si="45"/>
        <v>8175</v>
      </c>
      <c r="Q333" s="103">
        <f t="shared" si="46"/>
        <v>237.75</v>
      </c>
      <c r="R333" s="103">
        <f t="shared" si="47"/>
        <v>871.75</v>
      </c>
      <c r="S333" s="103">
        <v>145.13</v>
      </c>
      <c r="T333" s="103">
        <v>0</v>
      </c>
      <c r="U333" s="103">
        <f t="shared" si="44"/>
        <v>1254.6300000000001</v>
      </c>
      <c r="V333" s="103">
        <f t="shared" si="48"/>
        <v>6920.37</v>
      </c>
      <c r="W333" s="103">
        <v>0</v>
      </c>
    </row>
    <row r="334" spans="1:23" ht="25.5" x14ac:dyDescent="0.2">
      <c r="A334" s="128">
        <v>325</v>
      </c>
      <c r="B334" s="58" t="s">
        <v>917</v>
      </c>
      <c r="C334" s="58" t="s">
        <v>632</v>
      </c>
      <c r="D334" s="101">
        <v>1192</v>
      </c>
      <c r="E334" s="102">
        <v>550</v>
      </c>
      <c r="F334" s="102">
        <v>0</v>
      </c>
      <c r="G334" s="102">
        <v>1000</v>
      </c>
      <c r="H334" s="102">
        <v>0</v>
      </c>
      <c r="I334" s="102">
        <v>0</v>
      </c>
      <c r="J334" s="102">
        <v>0</v>
      </c>
      <c r="K334" s="102">
        <v>50</v>
      </c>
      <c r="L334" s="102">
        <v>0</v>
      </c>
      <c r="M334" s="102">
        <v>250</v>
      </c>
      <c r="N334" s="102">
        <v>0</v>
      </c>
      <c r="O334" s="102">
        <v>0</v>
      </c>
      <c r="P334" s="103">
        <f t="shared" si="45"/>
        <v>3042</v>
      </c>
      <c r="Q334" s="103">
        <f t="shared" si="46"/>
        <v>83.76</v>
      </c>
      <c r="R334" s="103">
        <f t="shared" si="47"/>
        <v>307.12</v>
      </c>
      <c r="S334" s="103">
        <v>0</v>
      </c>
      <c r="T334" s="103">
        <v>0</v>
      </c>
      <c r="U334" s="103">
        <f t="shared" si="44"/>
        <v>390.88</v>
      </c>
      <c r="V334" s="103">
        <f t="shared" si="48"/>
        <v>2651.12</v>
      </c>
      <c r="W334" s="103">
        <v>0</v>
      </c>
    </row>
    <row r="335" spans="1:23" s="89" customFormat="1" ht="26.25" thickBot="1" x14ac:dyDescent="0.25">
      <c r="A335" s="128">
        <v>326</v>
      </c>
      <c r="B335" s="58" t="s">
        <v>918</v>
      </c>
      <c r="C335" s="122" t="s">
        <v>919</v>
      </c>
      <c r="D335" s="101">
        <v>1701</v>
      </c>
      <c r="E335" s="102">
        <v>1000</v>
      </c>
      <c r="F335" s="102">
        <v>0</v>
      </c>
      <c r="G335" s="102">
        <v>0</v>
      </c>
      <c r="H335" s="102">
        <v>0</v>
      </c>
      <c r="I335" s="102">
        <v>3000</v>
      </c>
      <c r="J335" s="102">
        <v>0</v>
      </c>
      <c r="K335" s="102">
        <v>0</v>
      </c>
      <c r="L335" s="102">
        <v>0</v>
      </c>
      <c r="M335" s="102">
        <v>250</v>
      </c>
      <c r="N335" s="102">
        <v>0</v>
      </c>
      <c r="O335" s="102">
        <v>0</v>
      </c>
      <c r="P335" s="103">
        <f t="shared" si="45"/>
        <v>5951</v>
      </c>
      <c r="Q335" s="103">
        <f t="shared" si="46"/>
        <v>171.03</v>
      </c>
      <c r="R335" s="103">
        <f>(D335+E335+F335+G335+H335+I335+J335+K335+N335)*12%</f>
        <v>684.12</v>
      </c>
      <c r="S335" s="103">
        <v>60.68</v>
      </c>
      <c r="T335" s="103">
        <v>76.62</v>
      </c>
      <c r="U335" s="103">
        <f t="shared" si="44"/>
        <v>992.45</v>
      </c>
      <c r="V335" s="103">
        <f t="shared" si="48"/>
        <v>4958.55</v>
      </c>
      <c r="W335" s="103">
        <v>0</v>
      </c>
    </row>
    <row r="336" spans="1:23" ht="13.5" thickBot="1" x14ac:dyDescent="0.25">
      <c r="A336" s="239" t="s">
        <v>466</v>
      </c>
      <c r="B336" s="240"/>
      <c r="C336" s="241"/>
      <c r="D336" s="106">
        <f t="shared" ref="D336:O336" si="49">SUM(D10:D335)</f>
        <v>555353.1</v>
      </c>
      <c r="E336" s="107">
        <f t="shared" si="49"/>
        <v>402119.67</v>
      </c>
      <c r="F336" s="107">
        <f t="shared" si="49"/>
        <v>70493.73</v>
      </c>
      <c r="G336" s="107">
        <f t="shared" si="49"/>
        <v>161473.32999999999</v>
      </c>
      <c r="H336" s="107">
        <f t="shared" si="49"/>
        <v>202575</v>
      </c>
      <c r="I336" s="107">
        <f t="shared" si="49"/>
        <v>544426.67000000004</v>
      </c>
      <c r="J336" s="107">
        <f t="shared" si="49"/>
        <v>3750</v>
      </c>
      <c r="K336" s="107">
        <f t="shared" si="49"/>
        <v>8406.67</v>
      </c>
      <c r="L336" s="107">
        <f t="shared" si="49"/>
        <v>9800</v>
      </c>
      <c r="M336" s="107">
        <f t="shared" si="49"/>
        <v>68233.33</v>
      </c>
      <c r="N336" s="107">
        <f t="shared" si="49"/>
        <v>6000</v>
      </c>
      <c r="O336" s="107">
        <f t="shared" si="49"/>
        <v>0</v>
      </c>
      <c r="P336" s="107">
        <f t="shared" ref="P336:V336" si="50">SUM(P10:P335)</f>
        <v>2032631.5</v>
      </c>
      <c r="Q336" s="107">
        <f t="shared" si="50"/>
        <v>58644.01</v>
      </c>
      <c r="R336" s="107">
        <f t="shared" si="50"/>
        <v>217737.09</v>
      </c>
      <c r="S336" s="107">
        <f t="shared" si="50"/>
        <v>30716.62</v>
      </c>
      <c r="T336" s="107">
        <f t="shared" si="50"/>
        <v>3039.57</v>
      </c>
      <c r="U336" s="107">
        <f t="shared" si="50"/>
        <v>309523.03000000003</v>
      </c>
      <c r="V336" s="108">
        <f t="shared" si="50"/>
        <v>1723108.47</v>
      </c>
      <c r="W336" s="109">
        <f>SUM(W10:W335)</f>
        <v>72121</v>
      </c>
    </row>
    <row r="337" spans="1:23" s="89" customFormat="1" x14ac:dyDescent="0.2">
      <c r="A337" s="91"/>
      <c r="B337" s="93"/>
      <c r="C337" s="92"/>
      <c r="D337" s="92"/>
      <c r="E337" s="92"/>
      <c r="F337" s="92"/>
      <c r="G337" s="92"/>
      <c r="H337" s="92"/>
      <c r="I337" s="92"/>
      <c r="J337" s="92"/>
      <c r="K337" s="92"/>
      <c r="L337" s="92"/>
      <c r="M337" s="92"/>
      <c r="N337" s="92"/>
      <c r="O337" s="92"/>
      <c r="P337" s="92"/>
      <c r="Q337" s="92"/>
      <c r="R337" s="92"/>
      <c r="S337" s="92"/>
      <c r="T337" s="92"/>
      <c r="U337" s="92"/>
      <c r="V337" s="92"/>
      <c r="W337" s="92"/>
    </row>
    <row r="338" spans="1:23" s="89" customFormat="1" x14ac:dyDescent="0.2">
      <c r="A338" s="91"/>
      <c r="B338" s="93"/>
      <c r="C338" s="92"/>
      <c r="D338" s="92"/>
      <c r="E338" s="92"/>
      <c r="F338" s="92"/>
      <c r="G338" s="92"/>
      <c r="H338" s="92"/>
      <c r="I338" s="92"/>
      <c r="J338" s="92"/>
      <c r="K338" s="92"/>
      <c r="L338" s="92"/>
      <c r="M338" s="92"/>
      <c r="N338" s="92"/>
      <c r="O338" s="92"/>
      <c r="P338" s="92"/>
      <c r="Q338" s="92"/>
      <c r="R338" s="92"/>
      <c r="S338" s="92"/>
      <c r="T338" s="92"/>
      <c r="U338" s="92"/>
      <c r="V338" s="92"/>
      <c r="W338" s="92"/>
    </row>
    <row r="339" spans="1:23" s="89" customFormat="1" x14ac:dyDescent="0.2">
      <c r="A339" s="91"/>
      <c r="B339" s="93"/>
      <c r="C339" s="92"/>
      <c r="D339" s="92"/>
      <c r="E339" s="92"/>
      <c r="F339" s="92"/>
      <c r="G339" s="92"/>
      <c r="H339" s="92"/>
      <c r="I339" s="92"/>
      <c r="J339" s="92"/>
      <c r="K339" s="92"/>
      <c r="L339" s="92"/>
      <c r="M339" s="92"/>
      <c r="N339" s="92"/>
      <c r="O339" s="92"/>
      <c r="P339" s="92"/>
      <c r="Q339" s="92"/>
      <c r="R339" s="92"/>
      <c r="S339" s="92"/>
      <c r="T339" s="92"/>
      <c r="U339" s="92"/>
      <c r="V339" s="92"/>
      <c r="W339" s="92"/>
    </row>
    <row r="340" spans="1:23" s="89" customFormat="1" x14ac:dyDescent="0.2">
      <c r="A340" s="91"/>
      <c r="B340" s="93"/>
      <c r="C340" s="92"/>
      <c r="D340" s="92"/>
      <c r="E340" s="92"/>
      <c r="F340" s="92"/>
      <c r="G340" s="92"/>
      <c r="H340" s="92"/>
      <c r="I340" s="92"/>
      <c r="J340" s="92"/>
      <c r="K340" s="92"/>
      <c r="L340" s="92"/>
      <c r="M340" s="92"/>
      <c r="N340" s="92"/>
      <c r="O340" s="92"/>
      <c r="P340" s="92"/>
      <c r="Q340" s="92"/>
      <c r="R340" s="92"/>
      <c r="S340" s="92"/>
      <c r="T340" s="92"/>
      <c r="U340" s="92"/>
      <c r="V340" s="92"/>
      <c r="W340" s="92"/>
    </row>
    <row r="341" spans="1:23" s="89" customFormat="1" x14ac:dyDescent="0.2">
      <c r="A341" s="91"/>
      <c r="B341" s="93"/>
      <c r="C341" s="92"/>
      <c r="D341" s="92"/>
      <c r="E341" s="92"/>
      <c r="F341" s="92"/>
      <c r="G341" s="92"/>
      <c r="H341" s="92"/>
      <c r="I341" s="92"/>
      <c r="J341" s="92"/>
      <c r="K341" s="92"/>
      <c r="L341" s="92"/>
      <c r="M341" s="92"/>
      <c r="N341" s="92"/>
      <c r="O341" s="92"/>
      <c r="P341" s="92"/>
      <c r="Q341" s="92"/>
      <c r="R341" s="92"/>
      <c r="S341" s="92"/>
      <c r="T341" s="92"/>
      <c r="U341" s="92"/>
      <c r="V341" s="92"/>
      <c r="W341" s="92"/>
    </row>
    <row r="342" spans="1:23" s="89" customFormat="1" x14ac:dyDescent="0.2">
      <c r="A342" s="91"/>
      <c r="B342" s="93"/>
      <c r="C342" s="92"/>
      <c r="D342" s="92"/>
      <c r="E342" s="92"/>
      <c r="F342" s="92"/>
      <c r="G342" s="92"/>
      <c r="H342" s="92"/>
      <c r="I342" s="92"/>
      <c r="J342" s="92"/>
      <c r="K342" s="92"/>
      <c r="L342" s="92"/>
      <c r="M342" s="92"/>
      <c r="N342" s="92"/>
      <c r="O342" s="92"/>
      <c r="P342" s="92"/>
      <c r="Q342" s="92"/>
      <c r="R342" s="92"/>
      <c r="S342" s="92"/>
      <c r="T342" s="92"/>
      <c r="U342" s="92"/>
      <c r="V342" s="92"/>
      <c r="W342" s="92"/>
    </row>
    <row r="343" spans="1:23" s="89" customFormat="1" x14ac:dyDescent="0.2">
      <c r="A343" s="91"/>
      <c r="B343" s="93"/>
      <c r="C343" s="92"/>
      <c r="D343" s="92"/>
      <c r="E343" s="92"/>
      <c r="F343" s="92"/>
      <c r="G343" s="92"/>
      <c r="H343" s="92"/>
      <c r="I343" s="92"/>
      <c r="J343" s="92"/>
      <c r="K343" s="92"/>
      <c r="L343" s="92"/>
      <c r="M343" s="92"/>
      <c r="N343" s="92"/>
      <c r="O343" s="92"/>
      <c r="P343" s="92"/>
      <c r="Q343" s="92"/>
      <c r="R343" s="92"/>
      <c r="S343" s="92"/>
      <c r="T343" s="92"/>
      <c r="U343" s="92"/>
      <c r="V343" s="92"/>
      <c r="W343" s="92"/>
    </row>
    <row r="344" spans="1:23" s="89" customFormat="1" x14ac:dyDescent="0.2">
      <c r="A344" s="91"/>
      <c r="B344" s="93"/>
      <c r="C344" s="92"/>
      <c r="D344" s="92"/>
      <c r="E344" s="92"/>
      <c r="F344" s="92"/>
      <c r="G344" s="92"/>
      <c r="H344" s="92"/>
      <c r="I344" s="92"/>
      <c r="J344" s="92"/>
      <c r="K344" s="92"/>
      <c r="L344" s="92"/>
      <c r="M344" s="92"/>
      <c r="N344" s="92"/>
      <c r="O344" s="92"/>
      <c r="P344" s="92"/>
      <c r="Q344" s="92"/>
      <c r="R344" s="92"/>
      <c r="S344" s="92"/>
      <c r="T344" s="92"/>
      <c r="U344" s="92"/>
      <c r="V344" s="92"/>
      <c r="W344" s="92"/>
    </row>
    <row r="345" spans="1:23" s="89" customFormat="1" x14ac:dyDescent="0.2">
      <c r="A345" s="91"/>
      <c r="B345" s="93"/>
      <c r="C345" s="92"/>
      <c r="D345" s="92"/>
      <c r="E345" s="92"/>
      <c r="F345" s="92"/>
      <c r="G345" s="92"/>
      <c r="H345" s="92"/>
      <c r="I345" s="92"/>
      <c r="J345" s="92"/>
      <c r="K345" s="92"/>
      <c r="L345" s="92"/>
      <c r="M345" s="92"/>
      <c r="N345" s="92"/>
      <c r="O345" s="92"/>
      <c r="P345" s="92"/>
      <c r="Q345" s="92"/>
      <c r="R345" s="92"/>
      <c r="S345" s="92"/>
      <c r="T345" s="92"/>
      <c r="U345" s="92"/>
      <c r="V345" s="92"/>
      <c r="W345" s="92"/>
    </row>
    <row r="346" spans="1:23" s="89" customFormat="1" x14ac:dyDescent="0.2">
      <c r="A346" s="91"/>
      <c r="B346" s="93"/>
      <c r="C346" s="92"/>
      <c r="D346" s="92"/>
      <c r="E346" s="92"/>
      <c r="F346" s="92"/>
      <c r="G346" s="92"/>
      <c r="H346" s="92"/>
      <c r="I346" s="92"/>
      <c r="J346" s="92"/>
      <c r="K346" s="92"/>
      <c r="L346" s="92"/>
      <c r="M346" s="92"/>
      <c r="N346" s="92"/>
      <c r="O346" s="92"/>
      <c r="P346" s="92"/>
      <c r="Q346" s="92"/>
      <c r="R346" s="92"/>
      <c r="S346" s="92"/>
      <c r="T346" s="92"/>
      <c r="U346" s="92"/>
      <c r="V346" s="92"/>
      <c r="W346" s="92"/>
    </row>
    <row r="347" spans="1:23" s="89" customFormat="1" x14ac:dyDescent="0.2">
      <c r="A347" s="91"/>
      <c r="B347" s="93"/>
      <c r="C347" s="92"/>
      <c r="D347" s="92"/>
      <c r="E347" s="92"/>
      <c r="F347" s="92"/>
      <c r="G347" s="92"/>
      <c r="H347" s="92"/>
      <c r="I347" s="92"/>
      <c r="J347" s="92"/>
      <c r="K347" s="92"/>
      <c r="L347" s="92"/>
      <c r="M347" s="92"/>
      <c r="N347" s="92"/>
      <c r="O347" s="92"/>
      <c r="P347" s="92"/>
      <c r="Q347" s="92"/>
      <c r="R347" s="92"/>
      <c r="S347" s="92"/>
      <c r="T347" s="92"/>
      <c r="U347" s="92"/>
      <c r="V347" s="92"/>
      <c r="W347" s="92"/>
    </row>
    <row r="348" spans="1:23" s="89" customFormat="1" x14ac:dyDescent="0.2">
      <c r="A348" s="91"/>
      <c r="B348" s="93"/>
      <c r="C348" s="92"/>
      <c r="D348" s="92"/>
      <c r="E348" s="92"/>
      <c r="F348" s="92"/>
      <c r="G348" s="92"/>
      <c r="H348" s="92"/>
      <c r="I348" s="92"/>
      <c r="J348" s="92"/>
      <c r="K348" s="92"/>
      <c r="L348" s="92"/>
      <c r="M348" s="92"/>
      <c r="N348" s="92"/>
      <c r="O348" s="92"/>
      <c r="P348" s="92"/>
      <c r="Q348" s="92"/>
      <c r="R348" s="92"/>
      <c r="S348" s="92"/>
      <c r="T348" s="92"/>
      <c r="U348" s="92"/>
      <c r="V348" s="92"/>
      <c r="W348" s="92"/>
    </row>
    <row r="349" spans="1:23" s="89" customFormat="1" x14ac:dyDescent="0.2">
      <c r="A349" s="91"/>
      <c r="B349" s="93"/>
      <c r="C349" s="92"/>
      <c r="D349" s="92"/>
      <c r="E349" s="92"/>
      <c r="F349" s="92"/>
      <c r="G349" s="92"/>
      <c r="H349" s="92"/>
      <c r="I349" s="92"/>
      <c r="J349" s="92"/>
      <c r="K349" s="92"/>
      <c r="L349" s="92"/>
      <c r="M349" s="92"/>
      <c r="N349" s="92"/>
      <c r="O349" s="92"/>
      <c r="P349" s="92"/>
      <c r="Q349" s="92"/>
      <c r="R349" s="92"/>
      <c r="S349" s="92"/>
      <c r="T349" s="92"/>
      <c r="U349" s="92"/>
      <c r="V349" s="92"/>
      <c r="W349" s="92"/>
    </row>
    <row r="350" spans="1:23" s="89" customFormat="1" x14ac:dyDescent="0.2">
      <c r="A350" s="91"/>
      <c r="B350" s="93"/>
      <c r="C350" s="92"/>
      <c r="D350" s="92"/>
      <c r="E350" s="92"/>
      <c r="F350" s="92"/>
      <c r="G350" s="92"/>
      <c r="H350" s="92"/>
      <c r="I350" s="92"/>
      <c r="J350" s="92"/>
      <c r="K350" s="92"/>
      <c r="L350" s="92"/>
      <c r="M350" s="92"/>
      <c r="N350" s="92"/>
      <c r="O350" s="92"/>
      <c r="P350" s="92"/>
      <c r="Q350" s="92"/>
      <c r="R350" s="92"/>
      <c r="S350" s="92"/>
      <c r="T350" s="92"/>
      <c r="U350" s="92"/>
      <c r="V350" s="92"/>
      <c r="W350" s="92"/>
    </row>
    <row r="351" spans="1:23" s="89" customFormat="1" x14ac:dyDescent="0.2">
      <c r="A351" s="91"/>
      <c r="B351" s="93"/>
      <c r="C351" s="92"/>
      <c r="D351" s="92"/>
      <c r="E351" s="92"/>
      <c r="F351" s="92"/>
      <c r="G351" s="92"/>
      <c r="H351" s="92"/>
      <c r="I351" s="92"/>
      <c r="J351" s="92"/>
      <c r="K351" s="92"/>
      <c r="L351" s="92"/>
      <c r="M351" s="92"/>
      <c r="N351" s="92"/>
      <c r="O351" s="92"/>
      <c r="P351" s="92"/>
      <c r="Q351" s="92"/>
      <c r="R351" s="92"/>
      <c r="S351" s="92"/>
      <c r="T351" s="92"/>
      <c r="U351" s="92"/>
      <c r="V351" s="92"/>
      <c r="W351" s="92"/>
    </row>
    <row r="352" spans="1:23" s="89" customFormat="1" x14ac:dyDescent="0.2">
      <c r="A352" s="91"/>
      <c r="B352" s="93"/>
      <c r="C352" s="92"/>
      <c r="D352" s="92"/>
      <c r="E352" s="92"/>
      <c r="F352" s="92"/>
      <c r="G352" s="92"/>
      <c r="H352" s="92"/>
      <c r="I352" s="92"/>
      <c r="J352" s="92"/>
      <c r="K352" s="92"/>
      <c r="L352" s="92"/>
      <c r="M352" s="92"/>
      <c r="N352" s="92"/>
      <c r="O352" s="92"/>
      <c r="P352" s="92"/>
      <c r="Q352" s="92"/>
      <c r="R352" s="92"/>
      <c r="S352" s="92"/>
      <c r="T352" s="92"/>
      <c r="U352" s="92"/>
      <c r="V352" s="92"/>
      <c r="W352" s="92"/>
    </row>
    <row r="353" spans="1:23" s="89" customFormat="1" x14ac:dyDescent="0.2">
      <c r="A353" s="91"/>
      <c r="B353" s="93"/>
      <c r="C353" s="92"/>
      <c r="D353" s="92"/>
      <c r="E353" s="92"/>
      <c r="F353" s="92"/>
      <c r="G353" s="92"/>
      <c r="H353" s="92"/>
      <c r="I353" s="92"/>
      <c r="J353" s="92"/>
      <c r="K353" s="92"/>
      <c r="L353" s="92"/>
      <c r="M353" s="92"/>
      <c r="N353" s="92"/>
      <c r="O353" s="92"/>
      <c r="P353" s="92"/>
      <c r="Q353" s="92"/>
      <c r="R353" s="92"/>
      <c r="S353" s="92"/>
      <c r="T353" s="92"/>
      <c r="U353" s="92"/>
      <c r="V353" s="92"/>
      <c r="W353" s="92"/>
    </row>
    <row r="354" spans="1:23" s="89" customFormat="1" x14ac:dyDescent="0.2">
      <c r="A354" s="91"/>
      <c r="B354" s="93"/>
      <c r="C354" s="92"/>
      <c r="D354" s="92"/>
      <c r="E354" s="92"/>
      <c r="F354" s="92"/>
      <c r="G354" s="92"/>
      <c r="H354" s="92"/>
      <c r="I354" s="92"/>
      <c r="J354" s="92"/>
      <c r="K354" s="92"/>
      <c r="L354" s="92"/>
      <c r="M354" s="92"/>
      <c r="N354" s="92"/>
      <c r="O354" s="92"/>
      <c r="P354" s="92"/>
      <c r="Q354" s="92"/>
      <c r="R354" s="92"/>
      <c r="S354" s="92"/>
      <c r="T354" s="92"/>
      <c r="U354" s="92"/>
      <c r="V354" s="92"/>
      <c r="W354" s="92"/>
    </row>
    <row r="355" spans="1:23" s="89" customFormat="1" x14ac:dyDescent="0.2">
      <c r="A355" s="91"/>
      <c r="B355" s="93"/>
      <c r="C355" s="92"/>
      <c r="D355" s="92"/>
      <c r="E355" s="92"/>
      <c r="F355" s="92"/>
      <c r="G355" s="92"/>
      <c r="H355" s="92"/>
      <c r="I355" s="92"/>
      <c r="J355" s="92"/>
      <c r="K355" s="92"/>
      <c r="L355" s="92"/>
      <c r="M355" s="92"/>
      <c r="N355" s="92"/>
      <c r="O355" s="92"/>
      <c r="P355" s="92"/>
      <c r="Q355" s="92"/>
      <c r="R355" s="92"/>
      <c r="S355" s="92"/>
      <c r="T355" s="92"/>
      <c r="U355" s="92"/>
      <c r="V355" s="92"/>
      <c r="W355" s="92"/>
    </row>
    <row r="356" spans="1:23" s="89" customFormat="1" x14ac:dyDescent="0.2">
      <c r="A356" s="91"/>
      <c r="B356" s="93"/>
      <c r="C356" s="92"/>
      <c r="D356" s="92"/>
      <c r="E356" s="92"/>
      <c r="F356" s="92"/>
      <c r="G356" s="92"/>
      <c r="H356" s="92"/>
      <c r="I356" s="92"/>
      <c r="J356" s="92"/>
      <c r="K356" s="92"/>
      <c r="L356" s="92"/>
      <c r="M356" s="92"/>
      <c r="N356" s="92"/>
      <c r="O356" s="92"/>
      <c r="P356" s="92"/>
      <c r="Q356" s="92"/>
      <c r="R356" s="92"/>
      <c r="S356" s="92"/>
      <c r="T356" s="92"/>
      <c r="U356" s="92"/>
      <c r="V356" s="92"/>
      <c r="W356" s="92"/>
    </row>
    <row r="357" spans="1:23" s="89" customFormat="1" x14ac:dyDescent="0.2">
      <c r="A357" s="91"/>
      <c r="B357" s="93"/>
      <c r="C357" s="92"/>
      <c r="D357" s="92"/>
      <c r="E357" s="92"/>
      <c r="F357" s="92"/>
      <c r="G357" s="92"/>
      <c r="H357" s="92"/>
      <c r="I357" s="92"/>
      <c r="J357" s="92"/>
      <c r="K357" s="92"/>
      <c r="L357" s="92"/>
      <c r="M357" s="92"/>
      <c r="N357" s="92"/>
      <c r="O357" s="92"/>
      <c r="P357" s="92"/>
      <c r="Q357" s="92"/>
      <c r="R357" s="92"/>
      <c r="S357" s="92"/>
      <c r="T357" s="92"/>
      <c r="U357" s="92"/>
      <c r="V357" s="92"/>
      <c r="W357" s="92"/>
    </row>
    <row r="358" spans="1:23" s="89" customFormat="1" x14ac:dyDescent="0.2">
      <c r="A358" s="91"/>
      <c r="B358" s="93"/>
      <c r="C358" s="92"/>
      <c r="D358" s="92"/>
      <c r="E358" s="92"/>
      <c r="F358" s="92"/>
      <c r="G358" s="92"/>
      <c r="H358" s="92"/>
      <c r="I358" s="92"/>
      <c r="J358" s="92"/>
      <c r="K358" s="92"/>
      <c r="L358" s="92"/>
      <c r="M358" s="92"/>
      <c r="N358" s="92"/>
      <c r="O358" s="92"/>
      <c r="P358" s="92"/>
      <c r="Q358" s="92"/>
      <c r="R358" s="92"/>
      <c r="S358" s="92"/>
      <c r="T358" s="92"/>
      <c r="U358" s="92"/>
      <c r="V358" s="92"/>
      <c r="W358" s="92"/>
    </row>
    <row r="359" spans="1:23" s="89" customFormat="1" x14ac:dyDescent="0.2">
      <c r="A359" s="91"/>
      <c r="B359" s="93"/>
      <c r="C359" s="92"/>
      <c r="D359" s="92"/>
      <c r="E359" s="92"/>
      <c r="F359" s="92"/>
      <c r="G359" s="92"/>
      <c r="H359" s="92"/>
      <c r="I359" s="92"/>
      <c r="J359" s="92"/>
      <c r="K359" s="92"/>
      <c r="L359" s="92"/>
      <c r="M359" s="92"/>
      <c r="N359" s="92"/>
      <c r="O359" s="92"/>
      <c r="P359" s="92"/>
      <c r="Q359" s="92"/>
      <c r="R359" s="92"/>
      <c r="S359" s="92"/>
      <c r="T359" s="92"/>
      <c r="U359" s="92"/>
      <c r="V359" s="92"/>
      <c r="W359" s="92"/>
    </row>
    <row r="360" spans="1:23" s="89" customFormat="1" x14ac:dyDescent="0.2">
      <c r="A360" s="91"/>
      <c r="B360" s="93"/>
      <c r="C360" s="92"/>
      <c r="D360" s="92"/>
      <c r="E360" s="92"/>
      <c r="F360" s="92"/>
      <c r="G360" s="92"/>
      <c r="H360" s="92"/>
      <c r="I360" s="92"/>
      <c r="J360" s="92"/>
      <c r="K360" s="92"/>
      <c r="L360" s="92"/>
      <c r="M360" s="92"/>
      <c r="N360" s="92"/>
      <c r="O360" s="92"/>
      <c r="P360" s="92"/>
      <c r="Q360" s="92"/>
      <c r="R360" s="92"/>
      <c r="S360" s="92"/>
      <c r="T360" s="92"/>
      <c r="U360" s="92"/>
      <c r="V360" s="92"/>
      <c r="W360" s="92"/>
    </row>
    <row r="361" spans="1:23" s="89" customFormat="1" x14ac:dyDescent="0.2">
      <c r="A361" s="91"/>
      <c r="B361" s="93"/>
      <c r="C361" s="92"/>
      <c r="D361" s="92"/>
      <c r="E361" s="92"/>
      <c r="F361" s="92"/>
      <c r="G361" s="92"/>
      <c r="H361" s="92"/>
      <c r="I361" s="92"/>
      <c r="J361" s="92"/>
      <c r="K361" s="92"/>
      <c r="L361" s="92"/>
      <c r="M361" s="92"/>
      <c r="N361" s="92"/>
      <c r="O361" s="92"/>
      <c r="P361" s="92"/>
      <c r="Q361" s="92"/>
      <c r="R361" s="92"/>
      <c r="S361" s="92"/>
      <c r="T361" s="92"/>
      <c r="U361" s="92"/>
      <c r="V361" s="92"/>
      <c r="W361" s="92"/>
    </row>
    <row r="362" spans="1:23" s="89" customFormat="1" x14ac:dyDescent="0.2">
      <c r="A362" s="91"/>
      <c r="B362" s="93"/>
      <c r="C362" s="92"/>
      <c r="D362" s="92"/>
      <c r="E362" s="92"/>
      <c r="F362" s="92"/>
      <c r="G362" s="92"/>
      <c r="H362" s="92"/>
      <c r="I362" s="92"/>
      <c r="J362" s="92"/>
      <c r="K362" s="92"/>
      <c r="L362" s="92"/>
      <c r="M362" s="92"/>
      <c r="N362" s="92"/>
      <c r="O362" s="92"/>
      <c r="P362" s="92"/>
      <c r="Q362" s="92"/>
      <c r="R362" s="92"/>
      <c r="S362" s="92"/>
      <c r="T362" s="92"/>
      <c r="U362" s="92"/>
      <c r="V362" s="92"/>
      <c r="W362" s="92"/>
    </row>
    <row r="363" spans="1:23" s="89" customFormat="1" x14ac:dyDescent="0.2">
      <c r="A363" s="91"/>
      <c r="B363" s="93"/>
      <c r="C363" s="92"/>
      <c r="D363" s="92"/>
      <c r="E363" s="92"/>
      <c r="F363" s="92"/>
      <c r="G363" s="92"/>
      <c r="H363" s="92"/>
      <c r="I363" s="92"/>
      <c r="J363" s="92"/>
      <c r="K363" s="92"/>
      <c r="L363" s="92"/>
      <c r="M363" s="92"/>
      <c r="N363" s="92"/>
      <c r="O363" s="92"/>
      <c r="P363" s="92"/>
      <c r="Q363" s="92"/>
      <c r="R363" s="92"/>
      <c r="S363" s="92"/>
      <c r="T363" s="92"/>
      <c r="U363" s="92"/>
      <c r="V363" s="92"/>
      <c r="W363" s="92"/>
    </row>
    <row r="364" spans="1:23" s="89" customFormat="1" x14ac:dyDescent="0.2">
      <c r="A364" s="91"/>
      <c r="B364" s="93"/>
      <c r="C364" s="92"/>
      <c r="D364" s="92"/>
      <c r="E364" s="92"/>
      <c r="F364" s="92"/>
      <c r="G364" s="92"/>
      <c r="H364" s="92"/>
      <c r="I364" s="92"/>
      <c r="J364" s="92"/>
      <c r="K364" s="92"/>
      <c r="L364" s="92"/>
      <c r="M364" s="92"/>
      <c r="N364" s="92"/>
      <c r="O364" s="92"/>
      <c r="P364" s="92"/>
      <c r="Q364" s="92"/>
      <c r="R364" s="92"/>
      <c r="S364" s="92"/>
      <c r="T364" s="92"/>
      <c r="U364" s="92"/>
      <c r="V364" s="92"/>
      <c r="W364" s="92"/>
    </row>
    <row r="365" spans="1:23" s="89" customFormat="1" x14ac:dyDescent="0.2">
      <c r="A365" s="91"/>
      <c r="B365" s="93"/>
      <c r="C365" s="92"/>
      <c r="D365" s="92"/>
      <c r="E365" s="92"/>
      <c r="F365" s="92"/>
      <c r="G365" s="92"/>
      <c r="H365" s="92"/>
      <c r="I365" s="92"/>
      <c r="J365" s="92"/>
      <c r="K365" s="92"/>
      <c r="L365" s="92"/>
      <c r="M365" s="92"/>
      <c r="N365" s="92"/>
      <c r="O365" s="92"/>
      <c r="P365" s="92"/>
      <c r="Q365" s="92"/>
      <c r="R365" s="92"/>
      <c r="S365" s="92"/>
      <c r="T365" s="92"/>
      <c r="U365" s="92"/>
      <c r="V365" s="92"/>
      <c r="W365" s="92"/>
    </row>
    <row r="366" spans="1:23" s="89" customFormat="1" x14ac:dyDescent="0.2">
      <c r="A366" s="91"/>
      <c r="B366" s="93"/>
      <c r="C366" s="92"/>
      <c r="D366" s="92"/>
      <c r="E366" s="92"/>
      <c r="F366" s="92"/>
      <c r="G366" s="92"/>
      <c r="H366" s="92"/>
      <c r="I366" s="92"/>
      <c r="J366" s="92"/>
      <c r="K366" s="92"/>
      <c r="L366" s="92"/>
      <c r="M366" s="92"/>
      <c r="N366" s="92"/>
      <c r="O366" s="92"/>
      <c r="P366" s="92"/>
      <c r="Q366" s="92"/>
      <c r="R366" s="92"/>
      <c r="S366" s="92"/>
      <c r="T366" s="92"/>
      <c r="U366" s="92"/>
      <c r="V366" s="92"/>
      <c r="W366" s="92"/>
    </row>
    <row r="367" spans="1:23" s="89" customFormat="1" x14ac:dyDescent="0.2">
      <c r="A367" s="91"/>
      <c r="B367" s="93"/>
      <c r="C367" s="92"/>
      <c r="D367" s="92"/>
      <c r="E367" s="92"/>
      <c r="F367" s="92"/>
      <c r="G367" s="92"/>
      <c r="H367" s="92"/>
      <c r="I367" s="92"/>
      <c r="J367" s="92"/>
      <c r="K367" s="92"/>
      <c r="L367" s="92"/>
      <c r="M367" s="92"/>
      <c r="N367" s="92"/>
      <c r="O367" s="92"/>
      <c r="P367" s="92"/>
      <c r="Q367" s="92"/>
      <c r="R367" s="92"/>
      <c r="S367" s="92"/>
      <c r="T367" s="92"/>
      <c r="U367" s="92"/>
      <c r="V367" s="92"/>
      <c r="W367" s="92"/>
    </row>
    <row r="368" spans="1:23" s="89" customFormat="1" x14ac:dyDescent="0.2">
      <c r="A368" s="91"/>
      <c r="B368" s="93"/>
      <c r="C368" s="92"/>
      <c r="D368" s="92"/>
      <c r="E368" s="92"/>
      <c r="F368" s="92"/>
      <c r="G368" s="92"/>
      <c r="H368" s="92"/>
      <c r="I368" s="92"/>
      <c r="J368" s="92"/>
      <c r="K368" s="92"/>
      <c r="L368" s="92"/>
      <c r="M368" s="92"/>
      <c r="N368" s="92"/>
      <c r="O368" s="92"/>
      <c r="P368" s="92"/>
      <c r="Q368" s="92"/>
      <c r="R368" s="92"/>
      <c r="S368" s="92"/>
      <c r="T368" s="92"/>
      <c r="U368" s="92"/>
      <c r="V368" s="92"/>
      <c r="W368" s="92"/>
    </row>
    <row r="369" spans="1:23" s="89" customFormat="1" x14ac:dyDescent="0.2">
      <c r="A369" s="91"/>
      <c r="B369" s="93"/>
      <c r="C369" s="92"/>
      <c r="D369" s="92"/>
      <c r="E369" s="92"/>
      <c r="F369" s="92"/>
      <c r="G369" s="92"/>
      <c r="H369" s="92"/>
      <c r="I369" s="92"/>
      <c r="J369" s="92"/>
      <c r="K369" s="92"/>
      <c r="L369" s="92"/>
      <c r="M369" s="92"/>
      <c r="N369" s="92"/>
      <c r="O369" s="92"/>
      <c r="P369" s="92"/>
      <c r="Q369" s="92"/>
      <c r="R369" s="92"/>
      <c r="S369" s="92"/>
      <c r="T369" s="92"/>
      <c r="U369" s="92"/>
      <c r="V369" s="92"/>
      <c r="W369" s="92"/>
    </row>
    <row r="370" spans="1:23" s="89" customFormat="1" x14ac:dyDescent="0.2">
      <c r="A370" s="91"/>
      <c r="B370" s="93"/>
      <c r="C370" s="92"/>
      <c r="D370" s="92"/>
      <c r="E370" s="92"/>
      <c r="F370" s="92"/>
      <c r="G370" s="92"/>
      <c r="H370" s="92"/>
      <c r="I370" s="92"/>
      <c r="J370" s="92"/>
      <c r="K370" s="92"/>
      <c r="L370" s="92"/>
      <c r="M370" s="92"/>
      <c r="N370" s="92"/>
      <c r="O370" s="92"/>
      <c r="P370" s="92"/>
      <c r="Q370" s="92"/>
      <c r="R370" s="92"/>
      <c r="S370" s="92"/>
      <c r="T370" s="92"/>
      <c r="U370" s="92"/>
      <c r="V370" s="92"/>
      <c r="W370" s="92"/>
    </row>
    <row r="371" spans="1:23" s="89" customFormat="1" x14ac:dyDescent="0.2">
      <c r="A371" s="91"/>
      <c r="B371" s="93"/>
      <c r="C371" s="92"/>
      <c r="D371" s="92"/>
      <c r="E371" s="92"/>
      <c r="F371" s="92"/>
      <c r="G371" s="92"/>
      <c r="H371" s="92"/>
      <c r="I371" s="92"/>
      <c r="J371" s="92"/>
      <c r="K371" s="92"/>
      <c r="L371" s="92"/>
      <c r="M371" s="92"/>
      <c r="N371" s="92"/>
      <c r="O371" s="92"/>
      <c r="P371" s="92"/>
      <c r="Q371" s="92"/>
      <c r="R371" s="92"/>
      <c r="S371" s="92"/>
      <c r="T371" s="92"/>
      <c r="U371" s="92"/>
      <c r="V371" s="92"/>
      <c r="W371" s="92"/>
    </row>
    <row r="372" spans="1:23" s="89" customFormat="1" x14ac:dyDescent="0.2">
      <c r="A372" s="91"/>
      <c r="B372" s="93"/>
      <c r="C372" s="92"/>
      <c r="D372" s="92"/>
      <c r="E372" s="92"/>
      <c r="F372" s="92"/>
      <c r="G372" s="92"/>
      <c r="H372" s="92"/>
      <c r="I372" s="92"/>
      <c r="J372" s="92"/>
      <c r="K372" s="92"/>
      <c r="L372" s="92"/>
      <c r="M372" s="92"/>
      <c r="N372" s="92"/>
      <c r="O372" s="92"/>
      <c r="P372" s="92"/>
      <c r="Q372" s="92"/>
      <c r="R372" s="92"/>
      <c r="S372" s="92"/>
      <c r="T372" s="92"/>
      <c r="U372" s="92"/>
      <c r="V372" s="92"/>
      <c r="W372" s="92"/>
    </row>
    <row r="373" spans="1:23" s="89" customFormat="1" x14ac:dyDescent="0.2">
      <c r="A373" s="91"/>
      <c r="B373" s="93"/>
      <c r="C373" s="92"/>
      <c r="D373" s="92"/>
      <c r="E373" s="92"/>
      <c r="F373" s="92"/>
      <c r="G373" s="92"/>
      <c r="H373" s="92"/>
      <c r="I373" s="92"/>
      <c r="J373" s="92"/>
      <c r="K373" s="92"/>
      <c r="L373" s="92"/>
      <c r="M373" s="92"/>
      <c r="N373" s="92"/>
      <c r="O373" s="92"/>
      <c r="P373" s="92"/>
      <c r="Q373" s="92"/>
      <c r="R373" s="92"/>
      <c r="S373" s="92"/>
      <c r="T373" s="92"/>
      <c r="U373" s="92"/>
      <c r="V373" s="92"/>
      <c r="W373" s="92"/>
    </row>
    <row r="374" spans="1:23" s="89" customFormat="1" x14ac:dyDescent="0.2">
      <c r="A374" s="91"/>
      <c r="B374" s="93"/>
      <c r="C374" s="92"/>
      <c r="D374" s="92"/>
      <c r="E374" s="92"/>
      <c r="F374" s="92"/>
      <c r="G374" s="92"/>
      <c r="H374" s="92"/>
      <c r="I374" s="92"/>
      <c r="J374" s="92"/>
      <c r="K374" s="92"/>
      <c r="L374" s="92"/>
      <c r="M374" s="92"/>
      <c r="N374" s="92"/>
      <c r="O374" s="92"/>
      <c r="P374" s="92"/>
      <c r="Q374" s="92"/>
      <c r="R374" s="92"/>
      <c r="S374" s="92"/>
      <c r="T374" s="92"/>
      <c r="U374" s="92"/>
      <c r="V374" s="92"/>
      <c r="W374" s="92"/>
    </row>
    <row r="375" spans="1:23" s="89" customFormat="1" x14ac:dyDescent="0.2">
      <c r="A375" s="91"/>
      <c r="B375" s="93"/>
      <c r="C375" s="92"/>
      <c r="D375" s="92"/>
      <c r="E375" s="92"/>
      <c r="F375" s="92"/>
      <c r="G375" s="92"/>
      <c r="H375" s="92"/>
      <c r="I375" s="92"/>
      <c r="J375" s="92"/>
      <c r="K375" s="92"/>
      <c r="L375" s="92"/>
      <c r="M375" s="92"/>
      <c r="N375" s="92"/>
      <c r="O375" s="92"/>
      <c r="P375" s="92"/>
      <c r="Q375" s="92"/>
      <c r="R375" s="92"/>
      <c r="S375" s="92"/>
      <c r="T375" s="92"/>
      <c r="U375" s="92"/>
      <c r="V375" s="92"/>
      <c r="W375" s="92"/>
    </row>
    <row r="376" spans="1:23" s="89" customFormat="1" x14ac:dyDescent="0.2">
      <c r="A376" s="91"/>
      <c r="B376" s="93"/>
      <c r="C376" s="92"/>
      <c r="D376" s="92"/>
      <c r="E376" s="92"/>
      <c r="F376" s="92"/>
      <c r="G376" s="92"/>
      <c r="H376" s="92"/>
      <c r="I376" s="92"/>
      <c r="J376" s="92"/>
      <c r="K376" s="92"/>
      <c r="L376" s="92"/>
      <c r="M376" s="92"/>
      <c r="N376" s="92"/>
      <c r="O376" s="92"/>
      <c r="P376" s="92"/>
      <c r="Q376" s="92"/>
      <c r="R376" s="92"/>
      <c r="S376" s="92"/>
      <c r="T376" s="92"/>
      <c r="U376" s="92"/>
      <c r="V376" s="92"/>
      <c r="W376" s="92"/>
    </row>
    <row r="377" spans="1:23" s="89" customFormat="1" x14ac:dyDescent="0.2">
      <c r="A377" s="91"/>
      <c r="B377" s="93"/>
      <c r="C377" s="92"/>
      <c r="D377" s="92"/>
      <c r="E377" s="92"/>
      <c r="F377" s="92"/>
      <c r="G377" s="92"/>
      <c r="H377" s="92"/>
      <c r="I377" s="92"/>
      <c r="J377" s="92"/>
      <c r="K377" s="92"/>
      <c r="L377" s="92"/>
      <c r="M377" s="92"/>
      <c r="N377" s="92"/>
      <c r="O377" s="92"/>
      <c r="P377" s="92"/>
      <c r="Q377" s="92"/>
      <c r="R377" s="92"/>
      <c r="S377" s="92"/>
      <c r="T377" s="92"/>
      <c r="U377" s="92"/>
      <c r="V377" s="92"/>
      <c r="W377" s="92"/>
    </row>
    <row r="378" spans="1:23" s="89" customFormat="1" x14ac:dyDescent="0.2">
      <c r="A378" s="91"/>
      <c r="B378" s="93"/>
      <c r="C378" s="92"/>
      <c r="D378" s="92"/>
      <c r="E378" s="92"/>
      <c r="F378" s="92"/>
      <c r="G378" s="92"/>
      <c r="H378" s="92"/>
      <c r="I378" s="92"/>
      <c r="J378" s="92"/>
      <c r="K378" s="92"/>
      <c r="L378" s="92"/>
      <c r="M378" s="92"/>
      <c r="N378" s="92"/>
      <c r="O378" s="92"/>
      <c r="P378" s="92"/>
      <c r="Q378" s="92"/>
      <c r="R378" s="92"/>
      <c r="S378" s="92"/>
      <c r="T378" s="92"/>
      <c r="U378" s="92"/>
      <c r="V378" s="92"/>
      <c r="W378" s="92"/>
    </row>
    <row r="379" spans="1:23" s="89" customFormat="1" x14ac:dyDescent="0.2">
      <c r="A379" s="91"/>
      <c r="B379" s="93"/>
      <c r="C379" s="92"/>
      <c r="D379" s="92"/>
      <c r="E379" s="92"/>
      <c r="F379" s="92"/>
      <c r="G379" s="92"/>
      <c r="H379" s="92"/>
      <c r="I379" s="92"/>
      <c r="J379" s="92"/>
      <c r="K379" s="92"/>
      <c r="L379" s="92"/>
      <c r="M379" s="92"/>
      <c r="N379" s="92"/>
      <c r="O379" s="92"/>
      <c r="P379" s="92"/>
      <c r="Q379" s="92"/>
      <c r="R379" s="92"/>
      <c r="S379" s="92"/>
      <c r="T379" s="92"/>
      <c r="U379" s="92"/>
      <c r="V379" s="92"/>
      <c r="W379" s="92"/>
    </row>
    <row r="380" spans="1:23" s="89" customFormat="1" x14ac:dyDescent="0.2">
      <c r="A380" s="91"/>
      <c r="B380" s="93"/>
      <c r="C380" s="92"/>
      <c r="D380" s="92"/>
      <c r="E380" s="92"/>
      <c r="F380" s="92"/>
      <c r="G380" s="92"/>
      <c r="H380" s="92"/>
      <c r="I380" s="92"/>
      <c r="J380" s="92"/>
      <c r="K380" s="92"/>
      <c r="L380" s="92"/>
      <c r="M380" s="92"/>
      <c r="N380" s="92"/>
      <c r="O380" s="92"/>
      <c r="P380" s="92"/>
      <c r="Q380" s="92"/>
      <c r="R380" s="92"/>
      <c r="S380" s="92"/>
      <c r="T380" s="92"/>
      <c r="U380" s="92"/>
      <c r="V380" s="92"/>
      <c r="W380" s="92"/>
    </row>
    <row r="381" spans="1:23" s="89" customFormat="1" x14ac:dyDescent="0.2">
      <c r="A381" s="91"/>
      <c r="B381" s="93"/>
      <c r="C381" s="92"/>
      <c r="D381" s="92"/>
      <c r="E381" s="92"/>
      <c r="F381" s="92"/>
      <c r="G381" s="92"/>
      <c r="H381" s="92"/>
      <c r="I381" s="92"/>
      <c r="J381" s="92"/>
      <c r="K381" s="92"/>
      <c r="L381" s="92"/>
      <c r="M381" s="92"/>
      <c r="N381" s="92"/>
      <c r="O381" s="92"/>
      <c r="P381" s="92"/>
      <c r="Q381" s="92"/>
      <c r="R381" s="92"/>
      <c r="S381" s="92"/>
      <c r="T381" s="92"/>
      <c r="U381" s="92"/>
      <c r="V381" s="92"/>
      <c r="W381" s="92"/>
    </row>
    <row r="382" spans="1:23" s="89" customFormat="1" x14ac:dyDescent="0.2">
      <c r="A382" s="91"/>
      <c r="B382" s="93"/>
      <c r="C382" s="92"/>
      <c r="D382" s="92"/>
      <c r="E382" s="92"/>
      <c r="F382" s="92"/>
      <c r="G382" s="92"/>
      <c r="H382" s="92"/>
      <c r="I382" s="92"/>
      <c r="J382" s="92"/>
      <c r="K382" s="92"/>
      <c r="L382" s="92"/>
      <c r="M382" s="92"/>
      <c r="N382" s="92"/>
      <c r="O382" s="92"/>
      <c r="P382" s="92"/>
      <c r="Q382" s="92"/>
      <c r="R382" s="92"/>
      <c r="S382" s="92"/>
      <c r="T382" s="92"/>
      <c r="U382" s="92"/>
      <c r="V382" s="92"/>
      <c r="W382" s="92"/>
    </row>
    <row r="383" spans="1:23" s="89" customFormat="1" x14ac:dyDescent="0.2">
      <c r="A383" s="91"/>
      <c r="B383" s="93"/>
      <c r="C383" s="92"/>
      <c r="D383" s="92"/>
      <c r="E383" s="92"/>
      <c r="F383" s="92"/>
      <c r="G383" s="92"/>
      <c r="H383" s="92"/>
      <c r="I383" s="92"/>
      <c r="J383" s="92"/>
      <c r="K383" s="92"/>
      <c r="L383" s="92"/>
      <c r="M383" s="92"/>
      <c r="N383" s="92"/>
      <c r="O383" s="92"/>
      <c r="P383" s="92"/>
      <c r="Q383" s="92"/>
      <c r="R383" s="92"/>
      <c r="S383" s="92"/>
      <c r="T383" s="92"/>
      <c r="U383" s="92"/>
      <c r="V383" s="92"/>
      <c r="W383" s="92"/>
    </row>
    <row r="384" spans="1:23" s="89" customFormat="1" x14ac:dyDescent="0.2">
      <c r="A384" s="91"/>
      <c r="B384" s="93"/>
      <c r="C384" s="92"/>
      <c r="D384" s="92"/>
      <c r="E384" s="92"/>
      <c r="F384" s="92"/>
      <c r="G384" s="92"/>
      <c r="H384" s="92"/>
      <c r="I384" s="92"/>
      <c r="J384" s="92"/>
      <c r="K384" s="92"/>
      <c r="L384" s="92"/>
      <c r="M384" s="92"/>
      <c r="N384" s="92"/>
      <c r="O384" s="92"/>
      <c r="P384" s="92"/>
      <c r="Q384" s="92"/>
      <c r="R384" s="92"/>
      <c r="S384" s="92"/>
      <c r="T384" s="92"/>
      <c r="U384" s="92"/>
      <c r="V384" s="92"/>
      <c r="W384" s="92"/>
    </row>
    <row r="385" spans="1:23" s="89" customFormat="1" x14ac:dyDescent="0.2">
      <c r="A385" s="91"/>
      <c r="B385" s="93"/>
      <c r="C385" s="92"/>
      <c r="D385" s="92"/>
      <c r="E385" s="92"/>
      <c r="F385" s="92"/>
      <c r="G385" s="92"/>
      <c r="H385" s="92"/>
      <c r="I385" s="92"/>
      <c r="J385" s="92"/>
      <c r="K385" s="92"/>
      <c r="L385" s="92"/>
      <c r="M385" s="92"/>
      <c r="N385" s="92"/>
      <c r="O385" s="92"/>
      <c r="P385" s="92"/>
      <c r="Q385" s="92"/>
      <c r="R385" s="92"/>
      <c r="S385" s="92"/>
      <c r="T385" s="92"/>
      <c r="U385" s="92"/>
      <c r="V385" s="92"/>
      <c r="W385" s="92"/>
    </row>
    <row r="386" spans="1:23" s="89" customFormat="1" x14ac:dyDescent="0.2">
      <c r="A386" s="91"/>
      <c r="B386" s="93"/>
      <c r="C386" s="92"/>
      <c r="D386" s="92"/>
      <c r="E386" s="92"/>
      <c r="F386" s="92"/>
      <c r="G386" s="92"/>
      <c r="H386" s="92"/>
      <c r="I386" s="92"/>
      <c r="J386" s="92"/>
      <c r="K386" s="92"/>
      <c r="L386" s="92"/>
      <c r="M386" s="92"/>
      <c r="N386" s="92"/>
      <c r="O386" s="92"/>
      <c r="P386" s="92"/>
      <c r="Q386" s="92"/>
      <c r="R386" s="92"/>
      <c r="S386" s="92"/>
      <c r="T386" s="92"/>
      <c r="U386" s="92"/>
      <c r="V386" s="92"/>
      <c r="W386" s="92"/>
    </row>
    <row r="387" spans="1:23" s="89" customFormat="1" x14ac:dyDescent="0.2">
      <c r="A387" s="91"/>
      <c r="B387" s="93"/>
      <c r="C387" s="92"/>
      <c r="D387" s="92"/>
      <c r="E387" s="92"/>
      <c r="F387" s="92"/>
      <c r="G387" s="92"/>
      <c r="H387" s="92"/>
      <c r="I387" s="92"/>
      <c r="J387" s="92"/>
      <c r="K387" s="92"/>
      <c r="L387" s="92"/>
      <c r="M387" s="92"/>
      <c r="N387" s="92"/>
      <c r="O387" s="92"/>
      <c r="P387" s="92"/>
      <c r="Q387" s="92"/>
      <c r="R387" s="92"/>
      <c r="S387" s="92"/>
      <c r="T387" s="92"/>
      <c r="U387" s="92"/>
      <c r="V387" s="92"/>
      <c r="W387" s="92"/>
    </row>
    <row r="388" spans="1:23" s="89" customFormat="1" x14ac:dyDescent="0.2">
      <c r="A388" s="91"/>
      <c r="B388" s="93"/>
      <c r="C388" s="92"/>
      <c r="D388" s="92"/>
      <c r="E388" s="92"/>
      <c r="F388" s="92"/>
      <c r="G388" s="92"/>
      <c r="H388" s="92"/>
      <c r="I388" s="92"/>
      <c r="J388" s="92"/>
      <c r="K388" s="92"/>
      <c r="L388" s="92"/>
      <c r="M388" s="92"/>
      <c r="N388" s="92"/>
      <c r="O388" s="92"/>
      <c r="P388" s="92"/>
      <c r="Q388" s="92"/>
      <c r="R388" s="92"/>
      <c r="S388" s="92"/>
      <c r="T388" s="92"/>
      <c r="U388" s="92"/>
      <c r="V388" s="92"/>
      <c r="W388" s="92"/>
    </row>
    <row r="389" spans="1:23" s="89" customFormat="1" x14ac:dyDescent="0.2">
      <c r="A389" s="91"/>
      <c r="B389" s="93"/>
      <c r="C389" s="92"/>
      <c r="D389" s="92"/>
      <c r="E389" s="92"/>
      <c r="F389" s="92"/>
      <c r="G389" s="92"/>
      <c r="H389" s="92"/>
      <c r="I389" s="92"/>
      <c r="J389" s="92"/>
      <c r="K389" s="92"/>
      <c r="L389" s="92"/>
      <c r="M389" s="92"/>
      <c r="N389" s="92"/>
      <c r="O389" s="92"/>
      <c r="P389" s="92"/>
      <c r="Q389" s="92"/>
      <c r="R389" s="92"/>
      <c r="S389" s="92"/>
      <c r="T389" s="92"/>
      <c r="U389" s="92"/>
      <c r="V389" s="92"/>
      <c r="W389" s="92"/>
    </row>
    <row r="390" spans="1:23" s="89" customFormat="1" x14ac:dyDescent="0.2">
      <c r="A390" s="91"/>
      <c r="B390" s="93"/>
      <c r="C390" s="92"/>
      <c r="D390" s="92"/>
      <c r="E390" s="92"/>
      <c r="F390" s="92"/>
      <c r="G390" s="92"/>
      <c r="H390" s="92"/>
      <c r="I390" s="92"/>
      <c r="J390" s="92"/>
      <c r="K390" s="92"/>
      <c r="L390" s="92"/>
      <c r="M390" s="92"/>
      <c r="N390" s="92"/>
      <c r="O390" s="92"/>
      <c r="P390" s="92"/>
      <c r="Q390" s="92"/>
      <c r="R390" s="92"/>
      <c r="S390" s="92"/>
      <c r="T390" s="92"/>
      <c r="U390" s="92"/>
      <c r="V390" s="92"/>
      <c r="W390" s="92"/>
    </row>
    <row r="391" spans="1:23" s="89" customFormat="1" x14ac:dyDescent="0.2">
      <c r="A391" s="91"/>
      <c r="B391" s="93"/>
      <c r="C391" s="92"/>
      <c r="D391" s="92"/>
      <c r="E391" s="92"/>
      <c r="F391" s="92"/>
      <c r="G391" s="92"/>
      <c r="H391" s="92"/>
      <c r="I391" s="92"/>
      <c r="J391" s="92"/>
      <c r="K391" s="92"/>
      <c r="L391" s="92"/>
      <c r="M391" s="92"/>
      <c r="N391" s="92"/>
      <c r="O391" s="92"/>
      <c r="P391" s="92"/>
      <c r="Q391" s="92"/>
      <c r="R391" s="92"/>
      <c r="S391" s="92"/>
      <c r="T391" s="92"/>
      <c r="U391" s="92"/>
      <c r="V391" s="92"/>
      <c r="W391" s="92"/>
    </row>
    <row r="392" spans="1:23" s="89" customFormat="1" x14ac:dyDescent="0.2">
      <c r="A392" s="91"/>
      <c r="B392" s="93"/>
      <c r="C392" s="92"/>
      <c r="D392" s="92"/>
      <c r="E392" s="92"/>
      <c r="F392" s="92"/>
      <c r="G392" s="92"/>
      <c r="H392" s="92"/>
      <c r="I392" s="92"/>
      <c r="J392" s="92"/>
      <c r="K392" s="92"/>
      <c r="L392" s="92"/>
      <c r="M392" s="92"/>
      <c r="N392" s="92"/>
      <c r="O392" s="92"/>
      <c r="P392" s="92"/>
      <c r="Q392" s="92"/>
      <c r="R392" s="92"/>
      <c r="S392" s="92"/>
      <c r="T392" s="92"/>
      <c r="U392" s="92"/>
      <c r="V392" s="92"/>
      <c r="W392" s="92"/>
    </row>
    <row r="393" spans="1:23" s="89" customFormat="1" x14ac:dyDescent="0.2">
      <c r="A393" s="91"/>
      <c r="B393" s="93"/>
      <c r="C393" s="92"/>
      <c r="D393" s="92"/>
      <c r="E393" s="92"/>
      <c r="F393" s="92"/>
      <c r="G393" s="92"/>
      <c r="H393" s="92"/>
      <c r="I393" s="92"/>
      <c r="J393" s="92"/>
      <c r="K393" s="92"/>
      <c r="L393" s="92"/>
      <c r="M393" s="92"/>
      <c r="N393" s="92"/>
      <c r="O393" s="92"/>
      <c r="P393" s="92"/>
      <c r="Q393" s="92"/>
      <c r="R393" s="92"/>
      <c r="S393" s="92"/>
      <c r="T393" s="92"/>
      <c r="U393" s="92"/>
      <c r="V393" s="92"/>
      <c r="W393" s="92"/>
    </row>
    <row r="394" spans="1:23" s="89" customFormat="1" x14ac:dyDescent="0.2">
      <c r="A394" s="91"/>
      <c r="B394" s="93"/>
      <c r="C394" s="92"/>
      <c r="D394" s="92"/>
      <c r="E394" s="92"/>
      <c r="F394" s="92"/>
      <c r="G394" s="92"/>
      <c r="H394" s="92"/>
      <c r="I394" s="92"/>
      <c r="J394" s="92"/>
      <c r="K394" s="92"/>
      <c r="L394" s="92"/>
      <c r="M394" s="92"/>
      <c r="N394" s="92"/>
      <c r="O394" s="92"/>
      <c r="P394" s="92"/>
      <c r="Q394" s="92"/>
      <c r="R394" s="92"/>
      <c r="S394" s="92"/>
      <c r="T394" s="92"/>
      <c r="U394" s="92"/>
      <c r="V394" s="92"/>
      <c r="W394" s="92"/>
    </row>
    <row r="395" spans="1:23" s="89" customFormat="1" x14ac:dyDescent="0.2">
      <c r="A395" s="91"/>
      <c r="B395" s="93"/>
      <c r="C395" s="92"/>
      <c r="D395" s="92"/>
      <c r="E395" s="92"/>
      <c r="F395" s="92"/>
      <c r="G395" s="92"/>
      <c r="H395" s="92"/>
      <c r="I395" s="92"/>
      <c r="J395" s="92"/>
      <c r="K395" s="92"/>
      <c r="L395" s="92"/>
      <c r="M395" s="92"/>
      <c r="N395" s="92"/>
      <c r="O395" s="92"/>
      <c r="P395" s="92"/>
      <c r="Q395" s="92"/>
      <c r="R395" s="92"/>
      <c r="S395" s="92"/>
      <c r="T395" s="92"/>
      <c r="U395" s="92"/>
      <c r="V395" s="92"/>
      <c r="W395" s="92"/>
    </row>
    <row r="396" spans="1:23" s="89" customFormat="1" x14ac:dyDescent="0.2">
      <c r="A396" s="91"/>
      <c r="B396" s="93"/>
      <c r="C396" s="92"/>
      <c r="D396" s="92"/>
      <c r="E396" s="92"/>
      <c r="F396" s="92"/>
      <c r="G396" s="92"/>
      <c r="H396" s="92"/>
      <c r="I396" s="92"/>
      <c r="J396" s="92"/>
      <c r="K396" s="92"/>
      <c r="L396" s="92"/>
      <c r="M396" s="92"/>
      <c r="N396" s="92"/>
      <c r="O396" s="92"/>
      <c r="P396" s="92"/>
      <c r="Q396" s="92"/>
      <c r="R396" s="92"/>
      <c r="S396" s="92"/>
      <c r="T396" s="92"/>
      <c r="U396" s="92"/>
      <c r="V396" s="92"/>
      <c r="W396" s="92"/>
    </row>
    <row r="397" spans="1:23" s="89" customFormat="1" x14ac:dyDescent="0.2">
      <c r="A397" s="91"/>
      <c r="B397" s="93"/>
      <c r="C397" s="92"/>
      <c r="D397" s="92"/>
      <c r="E397" s="92"/>
      <c r="F397" s="92"/>
      <c r="G397" s="92"/>
      <c r="H397" s="92"/>
      <c r="I397" s="92"/>
      <c r="J397" s="92"/>
      <c r="K397" s="92"/>
      <c r="L397" s="92"/>
      <c r="M397" s="92"/>
      <c r="N397" s="92"/>
      <c r="O397" s="92"/>
      <c r="P397" s="92"/>
      <c r="Q397" s="92"/>
      <c r="R397" s="92"/>
      <c r="S397" s="92"/>
      <c r="T397" s="92"/>
      <c r="U397" s="92"/>
      <c r="V397" s="92"/>
      <c r="W397" s="92"/>
    </row>
    <row r="398" spans="1:23" s="89" customFormat="1" x14ac:dyDescent="0.2">
      <c r="A398" s="91"/>
      <c r="B398" s="93"/>
      <c r="C398" s="92"/>
      <c r="D398" s="92"/>
      <c r="E398" s="92"/>
      <c r="F398" s="92"/>
      <c r="G398" s="92"/>
      <c r="H398" s="92"/>
      <c r="I398" s="92"/>
      <c r="J398" s="92"/>
      <c r="K398" s="92"/>
      <c r="L398" s="92"/>
      <c r="M398" s="92"/>
      <c r="N398" s="92"/>
      <c r="O398" s="92"/>
      <c r="P398" s="92"/>
      <c r="Q398" s="92"/>
      <c r="R398" s="92"/>
      <c r="S398" s="92"/>
      <c r="T398" s="92"/>
      <c r="U398" s="92"/>
      <c r="V398" s="92"/>
      <c r="W398" s="92"/>
    </row>
    <row r="399" spans="1:23" s="89" customFormat="1" x14ac:dyDescent="0.2">
      <c r="A399" s="91"/>
      <c r="B399" s="93"/>
      <c r="C399" s="92"/>
      <c r="D399" s="92"/>
      <c r="E399" s="92"/>
      <c r="F399" s="92"/>
      <c r="G399" s="92"/>
      <c r="H399" s="92"/>
      <c r="I399" s="92"/>
      <c r="J399" s="92"/>
      <c r="K399" s="92"/>
      <c r="L399" s="92"/>
      <c r="M399" s="92"/>
      <c r="N399" s="92"/>
      <c r="O399" s="92"/>
      <c r="P399" s="92"/>
      <c r="Q399" s="92"/>
      <c r="R399" s="92"/>
      <c r="S399" s="92"/>
      <c r="T399" s="92"/>
      <c r="U399" s="92"/>
      <c r="V399" s="92"/>
      <c r="W399" s="92"/>
    </row>
    <row r="400" spans="1:23" s="89" customFormat="1" x14ac:dyDescent="0.2">
      <c r="A400" s="91"/>
      <c r="B400" s="93"/>
      <c r="C400" s="92"/>
      <c r="D400" s="92"/>
      <c r="E400" s="92"/>
      <c r="F400" s="92"/>
      <c r="G400" s="92"/>
      <c r="H400" s="92"/>
      <c r="I400" s="92"/>
      <c r="J400" s="92"/>
      <c r="K400" s="92"/>
      <c r="L400" s="92"/>
      <c r="M400" s="92"/>
      <c r="N400" s="92"/>
      <c r="O400" s="92"/>
      <c r="P400" s="92"/>
      <c r="Q400" s="92"/>
      <c r="R400" s="92"/>
      <c r="S400" s="92"/>
      <c r="T400" s="92"/>
      <c r="U400" s="92"/>
      <c r="V400" s="92"/>
      <c r="W400" s="92"/>
    </row>
    <row r="401" spans="1:23" s="89" customFormat="1" x14ac:dyDescent="0.2">
      <c r="A401" s="91"/>
      <c r="B401" s="93"/>
      <c r="C401" s="92"/>
      <c r="D401" s="92"/>
      <c r="E401" s="92"/>
      <c r="F401" s="92"/>
      <c r="G401" s="92"/>
      <c r="H401" s="92"/>
      <c r="I401" s="92"/>
      <c r="J401" s="92"/>
      <c r="K401" s="92"/>
      <c r="L401" s="92"/>
      <c r="M401" s="92"/>
      <c r="N401" s="92"/>
      <c r="O401" s="92"/>
      <c r="P401" s="92"/>
      <c r="Q401" s="92"/>
      <c r="R401" s="92"/>
      <c r="S401" s="92"/>
      <c r="T401" s="92"/>
      <c r="U401" s="92"/>
      <c r="V401" s="92"/>
      <c r="W401" s="92"/>
    </row>
    <row r="402" spans="1:23" s="89" customFormat="1" x14ac:dyDescent="0.2">
      <c r="A402" s="91"/>
      <c r="B402" s="93"/>
      <c r="C402" s="92"/>
      <c r="D402" s="92"/>
      <c r="E402" s="92"/>
      <c r="F402" s="92"/>
      <c r="G402" s="92"/>
      <c r="H402" s="92"/>
      <c r="I402" s="92"/>
      <c r="J402" s="92"/>
      <c r="K402" s="92"/>
      <c r="L402" s="92"/>
      <c r="M402" s="92"/>
      <c r="N402" s="92"/>
      <c r="O402" s="92"/>
      <c r="P402" s="92"/>
      <c r="Q402" s="92"/>
      <c r="R402" s="92"/>
      <c r="S402" s="92"/>
      <c r="T402" s="92"/>
      <c r="U402" s="92"/>
      <c r="V402" s="92"/>
      <c r="W402" s="92"/>
    </row>
    <row r="403" spans="1:23" s="89" customFormat="1" x14ac:dyDescent="0.2">
      <c r="A403" s="91"/>
      <c r="B403" s="93"/>
      <c r="C403" s="92"/>
      <c r="D403" s="92"/>
      <c r="E403" s="92"/>
      <c r="F403" s="92"/>
      <c r="G403" s="92"/>
      <c r="H403" s="92"/>
      <c r="I403" s="92"/>
      <c r="J403" s="92"/>
      <c r="K403" s="92"/>
      <c r="L403" s="92"/>
      <c r="M403" s="92"/>
      <c r="N403" s="92"/>
      <c r="O403" s="92"/>
      <c r="P403" s="92"/>
      <c r="Q403" s="92"/>
      <c r="R403" s="92"/>
      <c r="S403" s="92"/>
      <c r="T403" s="92"/>
      <c r="U403" s="92"/>
      <c r="V403" s="92"/>
      <c r="W403" s="92"/>
    </row>
    <row r="404" spans="1:23" s="89" customFormat="1" x14ac:dyDescent="0.2">
      <c r="A404" s="91"/>
      <c r="B404" s="93"/>
      <c r="C404" s="92"/>
      <c r="D404" s="92"/>
      <c r="E404" s="92"/>
      <c r="F404" s="92"/>
      <c r="G404" s="92"/>
      <c r="H404" s="92"/>
      <c r="I404" s="92"/>
      <c r="J404" s="92"/>
      <c r="K404" s="92"/>
      <c r="L404" s="92"/>
      <c r="M404" s="92"/>
      <c r="N404" s="92"/>
      <c r="O404" s="92"/>
      <c r="P404" s="92"/>
      <c r="Q404" s="92"/>
      <c r="R404" s="92"/>
      <c r="S404" s="92"/>
      <c r="T404" s="92"/>
      <c r="U404" s="92"/>
      <c r="V404" s="92"/>
      <c r="W404" s="92"/>
    </row>
    <row r="405" spans="1:23" s="89" customFormat="1" x14ac:dyDescent="0.2">
      <c r="A405" s="91"/>
      <c r="B405" s="93"/>
      <c r="C405" s="92"/>
      <c r="D405" s="92"/>
      <c r="E405" s="92"/>
      <c r="F405" s="92"/>
      <c r="G405" s="92"/>
      <c r="H405" s="92"/>
      <c r="I405" s="92"/>
      <c r="J405" s="92"/>
      <c r="K405" s="92"/>
      <c r="L405" s="92"/>
      <c r="M405" s="92"/>
      <c r="N405" s="92"/>
      <c r="O405" s="92"/>
      <c r="P405" s="92"/>
      <c r="Q405" s="92"/>
      <c r="R405" s="92"/>
      <c r="S405" s="92"/>
      <c r="T405" s="92"/>
      <c r="U405" s="92"/>
      <c r="V405" s="92"/>
      <c r="W405" s="92"/>
    </row>
    <row r="406" spans="1:23" s="89" customFormat="1" x14ac:dyDescent="0.2">
      <c r="A406" s="91"/>
      <c r="B406" s="93"/>
      <c r="C406" s="92"/>
      <c r="D406" s="92"/>
      <c r="E406" s="92"/>
      <c r="F406" s="92"/>
      <c r="G406" s="92"/>
      <c r="H406" s="92"/>
      <c r="I406" s="92"/>
      <c r="J406" s="92"/>
      <c r="K406" s="92"/>
      <c r="L406" s="92"/>
      <c r="M406" s="92"/>
      <c r="N406" s="92"/>
      <c r="O406" s="92"/>
      <c r="P406" s="92"/>
      <c r="Q406" s="92"/>
      <c r="R406" s="92"/>
      <c r="S406" s="92"/>
      <c r="T406" s="92"/>
      <c r="U406" s="92"/>
      <c r="V406" s="92"/>
      <c r="W406" s="92"/>
    </row>
    <row r="407" spans="1:23" s="89" customFormat="1" x14ac:dyDescent="0.2">
      <c r="A407" s="91"/>
      <c r="B407" s="93"/>
      <c r="C407" s="92"/>
      <c r="D407" s="92"/>
      <c r="E407" s="92"/>
      <c r="F407" s="92"/>
      <c r="G407" s="92"/>
      <c r="H407" s="92"/>
      <c r="I407" s="92"/>
      <c r="J407" s="92"/>
      <c r="K407" s="92"/>
      <c r="L407" s="92"/>
      <c r="M407" s="92"/>
      <c r="N407" s="92"/>
      <c r="O407" s="92"/>
      <c r="P407" s="92"/>
      <c r="Q407" s="92"/>
      <c r="R407" s="92"/>
      <c r="S407" s="92"/>
      <c r="T407" s="92"/>
      <c r="U407" s="92"/>
      <c r="V407" s="92"/>
      <c r="W407" s="92"/>
    </row>
    <row r="408" spans="1:23" s="89" customFormat="1" x14ac:dyDescent="0.2">
      <c r="A408" s="91"/>
      <c r="B408" s="93"/>
      <c r="C408" s="92"/>
      <c r="D408" s="92"/>
      <c r="E408" s="92"/>
      <c r="F408" s="92"/>
      <c r="G408" s="92"/>
      <c r="H408" s="92"/>
      <c r="I408" s="92"/>
      <c r="J408" s="92"/>
      <c r="K408" s="92"/>
      <c r="L408" s="92"/>
      <c r="M408" s="92"/>
      <c r="N408" s="92"/>
      <c r="O408" s="92"/>
      <c r="P408" s="92"/>
      <c r="Q408" s="92"/>
      <c r="R408" s="92"/>
      <c r="S408" s="92"/>
      <c r="T408" s="92"/>
      <c r="U408" s="92"/>
      <c r="V408" s="92"/>
      <c r="W408" s="92"/>
    </row>
    <row r="409" spans="1:23" s="89" customFormat="1" x14ac:dyDescent="0.2">
      <c r="A409" s="91"/>
      <c r="B409" s="93"/>
      <c r="C409" s="92"/>
      <c r="D409" s="92"/>
      <c r="E409" s="92"/>
      <c r="F409" s="92"/>
      <c r="G409" s="92"/>
      <c r="H409" s="92"/>
      <c r="I409" s="92"/>
      <c r="J409" s="92"/>
      <c r="K409" s="92"/>
      <c r="L409" s="92"/>
      <c r="M409" s="92"/>
      <c r="N409" s="92"/>
      <c r="O409" s="92"/>
      <c r="P409" s="92"/>
      <c r="Q409" s="92"/>
      <c r="R409" s="92"/>
      <c r="S409" s="92"/>
      <c r="T409" s="92"/>
      <c r="U409" s="92"/>
      <c r="V409" s="92"/>
      <c r="W409" s="92"/>
    </row>
    <row r="410" spans="1:23" s="89" customFormat="1" x14ac:dyDescent="0.2">
      <c r="A410" s="91"/>
      <c r="B410" s="93"/>
      <c r="C410" s="92"/>
      <c r="D410" s="92"/>
      <c r="E410" s="92"/>
      <c r="F410" s="92"/>
      <c r="G410" s="92"/>
      <c r="H410" s="92"/>
      <c r="I410" s="92"/>
      <c r="J410" s="92"/>
      <c r="K410" s="92"/>
      <c r="L410" s="92"/>
      <c r="M410" s="92"/>
      <c r="N410" s="92"/>
      <c r="O410" s="92"/>
      <c r="P410" s="92"/>
      <c r="Q410" s="92"/>
      <c r="R410" s="92"/>
      <c r="S410" s="92"/>
      <c r="T410" s="92"/>
      <c r="U410" s="92"/>
      <c r="V410" s="92"/>
      <c r="W410" s="92"/>
    </row>
    <row r="411" spans="1:23" s="89" customFormat="1" x14ac:dyDescent="0.2">
      <c r="A411" s="91"/>
      <c r="B411" s="93"/>
      <c r="C411" s="92"/>
      <c r="D411" s="92"/>
      <c r="E411" s="92"/>
      <c r="F411" s="92"/>
      <c r="G411" s="92"/>
      <c r="H411" s="92"/>
      <c r="I411" s="92"/>
      <c r="J411" s="92"/>
      <c r="K411" s="92"/>
      <c r="L411" s="92"/>
      <c r="M411" s="92"/>
      <c r="N411" s="92"/>
      <c r="O411" s="92"/>
      <c r="P411" s="92"/>
      <c r="Q411" s="92"/>
      <c r="R411" s="92"/>
      <c r="S411" s="92"/>
      <c r="T411" s="92"/>
      <c r="U411" s="92"/>
      <c r="V411" s="92"/>
      <c r="W411" s="92"/>
    </row>
    <row r="412" spans="1:23" s="89" customFormat="1" x14ac:dyDescent="0.2">
      <c r="A412" s="91"/>
      <c r="B412" s="93"/>
      <c r="C412" s="92"/>
      <c r="D412" s="92"/>
      <c r="E412" s="92"/>
      <c r="F412" s="92"/>
      <c r="G412" s="92"/>
      <c r="H412" s="92"/>
      <c r="I412" s="92"/>
      <c r="J412" s="92"/>
      <c r="K412" s="92"/>
      <c r="L412" s="92"/>
      <c r="M412" s="92"/>
      <c r="N412" s="92"/>
      <c r="O412" s="92"/>
      <c r="P412" s="92"/>
      <c r="Q412" s="92"/>
      <c r="R412" s="92"/>
      <c r="S412" s="92"/>
      <c r="T412" s="92"/>
      <c r="U412" s="92"/>
      <c r="V412" s="92"/>
      <c r="W412" s="92"/>
    </row>
    <row r="413" spans="1:23" s="89" customFormat="1" x14ac:dyDescent="0.2">
      <c r="A413" s="91"/>
      <c r="B413" s="93"/>
      <c r="C413" s="92"/>
      <c r="D413" s="92"/>
      <c r="E413" s="92"/>
      <c r="F413" s="92"/>
      <c r="G413" s="92"/>
      <c r="H413" s="92"/>
      <c r="I413" s="92"/>
      <c r="J413" s="92"/>
      <c r="K413" s="92"/>
      <c r="L413" s="92"/>
      <c r="M413" s="92"/>
      <c r="N413" s="92"/>
      <c r="O413" s="92"/>
      <c r="P413" s="92"/>
      <c r="Q413" s="92"/>
      <c r="R413" s="92"/>
      <c r="S413" s="92"/>
      <c r="T413" s="92"/>
      <c r="U413" s="92"/>
      <c r="V413" s="92"/>
      <c r="W413" s="92"/>
    </row>
    <row r="414" spans="1:23" s="89" customFormat="1" x14ac:dyDescent="0.2">
      <c r="A414" s="91"/>
      <c r="B414" s="93"/>
      <c r="C414" s="92"/>
      <c r="D414" s="92"/>
      <c r="E414" s="92"/>
      <c r="F414" s="92"/>
      <c r="G414" s="92"/>
      <c r="H414" s="92"/>
      <c r="I414" s="92"/>
      <c r="J414" s="92"/>
      <c r="K414" s="92"/>
      <c r="L414" s="92"/>
      <c r="M414" s="92"/>
      <c r="N414" s="92"/>
      <c r="O414" s="92"/>
      <c r="P414" s="92"/>
      <c r="Q414" s="92"/>
      <c r="R414" s="92"/>
      <c r="S414" s="92"/>
      <c r="T414" s="92"/>
      <c r="U414" s="92"/>
      <c r="V414" s="92"/>
      <c r="W414" s="92"/>
    </row>
    <row r="415" spans="1:23" s="89" customFormat="1" x14ac:dyDescent="0.2">
      <c r="A415" s="91"/>
      <c r="B415" s="93"/>
      <c r="C415" s="92"/>
      <c r="D415" s="92"/>
      <c r="E415" s="92"/>
      <c r="F415" s="92"/>
      <c r="G415" s="92"/>
      <c r="H415" s="92"/>
      <c r="I415" s="92"/>
      <c r="J415" s="92"/>
      <c r="K415" s="92"/>
      <c r="L415" s="92"/>
      <c r="M415" s="92"/>
      <c r="N415" s="92"/>
      <c r="O415" s="92"/>
      <c r="P415" s="92"/>
      <c r="Q415" s="92"/>
      <c r="R415" s="92"/>
      <c r="S415" s="92"/>
      <c r="T415" s="92"/>
      <c r="U415" s="92"/>
      <c r="V415" s="92"/>
      <c r="W415" s="92"/>
    </row>
    <row r="416" spans="1:23" s="89" customFormat="1" x14ac:dyDescent="0.2">
      <c r="A416" s="91"/>
      <c r="B416" s="93"/>
      <c r="C416" s="92"/>
      <c r="D416" s="92"/>
      <c r="E416" s="92"/>
      <c r="F416" s="92"/>
      <c r="G416" s="92"/>
      <c r="H416" s="92"/>
      <c r="I416" s="92"/>
      <c r="J416" s="92"/>
      <c r="K416" s="92"/>
      <c r="L416" s="92"/>
      <c r="M416" s="92"/>
      <c r="N416" s="92"/>
      <c r="O416" s="92"/>
      <c r="P416" s="92"/>
      <c r="Q416" s="92"/>
      <c r="R416" s="92"/>
      <c r="S416" s="92"/>
      <c r="T416" s="92"/>
      <c r="U416" s="92"/>
      <c r="V416" s="92"/>
      <c r="W416" s="92"/>
    </row>
    <row r="417" spans="1:23" s="89" customFormat="1" x14ac:dyDescent="0.2">
      <c r="A417" s="91"/>
      <c r="B417" s="93"/>
      <c r="C417" s="92"/>
      <c r="D417" s="92"/>
      <c r="E417" s="92"/>
      <c r="F417" s="92"/>
      <c r="G417" s="92"/>
      <c r="H417" s="92"/>
      <c r="I417" s="92"/>
      <c r="J417" s="92"/>
      <c r="K417" s="92"/>
      <c r="L417" s="92"/>
      <c r="M417" s="92"/>
      <c r="N417" s="92"/>
      <c r="O417" s="92"/>
      <c r="P417" s="92"/>
      <c r="Q417" s="92"/>
      <c r="R417" s="92"/>
      <c r="S417" s="92"/>
      <c r="T417" s="92"/>
      <c r="U417" s="92"/>
      <c r="V417" s="92"/>
      <c r="W417" s="92"/>
    </row>
    <row r="418" spans="1:23" s="89" customFormat="1" x14ac:dyDescent="0.2">
      <c r="A418" s="91"/>
      <c r="B418" s="93"/>
      <c r="C418" s="92"/>
      <c r="D418" s="92"/>
      <c r="E418" s="92"/>
      <c r="F418" s="92"/>
      <c r="G418" s="92"/>
      <c r="H418" s="92"/>
      <c r="I418" s="92"/>
      <c r="J418" s="92"/>
      <c r="K418" s="92"/>
      <c r="L418" s="92"/>
      <c r="M418" s="92"/>
      <c r="N418" s="92"/>
      <c r="O418" s="92"/>
      <c r="P418" s="92"/>
      <c r="Q418" s="92"/>
      <c r="R418" s="92"/>
      <c r="S418" s="92"/>
      <c r="T418" s="92"/>
      <c r="U418" s="92"/>
      <c r="V418" s="92"/>
      <c r="W418" s="92"/>
    </row>
    <row r="419" spans="1:23" s="89" customFormat="1" x14ac:dyDescent="0.2">
      <c r="A419" s="91"/>
      <c r="B419" s="93"/>
      <c r="C419" s="92"/>
      <c r="D419" s="92"/>
      <c r="E419" s="92"/>
      <c r="F419" s="92"/>
      <c r="G419" s="92"/>
      <c r="H419" s="92"/>
      <c r="I419" s="92"/>
      <c r="J419" s="92"/>
      <c r="K419" s="92"/>
      <c r="L419" s="92"/>
      <c r="M419" s="92"/>
      <c r="N419" s="92"/>
      <c r="O419" s="92"/>
      <c r="P419" s="92"/>
      <c r="Q419" s="92"/>
      <c r="R419" s="92"/>
      <c r="S419" s="92"/>
      <c r="T419" s="92"/>
      <c r="U419" s="92"/>
      <c r="V419" s="92"/>
      <c r="W419" s="92"/>
    </row>
    <row r="420" spans="1:23" s="89" customFormat="1" x14ac:dyDescent="0.2">
      <c r="A420" s="91"/>
      <c r="B420" s="93"/>
      <c r="C420" s="92"/>
      <c r="D420" s="92"/>
      <c r="E420" s="92"/>
      <c r="F420" s="92"/>
      <c r="G420" s="92"/>
      <c r="H420" s="92"/>
      <c r="I420" s="92"/>
      <c r="J420" s="92"/>
      <c r="K420" s="92"/>
      <c r="L420" s="92"/>
      <c r="M420" s="92"/>
      <c r="N420" s="92"/>
      <c r="O420" s="92"/>
      <c r="P420" s="92"/>
      <c r="Q420" s="92"/>
      <c r="R420" s="92"/>
      <c r="S420" s="92"/>
      <c r="T420" s="92"/>
      <c r="U420" s="92"/>
      <c r="V420" s="92"/>
      <c r="W420" s="92"/>
    </row>
    <row r="421" spans="1:23" s="89" customFormat="1" x14ac:dyDescent="0.2">
      <c r="A421" s="91"/>
      <c r="B421" s="93"/>
      <c r="C421" s="92"/>
      <c r="D421" s="92"/>
      <c r="E421" s="92"/>
      <c r="F421" s="92"/>
      <c r="G421" s="92"/>
      <c r="H421" s="92"/>
      <c r="I421" s="92"/>
      <c r="J421" s="92"/>
      <c r="K421" s="92"/>
      <c r="L421" s="92"/>
      <c r="M421" s="92"/>
      <c r="N421" s="92"/>
      <c r="O421" s="92"/>
      <c r="P421" s="92"/>
      <c r="Q421" s="92"/>
      <c r="R421" s="92"/>
      <c r="S421" s="92"/>
      <c r="T421" s="92"/>
      <c r="U421" s="92"/>
      <c r="V421" s="92"/>
      <c r="W421" s="92"/>
    </row>
    <row r="422" spans="1:23" s="89" customFormat="1" x14ac:dyDescent="0.2">
      <c r="A422" s="91"/>
      <c r="B422" s="93"/>
      <c r="C422" s="92"/>
      <c r="D422" s="92"/>
      <c r="E422" s="92"/>
      <c r="F422" s="92"/>
      <c r="G422" s="92"/>
      <c r="H422" s="92"/>
      <c r="I422" s="92"/>
      <c r="J422" s="92"/>
      <c r="K422" s="92"/>
      <c r="L422" s="92"/>
      <c r="M422" s="92"/>
      <c r="N422" s="92"/>
      <c r="O422" s="92"/>
      <c r="P422" s="92"/>
      <c r="Q422" s="92"/>
      <c r="R422" s="92"/>
      <c r="S422" s="92"/>
      <c r="T422" s="92"/>
      <c r="U422" s="92"/>
      <c r="V422" s="92"/>
      <c r="W422" s="92"/>
    </row>
    <row r="423" spans="1:23" s="89" customFormat="1" x14ac:dyDescent="0.2">
      <c r="A423" s="91"/>
      <c r="B423" s="93"/>
      <c r="C423" s="92"/>
      <c r="D423" s="92"/>
      <c r="E423" s="92"/>
      <c r="F423" s="92"/>
      <c r="G423" s="92"/>
      <c r="H423" s="92"/>
      <c r="I423" s="92"/>
      <c r="J423" s="92"/>
      <c r="K423" s="92"/>
      <c r="L423" s="92"/>
      <c r="M423" s="92"/>
      <c r="N423" s="92"/>
      <c r="O423" s="92"/>
      <c r="P423" s="92"/>
      <c r="Q423" s="92"/>
      <c r="R423" s="92"/>
      <c r="S423" s="92"/>
      <c r="T423" s="92"/>
      <c r="U423" s="92"/>
      <c r="V423" s="92"/>
      <c r="W423" s="92"/>
    </row>
    <row r="424" spans="1:23" s="89" customFormat="1" x14ac:dyDescent="0.2">
      <c r="A424" s="91"/>
      <c r="B424" s="93"/>
      <c r="C424" s="92"/>
      <c r="D424" s="92"/>
      <c r="E424" s="92"/>
      <c r="F424" s="92"/>
      <c r="G424" s="92"/>
      <c r="H424" s="92"/>
      <c r="I424" s="92"/>
      <c r="J424" s="92"/>
      <c r="K424" s="92"/>
      <c r="L424" s="92"/>
      <c r="M424" s="92"/>
      <c r="N424" s="92"/>
      <c r="O424" s="92"/>
      <c r="P424" s="92"/>
      <c r="Q424" s="92"/>
      <c r="R424" s="92"/>
      <c r="S424" s="92"/>
      <c r="T424" s="92"/>
      <c r="U424" s="92"/>
      <c r="V424" s="92"/>
      <c r="W424" s="92"/>
    </row>
    <row r="425" spans="1:23" s="89" customFormat="1" x14ac:dyDescent="0.2">
      <c r="A425" s="91"/>
      <c r="B425" s="93"/>
      <c r="C425" s="92"/>
      <c r="D425" s="92"/>
      <c r="E425" s="92"/>
      <c r="F425" s="92"/>
      <c r="G425" s="92"/>
      <c r="H425" s="92"/>
      <c r="I425" s="92"/>
      <c r="J425" s="92"/>
      <c r="K425" s="92"/>
      <c r="L425" s="92"/>
      <c r="M425" s="92"/>
      <c r="N425" s="92"/>
      <c r="O425" s="92"/>
      <c r="P425" s="92"/>
      <c r="Q425" s="92"/>
      <c r="R425" s="92"/>
      <c r="S425" s="92"/>
      <c r="T425" s="92"/>
      <c r="U425" s="92"/>
      <c r="V425" s="92"/>
      <c r="W425" s="92"/>
    </row>
    <row r="426" spans="1:23" s="89" customFormat="1" x14ac:dyDescent="0.2">
      <c r="A426" s="91"/>
      <c r="B426" s="93"/>
      <c r="C426" s="92"/>
      <c r="D426" s="92"/>
      <c r="E426" s="92"/>
      <c r="F426" s="92"/>
      <c r="G426" s="92"/>
      <c r="H426" s="92"/>
      <c r="I426" s="92"/>
      <c r="J426" s="92"/>
      <c r="K426" s="92"/>
      <c r="L426" s="92"/>
      <c r="M426" s="92"/>
      <c r="N426" s="92"/>
      <c r="O426" s="92"/>
      <c r="P426" s="92"/>
      <c r="Q426" s="92"/>
      <c r="R426" s="92"/>
      <c r="S426" s="92"/>
      <c r="T426" s="92"/>
      <c r="U426" s="92"/>
      <c r="V426" s="92"/>
      <c r="W426" s="92"/>
    </row>
    <row r="427" spans="1:23" s="89" customFormat="1" x14ac:dyDescent="0.2">
      <c r="A427" s="91"/>
      <c r="B427" s="93"/>
      <c r="C427" s="92"/>
      <c r="D427" s="92"/>
      <c r="E427" s="92"/>
      <c r="F427" s="92"/>
      <c r="G427" s="92"/>
      <c r="H427" s="92"/>
      <c r="I427" s="92"/>
      <c r="J427" s="92"/>
      <c r="K427" s="92"/>
      <c r="L427" s="92"/>
      <c r="M427" s="92"/>
      <c r="N427" s="92"/>
      <c r="O427" s="92"/>
      <c r="P427" s="92"/>
      <c r="Q427" s="92"/>
      <c r="R427" s="92"/>
      <c r="S427" s="92"/>
      <c r="T427" s="92"/>
      <c r="U427" s="92"/>
      <c r="V427" s="92"/>
      <c r="W427" s="92"/>
    </row>
    <row r="428" spans="1:23" s="89" customFormat="1" x14ac:dyDescent="0.2">
      <c r="A428" s="91"/>
      <c r="B428" s="93"/>
      <c r="C428" s="92"/>
      <c r="D428" s="92"/>
      <c r="E428" s="92"/>
      <c r="F428" s="92"/>
      <c r="G428" s="92"/>
      <c r="H428" s="92"/>
      <c r="I428" s="92"/>
      <c r="J428" s="92"/>
      <c r="K428" s="92"/>
      <c r="L428" s="92"/>
      <c r="M428" s="92"/>
      <c r="N428" s="92"/>
      <c r="O428" s="92"/>
      <c r="P428" s="92"/>
      <c r="Q428" s="92"/>
      <c r="R428" s="92"/>
      <c r="S428" s="92"/>
      <c r="T428" s="92"/>
      <c r="U428" s="92"/>
      <c r="V428" s="92"/>
      <c r="W428" s="92"/>
    </row>
    <row r="429" spans="1:23" s="89" customFormat="1" x14ac:dyDescent="0.2">
      <c r="A429" s="91"/>
      <c r="B429" s="93"/>
      <c r="C429" s="92"/>
      <c r="D429" s="92"/>
      <c r="E429" s="92"/>
      <c r="F429" s="92"/>
      <c r="G429" s="92"/>
      <c r="H429" s="92"/>
      <c r="I429" s="92"/>
      <c r="J429" s="92"/>
      <c r="K429" s="92"/>
      <c r="L429" s="92"/>
      <c r="M429" s="92"/>
      <c r="N429" s="92"/>
      <c r="O429" s="92"/>
      <c r="P429" s="92"/>
      <c r="Q429" s="92"/>
      <c r="R429" s="92"/>
      <c r="S429" s="92"/>
      <c r="T429" s="92"/>
      <c r="U429" s="92"/>
      <c r="V429" s="92"/>
      <c r="W429" s="92"/>
    </row>
    <row r="430" spans="1:23" s="89" customFormat="1" x14ac:dyDescent="0.2">
      <c r="A430" s="91"/>
      <c r="B430" s="93"/>
      <c r="C430" s="92"/>
      <c r="D430" s="92"/>
      <c r="E430" s="92"/>
      <c r="F430" s="92"/>
      <c r="G430" s="92"/>
      <c r="H430" s="92"/>
      <c r="I430" s="92"/>
      <c r="J430" s="92"/>
      <c r="K430" s="92"/>
      <c r="L430" s="92"/>
      <c r="M430" s="92"/>
      <c r="N430" s="92"/>
      <c r="O430" s="92"/>
      <c r="P430" s="92"/>
      <c r="Q430" s="92"/>
      <c r="R430" s="92"/>
      <c r="S430" s="92"/>
      <c r="T430" s="92"/>
      <c r="U430" s="92"/>
      <c r="V430" s="92"/>
      <c r="W430" s="92"/>
    </row>
    <row r="431" spans="1:23" s="89" customFormat="1" x14ac:dyDescent="0.2">
      <c r="A431" s="91"/>
      <c r="B431" s="93"/>
      <c r="C431" s="92"/>
      <c r="D431" s="92"/>
      <c r="E431" s="92"/>
      <c r="F431" s="92"/>
      <c r="G431" s="92"/>
      <c r="H431" s="92"/>
      <c r="I431" s="92"/>
      <c r="J431" s="92"/>
      <c r="K431" s="92"/>
      <c r="L431" s="92"/>
      <c r="M431" s="92"/>
      <c r="N431" s="92"/>
      <c r="O431" s="92"/>
      <c r="P431" s="92"/>
      <c r="Q431" s="92"/>
      <c r="R431" s="92"/>
      <c r="S431" s="92"/>
      <c r="T431" s="92"/>
      <c r="U431" s="92"/>
      <c r="V431" s="92"/>
      <c r="W431" s="92"/>
    </row>
    <row r="432" spans="1:23" s="89" customFormat="1" x14ac:dyDescent="0.2">
      <c r="A432" s="91"/>
      <c r="B432" s="93"/>
      <c r="C432" s="92"/>
      <c r="D432" s="92"/>
      <c r="E432" s="92"/>
      <c r="F432" s="92"/>
      <c r="G432" s="92"/>
      <c r="H432" s="92"/>
      <c r="I432" s="92"/>
      <c r="J432" s="92"/>
      <c r="K432" s="92"/>
      <c r="L432" s="92"/>
      <c r="M432" s="92"/>
      <c r="N432" s="92"/>
      <c r="O432" s="92"/>
      <c r="P432" s="92"/>
      <c r="Q432" s="92"/>
      <c r="R432" s="92"/>
      <c r="S432" s="92"/>
      <c r="T432" s="92"/>
      <c r="U432" s="92"/>
      <c r="V432" s="92"/>
      <c r="W432" s="92"/>
    </row>
    <row r="433" spans="1:23" s="89" customFormat="1" x14ac:dyDescent="0.2">
      <c r="A433" s="91"/>
      <c r="B433" s="93"/>
      <c r="C433" s="92"/>
      <c r="D433" s="92"/>
      <c r="E433" s="92"/>
      <c r="F433" s="92"/>
      <c r="G433" s="92"/>
      <c r="H433" s="92"/>
      <c r="I433" s="92"/>
      <c r="J433" s="92"/>
      <c r="K433" s="92"/>
      <c r="L433" s="92"/>
      <c r="M433" s="92"/>
      <c r="N433" s="92"/>
      <c r="O433" s="92"/>
      <c r="P433" s="92"/>
      <c r="Q433" s="92"/>
      <c r="R433" s="92"/>
      <c r="S433" s="92"/>
      <c r="T433" s="92"/>
      <c r="U433" s="92"/>
      <c r="V433" s="92"/>
      <c r="W433" s="92"/>
    </row>
    <row r="434" spans="1:23" s="89" customFormat="1" x14ac:dyDescent="0.2">
      <c r="A434" s="91"/>
      <c r="B434" s="93"/>
      <c r="C434" s="92"/>
      <c r="D434" s="92"/>
      <c r="E434" s="92"/>
      <c r="F434" s="92"/>
      <c r="G434" s="92"/>
      <c r="H434" s="92"/>
      <c r="I434" s="92"/>
      <c r="J434" s="92"/>
      <c r="K434" s="92"/>
      <c r="L434" s="92"/>
      <c r="M434" s="92"/>
      <c r="N434" s="92"/>
      <c r="O434" s="92"/>
      <c r="P434" s="92"/>
      <c r="Q434" s="92"/>
      <c r="R434" s="92"/>
      <c r="S434" s="92"/>
      <c r="T434" s="92"/>
      <c r="U434" s="92"/>
      <c r="V434" s="92"/>
      <c r="W434" s="92"/>
    </row>
    <row r="435" spans="1:23" s="89" customFormat="1" x14ac:dyDescent="0.2">
      <c r="A435" s="91"/>
      <c r="B435" s="93"/>
      <c r="C435" s="92"/>
      <c r="D435" s="92"/>
      <c r="E435" s="92"/>
      <c r="F435" s="92"/>
      <c r="G435" s="92"/>
      <c r="H435" s="92"/>
      <c r="I435" s="92"/>
      <c r="J435" s="92"/>
      <c r="K435" s="92"/>
      <c r="L435" s="92"/>
      <c r="M435" s="92"/>
      <c r="N435" s="92"/>
      <c r="O435" s="92"/>
      <c r="P435" s="92"/>
      <c r="Q435" s="92"/>
      <c r="R435" s="92"/>
      <c r="S435" s="92"/>
      <c r="T435" s="92"/>
      <c r="U435" s="92"/>
      <c r="V435" s="92"/>
      <c r="W435" s="92"/>
    </row>
    <row r="436" spans="1:23" s="89" customFormat="1" x14ac:dyDescent="0.2">
      <c r="A436" s="91"/>
      <c r="B436" s="93"/>
      <c r="C436" s="92"/>
      <c r="D436" s="92"/>
      <c r="E436" s="92"/>
      <c r="F436" s="92"/>
      <c r="G436" s="92"/>
      <c r="H436" s="92"/>
      <c r="I436" s="92"/>
      <c r="J436" s="92"/>
      <c r="K436" s="92"/>
      <c r="L436" s="92"/>
      <c r="M436" s="92"/>
      <c r="N436" s="92"/>
      <c r="O436" s="92"/>
      <c r="P436" s="92"/>
      <c r="Q436" s="92"/>
      <c r="R436" s="92"/>
      <c r="S436" s="92"/>
      <c r="T436" s="92"/>
      <c r="U436" s="92"/>
      <c r="V436" s="92"/>
      <c r="W436" s="92"/>
    </row>
    <row r="437" spans="1:23" s="89" customFormat="1" x14ac:dyDescent="0.2">
      <c r="A437" s="91"/>
      <c r="B437" s="93"/>
      <c r="C437" s="92"/>
      <c r="D437" s="92"/>
      <c r="E437" s="92"/>
      <c r="F437" s="92"/>
      <c r="G437" s="92"/>
      <c r="H437" s="92"/>
      <c r="I437" s="92"/>
      <c r="J437" s="92"/>
      <c r="K437" s="92"/>
      <c r="L437" s="92"/>
      <c r="M437" s="92"/>
      <c r="N437" s="92"/>
      <c r="O437" s="92"/>
      <c r="P437" s="92"/>
      <c r="Q437" s="92"/>
      <c r="R437" s="92"/>
      <c r="S437" s="92"/>
      <c r="T437" s="92"/>
      <c r="U437" s="92"/>
      <c r="V437" s="92"/>
      <c r="W437" s="92"/>
    </row>
    <row r="438" spans="1:23" s="89" customFormat="1" x14ac:dyDescent="0.2">
      <c r="A438" s="91"/>
      <c r="B438" s="93"/>
      <c r="C438" s="92"/>
      <c r="D438" s="92"/>
      <c r="E438" s="92"/>
      <c r="F438" s="92"/>
      <c r="G438" s="92"/>
      <c r="H438" s="92"/>
      <c r="I438" s="92"/>
      <c r="J438" s="92"/>
      <c r="K438" s="92"/>
      <c r="L438" s="92"/>
      <c r="M438" s="92"/>
      <c r="N438" s="92"/>
      <c r="O438" s="92"/>
      <c r="P438" s="92"/>
      <c r="Q438" s="92"/>
      <c r="R438" s="92"/>
      <c r="S438" s="92"/>
      <c r="T438" s="92"/>
      <c r="U438" s="92"/>
      <c r="V438" s="92"/>
      <c r="W438" s="92"/>
    </row>
    <row r="439" spans="1:23" s="89" customFormat="1" x14ac:dyDescent="0.2">
      <c r="A439" s="91"/>
      <c r="B439" s="93"/>
      <c r="C439" s="92"/>
      <c r="D439" s="92"/>
      <c r="E439" s="92"/>
      <c r="F439" s="92"/>
      <c r="G439" s="92"/>
      <c r="H439" s="92"/>
      <c r="I439" s="92"/>
      <c r="J439" s="92"/>
      <c r="K439" s="92"/>
      <c r="L439" s="92"/>
      <c r="M439" s="92"/>
      <c r="N439" s="92"/>
      <c r="O439" s="92"/>
      <c r="P439" s="92"/>
      <c r="Q439" s="92"/>
      <c r="R439" s="92"/>
      <c r="S439" s="92"/>
      <c r="T439" s="92"/>
      <c r="U439" s="92"/>
      <c r="V439" s="92"/>
      <c r="W439" s="92"/>
    </row>
    <row r="440" spans="1:23" s="89" customFormat="1" x14ac:dyDescent="0.2">
      <c r="A440" s="91"/>
      <c r="B440" s="93"/>
      <c r="C440" s="92"/>
      <c r="D440" s="92"/>
      <c r="E440" s="92"/>
      <c r="F440" s="92"/>
      <c r="G440" s="92"/>
      <c r="H440" s="92"/>
      <c r="I440" s="92"/>
      <c r="J440" s="92"/>
      <c r="K440" s="92"/>
      <c r="L440" s="92"/>
      <c r="M440" s="92"/>
      <c r="N440" s="92"/>
      <c r="O440" s="92"/>
      <c r="P440" s="92"/>
      <c r="Q440" s="92"/>
      <c r="R440" s="92"/>
      <c r="S440" s="92"/>
      <c r="T440" s="92"/>
      <c r="U440" s="92"/>
      <c r="V440" s="92"/>
      <c r="W440" s="92"/>
    </row>
    <row r="441" spans="1:23" s="89" customFormat="1" x14ac:dyDescent="0.2">
      <c r="A441" s="91"/>
      <c r="B441" s="93"/>
      <c r="C441" s="92"/>
      <c r="D441" s="92"/>
      <c r="E441" s="92"/>
      <c r="F441" s="92"/>
      <c r="G441" s="92"/>
      <c r="H441" s="92"/>
      <c r="I441" s="92"/>
      <c r="J441" s="92"/>
      <c r="K441" s="92"/>
      <c r="L441" s="92"/>
      <c r="M441" s="92"/>
      <c r="N441" s="92"/>
      <c r="O441" s="92"/>
      <c r="P441" s="92"/>
      <c r="Q441" s="92"/>
      <c r="R441" s="92"/>
      <c r="S441" s="92"/>
      <c r="T441" s="92"/>
      <c r="U441" s="92"/>
      <c r="V441" s="92"/>
      <c r="W441" s="92"/>
    </row>
    <row r="442" spans="1:23" s="89" customFormat="1" x14ac:dyDescent="0.2">
      <c r="A442" s="91"/>
      <c r="B442" s="93"/>
      <c r="C442" s="92"/>
      <c r="D442" s="92"/>
      <c r="E442" s="92"/>
      <c r="F442" s="92"/>
      <c r="G442" s="92"/>
      <c r="H442" s="92"/>
      <c r="I442" s="92"/>
      <c r="J442" s="92"/>
      <c r="K442" s="92"/>
      <c r="L442" s="92"/>
      <c r="M442" s="92"/>
      <c r="N442" s="92"/>
      <c r="O442" s="92"/>
      <c r="P442" s="92"/>
      <c r="Q442" s="92"/>
      <c r="R442" s="92"/>
      <c r="S442" s="92"/>
      <c r="T442" s="92"/>
      <c r="U442" s="92"/>
      <c r="V442" s="92"/>
      <c r="W442" s="92"/>
    </row>
    <row r="443" spans="1:23" s="89" customFormat="1" x14ac:dyDescent="0.2">
      <c r="A443" s="91"/>
      <c r="B443" s="93"/>
      <c r="C443" s="92"/>
      <c r="D443" s="92"/>
      <c r="E443" s="92"/>
      <c r="F443" s="92"/>
      <c r="G443" s="92"/>
      <c r="H443" s="92"/>
      <c r="I443" s="92"/>
      <c r="J443" s="92"/>
      <c r="K443" s="92"/>
      <c r="L443" s="92"/>
      <c r="M443" s="92"/>
      <c r="N443" s="92"/>
      <c r="O443" s="92"/>
      <c r="P443" s="92"/>
      <c r="Q443" s="92"/>
      <c r="R443" s="92"/>
      <c r="S443" s="92"/>
      <c r="T443" s="92"/>
      <c r="U443" s="92"/>
      <c r="V443" s="92"/>
      <c r="W443" s="92"/>
    </row>
    <row r="444" spans="1:23" s="89" customFormat="1" x14ac:dyDescent="0.2">
      <c r="A444" s="91"/>
      <c r="B444" s="93"/>
      <c r="C444" s="92"/>
      <c r="D444" s="92"/>
      <c r="E444" s="92"/>
      <c r="F444" s="92"/>
      <c r="G444" s="92"/>
      <c r="H444" s="92"/>
      <c r="I444" s="92"/>
      <c r="J444" s="92"/>
      <c r="K444" s="92"/>
      <c r="L444" s="92"/>
      <c r="M444" s="92"/>
      <c r="N444" s="92"/>
      <c r="O444" s="92"/>
      <c r="P444" s="92"/>
      <c r="Q444" s="92"/>
      <c r="R444" s="92"/>
      <c r="S444" s="92"/>
      <c r="T444" s="92"/>
      <c r="U444" s="92"/>
      <c r="V444" s="92"/>
      <c r="W444" s="92"/>
    </row>
    <row r="445" spans="1:23" s="89" customFormat="1" x14ac:dyDescent="0.2">
      <c r="A445" s="91"/>
      <c r="B445" s="93"/>
      <c r="C445" s="92"/>
      <c r="D445" s="92"/>
      <c r="E445" s="92"/>
      <c r="F445" s="92"/>
      <c r="G445" s="92"/>
      <c r="H445" s="92"/>
      <c r="I445" s="92"/>
      <c r="J445" s="92"/>
      <c r="K445" s="92"/>
      <c r="L445" s="92"/>
      <c r="M445" s="92"/>
      <c r="N445" s="92"/>
      <c r="O445" s="92"/>
      <c r="P445" s="92"/>
      <c r="Q445" s="92"/>
      <c r="R445" s="92"/>
      <c r="S445" s="92"/>
      <c r="T445" s="92"/>
      <c r="U445" s="92"/>
      <c r="V445" s="92"/>
      <c r="W445" s="92"/>
    </row>
    <row r="446" spans="1:23" s="89" customFormat="1" x14ac:dyDescent="0.2">
      <c r="A446" s="91"/>
      <c r="B446" s="93"/>
      <c r="C446" s="92"/>
      <c r="D446" s="92"/>
      <c r="E446" s="92"/>
      <c r="F446" s="92"/>
      <c r="G446" s="92"/>
      <c r="H446" s="92"/>
      <c r="I446" s="92"/>
      <c r="J446" s="92"/>
      <c r="K446" s="92"/>
      <c r="L446" s="92"/>
      <c r="M446" s="92"/>
      <c r="N446" s="92"/>
      <c r="O446" s="92"/>
      <c r="P446" s="92"/>
      <c r="Q446" s="92"/>
      <c r="R446" s="92"/>
      <c r="S446" s="92"/>
      <c r="T446" s="92"/>
      <c r="U446" s="92"/>
      <c r="V446" s="92"/>
      <c r="W446" s="92"/>
    </row>
    <row r="447" spans="1:23" s="89" customFormat="1" x14ac:dyDescent="0.2">
      <c r="A447" s="91"/>
      <c r="B447" s="93"/>
      <c r="C447" s="92"/>
      <c r="D447" s="92"/>
      <c r="E447" s="92"/>
      <c r="F447" s="92"/>
      <c r="G447" s="92"/>
      <c r="H447" s="92"/>
      <c r="I447" s="92"/>
      <c r="J447" s="92"/>
      <c r="K447" s="92"/>
      <c r="L447" s="92"/>
      <c r="M447" s="92"/>
      <c r="N447" s="92"/>
      <c r="O447" s="92"/>
      <c r="P447" s="92"/>
      <c r="Q447" s="92"/>
      <c r="R447" s="92"/>
      <c r="S447" s="92"/>
      <c r="T447" s="92"/>
      <c r="U447" s="92"/>
      <c r="V447" s="92"/>
      <c r="W447" s="92"/>
    </row>
    <row r="448" spans="1:23" s="89" customFormat="1" x14ac:dyDescent="0.2">
      <c r="A448" s="91"/>
      <c r="B448" s="93"/>
      <c r="C448" s="92"/>
      <c r="D448" s="92"/>
      <c r="E448" s="92"/>
      <c r="F448" s="92"/>
      <c r="G448" s="92"/>
      <c r="H448" s="92"/>
      <c r="I448" s="92"/>
      <c r="J448" s="92"/>
      <c r="K448" s="92"/>
      <c r="L448" s="92"/>
      <c r="M448" s="92"/>
      <c r="N448" s="92"/>
      <c r="O448" s="92"/>
      <c r="P448" s="92"/>
      <c r="Q448" s="92"/>
      <c r="R448" s="92"/>
      <c r="S448" s="92"/>
      <c r="T448" s="92"/>
      <c r="U448" s="92"/>
      <c r="V448" s="92"/>
      <c r="W448" s="92"/>
    </row>
    <row r="449" spans="1:23" s="89" customFormat="1" x14ac:dyDescent="0.2">
      <c r="A449" s="91"/>
      <c r="B449" s="93"/>
      <c r="C449" s="92"/>
      <c r="D449" s="92"/>
      <c r="E449" s="92"/>
      <c r="F449" s="92"/>
      <c r="G449" s="92"/>
      <c r="H449" s="92"/>
      <c r="I449" s="92"/>
      <c r="J449" s="92"/>
      <c r="K449" s="92"/>
      <c r="L449" s="92"/>
      <c r="M449" s="92"/>
      <c r="N449" s="92"/>
      <c r="O449" s="92"/>
      <c r="P449" s="92"/>
      <c r="Q449" s="92"/>
      <c r="R449" s="92"/>
      <c r="S449" s="92"/>
      <c r="T449" s="92"/>
      <c r="U449" s="92"/>
      <c r="V449" s="92"/>
      <c r="W449" s="92"/>
    </row>
    <row r="450" spans="1:23" s="89" customFormat="1" x14ac:dyDescent="0.2">
      <c r="A450" s="91"/>
      <c r="B450" s="93"/>
      <c r="C450" s="92"/>
      <c r="D450" s="92"/>
      <c r="E450" s="92"/>
      <c r="F450" s="92"/>
      <c r="G450" s="92"/>
      <c r="H450" s="92"/>
      <c r="I450" s="92"/>
      <c r="J450" s="92"/>
      <c r="K450" s="92"/>
      <c r="L450" s="92"/>
      <c r="M450" s="92"/>
      <c r="N450" s="92"/>
      <c r="O450" s="92"/>
      <c r="P450" s="92"/>
      <c r="Q450" s="92"/>
      <c r="R450" s="92"/>
      <c r="S450" s="92"/>
      <c r="T450" s="92"/>
      <c r="U450" s="92"/>
      <c r="V450" s="92"/>
      <c r="W450" s="92"/>
    </row>
    <row r="451" spans="1:23" s="89" customFormat="1" x14ac:dyDescent="0.2">
      <c r="A451" s="91"/>
      <c r="B451" s="93"/>
      <c r="C451" s="92"/>
      <c r="D451" s="92"/>
      <c r="E451" s="92"/>
      <c r="F451" s="92"/>
      <c r="G451" s="92"/>
      <c r="H451" s="92"/>
      <c r="I451" s="92"/>
      <c r="J451" s="92"/>
      <c r="K451" s="92"/>
      <c r="L451" s="92"/>
      <c r="M451" s="92"/>
      <c r="N451" s="92"/>
      <c r="O451" s="92"/>
      <c r="P451" s="92"/>
      <c r="Q451" s="92"/>
      <c r="R451" s="92"/>
      <c r="S451" s="92"/>
      <c r="T451" s="92"/>
      <c r="U451" s="92"/>
      <c r="V451" s="92"/>
      <c r="W451" s="92"/>
    </row>
    <row r="452" spans="1:23" s="89" customFormat="1" x14ac:dyDescent="0.2">
      <c r="A452" s="91"/>
      <c r="B452" s="93"/>
      <c r="C452" s="92"/>
      <c r="D452" s="92"/>
      <c r="E452" s="92"/>
      <c r="F452" s="92"/>
      <c r="G452" s="92"/>
      <c r="H452" s="92"/>
      <c r="I452" s="92"/>
      <c r="J452" s="92"/>
      <c r="K452" s="92"/>
      <c r="L452" s="92"/>
      <c r="M452" s="92"/>
      <c r="N452" s="92"/>
      <c r="O452" s="92"/>
      <c r="P452" s="92"/>
      <c r="Q452" s="92"/>
      <c r="R452" s="92"/>
      <c r="S452" s="92"/>
      <c r="T452" s="92"/>
      <c r="U452" s="92"/>
      <c r="V452" s="92"/>
      <c r="W452" s="92"/>
    </row>
    <row r="453" spans="1:23" s="89" customFormat="1" x14ac:dyDescent="0.2">
      <c r="A453" s="91"/>
      <c r="B453" s="93"/>
      <c r="C453" s="92"/>
      <c r="D453" s="92"/>
      <c r="E453" s="92"/>
      <c r="F453" s="92"/>
      <c r="G453" s="92"/>
      <c r="H453" s="92"/>
      <c r="I453" s="92"/>
      <c r="J453" s="92"/>
      <c r="K453" s="92"/>
      <c r="L453" s="92"/>
      <c r="M453" s="92"/>
      <c r="N453" s="92"/>
      <c r="O453" s="92"/>
      <c r="P453" s="92"/>
      <c r="Q453" s="92"/>
      <c r="R453" s="92"/>
      <c r="S453" s="92"/>
      <c r="T453" s="92"/>
      <c r="U453" s="92"/>
      <c r="V453" s="92"/>
      <c r="W453" s="92"/>
    </row>
    <row r="454" spans="1:23" s="89" customFormat="1" x14ac:dyDescent="0.2">
      <c r="A454" s="91"/>
      <c r="B454" s="93"/>
      <c r="C454" s="92"/>
      <c r="D454" s="92"/>
      <c r="E454" s="92"/>
      <c r="F454" s="92"/>
      <c r="G454" s="92"/>
      <c r="H454" s="92"/>
      <c r="I454" s="92"/>
      <c r="J454" s="92"/>
      <c r="K454" s="92"/>
      <c r="L454" s="92"/>
      <c r="M454" s="92"/>
      <c r="N454" s="92"/>
      <c r="O454" s="92"/>
      <c r="P454" s="92"/>
      <c r="Q454" s="92"/>
      <c r="R454" s="92"/>
      <c r="S454" s="92"/>
      <c r="T454" s="92"/>
      <c r="U454" s="92"/>
      <c r="V454" s="92"/>
      <c r="W454" s="92"/>
    </row>
    <row r="455" spans="1:23" s="89" customFormat="1" x14ac:dyDescent="0.2">
      <c r="A455" s="91"/>
      <c r="B455" s="93"/>
      <c r="C455" s="92"/>
      <c r="D455" s="92"/>
      <c r="E455" s="92"/>
      <c r="F455" s="92"/>
      <c r="G455" s="92"/>
      <c r="H455" s="92"/>
      <c r="I455" s="92"/>
      <c r="J455" s="92"/>
      <c r="K455" s="92"/>
      <c r="L455" s="92"/>
      <c r="M455" s="92"/>
      <c r="N455" s="92"/>
      <c r="O455" s="92"/>
      <c r="P455" s="92"/>
      <c r="Q455" s="92"/>
      <c r="R455" s="92"/>
      <c r="S455" s="92"/>
      <c r="T455" s="92"/>
      <c r="U455" s="92"/>
      <c r="V455" s="92"/>
      <c r="W455" s="92"/>
    </row>
    <row r="456" spans="1:23" s="89" customFormat="1" x14ac:dyDescent="0.2">
      <c r="A456" s="91"/>
      <c r="B456" s="93"/>
      <c r="C456" s="92"/>
      <c r="D456" s="92"/>
      <c r="E456" s="92"/>
      <c r="F456" s="92"/>
      <c r="G456" s="92"/>
      <c r="H456" s="92"/>
      <c r="I456" s="92"/>
      <c r="J456" s="92"/>
      <c r="K456" s="92"/>
      <c r="L456" s="92"/>
      <c r="M456" s="92"/>
      <c r="N456" s="92"/>
      <c r="O456" s="92"/>
      <c r="P456" s="92"/>
      <c r="Q456" s="92"/>
      <c r="R456" s="92"/>
      <c r="S456" s="92"/>
      <c r="T456" s="92"/>
      <c r="U456" s="92"/>
      <c r="V456" s="92"/>
      <c r="W456" s="92"/>
    </row>
    <row r="457" spans="1:23" s="89" customFormat="1" x14ac:dyDescent="0.2">
      <c r="A457" s="91"/>
      <c r="B457" s="93"/>
      <c r="C457" s="92"/>
      <c r="D457" s="92"/>
      <c r="E457" s="92"/>
      <c r="F457" s="92"/>
      <c r="G457" s="92"/>
      <c r="H457" s="92"/>
      <c r="I457" s="92"/>
      <c r="J457" s="92"/>
      <c r="K457" s="92"/>
      <c r="L457" s="92"/>
      <c r="M457" s="92"/>
      <c r="N457" s="92"/>
      <c r="O457" s="92"/>
      <c r="P457" s="92"/>
      <c r="Q457" s="92"/>
      <c r="R457" s="92"/>
      <c r="S457" s="92"/>
      <c r="T457" s="92"/>
      <c r="U457" s="92"/>
      <c r="V457" s="92"/>
      <c r="W457" s="92"/>
    </row>
    <row r="458" spans="1:23" s="89" customFormat="1" x14ac:dyDescent="0.2">
      <c r="A458" s="91"/>
      <c r="B458" s="93"/>
      <c r="C458" s="92"/>
      <c r="D458" s="92"/>
      <c r="E458" s="92"/>
      <c r="F458" s="92"/>
      <c r="G458" s="92"/>
      <c r="H458" s="92"/>
      <c r="I458" s="92"/>
      <c r="J458" s="92"/>
      <c r="K458" s="92"/>
      <c r="L458" s="92"/>
      <c r="M458" s="92"/>
      <c r="N458" s="92"/>
      <c r="O458" s="92"/>
      <c r="P458" s="92"/>
      <c r="Q458" s="92"/>
      <c r="R458" s="92"/>
      <c r="S458" s="92"/>
      <c r="T458" s="92"/>
      <c r="U458" s="92"/>
      <c r="V458" s="92"/>
      <c r="W458" s="92"/>
    </row>
    <row r="459" spans="1:23" s="89" customFormat="1" x14ac:dyDescent="0.2">
      <c r="A459" s="91"/>
      <c r="B459" s="93"/>
      <c r="C459" s="92"/>
      <c r="D459" s="92"/>
      <c r="E459" s="92"/>
      <c r="F459" s="92"/>
      <c r="G459" s="92"/>
      <c r="H459" s="92"/>
      <c r="I459" s="92"/>
      <c r="J459" s="92"/>
      <c r="K459" s="92"/>
      <c r="L459" s="92"/>
      <c r="M459" s="92"/>
      <c r="N459" s="92"/>
      <c r="O459" s="92"/>
      <c r="P459" s="92"/>
      <c r="Q459" s="92"/>
      <c r="R459" s="92"/>
      <c r="S459" s="92"/>
      <c r="T459" s="92"/>
      <c r="U459" s="92"/>
      <c r="V459" s="92"/>
      <c r="W459" s="92"/>
    </row>
    <row r="460" spans="1:23" s="89" customFormat="1" x14ac:dyDescent="0.2">
      <c r="A460" s="91"/>
      <c r="B460" s="93"/>
      <c r="C460" s="92"/>
      <c r="D460" s="92"/>
      <c r="E460" s="92"/>
      <c r="F460" s="92"/>
      <c r="G460" s="92"/>
      <c r="H460" s="92"/>
      <c r="I460" s="92"/>
      <c r="J460" s="92"/>
      <c r="K460" s="92"/>
      <c r="L460" s="92"/>
      <c r="M460" s="92"/>
      <c r="N460" s="92"/>
      <c r="O460" s="92"/>
      <c r="P460" s="92"/>
      <c r="Q460" s="92"/>
      <c r="R460" s="92"/>
      <c r="S460" s="92"/>
      <c r="T460" s="92"/>
      <c r="U460" s="92"/>
      <c r="V460" s="92"/>
      <c r="W460" s="92"/>
    </row>
    <row r="461" spans="1:23" s="89" customFormat="1" x14ac:dyDescent="0.2">
      <c r="A461" s="91"/>
      <c r="B461" s="93"/>
      <c r="C461" s="92"/>
      <c r="D461" s="92"/>
      <c r="E461" s="92"/>
      <c r="F461" s="92"/>
      <c r="G461" s="92"/>
      <c r="H461" s="92"/>
      <c r="I461" s="92"/>
      <c r="J461" s="92"/>
      <c r="K461" s="92"/>
      <c r="L461" s="92"/>
      <c r="M461" s="92"/>
      <c r="N461" s="92"/>
      <c r="O461" s="92"/>
      <c r="P461" s="92"/>
      <c r="Q461" s="92"/>
      <c r="R461" s="92"/>
      <c r="S461" s="92"/>
      <c r="T461" s="92"/>
      <c r="U461" s="92"/>
      <c r="V461" s="92"/>
      <c r="W461" s="92"/>
    </row>
    <row r="462" spans="1:23" s="89" customFormat="1" x14ac:dyDescent="0.2">
      <c r="A462" s="91"/>
      <c r="B462" s="93"/>
      <c r="C462" s="92"/>
      <c r="D462" s="92"/>
      <c r="E462" s="92"/>
      <c r="F462" s="92"/>
      <c r="G462" s="92"/>
      <c r="H462" s="92"/>
      <c r="I462" s="92"/>
      <c r="J462" s="92"/>
      <c r="K462" s="92"/>
      <c r="L462" s="92"/>
      <c r="M462" s="92"/>
      <c r="N462" s="92"/>
      <c r="O462" s="92"/>
      <c r="P462" s="92"/>
      <c r="Q462" s="92"/>
      <c r="R462" s="92"/>
      <c r="S462" s="92"/>
      <c r="T462" s="92"/>
      <c r="U462" s="92"/>
      <c r="V462" s="92"/>
      <c r="W462" s="92"/>
    </row>
    <row r="463" spans="1:23" s="89" customFormat="1" x14ac:dyDescent="0.2">
      <c r="A463" s="91"/>
      <c r="B463" s="93"/>
      <c r="C463" s="92"/>
      <c r="D463" s="92"/>
      <c r="E463" s="92"/>
      <c r="F463" s="92"/>
      <c r="G463" s="92"/>
      <c r="H463" s="92"/>
      <c r="I463" s="92"/>
      <c r="J463" s="92"/>
      <c r="K463" s="92"/>
      <c r="L463" s="92"/>
      <c r="M463" s="92"/>
      <c r="N463" s="92"/>
      <c r="O463" s="92"/>
      <c r="P463" s="92"/>
      <c r="Q463" s="92"/>
      <c r="R463" s="92"/>
      <c r="S463" s="92"/>
      <c r="T463" s="92"/>
      <c r="U463" s="92"/>
      <c r="V463" s="92"/>
      <c r="W463" s="92"/>
    </row>
    <row r="464" spans="1:23" s="89" customFormat="1" x14ac:dyDescent="0.2">
      <c r="A464" s="91"/>
      <c r="B464" s="93"/>
      <c r="C464" s="92"/>
      <c r="D464" s="92"/>
      <c r="E464" s="92"/>
      <c r="F464" s="92"/>
      <c r="G464" s="92"/>
      <c r="H464" s="92"/>
      <c r="I464" s="92"/>
      <c r="J464" s="92"/>
      <c r="K464" s="92"/>
      <c r="L464" s="92"/>
      <c r="M464" s="92"/>
      <c r="N464" s="92"/>
      <c r="O464" s="92"/>
      <c r="P464" s="92"/>
      <c r="Q464" s="92"/>
      <c r="R464" s="92"/>
      <c r="S464" s="92"/>
      <c r="T464" s="92"/>
      <c r="U464" s="92"/>
      <c r="V464" s="92"/>
      <c r="W464" s="92"/>
    </row>
    <row r="465" spans="1:23" s="89" customFormat="1" x14ac:dyDescent="0.2">
      <c r="A465" s="91"/>
      <c r="B465" s="93"/>
      <c r="C465" s="92"/>
      <c r="D465" s="92"/>
      <c r="E465" s="92"/>
      <c r="F465" s="92"/>
      <c r="G465" s="92"/>
      <c r="H465" s="92"/>
      <c r="I465" s="92"/>
      <c r="J465" s="92"/>
      <c r="K465" s="92"/>
      <c r="L465" s="92"/>
      <c r="M465" s="92"/>
      <c r="N465" s="92"/>
      <c r="O465" s="92"/>
      <c r="P465" s="92"/>
      <c r="Q465" s="92"/>
      <c r="R465" s="92"/>
      <c r="S465" s="92"/>
      <c r="T465" s="92"/>
      <c r="U465" s="92"/>
      <c r="V465" s="92"/>
      <c r="W465" s="92"/>
    </row>
    <row r="466" spans="1:23" s="89" customFormat="1" x14ac:dyDescent="0.2">
      <c r="A466" s="91"/>
      <c r="B466" s="93"/>
      <c r="C466" s="92"/>
      <c r="D466" s="92"/>
      <c r="E466" s="92"/>
      <c r="F466" s="92"/>
      <c r="G466" s="92"/>
      <c r="H466" s="92"/>
      <c r="I466" s="92"/>
      <c r="J466" s="92"/>
      <c r="K466" s="92"/>
      <c r="L466" s="92"/>
      <c r="M466" s="92"/>
      <c r="N466" s="92"/>
      <c r="O466" s="92"/>
      <c r="P466" s="92"/>
      <c r="Q466" s="92"/>
      <c r="R466" s="92"/>
      <c r="S466" s="92"/>
      <c r="T466" s="92"/>
      <c r="U466" s="92"/>
      <c r="V466" s="92"/>
      <c r="W466" s="92"/>
    </row>
    <row r="467" spans="1:23" s="89" customFormat="1" x14ac:dyDescent="0.2">
      <c r="A467" s="91"/>
      <c r="B467" s="93"/>
      <c r="C467" s="92"/>
      <c r="D467" s="92"/>
      <c r="E467" s="92"/>
      <c r="F467" s="92"/>
      <c r="G467" s="92"/>
      <c r="H467" s="92"/>
      <c r="I467" s="92"/>
      <c r="J467" s="92"/>
      <c r="K467" s="92"/>
      <c r="L467" s="92"/>
      <c r="M467" s="92"/>
      <c r="N467" s="92"/>
      <c r="O467" s="92"/>
      <c r="P467" s="92"/>
      <c r="Q467" s="92"/>
      <c r="R467" s="92"/>
      <c r="S467" s="92"/>
      <c r="T467" s="92"/>
      <c r="U467" s="92"/>
      <c r="V467" s="92"/>
      <c r="W467" s="92"/>
    </row>
    <row r="468" spans="1:23" s="89" customFormat="1" x14ac:dyDescent="0.2">
      <c r="A468" s="91"/>
      <c r="B468" s="93"/>
      <c r="C468" s="92"/>
      <c r="D468" s="92"/>
      <c r="E468" s="92"/>
      <c r="F468" s="92"/>
      <c r="G468" s="92"/>
      <c r="H468" s="92"/>
      <c r="I468" s="92"/>
      <c r="J468" s="92"/>
      <c r="K468" s="92"/>
      <c r="L468" s="92"/>
      <c r="M468" s="92"/>
      <c r="N468" s="92"/>
      <c r="O468" s="92"/>
      <c r="P468" s="92"/>
      <c r="Q468" s="92"/>
      <c r="R468" s="92"/>
      <c r="S468" s="92"/>
      <c r="T468" s="92"/>
      <c r="U468" s="92"/>
      <c r="V468" s="92"/>
      <c r="W468" s="92"/>
    </row>
    <row r="469" spans="1:23" s="89" customFormat="1" x14ac:dyDescent="0.2">
      <c r="A469" s="91"/>
      <c r="B469" s="93"/>
      <c r="C469" s="92"/>
      <c r="D469" s="92"/>
      <c r="E469" s="92"/>
      <c r="F469" s="92"/>
      <c r="G469" s="92"/>
      <c r="H469" s="92"/>
      <c r="I469" s="92"/>
      <c r="J469" s="92"/>
      <c r="K469" s="92"/>
      <c r="L469" s="92"/>
      <c r="M469" s="92"/>
      <c r="N469" s="92"/>
      <c r="O469" s="92"/>
      <c r="P469" s="92"/>
      <c r="Q469" s="92"/>
      <c r="R469" s="92"/>
      <c r="S469" s="92"/>
      <c r="T469" s="92"/>
      <c r="U469" s="92"/>
      <c r="V469" s="92"/>
      <c r="W469" s="92"/>
    </row>
    <row r="470" spans="1:23" s="89" customFormat="1" x14ac:dyDescent="0.2">
      <c r="A470" s="91"/>
      <c r="B470" s="93"/>
      <c r="C470" s="92"/>
      <c r="D470" s="92"/>
      <c r="E470" s="92"/>
      <c r="F470" s="92"/>
      <c r="G470" s="92"/>
      <c r="H470" s="92"/>
      <c r="I470" s="92"/>
      <c r="J470" s="92"/>
      <c r="K470" s="92"/>
      <c r="L470" s="92"/>
      <c r="M470" s="92"/>
      <c r="N470" s="92"/>
      <c r="O470" s="92"/>
      <c r="P470" s="92"/>
      <c r="Q470" s="92"/>
      <c r="R470" s="92"/>
      <c r="S470" s="92"/>
      <c r="T470" s="92"/>
      <c r="U470" s="92"/>
      <c r="V470" s="92"/>
      <c r="W470" s="92"/>
    </row>
    <row r="471" spans="1:23" s="89" customFormat="1" x14ac:dyDescent="0.2">
      <c r="A471" s="91"/>
      <c r="B471" s="93"/>
      <c r="C471" s="92"/>
      <c r="D471" s="92"/>
      <c r="E471" s="92"/>
      <c r="F471" s="92"/>
      <c r="G471" s="92"/>
      <c r="H471" s="92"/>
      <c r="I471" s="92"/>
      <c r="J471" s="92"/>
      <c r="K471" s="92"/>
      <c r="L471" s="92"/>
      <c r="M471" s="92"/>
      <c r="N471" s="92"/>
      <c r="O471" s="92"/>
      <c r="P471" s="92"/>
      <c r="Q471" s="92"/>
      <c r="R471" s="92"/>
      <c r="S471" s="92"/>
      <c r="T471" s="92"/>
      <c r="U471" s="92"/>
      <c r="V471" s="92"/>
      <c r="W471" s="92"/>
    </row>
    <row r="472" spans="1:23" s="89" customFormat="1" x14ac:dyDescent="0.2">
      <c r="A472" s="91"/>
      <c r="B472" s="93"/>
      <c r="C472" s="92"/>
      <c r="D472" s="92"/>
      <c r="E472" s="92"/>
      <c r="F472" s="92"/>
      <c r="G472" s="92"/>
      <c r="H472" s="92"/>
      <c r="I472" s="92"/>
      <c r="J472" s="92"/>
      <c r="K472" s="92"/>
      <c r="L472" s="92"/>
      <c r="M472" s="92"/>
      <c r="N472" s="92"/>
      <c r="O472" s="92"/>
      <c r="P472" s="92"/>
      <c r="Q472" s="92"/>
      <c r="R472" s="92"/>
      <c r="S472" s="92"/>
      <c r="T472" s="92"/>
      <c r="U472" s="92"/>
      <c r="V472" s="92"/>
      <c r="W472" s="92"/>
    </row>
    <row r="473" spans="1:23" s="89" customFormat="1" x14ac:dyDescent="0.2">
      <c r="A473" s="91"/>
      <c r="B473" s="93"/>
      <c r="C473" s="92"/>
      <c r="D473" s="92"/>
      <c r="E473" s="92"/>
      <c r="F473" s="92"/>
      <c r="G473" s="92"/>
      <c r="H473" s="92"/>
      <c r="I473" s="92"/>
      <c r="J473" s="92"/>
      <c r="K473" s="92"/>
      <c r="L473" s="92"/>
      <c r="M473" s="92"/>
      <c r="N473" s="92"/>
      <c r="O473" s="92"/>
      <c r="P473" s="92"/>
      <c r="Q473" s="92"/>
      <c r="R473" s="92"/>
      <c r="S473" s="92"/>
      <c r="T473" s="92"/>
      <c r="U473" s="92"/>
      <c r="V473" s="92"/>
      <c r="W473" s="92"/>
    </row>
    <row r="474" spans="1:23" s="89" customFormat="1" x14ac:dyDescent="0.2">
      <c r="A474" s="91"/>
      <c r="B474" s="93"/>
      <c r="C474" s="92"/>
      <c r="D474" s="92"/>
      <c r="E474" s="92"/>
      <c r="F474" s="92"/>
      <c r="G474" s="92"/>
      <c r="H474" s="92"/>
      <c r="I474" s="92"/>
      <c r="J474" s="92"/>
      <c r="K474" s="92"/>
      <c r="L474" s="92"/>
      <c r="M474" s="92"/>
      <c r="N474" s="92"/>
      <c r="O474" s="92"/>
      <c r="P474" s="92"/>
      <c r="Q474" s="92"/>
      <c r="R474" s="92"/>
      <c r="S474" s="92"/>
      <c r="T474" s="92"/>
      <c r="U474" s="92"/>
      <c r="V474" s="92"/>
      <c r="W474" s="92"/>
    </row>
    <row r="475" spans="1:23" s="89" customFormat="1" x14ac:dyDescent="0.2">
      <c r="A475" s="91"/>
      <c r="B475" s="93"/>
      <c r="C475" s="92"/>
      <c r="D475" s="92"/>
      <c r="E475" s="92"/>
      <c r="F475" s="92"/>
      <c r="G475" s="92"/>
      <c r="H475" s="92"/>
      <c r="I475" s="92"/>
      <c r="J475" s="92"/>
      <c r="K475" s="92"/>
      <c r="L475" s="92"/>
      <c r="M475" s="92"/>
      <c r="N475" s="92"/>
      <c r="O475" s="92"/>
      <c r="P475" s="92"/>
      <c r="Q475" s="92"/>
      <c r="R475" s="92"/>
      <c r="S475" s="92"/>
      <c r="T475" s="92"/>
      <c r="U475" s="92"/>
      <c r="V475" s="92"/>
      <c r="W475" s="92"/>
    </row>
    <row r="476" spans="1:23" s="89" customFormat="1" x14ac:dyDescent="0.2">
      <c r="A476" s="91"/>
      <c r="B476" s="93"/>
      <c r="C476" s="92"/>
      <c r="D476" s="92"/>
      <c r="E476" s="92"/>
      <c r="F476" s="92"/>
      <c r="G476" s="92"/>
      <c r="H476" s="92"/>
      <c r="I476" s="92"/>
      <c r="J476" s="92"/>
      <c r="K476" s="92"/>
      <c r="L476" s="92"/>
      <c r="M476" s="92"/>
      <c r="N476" s="92"/>
      <c r="O476" s="92"/>
      <c r="P476" s="92"/>
      <c r="Q476" s="92"/>
      <c r="R476" s="92"/>
      <c r="S476" s="92"/>
      <c r="T476" s="92"/>
      <c r="U476" s="92"/>
      <c r="V476" s="92"/>
      <c r="W476" s="92"/>
    </row>
    <row r="477" spans="1:23" s="89" customFormat="1" x14ac:dyDescent="0.2">
      <c r="A477" s="91"/>
      <c r="B477" s="93"/>
      <c r="C477" s="92"/>
      <c r="D477" s="92"/>
      <c r="E477" s="92"/>
      <c r="F477" s="92"/>
      <c r="G477" s="92"/>
      <c r="H477" s="92"/>
      <c r="I477" s="92"/>
      <c r="J477" s="92"/>
      <c r="K477" s="92"/>
      <c r="L477" s="92"/>
      <c r="M477" s="92"/>
      <c r="N477" s="92"/>
      <c r="O477" s="92"/>
      <c r="P477" s="92"/>
      <c r="Q477" s="92"/>
      <c r="R477" s="92"/>
      <c r="S477" s="92"/>
      <c r="T477" s="92"/>
      <c r="U477" s="92"/>
      <c r="V477" s="92"/>
      <c r="W477" s="92"/>
    </row>
    <row r="478" spans="1:23" s="89" customFormat="1" x14ac:dyDescent="0.2">
      <c r="A478" s="91"/>
      <c r="B478" s="93"/>
      <c r="C478" s="92"/>
      <c r="D478" s="92"/>
      <c r="E478" s="92"/>
      <c r="F478" s="92"/>
      <c r="G478" s="92"/>
      <c r="H478" s="92"/>
      <c r="I478" s="92"/>
      <c r="J478" s="92"/>
      <c r="K478" s="92"/>
      <c r="L478" s="92"/>
      <c r="M478" s="92"/>
      <c r="N478" s="92"/>
      <c r="O478" s="92"/>
      <c r="P478" s="92"/>
      <c r="Q478" s="92"/>
      <c r="R478" s="92"/>
      <c r="S478" s="92"/>
      <c r="T478" s="92"/>
      <c r="U478" s="92"/>
      <c r="V478" s="92"/>
      <c r="W478" s="92"/>
    </row>
    <row r="479" spans="1:23" s="89" customFormat="1" x14ac:dyDescent="0.2">
      <c r="A479" s="91"/>
      <c r="B479" s="93"/>
      <c r="C479" s="92"/>
      <c r="D479" s="92"/>
      <c r="E479" s="92"/>
      <c r="F479" s="92"/>
      <c r="G479" s="92"/>
      <c r="H479" s="92"/>
      <c r="I479" s="92"/>
      <c r="J479" s="92"/>
      <c r="K479" s="92"/>
      <c r="L479" s="92"/>
      <c r="M479" s="92"/>
      <c r="N479" s="92"/>
      <c r="O479" s="92"/>
      <c r="P479" s="92"/>
      <c r="Q479" s="92"/>
      <c r="R479" s="92"/>
      <c r="S479" s="92"/>
      <c r="T479" s="92"/>
      <c r="U479" s="92"/>
      <c r="V479" s="92"/>
      <c r="W479" s="92"/>
    </row>
    <row r="480" spans="1:23" s="89" customFormat="1" x14ac:dyDescent="0.2">
      <c r="A480" s="91"/>
      <c r="B480" s="93"/>
      <c r="C480" s="92"/>
      <c r="D480" s="92"/>
      <c r="E480" s="92"/>
      <c r="F480" s="92"/>
      <c r="G480" s="92"/>
      <c r="H480" s="92"/>
      <c r="I480" s="92"/>
      <c r="J480" s="92"/>
      <c r="K480" s="92"/>
      <c r="L480" s="92"/>
      <c r="M480" s="92"/>
      <c r="N480" s="92"/>
      <c r="O480" s="92"/>
      <c r="P480" s="92"/>
      <c r="Q480" s="92"/>
      <c r="R480" s="92"/>
      <c r="S480" s="92"/>
      <c r="T480" s="92"/>
      <c r="U480" s="92"/>
      <c r="V480" s="92"/>
      <c r="W480" s="92"/>
    </row>
    <row r="481" spans="1:23" s="89" customFormat="1" x14ac:dyDescent="0.2">
      <c r="A481" s="91"/>
      <c r="B481" s="93"/>
      <c r="C481" s="92"/>
      <c r="D481" s="92"/>
      <c r="E481" s="92"/>
      <c r="F481" s="92"/>
      <c r="G481" s="92"/>
      <c r="H481" s="92"/>
      <c r="I481" s="92"/>
      <c r="J481" s="92"/>
      <c r="K481" s="92"/>
      <c r="L481" s="92"/>
      <c r="M481" s="92"/>
      <c r="N481" s="92"/>
      <c r="O481" s="92"/>
      <c r="P481" s="92"/>
      <c r="Q481" s="92"/>
      <c r="R481" s="92"/>
      <c r="S481" s="92"/>
      <c r="T481" s="92"/>
      <c r="U481" s="92"/>
      <c r="V481" s="92"/>
      <c r="W481" s="92"/>
    </row>
    <row r="482" spans="1:23" s="89" customFormat="1" x14ac:dyDescent="0.2">
      <c r="A482" s="91"/>
      <c r="B482" s="93"/>
      <c r="C482" s="92"/>
      <c r="D482" s="92"/>
      <c r="E482" s="92"/>
      <c r="F482" s="92"/>
      <c r="G482" s="92"/>
      <c r="H482" s="92"/>
      <c r="I482" s="92"/>
      <c r="J482" s="92"/>
      <c r="K482" s="92"/>
      <c r="L482" s="92"/>
      <c r="M482" s="92"/>
      <c r="N482" s="92"/>
      <c r="O482" s="92"/>
      <c r="P482" s="92"/>
      <c r="Q482" s="92"/>
      <c r="R482" s="92"/>
      <c r="S482" s="92"/>
      <c r="T482" s="92"/>
      <c r="U482" s="92"/>
      <c r="V482" s="92"/>
      <c r="W482" s="92"/>
    </row>
    <row r="483" spans="1:23" s="89" customFormat="1" x14ac:dyDescent="0.2">
      <c r="A483" s="91"/>
      <c r="B483" s="93"/>
      <c r="C483" s="92"/>
      <c r="D483" s="92"/>
      <c r="E483" s="92"/>
      <c r="F483" s="92"/>
      <c r="G483" s="92"/>
      <c r="H483" s="92"/>
      <c r="I483" s="92"/>
      <c r="J483" s="92"/>
      <c r="K483" s="92"/>
      <c r="L483" s="92"/>
      <c r="M483" s="92"/>
      <c r="N483" s="92"/>
      <c r="O483" s="92"/>
      <c r="P483" s="92"/>
      <c r="Q483" s="92"/>
      <c r="R483" s="92"/>
      <c r="S483" s="92"/>
      <c r="T483" s="92"/>
      <c r="U483" s="92"/>
      <c r="V483" s="92"/>
      <c r="W483" s="92"/>
    </row>
    <row r="484" spans="1:23" s="89" customFormat="1" x14ac:dyDescent="0.2">
      <c r="A484" s="91"/>
      <c r="B484" s="93"/>
      <c r="C484" s="92"/>
      <c r="D484" s="92"/>
      <c r="E484" s="92"/>
      <c r="F484" s="92"/>
      <c r="G484" s="92"/>
      <c r="H484" s="92"/>
      <c r="I484" s="92"/>
      <c r="J484" s="92"/>
      <c r="K484" s="92"/>
      <c r="L484" s="92"/>
      <c r="M484" s="92"/>
      <c r="N484" s="92"/>
      <c r="O484" s="92"/>
      <c r="P484" s="92"/>
      <c r="Q484" s="92"/>
      <c r="R484" s="92"/>
      <c r="S484" s="92"/>
      <c r="T484" s="92"/>
      <c r="U484" s="92"/>
      <c r="V484" s="92"/>
      <c r="W484" s="92"/>
    </row>
    <row r="485" spans="1:23" s="89" customFormat="1" x14ac:dyDescent="0.2">
      <c r="A485" s="91"/>
      <c r="B485" s="93"/>
      <c r="C485" s="92"/>
      <c r="D485" s="92"/>
      <c r="E485" s="92"/>
      <c r="F485" s="92"/>
      <c r="G485" s="92"/>
      <c r="H485" s="92"/>
      <c r="I485" s="92"/>
      <c r="J485" s="92"/>
      <c r="K485" s="92"/>
      <c r="L485" s="92"/>
      <c r="M485" s="92"/>
      <c r="N485" s="92"/>
      <c r="O485" s="92"/>
      <c r="P485" s="92"/>
      <c r="Q485" s="92"/>
      <c r="R485" s="92"/>
      <c r="S485" s="92"/>
      <c r="T485" s="92"/>
      <c r="U485" s="92"/>
      <c r="V485" s="92"/>
      <c r="W485" s="92"/>
    </row>
    <row r="486" spans="1:23" s="89" customFormat="1" x14ac:dyDescent="0.2">
      <c r="A486" s="91"/>
      <c r="B486" s="93"/>
      <c r="C486" s="92"/>
      <c r="D486" s="92"/>
      <c r="E486" s="92"/>
      <c r="F486" s="92"/>
      <c r="G486" s="92"/>
      <c r="H486" s="92"/>
      <c r="I486" s="92"/>
      <c r="J486" s="92"/>
      <c r="K486" s="92"/>
      <c r="L486" s="92"/>
      <c r="M486" s="92"/>
      <c r="N486" s="92"/>
      <c r="O486" s="92"/>
      <c r="P486" s="92"/>
      <c r="Q486" s="92"/>
      <c r="R486" s="92"/>
      <c r="S486" s="92"/>
      <c r="T486" s="92"/>
      <c r="U486" s="92"/>
      <c r="V486" s="92"/>
      <c r="W486" s="92"/>
    </row>
    <row r="487" spans="1:23" s="89" customFormat="1" x14ac:dyDescent="0.2">
      <c r="A487" s="91"/>
      <c r="B487" s="93"/>
      <c r="C487" s="92"/>
      <c r="D487" s="92"/>
      <c r="E487" s="92"/>
      <c r="F487" s="92"/>
      <c r="G487" s="92"/>
      <c r="H487" s="92"/>
      <c r="I487" s="92"/>
      <c r="J487" s="92"/>
      <c r="K487" s="92"/>
      <c r="L487" s="92"/>
      <c r="M487" s="92"/>
      <c r="N487" s="92"/>
      <c r="O487" s="92"/>
      <c r="P487" s="92"/>
      <c r="Q487" s="92"/>
      <c r="R487" s="92"/>
      <c r="S487" s="92"/>
      <c r="T487" s="92"/>
      <c r="U487" s="92"/>
      <c r="V487" s="92"/>
      <c r="W487" s="92"/>
    </row>
    <row r="488" spans="1:23" s="89" customFormat="1" x14ac:dyDescent="0.2">
      <c r="A488" s="91"/>
      <c r="B488" s="93"/>
      <c r="C488" s="92"/>
      <c r="D488" s="92"/>
      <c r="E488" s="92"/>
      <c r="F488" s="92"/>
      <c r="G488" s="92"/>
      <c r="H488" s="92"/>
      <c r="I488" s="92"/>
      <c r="J488" s="92"/>
      <c r="K488" s="92"/>
      <c r="L488" s="92"/>
      <c r="M488" s="92"/>
      <c r="N488" s="92"/>
      <c r="O488" s="92"/>
      <c r="P488" s="92"/>
      <c r="Q488" s="92"/>
      <c r="R488" s="92"/>
      <c r="S488" s="92"/>
      <c r="T488" s="92"/>
      <c r="U488" s="92"/>
      <c r="V488" s="92"/>
      <c r="W488" s="92"/>
    </row>
    <row r="489" spans="1:23" s="89" customFormat="1" x14ac:dyDescent="0.2">
      <c r="A489" s="91"/>
      <c r="B489" s="93"/>
      <c r="C489" s="92"/>
      <c r="D489" s="92"/>
      <c r="E489" s="92"/>
      <c r="F489" s="92"/>
      <c r="G489" s="92"/>
      <c r="H489" s="92"/>
      <c r="I489" s="92"/>
      <c r="J489" s="92"/>
      <c r="K489" s="92"/>
      <c r="L489" s="92"/>
      <c r="M489" s="92"/>
      <c r="N489" s="92"/>
      <c r="O489" s="92"/>
      <c r="P489" s="92"/>
      <c r="Q489" s="92"/>
      <c r="R489" s="92"/>
      <c r="S489" s="92"/>
      <c r="T489" s="92"/>
      <c r="U489" s="92"/>
      <c r="V489" s="92"/>
      <c r="W489" s="92"/>
    </row>
    <row r="490" spans="1:23" s="89" customFormat="1" x14ac:dyDescent="0.2">
      <c r="A490" s="91"/>
      <c r="B490" s="93"/>
      <c r="C490" s="92"/>
      <c r="D490" s="92"/>
      <c r="E490" s="92"/>
      <c r="F490" s="92"/>
      <c r="G490" s="92"/>
      <c r="H490" s="92"/>
      <c r="I490" s="92"/>
      <c r="J490" s="92"/>
      <c r="K490" s="92"/>
      <c r="L490" s="92"/>
      <c r="M490" s="92"/>
      <c r="N490" s="92"/>
      <c r="O490" s="92"/>
      <c r="P490" s="92"/>
      <c r="Q490" s="92"/>
      <c r="R490" s="92"/>
      <c r="S490" s="92"/>
      <c r="T490" s="92"/>
      <c r="U490" s="92"/>
      <c r="V490" s="92"/>
      <c r="W490" s="92"/>
    </row>
    <row r="491" spans="1:23" s="89" customFormat="1" x14ac:dyDescent="0.2">
      <c r="A491" s="91"/>
      <c r="B491" s="93"/>
      <c r="C491" s="92"/>
      <c r="D491" s="92"/>
      <c r="E491" s="92"/>
      <c r="F491" s="92"/>
      <c r="G491" s="92"/>
      <c r="H491" s="92"/>
      <c r="I491" s="92"/>
      <c r="J491" s="92"/>
      <c r="K491" s="92"/>
      <c r="L491" s="92"/>
      <c r="M491" s="92"/>
      <c r="N491" s="92"/>
      <c r="O491" s="92"/>
      <c r="P491" s="92"/>
      <c r="Q491" s="92"/>
      <c r="R491" s="92"/>
      <c r="S491" s="92"/>
      <c r="T491" s="92"/>
      <c r="U491" s="92"/>
      <c r="V491" s="92"/>
      <c r="W491" s="92"/>
    </row>
    <row r="492" spans="1:23" s="89" customFormat="1" x14ac:dyDescent="0.2">
      <c r="A492" s="91"/>
      <c r="B492" s="93"/>
      <c r="C492" s="92"/>
      <c r="D492" s="92"/>
      <c r="E492" s="92"/>
      <c r="F492" s="92"/>
      <c r="G492" s="92"/>
      <c r="H492" s="92"/>
      <c r="I492" s="92"/>
      <c r="J492" s="92"/>
      <c r="K492" s="92"/>
      <c r="L492" s="92"/>
      <c r="M492" s="92"/>
      <c r="N492" s="92"/>
      <c r="O492" s="92"/>
      <c r="P492" s="92"/>
      <c r="Q492" s="92"/>
      <c r="R492" s="92"/>
      <c r="S492" s="92"/>
      <c r="T492" s="92"/>
      <c r="U492" s="92"/>
      <c r="V492" s="92"/>
      <c r="W492" s="92"/>
    </row>
    <row r="493" spans="1:23" s="89" customFormat="1" x14ac:dyDescent="0.2">
      <c r="A493" s="91"/>
      <c r="B493" s="93"/>
      <c r="C493" s="92"/>
      <c r="D493" s="92"/>
      <c r="E493" s="92"/>
      <c r="F493" s="92"/>
      <c r="G493" s="92"/>
      <c r="H493" s="92"/>
      <c r="I493" s="92"/>
      <c r="J493" s="92"/>
      <c r="K493" s="92"/>
      <c r="L493" s="92"/>
      <c r="M493" s="92"/>
      <c r="N493" s="92"/>
      <c r="O493" s="92"/>
      <c r="P493" s="92"/>
      <c r="Q493" s="92"/>
      <c r="R493" s="92"/>
      <c r="S493" s="92"/>
      <c r="T493" s="92"/>
      <c r="U493" s="92"/>
      <c r="V493" s="92"/>
      <c r="W493" s="92"/>
    </row>
    <row r="494" spans="1:23" s="89" customFormat="1" x14ac:dyDescent="0.2">
      <c r="A494" s="91"/>
      <c r="B494" s="93"/>
      <c r="C494" s="92"/>
      <c r="D494" s="92"/>
      <c r="E494" s="92"/>
      <c r="F494" s="92"/>
      <c r="G494" s="92"/>
      <c r="H494" s="92"/>
      <c r="I494" s="92"/>
      <c r="J494" s="92"/>
      <c r="K494" s="92"/>
      <c r="L494" s="92"/>
      <c r="M494" s="92"/>
      <c r="N494" s="92"/>
      <c r="O494" s="92"/>
      <c r="P494" s="92"/>
      <c r="Q494" s="92"/>
      <c r="R494" s="92"/>
      <c r="S494" s="92"/>
      <c r="T494" s="92"/>
      <c r="U494" s="92"/>
      <c r="V494" s="92"/>
      <c r="W494" s="92"/>
    </row>
    <row r="495" spans="1:23" s="89" customFormat="1" x14ac:dyDescent="0.2">
      <c r="A495" s="91"/>
      <c r="B495" s="93"/>
      <c r="C495" s="92"/>
      <c r="D495" s="92"/>
      <c r="E495" s="92"/>
      <c r="F495" s="92"/>
      <c r="G495" s="92"/>
      <c r="H495" s="92"/>
      <c r="I495" s="92"/>
      <c r="J495" s="92"/>
      <c r="K495" s="92"/>
      <c r="L495" s="92"/>
      <c r="M495" s="92"/>
      <c r="N495" s="92"/>
      <c r="O495" s="92"/>
      <c r="P495" s="92"/>
      <c r="Q495" s="92"/>
      <c r="R495" s="92"/>
      <c r="S495" s="92"/>
      <c r="T495" s="92"/>
      <c r="U495" s="92"/>
      <c r="V495" s="92"/>
      <c r="W495" s="92"/>
    </row>
    <row r="496" spans="1:23" s="89" customFormat="1" x14ac:dyDescent="0.2">
      <c r="A496" s="91"/>
      <c r="B496" s="93"/>
      <c r="C496" s="92"/>
      <c r="D496" s="92"/>
      <c r="E496" s="92"/>
      <c r="F496" s="92"/>
      <c r="G496" s="92"/>
      <c r="H496" s="92"/>
      <c r="I496" s="92"/>
      <c r="J496" s="92"/>
      <c r="K496" s="92"/>
      <c r="L496" s="92"/>
      <c r="M496" s="92"/>
      <c r="N496" s="92"/>
      <c r="O496" s="92"/>
      <c r="P496" s="92"/>
      <c r="Q496" s="92"/>
      <c r="R496" s="92"/>
      <c r="S496" s="92"/>
      <c r="T496" s="92"/>
      <c r="U496" s="92"/>
      <c r="V496" s="92"/>
      <c r="W496" s="92"/>
    </row>
    <row r="497" spans="1:23" s="89" customFormat="1" x14ac:dyDescent="0.2">
      <c r="A497" s="91"/>
      <c r="B497" s="93"/>
      <c r="C497" s="92"/>
      <c r="D497" s="92"/>
      <c r="E497" s="92"/>
      <c r="F497" s="92"/>
      <c r="G497" s="92"/>
      <c r="H497" s="92"/>
      <c r="I497" s="92"/>
      <c r="J497" s="92"/>
      <c r="K497" s="92"/>
      <c r="L497" s="92"/>
      <c r="M497" s="92"/>
      <c r="N497" s="92"/>
      <c r="O497" s="92"/>
      <c r="P497" s="92"/>
      <c r="Q497" s="92"/>
      <c r="R497" s="92"/>
      <c r="S497" s="92"/>
      <c r="T497" s="92"/>
      <c r="U497" s="92"/>
      <c r="V497" s="92"/>
      <c r="W497" s="92"/>
    </row>
    <row r="498" spans="1:23" s="89" customFormat="1" x14ac:dyDescent="0.2">
      <c r="A498" s="91"/>
      <c r="B498" s="93"/>
      <c r="C498" s="92"/>
      <c r="D498" s="92"/>
      <c r="E498" s="92"/>
      <c r="F498" s="92"/>
      <c r="G498" s="92"/>
      <c r="H498" s="92"/>
      <c r="I498" s="92"/>
      <c r="J498" s="92"/>
      <c r="K498" s="92"/>
      <c r="L498" s="92"/>
      <c r="M498" s="92"/>
      <c r="N498" s="92"/>
      <c r="O498" s="92"/>
      <c r="P498" s="92"/>
      <c r="Q498" s="92"/>
      <c r="R498" s="92"/>
      <c r="S498" s="92"/>
      <c r="T498" s="92"/>
      <c r="U498" s="92"/>
      <c r="V498" s="92"/>
      <c r="W498" s="92"/>
    </row>
    <row r="499" spans="1:23" s="89" customFormat="1" x14ac:dyDescent="0.2">
      <c r="A499" s="91"/>
      <c r="B499" s="93"/>
      <c r="C499" s="92"/>
      <c r="D499" s="92"/>
      <c r="E499" s="92"/>
      <c r="F499" s="92"/>
      <c r="G499" s="92"/>
      <c r="H499" s="92"/>
      <c r="I499" s="92"/>
      <c r="J499" s="92"/>
      <c r="K499" s="92"/>
      <c r="L499" s="92"/>
      <c r="M499" s="92"/>
      <c r="N499" s="92"/>
      <c r="O499" s="92"/>
      <c r="P499" s="92"/>
      <c r="Q499" s="92"/>
      <c r="R499" s="92"/>
      <c r="S499" s="92"/>
      <c r="T499" s="92"/>
      <c r="U499" s="92"/>
      <c r="V499" s="92"/>
      <c r="W499" s="92"/>
    </row>
    <row r="500" spans="1:23" s="89" customFormat="1" x14ac:dyDescent="0.2">
      <c r="A500" s="91"/>
      <c r="B500" s="93"/>
      <c r="C500" s="92"/>
      <c r="D500" s="92"/>
      <c r="E500" s="92"/>
      <c r="F500" s="92"/>
      <c r="G500" s="92"/>
      <c r="H500" s="92"/>
      <c r="I500" s="92"/>
      <c r="J500" s="92"/>
      <c r="K500" s="92"/>
      <c r="L500" s="92"/>
      <c r="M500" s="92"/>
      <c r="N500" s="92"/>
      <c r="O500" s="92"/>
      <c r="P500" s="92"/>
      <c r="Q500" s="92"/>
      <c r="R500" s="92"/>
      <c r="S500" s="92"/>
      <c r="T500" s="92"/>
      <c r="U500" s="92"/>
      <c r="V500" s="92"/>
      <c r="W500" s="92"/>
    </row>
    <row r="501" spans="1:23" s="89" customFormat="1" x14ac:dyDescent="0.2">
      <c r="A501" s="91"/>
      <c r="B501" s="93"/>
      <c r="C501" s="92"/>
      <c r="D501" s="92"/>
      <c r="E501" s="92"/>
      <c r="F501" s="92"/>
      <c r="G501" s="92"/>
      <c r="H501" s="92"/>
      <c r="I501" s="92"/>
      <c r="J501" s="92"/>
      <c r="K501" s="92"/>
      <c r="L501" s="92"/>
      <c r="M501" s="92"/>
      <c r="N501" s="92"/>
      <c r="O501" s="92"/>
      <c r="P501" s="92"/>
      <c r="Q501" s="92"/>
      <c r="R501" s="92"/>
      <c r="S501" s="92"/>
      <c r="T501" s="92"/>
      <c r="U501" s="92"/>
      <c r="V501" s="92"/>
      <c r="W501" s="92"/>
    </row>
    <row r="502" spans="1:23" s="89" customFormat="1" x14ac:dyDescent="0.2">
      <c r="A502" s="91"/>
      <c r="B502" s="93"/>
      <c r="C502" s="92"/>
      <c r="D502" s="92"/>
      <c r="E502" s="92"/>
      <c r="F502" s="92"/>
      <c r="G502" s="92"/>
      <c r="H502" s="92"/>
      <c r="I502" s="92"/>
      <c r="J502" s="92"/>
      <c r="K502" s="92"/>
      <c r="L502" s="92"/>
      <c r="M502" s="92"/>
      <c r="N502" s="92"/>
      <c r="O502" s="92"/>
      <c r="P502" s="92"/>
      <c r="Q502" s="92"/>
      <c r="R502" s="92"/>
      <c r="S502" s="92"/>
      <c r="T502" s="92"/>
      <c r="U502" s="92"/>
      <c r="V502" s="92"/>
      <c r="W502" s="92"/>
    </row>
    <row r="503" spans="1:23" s="89" customFormat="1" x14ac:dyDescent="0.2">
      <c r="A503" s="91"/>
      <c r="B503" s="93"/>
      <c r="C503" s="92"/>
      <c r="D503" s="92"/>
      <c r="E503" s="92"/>
      <c r="F503" s="92"/>
      <c r="G503" s="92"/>
      <c r="H503" s="92"/>
      <c r="I503" s="92"/>
      <c r="J503" s="92"/>
      <c r="K503" s="92"/>
      <c r="L503" s="92"/>
      <c r="M503" s="92"/>
      <c r="N503" s="92"/>
      <c r="O503" s="92"/>
      <c r="P503" s="92"/>
      <c r="Q503" s="92"/>
      <c r="R503" s="92"/>
      <c r="S503" s="92"/>
      <c r="T503" s="92"/>
      <c r="U503" s="92"/>
      <c r="V503" s="92"/>
      <c r="W503" s="92"/>
    </row>
    <row r="504" spans="1:23" s="89" customFormat="1" x14ac:dyDescent="0.2">
      <c r="A504" s="91"/>
      <c r="B504" s="93"/>
      <c r="C504" s="92"/>
      <c r="D504" s="92"/>
      <c r="E504" s="92"/>
      <c r="F504" s="92"/>
      <c r="G504" s="92"/>
      <c r="H504" s="92"/>
      <c r="I504" s="92"/>
      <c r="J504" s="92"/>
      <c r="K504" s="92"/>
      <c r="L504" s="92"/>
      <c r="M504" s="92"/>
      <c r="N504" s="92"/>
      <c r="O504" s="92"/>
      <c r="P504" s="92"/>
      <c r="Q504" s="92"/>
      <c r="R504" s="92"/>
      <c r="S504" s="92"/>
      <c r="T504" s="92"/>
      <c r="U504" s="92"/>
      <c r="V504" s="92"/>
      <c r="W504" s="92"/>
    </row>
    <row r="505" spans="1:23" s="89" customFormat="1" x14ac:dyDescent="0.2">
      <c r="A505" s="91"/>
      <c r="B505" s="93"/>
      <c r="C505" s="92"/>
      <c r="D505" s="92"/>
      <c r="E505" s="92"/>
      <c r="F505" s="92"/>
      <c r="G505" s="92"/>
      <c r="H505" s="92"/>
      <c r="I505" s="92"/>
      <c r="J505" s="92"/>
      <c r="K505" s="92"/>
      <c r="L505" s="92"/>
      <c r="M505" s="92"/>
      <c r="N505" s="92"/>
      <c r="O505" s="92"/>
      <c r="P505" s="92"/>
      <c r="Q505" s="92"/>
      <c r="R505" s="92"/>
      <c r="S505" s="92"/>
      <c r="T505" s="92"/>
      <c r="U505" s="92"/>
      <c r="V505" s="92"/>
      <c r="W505" s="92"/>
    </row>
    <row r="506" spans="1:23" s="89" customFormat="1" x14ac:dyDescent="0.2">
      <c r="A506" s="91"/>
      <c r="B506" s="93"/>
      <c r="C506" s="92"/>
      <c r="D506" s="92"/>
      <c r="E506" s="92"/>
      <c r="F506" s="92"/>
      <c r="G506" s="92"/>
      <c r="H506" s="92"/>
      <c r="I506" s="92"/>
      <c r="J506" s="92"/>
      <c r="K506" s="92"/>
      <c r="L506" s="92"/>
      <c r="M506" s="92"/>
      <c r="N506" s="92"/>
      <c r="O506" s="92"/>
      <c r="P506" s="92"/>
      <c r="Q506" s="92"/>
      <c r="R506" s="92"/>
      <c r="S506" s="92"/>
      <c r="T506" s="92"/>
      <c r="U506" s="92"/>
      <c r="V506" s="92"/>
      <c r="W506" s="92"/>
    </row>
    <row r="507" spans="1:23" s="89" customFormat="1" x14ac:dyDescent="0.2">
      <c r="A507" s="91"/>
      <c r="B507" s="93"/>
      <c r="C507" s="92"/>
      <c r="D507" s="92"/>
      <c r="E507" s="92"/>
      <c r="F507" s="92"/>
      <c r="G507" s="92"/>
      <c r="H507" s="92"/>
      <c r="I507" s="92"/>
      <c r="J507" s="92"/>
      <c r="K507" s="92"/>
      <c r="L507" s="92"/>
      <c r="M507" s="92"/>
      <c r="N507" s="92"/>
      <c r="O507" s="92"/>
      <c r="P507" s="92"/>
      <c r="Q507" s="92"/>
      <c r="R507" s="92"/>
      <c r="S507" s="92"/>
      <c r="T507" s="92"/>
      <c r="U507" s="92"/>
      <c r="V507" s="92"/>
      <c r="W507" s="92"/>
    </row>
    <row r="508" spans="1:23" s="89" customFormat="1" x14ac:dyDescent="0.2">
      <c r="A508" s="91"/>
      <c r="B508" s="93"/>
      <c r="C508" s="92"/>
      <c r="D508" s="92"/>
      <c r="E508" s="92"/>
      <c r="F508" s="92"/>
      <c r="G508" s="92"/>
      <c r="H508" s="92"/>
      <c r="I508" s="92"/>
      <c r="J508" s="92"/>
      <c r="K508" s="92"/>
      <c r="L508" s="92"/>
      <c r="M508" s="92"/>
      <c r="N508" s="92"/>
      <c r="O508" s="92"/>
      <c r="P508" s="92"/>
      <c r="Q508" s="92"/>
      <c r="R508" s="92"/>
      <c r="S508" s="92"/>
      <c r="T508" s="92"/>
      <c r="U508" s="92"/>
      <c r="V508" s="92"/>
      <c r="W508" s="92"/>
    </row>
    <row r="509" spans="1:23" s="89" customFormat="1" x14ac:dyDescent="0.2">
      <c r="A509" s="91"/>
      <c r="B509" s="93"/>
      <c r="C509" s="92"/>
      <c r="D509" s="92"/>
      <c r="E509" s="92"/>
      <c r="F509" s="92"/>
      <c r="G509" s="92"/>
      <c r="H509" s="92"/>
      <c r="I509" s="92"/>
      <c r="J509" s="92"/>
      <c r="K509" s="92"/>
      <c r="L509" s="92"/>
      <c r="M509" s="92"/>
      <c r="N509" s="92"/>
      <c r="O509" s="92"/>
      <c r="P509" s="92"/>
      <c r="Q509" s="92"/>
      <c r="R509" s="92"/>
      <c r="S509" s="92"/>
      <c r="T509" s="92"/>
      <c r="U509" s="92"/>
      <c r="V509" s="92"/>
      <c r="W509" s="92"/>
    </row>
    <row r="510" spans="1:23" s="89" customFormat="1" x14ac:dyDescent="0.2">
      <c r="A510" s="91"/>
      <c r="B510" s="93"/>
      <c r="C510" s="92"/>
      <c r="D510" s="92"/>
      <c r="E510" s="92"/>
      <c r="F510" s="92"/>
      <c r="G510" s="92"/>
      <c r="H510" s="92"/>
      <c r="I510" s="92"/>
      <c r="J510" s="92"/>
      <c r="K510" s="92"/>
      <c r="L510" s="92"/>
      <c r="M510" s="92"/>
      <c r="N510" s="92"/>
      <c r="O510" s="92"/>
      <c r="P510" s="92"/>
      <c r="Q510" s="92"/>
      <c r="R510" s="92"/>
      <c r="S510" s="92"/>
      <c r="T510" s="92"/>
      <c r="U510" s="92"/>
      <c r="V510" s="92"/>
      <c r="W510" s="92"/>
    </row>
    <row r="511" spans="1:23" s="89" customFormat="1" x14ac:dyDescent="0.2">
      <c r="A511" s="91"/>
      <c r="B511" s="93"/>
      <c r="C511" s="92"/>
      <c r="D511" s="92"/>
      <c r="E511" s="92"/>
      <c r="F511" s="92"/>
      <c r="G511" s="92"/>
      <c r="H511" s="92"/>
      <c r="I511" s="92"/>
      <c r="J511" s="92"/>
      <c r="K511" s="92"/>
      <c r="L511" s="92"/>
      <c r="M511" s="92"/>
      <c r="N511" s="92"/>
      <c r="O511" s="92"/>
      <c r="P511" s="92"/>
      <c r="Q511" s="92"/>
      <c r="R511" s="92"/>
      <c r="S511" s="92"/>
      <c r="T511" s="92"/>
      <c r="U511" s="92"/>
      <c r="V511" s="92"/>
      <c r="W511" s="92"/>
    </row>
    <row r="512" spans="1:23" s="89" customFormat="1" x14ac:dyDescent="0.2">
      <c r="A512" s="91"/>
      <c r="B512" s="93"/>
      <c r="C512" s="92"/>
      <c r="D512" s="92"/>
      <c r="E512" s="92"/>
      <c r="F512" s="92"/>
      <c r="G512" s="92"/>
      <c r="H512" s="92"/>
      <c r="I512" s="92"/>
      <c r="J512" s="92"/>
      <c r="K512" s="92"/>
      <c r="L512" s="92"/>
      <c r="M512" s="92"/>
      <c r="N512" s="92"/>
      <c r="O512" s="92"/>
      <c r="P512" s="92"/>
      <c r="Q512" s="92"/>
      <c r="R512" s="92"/>
      <c r="S512" s="92"/>
      <c r="T512" s="92"/>
      <c r="U512" s="92"/>
      <c r="V512" s="92"/>
      <c r="W512" s="92"/>
    </row>
    <row r="513" spans="1:23" s="89" customFormat="1" x14ac:dyDescent="0.2">
      <c r="A513" s="91"/>
      <c r="B513" s="93"/>
      <c r="C513" s="92"/>
      <c r="D513" s="92"/>
      <c r="E513" s="92"/>
      <c r="F513" s="92"/>
      <c r="G513" s="92"/>
      <c r="H513" s="92"/>
      <c r="I513" s="92"/>
      <c r="J513" s="92"/>
      <c r="K513" s="92"/>
      <c r="L513" s="92"/>
      <c r="M513" s="92"/>
      <c r="N513" s="92"/>
      <c r="O513" s="92"/>
      <c r="P513" s="92"/>
      <c r="Q513" s="92"/>
      <c r="R513" s="92"/>
      <c r="S513" s="92"/>
      <c r="T513" s="92"/>
      <c r="U513" s="92"/>
      <c r="V513" s="92"/>
      <c r="W513" s="92"/>
    </row>
    <row r="514" spans="1:23" s="89" customFormat="1" x14ac:dyDescent="0.2">
      <c r="A514" s="91"/>
      <c r="B514" s="93"/>
      <c r="C514" s="92"/>
      <c r="D514" s="92"/>
      <c r="E514" s="92"/>
      <c r="F514" s="92"/>
      <c r="G514" s="92"/>
      <c r="H514" s="92"/>
      <c r="I514" s="92"/>
      <c r="J514" s="92"/>
      <c r="K514" s="92"/>
      <c r="L514" s="92"/>
      <c r="M514" s="92"/>
      <c r="N514" s="92"/>
      <c r="O514" s="92"/>
      <c r="P514" s="92"/>
      <c r="Q514" s="92"/>
      <c r="R514" s="92"/>
      <c r="S514" s="92"/>
      <c r="T514" s="92"/>
      <c r="U514" s="92"/>
      <c r="V514" s="92"/>
      <c r="W514" s="92"/>
    </row>
    <row r="515" spans="1:23" s="89" customFormat="1" x14ac:dyDescent="0.2">
      <c r="A515" s="91"/>
      <c r="B515" s="93"/>
      <c r="C515" s="92"/>
      <c r="D515" s="92"/>
      <c r="E515" s="92"/>
      <c r="F515" s="92"/>
      <c r="G515" s="92"/>
      <c r="H515" s="92"/>
      <c r="I515" s="92"/>
      <c r="J515" s="92"/>
      <c r="K515" s="92"/>
      <c r="L515" s="92"/>
      <c r="M515" s="92"/>
      <c r="N515" s="92"/>
      <c r="O515" s="92"/>
      <c r="P515" s="92"/>
      <c r="Q515" s="92"/>
      <c r="R515" s="92"/>
      <c r="S515" s="92"/>
      <c r="T515" s="92"/>
      <c r="U515" s="92"/>
      <c r="V515" s="92"/>
      <c r="W515" s="92"/>
    </row>
    <row r="516" spans="1:23" s="89" customFormat="1" x14ac:dyDescent="0.2">
      <c r="A516" s="91"/>
      <c r="B516" s="93"/>
      <c r="C516" s="92"/>
      <c r="D516" s="92"/>
      <c r="E516" s="92"/>
      <c r="F516" s="92"/>
      <c r="G516" s="92"/>
      <c r="H516" s="92"/>
      <c r="I516" s="92"/>
      <c r="J516" s="92"/>
      <c r="K516" s="92"/>
      <c r="L516" s="92"/>
      <c r="M516" s="92"/>
      <c r="N516" s="92"/>
      <c r="O516" s="92"/>
      <c r="P516" s="92"/>
      <c r="Q516" s="92"/>
      <c r="R516" s="92"/>
      <c r="S516" s="92"/>
      <c r="T516" s="92"/>
      <c r="U516" s="92"/>
      <c r="V516" s="92"/>
      <c r="W516" s="92"/>
    </row>
    <row r="517" spans="1:23" s="89" customFormat="1" x14ac:dyDescent="0.2">
      <c r="A517" s="91"/>
      <c r="B517" s="93"/>
      <c r="C517" s="92"/>
      <c r="D517" s="92"/>
      <c r="E517" s="92"/>
      <c r="F517" s="92"/>
      <c r="G517" s="92"/>
      <c r="H517" s="92"/>
      <c r="I517" s="92"/>
      <c r="J517" s="92"/>
      <c r="K517" s="92"/>
      <c r="L517" s="92"/>
      <c r="M517" s="92"/>
      <c r="N517" s="92"/>
      <c r="O517" s="92"/>
      <c r="P517" s="92"/>
      <c r="Q517" s="92"/>
      <c r="R517" s="92"/>
      <c r="S517" s="92"/>
      <c r="T517" s="92"/>
      <c r="U517" s="92"/>
      <c r="V517" s="92"/>
      <c r="W517" s="92"/>
    </row>
    <row r="518" spans="1:23" s="89" customFormat="1" x14ac:dyDescent="0.2">
      <c r="A518" s="91"/>
      <c r="B518" s="93"/>
      <c r="C518" s="92"/>
      <c r="D518" s="92"/>
      <c r="E518" s="92"/>
      <c r="F518" s="92"/>
      <c r="G518" s="92"/>
      <c r="H518" s="92"/>
      <c r="I518" s="92"/>
      <c r="J518" s="92"/>
      <c r="K518" s="92"/>
      <c r="L518" s="92"/>
      <c r="M518" s="92"/>
      <c r="N518" s="92"/>
      <c r="O518" s="92"/>
      <c r="P518" s="92"/>
      <c r="Q518" s="92"/>
      <c r="R518" s="92"/>
      <c r="S518" s="92"/>
      <c r="T518" s="92"/>
      <c r="U518" s="92"/>
      <c r="V518" s="92"/>
      <c r="W518" s="92"/>
    </row>
    <row r="519" spans="1:23" s="89" customFormat="1" x14ac:dyDescent="0.2">
      <c r="A519" s="91"/>
      <c r="B519" s="93"/>
      <c r="C519" s="92"/>
      <c r="D519" s="92"/>
      <c r="E519" s="92"/>
      <c r="F519" s="92"/>
      <c r="G519" s="92"/>
      <c r="H519" s="92"/>
      <c r="I519" s="92"/>
      <c r="J519" s="92"/>
      <c r="K519" s="92"/>
      <c r="L519" s="92"/>
      <c r="M519" s="92"/>
      <c r="N519" s="92"/>
      <c r="O519" s="92"/>
      <c r="P519" s="92"/>
      <c r="Q519" s="92"/>
      <c r="R519" s="92"/>
      <c r="S519" s="92"/>
      <c r="T519" s="92"/>
      <c r="U519" s="92"/>
      <c r="V519" s="92"/>
      <c r="W519" s="92"/>
    </row>
    <row r="520" spans="1:23" s="89" customFormat="1" x14ac:dyDescent="0.2">
      <c r="A520" s="91"/>
      <c r="B520" s="93"/>
      <c r="C520" s="92"/>
      <c r="D520" s="92"/>
      <c r="E520" s="92"/>
      <c r="F520" s="92"/>
      <c r="G520" s="92"/>
      <c r="H520" s="92"/>
      <c r="I520" s="92"/>
      <c r="J520" s="92"/>
      <c r="K520" s="92"/>
      <c r="L520" s="92"/>
      <c r="M520" s="92"/>
      <c r="N520" s="92"/>
      <c r="O520" s="92"/>
      <c r="P520" s="92"/>
      <c r="Q520" s="92"/>
      <c r="R520" s="92"/>
      <c r="S520" s="92"/>
      <c r="T520" s="92"/>
      <c r="U520" s="92"/>
      <c r="V520" s="92"/>
      <c r="W520" s="92"/>
    </row>
    <row r="521" spans="1:23" s="89" customFormat="1" x14ac:dyDescent="0.2">
      <c r="A521" s="91"/>
      <c r="B521" s="93"/>
      <c r="C521" s="92"/>
      <c r="D521" s="92"/>
      <c r="E521" s="92"/>
      <c r="F521" s="92"/>
      <c r="G521" s="92"/>
      <c r="H521" s="92"/>
      <c r="I521" s="92"/>
      <c r="J521" s="92"/>
      <c r="K521" s="92"/>
      <c r="L521" s="92"/>
      <c r="M521" s="92"/>
      <c r="N521" s="92"/>
      <c r="O521" s="92"/>
      <c r="P521" s="92"/>
      <c r="Q521" s="92"/>
      <c r="R521" s="92"/>
      <c r="S521" s="92"/>
      <c r="T521" s="92"/>
      <c r="U521" s="92"/>
      <c r="V521" s="92"/>
      <c r="W521" s="92"/>
    </row>
    <row r="522" spans="1:23" s="89" customFormat="1" x14ac:dyDescent="0.2">
      <c r="A522" s="91"/>
      <c r="B522" s="93"/>
      <c r="C522" s="92"/>
      <c r="D522" s="92"/>
      <c r="E522" s="92"/>
      <c r="F522" s="92"/>
      <c r="G522" s="92"/>
      <c r="H522" s="92"/>
      <c r="I522" s="92"/>
      <c r="J522" s="92"/>
      <c r="K522" s="92"/>
      <c r="L522" s="92"/>
      <c r="M522" s="92"/>
      <c r="N522" s="92"/>
      <c r="O522" s="92"/>
      <c r="P522" s="92"/>
      <c r="Q522" s="92"/>
      <c r="R522" s="92"/>
      <c r="S522" s="92"/>
      <c r="T522" s="92"/>
      <c r="U522" s="92"/>
      <c r="V522" s="92"/>
      <c r="W522" s="92"/>
    </row>
    <row r="523" spans="1:23" s="89" customFormat="1" x14ac:dyDescent="0.2">
      <c r="A523" s="91"/>
      <c r="B523" s="93"/>
      <c r="C523" s="92"/>
      <c r="D523" s="92"/>
      <c r="E523" s="92"/>
      <c r="F523" s="92"/>
      <c r="G523" s="92"/>
      <c r="H523" s="92"/>
      <c r="I523" s="92"/>
      <c r="J523" s="92"/>
      <c r="K523" s="92"/>
      <c r="L523" s="92"/>
      <c r="M523" s="92"/>
      <c r="N523" s="92"/>
      <c r="O523" s="92"/>
      <c r="P523" s="92"/>
      <c r="Q523" s="92"/>
      <c r="R523" s="92"/>
      <c r="S523" s="92"/>
      <c r="T523" s="92"/>
      <c r="U523" s="92"/>
      <c r="V523" s="92"/>
      <c r="W523" s="92"/>
    </row>
    <row r="524" spans="1:23" s="89" customFormat="1" x14ac:dyDescent="0.2">
      <c r="A524" s="91"/>
      <c r="B524" s="93"/>
      <c r="C524" s="92"/>
      <c r="D524" s="92"/>
      <c r="E524" s="92"/>
      <c r="F524" s="92"/>
      <c r="G524" s="92"/>
      <c r="H524" s="92"/>
      <c r="I524" s="92"/>
      <c r="J524" s="92"/>
      <c r="K524" s="92"/>
      <c r="L524" s="92"/>
      <c r="M524" s="92"/>
      <c r="N524" s="92"/>
      <c r="O524" s="92"/>
      <c r="P524" s="92"/>
      <c r="Q524" s="92"/>
      <c r="R524" s="92"/>
      <c r="S524" s="92"/>
      <c r="T524" s="92"/>
      <c r="U524" s="92"/>
      <c r="V524" s="92"/>
      <c r="W524" s="92"/>
    </row>
    <row r="525" spans="1:23" s="89" customFormat="1" x14ac:dyDescent="0.2">
      <c r="A525" s="91"/>
      <c r="B525" s="93"/>
      <c r="C525" s="92"/>
      <c r="D525" s="92"/>
      <c r="E525" s="92"/>
      <c r="F525" s="92"/>
      <c r="G525" s="92"/>
      <c r="H525" s="92"/>
      <c r="I525" s="92"/>
      <c r="J525" s="92"/>
      <c r="K525" s="92"/>
      <c r="L525" s="92"/>
      <c r="M525" s="92"/>
      <c r="N525" s="92"/>
      <c r="O525" s="92"/>
      <c r="P525" s="92"/>
      <c r="Q525" s="92"/>
      <c r="R525" s="92"/>
      <c r="S525" s="92"/>
      <c r="T525" s="92"/>
      <c r="U525" s="92"/>
      <c r="V525" s="92"/>
      <c r="W525" s="92"/>
    </row>
    <row r="526" spans="1:23" s="89" customFormat="1" x14ac:dyDescent="0.2">
      <c r="A526" s="91"/>
      <c r="B526" s="93"/>
      <c r="C526" s="92"/>
      <c r="D526" s="92"/>
      <c r="E526" s="92"/>
      <c r="F526" s="92"/>
      <c r="G526" s="92"/>
      <c r="H526" s="92"/>
      <c r="I526" s="92"/>
      <c r="J526" s="92"/>
      <c r="K526" s="92"/>
      <c r="L526" s="92"/>
      <c r="M526" s="92"/>
      <c r="N526" s="92"/>
      <c r="O526" s="92"/>
      <c r="P526" s="92"/>
      <c r="Q526" s="92"/>
      <c r="R526" s="92"/>
      <c r="S526" s="92"/>
      <c r="T526" s="92"/>
      <c r="U526" s="92"/>
      <c r="V526" s="92"/>
      <c r="W526" s="92"/>
    </row>
    <row r="527" spans="1:23" s="89" customFormat="1" x14ac:dyDescent="0.2">
      <c r="A527" s="91"/>
      <c r="B527" s="93"/>
      <c r="C527" s="92"/>
      <c r="D527" s="92"/>
      <c r="E527" s="92"/>
      <c r="F527" s="92"/>
      <c r="G527" s="92"/>
      <c r="H527" s="92"/>
      <c r="I527" s="92"/>
      <c r="J527" s="92"/>
      <c r="K527" s="92"/>
      <c r="L527" s="92"/>
      <c r="M527" s="92"/>
      <c r="N527" s="92"/>
      <c r="O527" s="92"/>
      <c r="P527" s="92"/>
      <c r="Q527" s="92"/>
      <c r="R527" s="92"/>
      <c r="S527" s="92"/>
      <c r="T527" s="92"/>
      <c r="U527" s="92"/>
      <c r="V527" s="92"/>
      <c r="W527" s="92"/>
    </row>
    <row r="528" spans="1:23" s="89" customFormat="1" x14ac:dyDescent="0.2">
      <c r="A528" s="91"/>
      <c r="B528" s="93"/>
      <c r="C528" s="92"/>
      <c r="D528" s="92"/>
      <c r="E528" s="92"/>
      <c r="F528" s="92"/>
      <c r="G528" s="92"/>
      <c r="H528" s="92"/>
      <c r="I528" s="92"/>
      <c r="J528" s="92"/>
      <c r="K528" s="92"/>
      <c r="L528" s="92"/>
      <c r="M528" s="92"/>
      <c r="N528" s="92"/>
      <c r="O528" s="92"/>
      <c r="P528" s="92"/>
      <c r="Q528" s="92"/>
      <c r="R528" s="92"/>
      <c r="S528" s="92"/>
      <c r="T528" s="92"/>
      <c r="U528" s="92"/>
      <c r="V528" s="92"/>
      <c r="W528" s="92"/>
    </row>
    <row r="529" spans="1:23" s="89" customFormat="1" x14ac:dyDescent="0.2">
      <c r="A529" s="91"/>
      <c r="B529" s="93"/>
      <c r="C529" s="92"/>
      <c r="D529" s="92"/>
      <c r="E529" s="92"/>
      <c r="F529" s="92"/>
      <c r="G529" s="92"/>
      <c r="H529" s="92"/>
      <c r="I529" s="92"/>
      <c r="J529" s="92"/>
      <c r="K529" s="92"/>
      <c r="L529" s="92"/>
      <c r="M529" s="92"/>
      <c r="N529" s="92"/>
      <c r="O529" s="92"/>
      <c r="P529" s="92"/>
      <c r="Q529" s="92"/>
      <c r="R529" s="92"/>
      <c r="S529" s="92"/>
      <c r="T529" s="92"/>
      <c r="U529" s="92"/>
      <c r="V529" s="92"/>
      <c r="W529" s="92"/>
    </row>
    <row r="530" spans="1:23" s="89" customFormat="1" x14ac:dyDescent="0.2">
      <c r="A530" s="91"/>
      <c r="B530" s="93"/>
      <c r="C530" s="92"/>
      <c r="D530" s="92"/>
      <c r="E530" s="92"/>
      <c r="F530" s="92"/>
      <c r="G530" s="92"/>
      <c r="H530" s="92"/>
      <c r="I530" s="92"/>
      <c r="J530" s="92"/>
      <c r="K530" s="92"/>
      <c r="L530" s="92"/>
      <c r="M530" s="92"/>
      <c r="N530" s="92"/>
      <c r="O530" s="92"/>
      <c r="P530" s="92"/>
      <c r="Q530" s="92"/>
      <c r="R530" s="92"/>
      <c r="S530" s="92"/>
      <c r="T530" s="92"/>
      <c r="U530" s="92"/>
      <c r="V530" s="92"/>
      <c r="W530" s="92"/>
    </row>
    <row r="531" spans="1:23" s="89" customFormat="1" x14ac:dyDescent="0.2">
      <c r="A531" s="91"/>
      <c r="B531" s="93"/>
      <c r="C531" s="92"/>
      <c r="D531" s="92"/>
      <c r="E531" s="92"/>
      <c r="F531" s="92"/>
      <c r="G531" s="92"/>
      <c r="H531" s="92"/>
      <c r="I531" s="92"/>
      <c r="J531" s="92"/>
      <c r="K531" s="92"/>
      <c r="L531" s="92"/>
      <c r="M531" s="92"/>
      <c r="N531" s="92"/>
      <c r="O531" s="92"/>
      <c r="P531" s="92"/>
      <c r="Q531" s="92"/>
      <c r="R531" s="92"/>
      <c r="S531" s="92"/>
      <c r="T531" s="92"/>
      <c r="U531" s="92"/>
      <c r="V531" s="92"/>
      <c r="W531" s="92"/>
    </row>
    <row r="532" spans="1:23" s="89" customFormat="1" x14ac:dyDescent="0.2">
      <c r="A532" s="91"/>
      <c r="B532" s="93"/>
      <c r="C532" s="92"/>
      <c r="D532" s="92"/>
      <c r="E532" s="92"/>
      <c r="F532" s="92"/>
      <c r="G532" s="92"/>
      <c r="H532" s="92"/>
      <c r="I532" s="92"/>
      <c r="J532" s="92"/>
      <c r="K532" s="92"/>
      <c r="L532" s="92"/>
      <c r="M532" s="92"/>
      <c r="N532" s="92"/>
      <c r="O532" s="92"/>
      <c r="P532" s="92"/>
      <c r="Q532" s="92"/>
      <c r="R532" s="92"/>
      <c r="S532" s="92"/>
      <c r="T532" s="92"/>
      <c r="U532" s="92"/>
      <c r="V532" s="92"/>
      <c r="W532" s="92"/>
    </row>
    <row r="533" spans="1:23" s="89" customFormat="1" x14ac:dyDescent="0.2">
      <c r="A533" s="91"/>
      <c r="B533" s="93"/>
      <c r="C533" s="92"/>
      <c r="D533" s="92"/>
      <c r="E533" s="92"/>
      <c r="F533" s="92"/>
      <c r="G533" s="92"/>
      <c r="H533" s="92"/>
      <c r="I533" s="92"/>
      <c r="J533" s="92"/>
      <c r="K533" s="92"/>
      <c r="L533" s="92"/>
      <c r="M533" s="92"/>
      <c r="N533" s="92"/>
      <c r="O533" s="92"/>
      <c r="P533" s="92"/>
      <c r="Q533" s="92"/>
      <c r="R533" s="92"/>
      <c r="S533" s="92"/>
      <c r="T533" s="92"/>
      <c r="U533" s="92"/>
      <c r="V533" s="92"/>
      <c r="W533" s="92"/>
    </row>
    <row r="534" spans="1:23" s="89" customFormat="1" x14ac:dyDescent="0.2">
      <c r="A534" s="91"/>
      <c r="B534" s="93"/>
      <c r="C534" s="92"/>
      <c r="D534" s="92"/>
      <c r="E534" s="92"/>
      <c r="F534" s="92"/>
      <c r="G534" s="92"/>
      <c r="H534" s="92"/>
      <c r="I534" s="92"/>
      <c r="J534" s="92"/>
      <c r="K534" s="92"/>
      <c r="L534" s="92"/>
      <c r="M534" s="92"/>
      <c r="N534" s="92"/>
      <c r="O534" s="92"/>
      <c r="P534" s="92"/>
      <c r="Q534" s="92"/>
      <c r="R534" s="92"/>
      <c r="S534" s="92"/>
      <c r="T534" s="92"/>
      <c r="U534" s="92"/>
      <c r="V534" s="92"/>
      <c r="W534" s="92"/>
    </row>
    <row r="535" spans="1:23" s="89" customFormat="1" x14ac:dyDescent="0.2">
      <c r="A535" s="91"/>
      <c r="B535" s="93"/>
      <c r="C535" s="92"/>
      <c r="D535" s="92"/>
      <c r="E535" s="92"/>
      <c r="F535" s="92"/>
      <c r="G535" s="92"/>
      <c r="H535" s="92"/>
      <c r="I535" s="92"/>
      <c r="J535" s="92"/>
      <c r="K535" s="92"/>
      <c r="L535" s="92"/>
      <c r="M535" s="92"/>
      <c r="N535" s="92"/>
      <c r="O535" s="92"/>
      <c r="P535" s="92"/>
      <c r="Q535" s="92"/>
      <c r="R535" s="92"/>
      <c r="S535" s="92"/>
      <c r="T535" s="92"/>
      <c r="U535" s="92"/>
      <c r="V535" s="92"/>
      <c r="W535" s="92"/>
    </row>
    <row r="536" spans="1:23" s="89" customFormat="1" x14ac:dyDescent="0.2">
      <c r="A536" s="91"/>
      <c r="B536" s="93"/>
      <c r="C536" s="92"/>
      <c r="D536" s="92"/>
      <c r="E536" s="92"/>
      <c r="F536" s="92"/>
      <c r="G536" s="92"/>
      <c r="H536" s="92"/>
      <c r="I536" s="92"/>
      <c r="J536" s="92"/>
      <c r="K536" s="92"/>
      <c r="L536" s="92"/>
      <c r="M536" s="92"/>
      <c r="N536" s="92"/>
      <c r="O536" s="92"/>
      <c r="P536" s="92"/>
      <c r="Q536" s="92"/>
      <c r="R536" s="92"/>
      <c r="S536" s="92"/>
      <c r="T536" s="92"/>
      <c r="U536" s="92"/>
      <c r="V536" s="92"/>
      <c r="W536" s="92"/>
    </row>
    <row r="537" spans="1:23" s="89" customFormat="1" x14ac:dyDescent="0.2">
      <c r="A537" s="91"/>
      <c r="B537" s="93"/>
      <c r="C537" s="92"/>
      <c r="D537" s="92"/>
      <c r="E537" s="92"/>
      <c r="F537" s="92"/>
      <c r="G537" s="92"/>
      <c r="H537" s="92"/>
      <c r="I537" s="92"/>
      <c r="J537" s="92"/>
      <c r="K537" s="92"/>
      <c r="L537" s="92"/>
      <c r="M537" s="92"/>
      <c r="N537" s="92"/>
      <c r="O537" s="92"/>
      <c r="P537" s="92"/>
      <c r="Q537" s="92"/>
      <c r="R537" s="92"/>
      <c r="S537" s="92"/>
      <c r="T537" s="92"/>
      <c r="U537" s="92"/>
      <c r="V537" s="92"/>
      <c r="W537" s="92"/>
    </row>
    <row r="538" spans="1:23" s="89" customFormat="1" x14ac:dyDescent="0.2">
      <c r="A538" s="91"/>
      <c r="B538" s="93"/>
      <c r="C538" s="92"/>
      <c r="D538" s="92"/>
      <c r="E538" s="92"/>
      <c r="F538" s="92"/>
      <c r="G538" s="92"/>
      <c r="H538" s="92"/>
      <c r="I538" s="92"/>
      <c r="J538" s="92"/>
      <c r="K538" s="92"/>
      <c r="L538" s="92"/>
      <c r="M538" s="92"/>
      <c r="N538" s="92"/>
      <c r="O538" s="92"/>
      <c r="P538" s="92"/>
      <c r="Q538" s="92"/>
      <c r="R538" s="92"/>
      <c r="S538" s="92"/>
      <c r="T538" s="92"/>
      <c r="U538" s="92"/>
      <c r="V538" s="92"/>
      <c r="W538" s="92"/>
    </row>
    <row r="539" spans="1:23" s="89" customFormat="1" x14ac:dyDescent="0.2">
      <c r="A539" s="91"/>
      <c r="B539" s="93"/>
      <c r="C539" s="92"/>
      <c r="D539" s="92"/>
      <c r="E539" s="92"/>
      <c r="F539" s="92"/>
      <c r="G539" s="92"/>
      <c r="H539" s="92"/>
      <c r="I539" s="92"/>
      <c r="J539" s="92"/>
      <c r="K539" s="92"/>
      <c r="L539" s="92"/>
      <c r="M539" s="92"/>
      <c r="N539" s="92"/>
      <c r="O539" s="92"/>
      <c r="P539" s="92"/>
      <c r="Q539" s="92"/>
      <c r="R539" s="92"/>
      <c r="S539" s="92"/>
      <c r="T539" s="92"/>
      <c r="U539" s="92"/>
      <c r="V539" s="92"/>
      <c r="W539" s="92"/>
    </row>
    <row r="540" spans="1:23" s="89" customFormat="1" x14ac:dyDescent="0.2">
      <c r="A540" s="91"/>
      <c r="B540" s="93"/>
      <c r="C540" s="92"/>
      <c r="D540" s="92"/>
      <c r="E540" s="92"/>
      <c r="F540" s="92"/>
      <c r="G540" s="92"/>
      <c r="H540" s="92"/>
      <c r="I540" s="92"/>
      <c r="J540" s="92"/>
      <c r="K540" s="92"/>
      <c r="L540" s="92"/>
      <c r="M540" s="92"/>
      <c r="N540" s="92"/>
      <c r="O540" s="92"/>
      <c r="P540" s="92"/>
      <c r="Q540" s="92"/>
      <c r="R540" s="92"/>
      <c r="S540" s="92"/>
      <c r="T540" s="92"/>
      <c r="U540" s="92"/>
      <c r="V540" s="92"/>
      <c r="W540" s="92"/>
    </row>
    <row r="541" spans="1:23" s="89" customFormat="1" x14ac:dyDescent="0.2">
      <c r="A541" s="91"/>
      <c r="B541" s="93"/>
      <c r="C541" s="92"/>
      <c r="D541" s="92"/>
      <c r="E541" s="92"/>
      <c r="F541" s="92"/>
      <c r="G541" s="92"/>
      <c r="H541" s="92"/>
      <c r="I541" s="92"/>
      <c r="J541" s="92"/>
      <c r="K541" s="92"/>
      <c r="L541" s="92"/>
      <c r="M541" s="92"/>
      <c r="N541" s="92"/>
      <c r="O541" s="92"/>
      <c r="P541" s="92"/>
      <c r="Q541" s="92"/>
      <c r="R541" s="92"/>
      <c r="S541" s="92"/>
      <c r="T541" s="92"/>
      <c r="U541" s="92"/>
      <c r="V541" s="92"/>
      <c r="W541" s="92"/>
    </row>
    <row r="542" spans="1:23" s="89" customFormat="1" x14ac:dyDescent="0.2">
      <c r="A542" s="91"/>
      <c r="B542" s="93"/>
      <c r="C542" s="92"/>
      <c r="D542" s="92"/>
      <c r="E542" s="92"/>
      <c r="F542" s="92"/>
      <c r="G542" s="92"/>
      <c r="H542" s="92"/>
      <c r="I542" s="92"/>
      <c r="J542" s="92"/>
      <c r="K542" s="92"/>
      <c r="L542" s="92"/>
      <c r="M542" s="92"/>
      <c r="N542" s="92"/>
      <c r="O542" s="92"/>
      <c r="P542" s="92"/>
      <c r="Q542" s="92"/>
      <c r="R542" s="92"/>
      <c r="S542" s="92"/>
      <c r="T542" s="92"/>
      <c r="U542" s="92"/>
      <c r="V542" s="92"/>
      <c r="W542" s="92"/>
    </row>
    <row r="543" spans="1:23" s="89" customFormat="1" x14ac:dyDescent="0.2">
      <c r="A543" s="91"/>
      <c r="B543" s="93"/>
      <c r="C543" s="92"/>
      <c r="D543" s="92"/>
      <c r="E543" s="92"/>
      <c r="F543" s="92"/>
      <c r="G543" s="92"/>
      <c r="H543" s="92"/>
      <c r="I543" s="92"/>
      <c r="J543" s="92"/>
      <c r="K543" s="92"/>
      <c r="L543" s="92"/>
      <c r="M543" s="92"/>
      <c r="N543" s="92"/>
      <c r="O543" s="92"/>
      <c r="P543" s="92"/>
      <c r="Q543" s="92"/>
      <c r="R543" s="92"/>
      <c r="S543" s="92"/>
      <c r="T543" s="92"/>
      <c r="U543" s="92"/>
      <c r="V543" s="92"/>
      <c r="W543" s="92"/>
    </row>
    <row r="544" spans="1:23" s="89" customFormat="1" x14ac:dyDescent="0.2">
      <c r="A544" s="91"/>
      <c r="B544" s="93"/>
      <c r="C544" s="92"/>
      <c r="D544" s="92"/>
      <c r="E544" s="92"/>
      <c r="F544" s="92"/>
      <c r="G544" s="92"/>
      <c r="H544" s="92"/>
      <c r="I544" s="92"/>
      <c r="J544" s="92"/>
      <c r="K544" s="92"/>
      <c r="L544" s="92"/>
      <c r="M544" s="92"/>
      <c r="N544" s="92"/>
      <c r="O544" s="92"/>
      <c r="P544" s="92"/>
      <c r="Q544" s="92"/>
      <c r="R544" s="92"/>
      <c r="S544" s="92"/>
      <c r="T544" s="92"/>
      <c r="U544" s="92"/>
      <c r="V544" s="92"/>
      <c r="W544" s="92"/>
    </row>
    <row r="545" spans="1:23" s="89" customFormat="1" x14ac:dyDescent="0.2">
      <c r="A545" s="91"/>
      <c r="B545" s="93"/>
      <c r="C545" s="92"/>
      <c r="D545" s="92"/>
      <c r="E545" s="92"/>
      <c r="F545" s="92"/>
      <c r="G545" s="92"/>
      <c r="H545" s="92"/>
      <c r="I545" s="92"/>
      <c r="J545" s="92"/>
      <c r="K545" s="92"/>
      <c r="L545" s="92"/>
      <c r="M545" s="92"/>
      <c r="N545" s="92"/>
      <c r="O545" s="92"/>
      <c r="P545" s="92"/>
      <c r="Q545" s="92"/>
      <c r="R545" s="92"/>
      <c r="S545" s="92"/>
      <c r="T545" s="92"/>
      <c r="U545" s="92"/>
      <c r="V545" s="92"/>
      <c r="W545" s="92"/>
    </row>
    <row r="546" spans="1:23" s="89" customFormat="1" x14ac:dyDescent="0.2">
      <c r="A546" s="91"/>
      <c r="B546" s="93"/>
      <c r="C546" s="92"/>
      <c r="D546" s="92"/>
      <c r="E546" s="92"/>
      <c r="F546" s="92"/>
      <c r="G546" s="92"/>
      <c r="H546" s="92"/>
      <c r="I546" s="92"/>
      <c r="J546" s="92"/>
      <c r="K546" s="92"/>
      <c r="L546" s="92"/>
      <c r="M546" s="92"/>
      <c r="N546" s="92"/>
      <c r="O546" s="92"/>
      <c r="P546" s="92"/>
      <c r="Q546" s="92"/>
      <c r="R546" s="92"/>
      <c r="S546" s="92"/>
      <c r="T546" s="92"/>
      <c r="U546" s="92"/>
      <c r="V546" s="92"/>
      <c r="W546" s="92"/>
    </row>
    <row r="547" spans="1:23" s="89" customFormat="1" x14ac:dyDescent="0.2">
      <c r="A547" s="91"/>
      <c r="B547" s="93"/>
      <c r="C547" s="92"/>
      <c r="D547" s="92"/>
      <c r="E547" s="92"/>
      <c r="F547" s="92"/>
      <c r="G547" s="92"/>
      <c r="H547" s="92"/>
      <c r="I547" s="92"/>
      <c r="J547" s="92"/>
      <c r="K547" s="92"/>
      <c r="L547" s="92"/>
      <c r="M547" s="92"/>
      <c r="N547" s="92"/>
      <c r="O547" s="92"/>
      <c r="P547" s="92"/>
      <c r="Q547" s="92"/>
      <c r="R547" s="92"/>
      <c r="S547" s="92"/>
      <c r="T547" s="92"/>
      <c r="U547" s="92"/>
      <c r="V547" s="92"/>
      <c r="W547" s="92"/>
    </row>
    <row r="548" spans="1:23" s="89" customFormat="1" x14ac:dyDescent="0.2">
      <c r="A548" s="91"/>
      <c r="B548" s="93"/>
      <c r="C548" s="92"/>
      <c r="D548" s="92"/>
      <c r="E548" s="92"/>
      <c r="F548" s="92"/>
      <c r="G548" s="92"/>
      <c r="H548" s="92"/>
      <c r="I548" s="92"/>
      <c r="J548" s="92"/>
      <c r="K548" s="92"/>
      <c r="L548" s="92"/>
      <c r="M548" s="92"/>
      <c r="N548" s="92"/>
      <c r="O548" s="92"/>
      <c r="P548" s="92"/>
      <c r="Q548" s="92"/>
      <c r="R548" s="92"/>
      <c r="S548" s="92"/>
      <c r="T548" s="92"/>
      <c r="U548" s="92"/>
      <c r="V548" s="92"/>
      <c r="W548" s="92"/>
    </row>
    <row r="549" spans="1:23" s="89" customFormat="1" x14ac:dyDescent="0.2">
      <c r="A549" s="91"/>
      <c r="B549" s="93"/>
      <c r="C549" s="92"/>
      <c r="D549" s="92"/>
      <c r="E549" s="92"/>
      <c r="F549" s="92"/>
      <c r="G549" s="92"/>
      <c r="H549" s="92"/>
      <c r="I549" s="92"/>
      <c r="J549" s="92"/>
      <c r="K549" s="92"/>
      <c r="L549" s="92"/>
      <c r="M549" s="92"/>
      <c r="N549" s="92"/>
      <c r="O549" s="92"/>
      <c r="P549" s="92"/>
      <c r="Q549" s="92"/>
      <c r="R549" s="92"/>
      <c r="S549" s="92"/>
      <c r="T549" s="92"/>
      <c r="U549" s="92"/>
      <c r="V549" s="92"/>
      <c r="W549" s="92"/>
    </row>
    <row r="550" spans="1:23" s="89" customFormat="1" x14ac:dyDescent="0.2">
      <c r="A550" s="91"/>
      <c r="B550" s="93"/>
      <c r="C550" s="92"/>
      <c r="D550" s="92"/>
      <c r="E550" s="92"/>
      <c r="F550" s="92"/>
      <c r="G550" s="92"/>
      <c r="H550" s="92"/>
      <c r="I550" s="92"/>
      <c r="J550" s="92"/>
      <c r="K550" s="92"/>
      <c r="L550" s="92"/>
      <c r="M550" s="92"/>
      <c r="N550" s="92"/>
      <c r="O550" s="92"/>
      <c r="P550" s="92"/>
      <c r="Q550" s="92"/>
      <c r="R550" s="92"/>
      <c r="S550" s="92"/>
      <c r="T550" s="92"/>
      <c r="U550" s="92"/>
      <c r="V550" s="92"/>
      <c r="W550" s="92"/>
    </row>
    <row r="551" spans="1:23" s="89" customFormat="1" x14ac:dyDescent="0.2">
      <c r="A551" s="91"/>
      <c r="B551" s="93"/>
      <c r="C551" s="92"/>
      <c r="D551" s="92"/>
      <c r="E551" s="92"/>
      <c r="F551" s="92"/>
      <c r="G551" s="92"/>
      <c r="H551" s="92"/>
      <c r="I551" s="92"/>
      <c r="J551" s="92"/>
      <c r="K551" s="92"/>
      <c r="L551" s="92"/>
      <c r="M551" s="92"/>
      <c r="N551" s="92"/>
      <c r="O551" s="92"/>
      <c r="P551" s="92"/>
      <c r="Q551" s="92"/>
      <c r="R551" s="92"/>
      <c r="S551" s="92"/>
      <c r="T551" s="92"/>
      <c r="U551" s="92"/>
      <c r="V551" s="92"/>
      <c r="W551" s="92"/>
    </row>
    <row r="552" spans="1:23" s="89" customFormat="1" x14ac:dyDescent="0.2">
      <c r="A552" s="91"/>
      <c r="B552" s="93"/>
      <c r="C552" s="92"/>
      <c r="D552" s="92"/>
      <c r="E552" s="92"/>
      <c r="F552" s="92"/>
      <c r="G552" s="92"/>
      <c r="H552" s="92"/>
      <c r="I552" s="92"/>
      <c r="J552" s="92"/>
      <c r="K552" s="92"/>
      <c r="L552" s="92"/>
      <c r="M552" s="92"/>
      <c r="N552" s="92"/>
      <c r="O552" s="92"/>
      <c r="P552" s="92"/>
      <c r="Q552" s="92"/>
      <c r="R552" s="92"/>
      <c r="S552" s="92"/>
      <c r="T552" s="92"/>
      <c r="U552" s="92"/>
      <c r="V552" s="92"/>
      <c r="W552" s="92"/>
    </row>
    <row r="553" spans="1:23" s="89" customFormat="1" x14ac:dyDescent="0.2">
      <c r="A553" s="91"/>
      <c r="B553" s="93"/>
      <c r="C553" s="92"/>
      <c r="D553" s="92"/>
      <c r="E553" s="92"/>
      <c r="F553" s="92"/>
      <c r="G553" s="92"/>
      <c r="H553" s="92"/>
      <c r="I553" s="92"/>
      <c r="J553" s="92"/>
      <c r="K553" s="92"/>
      <c r="L553" s="92"/>
      <c r="M553" s="92"/>
      <c r="N553" s="92"/>
      <c r="O553" s="92"/>
      <c r="P553" s="92"/>
      <c r="Q553" s="92"/>
      <c r="R553" s="92"/>
      <c r="S553" s="92"/>
      <c r="T553" s="92"/>
      <c r="U553" s="92"/>
      <c r="V553" s="92"/>
      <c r="W553" s="92"/>
    </row>
    <row r="554" spans="1:23" s="89" customFormat="1" x14ac:dyDescent="0.2">
      <c r="A554" s="91"/>
      <c r="B554" s="93"/>
      <c r="C554" s="92"/>
      <c r="D554" s="92"/>
      <c r="E554" s="92"/>
      <c r="F554" s="92"/>
      <c r="G554" s="92"/>
      <c r="H554" s="92"/>
      <c r="I554" s="92"/>
      <c r="J554" s="92"/>
      <c r="K554" s="92"/>
      <c r="L554" s="92"/>
      <c r="M554" s="92"/>
      <c r="N554" s="92"/>
      <c r="O554" s="92"/>
      <c r="P554" s="92"/>
      <c r="Q554" s="92"/>
      <c r="R554" s="92"/>
      <c r="S554" s="92"/>
      <c r="T554" s="92"/>
      <c r="U554" s="92"/>
      <c r="V554" s="92"/>
      <c r="W554" s="92"/>
    </row>
    <row r="555" spans="1:23" s="89" customFormat="1" x14ac:dyDescent="0.2">
      <c r="A555" s="91"/>
      <c r="B555" s="93"/>
      <c r="C555" s="92"/>
      <c r="D555" s="92"/>
      <c r="E555" s="92"/>
      <c r="F555" s="92"/>
      <c r="G555" s="92"/>
      <c r="H555" s="92"/>
      <c r="I555" s="92"/>
      <c r="J555" s="92"/>
      <c r="K555" s="92"/>
      <c r="L555" s="92"/>
      <c r="M555" s="92"/>
      <c r="N555" s="92"/>
      <c r="O555" s="92"/>
      <c r="P555" s="92"/>
      <c r="Q555" s="92"/>
      <c r="R555" s="92"/>
      <c r="S555" s="92"/>
      <c r="T555" s="92"/>
      <c r="U555" s="92"/>
      <c r="V555" s="92"/>
      <c r="W555" s="92"/>
    </row>
    <row r="556" spans="1:23" s="89" customFormat="1" x14ac:dyDescent="0.2">
      <c r="A556" s="91"/>
      <c r="B556" s="93"/>
      <c r="C556" s="92"/>
      <c r="D556" s="92"/>
      <c r="E556" s="92"/>
      <c r="F556" s="92"/>
      <c r="G556" s="92"/>
      <c r="H556" s="92"/>
      <c r="I556" s="92"/>
      <c r="J556" s="92"/>
      <c r="K556" s="92"/>
      <c r="L556" s="92"/>
      <c r="M556" s="92"/>
      <c r="N556" s="92"/>
      <c r="O556" s="92"/>
      <c r="P556" s="92"/>
      <c r="Q556" s="92"/>
      <c r="R556" s="92"/>
      <c r="S556" s="92"/>
      <c r="T556" s="92"/>
      <c r="U556" s="92"/>
      <c r="V556" s="92"/>
      <c r="W556" s="92"/>
    </row>
    <row r="557" spans="1:23" s="89" customFormat="1" x14ac:dyDescent="0.2">
      <c r="A557" s="91"/>
      <c r="B557" s="93"/>
      <c r="C557" s="92"/>
      <c r="D557" s="92"/>
      <c r="E557" s="92"/>
      <c r="F557" s="92"/>
      <c r="G557" s="92"/>
      <c r="H557" s="92"/>
      <c r="I557" s="92"/>
      <c r="J557" s="92"/>
      <c r="K557" s="92"/>
      <c r="L557" s="92"/>
      <c r="M557" s="92"/>
      <c r="N557" s="92"/>
      <c r="O557" s="92"/>
      <c r="P557" s="92"/>
      <c r="Q557" s="92"/>
      <c r="R557" s="92"/>
      <c r="S557" s="92"/>
      <c r="T557" s="92"/>
      <c r="U557" s="92"/>
      <c r="V557" s="92"/>
      <c r="W557" s="92"/>
    </row>
    <row r="558" spans="1:23" s="89" customFormat="1" x14ac:dyDescent="0.2">
      <c r="A558" s="91"/>
      <c r="B558" s="93"/>
      <c r="C558" s="92"/>
      <c r="D558" s="92"/>
      <c r="E558" s="92"/>
      <c r="F558" s="92"/>
      <c r="G558" s="92"/>
      <c r="H558" s="92"/>
      <c r="I558" s="92"/>
      <c r="J558" s="92"/>
      <c r="K558" s="92"/>
      <c r="L558" s="92"/>
      <c r="M558" s="92"/>
      <c r="N558" s="92"/>
      <c r="O558" s="92"/>
      <c r="P558" s="92"/>
      <c r="Q558" s="92"/>
      <c r="R558" s="92"/>
      <c r="S558" s="92"/>
      <c r="T558" s="92"/>
      <c r="U558" s="92"/>
      <c r="V558" s="92"/>
      <c r="W558" s="92"/>
    </row>
    <row r="559" spans="1:23" s="89" customFormat="1" x14ac:dyDescent="0.2">
      <c r="A559" s="91"/>
      <c r="B559" s="93"/>
      <c r="C559" s="92"/>
      <c r="D559" s="92"/>
      <c r="E559" s="92"/>
      <c r="F559" s="92"/>
      <c r="G559" s="92"/>
      <c r="H559" s="92"/>
      <c r="I559" s="92"/>
      <c r="J559" s="92"/>
      <c r="K559" s="92"/>
      <c r="L559" s="92"/>
      <c r="M559" s="92"/>
      <c r="N559" s="92"/>
      <c r="O559" s="92"/>
      <c r="P559" s="92"/>
      <c r="Q559" s="92"/>
      <c r="R559" s="92"/>
      <c r="S559" s="92"/>
      <c r="T559" s="92"/>
      <c r="U559" s="92"/>
      <c r="V559" s="92"/>
      <c r="W559" s="92"/>
    </row>
    <row r="560" spans="1:23" s="89" customFormat="1" x14ac:dyDescent="0.2">
      <c r="A560" s="91"/>
      <c r="B560" s="93"/>
      <c r="C560" s="92"/>
      <c r="D560" s="92"/>
      <c r="E560" s="92"/>
      <c r="F560" s="92"/>
      <c r="G560" s="92"/>
      <c r="H560" s="92"/>
      <c r="I560" s="92"/>
      <c r="J560" s="92"/>
      <c r="K560" s="92"/>
      <c r="L560" s="92"/>
      <c r="M560" s="92"/>
      <c r="N560" s="92"/>
      <c r="O560" s="92"/>
      <c r="P560" s="92"/>
      <c r="Q560" s="92"/>
      <c r="R560" s="92"/>
      <c r="S560" s="92"/>
      <c r="T560" s="92"/>
      <c r="U560" s="92"/>
      <c r="V560" s="92"/>
      <c r="W560" s="92"/>
    </row>
    <row r="561" spans="1:23" s="89" customFormat="1" x14ac:dyDescent="0.2">
      <c r="A561" s="91"/>
      <c r="B561" s="93"/>
      <c r="C561" s="92"/>
      <c r="D561" s="92"/>
      <c r="E561" s="92"/>
      <c r="F561" s="92"/>
      <c r="G561" s="92"/>
      <c r="H561" s="92"/>
      <c r="I561" s="92"/>
      <c r="J561" s="92"/>
      <c r="K561" s="92"/>
      <c r="L561" s="92"/>
      <c r="M561" s="92"/>
      <c r="N561" s="92"/>
      <c r="O561" s="92"/>
      <c r="P561" s="92"/>
      <c r="Q561" s="92"/>
      <c r="R561" s="92"/>
      <c r="S561" s="92"/>
      <c r="T561" s="92"/>
      <c r="U561" s="92"/>
      <c r="V561" s="92"/>
      <c r="W561" s="92"/>
    </row>
    <row r="562" spans="1:23" s="89" customFormat="1" x14ac:dyDescent="0.2">
      <c r="A562" s="91"/>
      <c r="B562" s="93"/>
      <c r="C562" s="92"/>
      <c r="D562" s="92"/>
      <c r="E562" s="92"/>
      <c r="F562" s="92"/>
      <c r="G562" s="92"/>
      <c r="H562" s="92"/>
      <c r="I562" s="92"/>
      <c r="J562" s="92"/>
      <c r="K562" s="92"/>
      <c r="L562" s="92"/>
      <c r="M562" s="92"/>
      <c r="N562" s="92"/>
      <c r="O562" s="92"/>
      <c r="P562" s="92"/>
      <c r="Q562" s="92"/>
      <c r="R562" s="92"/>
      <c r="S562" s="92"/>
      <c r="T562" s="92"/>
      <c r="U562" s="92"/>
      <c r="V562" s="92"/>
      <c r="W562" s="92"/>
    </row>
    <row r="563" spans="1:23" s="89" customFormat="1" x14ac:dyDescent="0.2">
      <c r="A563" s="91"/>
      <c r="B563" s="93"/>
      <c r="C563" s="92"/>
      <c r="D563" s="92"/>
      <c r="E563" s="92"/>
      <c r="F563" s="92"/>
      <c r="G563" s="92"/>
      <c r="H563" s="92"/>
      <c r="I563" s="92"/>
      <c r="J563" s="92"/>
      <c r="K563" s="92"/>
      <c r="L563" s="92"/>
      <c r="M563" s="92"/>
      <c r="N563" s="92"/>
      <c r="O563" s="92"/>
      <c r="P563" s="92"/>
      <c r="Q563" s="92"/>
      <c r="R563" s="92"/>
      <c r="S563" s="92"/>
      <c r="T563" s="92"/>
      <c r="U563" s="92"/>
      <c r="V563" s="92"/>
      <c r="W563" s="92"/>
    </row>
    <row r="564" spans="1:23" s="89" customFormat="1" x14ac:dyDescent="0.2">
      <c r="A564" s="91"/>
      <c r="B564" s="93"/>
      <c r="C564" s="92"/>
      <c r="D564" s="92"/>
      <c r="E564" s="92"/>
      <c r="F564" s="92"/>
      <c r="G564" s="92"/>
      <c r="H564" s="92"/>
      <c r="I564" s="92"/>
      <c r="J564" s="92"/>
      <c r="K564" s="92"/>
      <c r="L564" s="92"/>
      <c r="M564" s="92"/>
      <c r="N564" s="92"/>
      <c r="O564" s="92"/>
      <c r="P564" s="92"/>
      <c r="Q564" s="92"/>
      <c r="R564" s="92"/>
      <c r="S564" s="92"/>
      <c r="T564" s="92"/>
      <c r="U564" s="92"/>
      <c r="V564" s="92"/>
      <c r="W564" s="92"/>
    </row>
    <row r="565" spans="1:23" s="89" customFormat="1" x14ac:dyDescent="0.2">
      <c r="A565" s="91"/>
      <c r="B565" s="93"/>
      <c r="C565" s="92"/>
      <c r="D565" s="92"/>
      <c r="E565" s="92"/>
      <c r="F565" s="92"/>
      <c r="G565" s="92"/>
      <c r="H565" s="92"/>
      <c r="I565" s="92"/>
      <c r="J565" s="92"/>
      <c r="K565" s="92"/>
      <c r="L565" s="92"/>
      <c r="M565" s="92"/>
      <c r="N565" s="92"/>
      <c r="O565" s="92"/>
      <c r="P565" s="92"/>
      <c r="Q565" s="92"/>
      <c r="R565" s="92"/>
      <c r="S565" s="92"/>
      <c r="T565" s="92"/>
      <c r="U565" s="92"/>
      <c r="V565" s="92"/>
      <c r="W565" s="92"/>
    </row>
    <row r="566" spans="1:23" s="89" customFormat="1" x14ac:dyDescent="0.2">
      <c r="A566" s="91"/>
      <c r="B566" s="93"/>
      <c r="C566" s="92"/>
      <c r="D566" s="92"/>
      <c r="E566" s="92"/>
      <c r="F566" s="92"/>
      <c r="G566" s="92"/>
      <c r="H566" s="92"/>
      <c r="I566" s="92"/>
      <c r="J566" s="92"/>
      <c r="K566" s="92"/>
      <c r="L566" s="92"/>
      <c r="M566" s="92"/>
      <c r="N566" s="92"/>
      <c r="O566" s="92"/>
      <c r="P566" s="92"/>
      <c r="Q566" s="92"/>
      <c r="R566" s="92"/>
      <c r="S566" s="92"/>
      <c r="T566" s="92"/>
      <c r="U566" s="92"/>
      <c r="V566" s="92"/>
      <c r="W566" s="92"/>
    </row>
    <row r="567" spans="1:23" s="89" customFormat="1" x14ac:dyDescent="0.2">
      <c r="A567" s="91"/>
      <c r="B567" s="93"/>
      <c r="C567" s="92"/>
      <c r="D567" s="92"/>
      <c r="E567" s="92"/>
      <c r="F567" s="92"/>
      <c r="G567" s="92"/>
      <c r="H567" s="92"/>
      <c r="I567" s="92"/>
      <c r="J567" s="92"/>
      <c r="K567" s="92"/>
      <c r="L567" s="92"/>
      <c r="M567" s="92"/>
      <c r="N567" s="92"/>
      <c r="O567" s="92"/>
      <c r="P567" s="92"/>
      <c r="Q567" s="92"/>
      <c r="R567" s="92"/>
      <c r="S567" s="92"/>
      <c r="T567" s="92"/>
      <c r="U567" s="92"/>
      <c r="V567" s="92"/>
      <c r="W567" s="92"/>
    </row>
    <row r="568" spans="1:23" s="89" customFormat="1" x14ac:dyDescent="0.2">
      <c r="A568" s="91"/>
      <c r="B568" s="93"/>
      <c r="C568" s="92"/>
      <c r="D568" s="92"/>
      <c r="E568" s="92"/>
      <c r="F568" s="92"/>
      <c r="G568" s="92"/>
      <c r="H568" s="92"/>
      <c r="I568" s="92"/>
      <c r="J568" s="92"/>
      <c r="K568" s="92"/>
      <c r="L568" s="92"/>
      <c r="M568" s="92"/>
      <c r="N568" s="92"/>
      <c r="O568" s="92"/>
      <c r="P568" s="92"/>
      <c r="Q568" s="92"/>
      <c r="R568" s="92"/>
      <c r="S568" s="92"/>
      <c r="T568" s="92"/>
      <c r="U568" s="92"/>
      <c r="V568" s="92"/>
      <c r="W568" s="92"/>
    </row>
    <row r="569" spans="1:23" s="89" customFormat="1" x14ac:dyDescent="0.2">
      <c r="A569" s="91"/>
      <c r="B569" s="93"/>
      <c r="C569" s="92"/>
      <c r="D569" s="92"/>
      <c r="E569" s="92"/>
      <c r="F569" s="92"/>
      <c r="G569" s="92"/>
      <c r="H569" s="92"/>
      <c r="I569" s="92"/>
      <c r="J569" s="92"/>
      <c r="K569" s="92"/>
      <c r="L569" s="92"/>
      <c r="M569" s="92"/>
      <c r="N569" s="92"/>
      <c r="O569" s="92"/>
      <c r="P569" s="92"/>
      <c r="Q569" s="92"/>
      <c r="R569" s="92"/>
      <c r="S569" s="92"/>
      <c r="T569" s="92"/>
      <c r="U569" s="92"/>
      <c r="V569" s="92"/>
      <c r="W569" s="92"/>
    </row>
    <row r="570" spans="1:23" s="89" customFormat="1" x14ac:dyDescent="0.2">
      <c r="A570" s="91"/>
      <c r="B570" s="93"/>
      <c r="C570" s="92"/>
      <c r="D570" s="92"/>
      <c r="E570" s="92"/>
      <c r="F570" s="92"/>
      <c r="G570" s="92"/>
      <c r="H570" s="92"/>
      <c r="I570" s="92"/>
      <c r="J570" s="92"/>
      <c r="K570" s="92"/>
      <c r="L570" s="92"/>
      <c r="M570" s="92"/>
      <c r="N570" s="92"/>
      <c r="O570" s="92"/>
      <c r="P570" s="92"/>
      <c r="Q570" s="92"/>
      <c r="R570" s="92"/>
      <c r="S570" s="92"/>
      <c r="T570" s="92"/>
      <c r="U570" s="92"/>
      <c r="V570" s="92"/>
      <c r="W570" s="92"/>
    </row>
    <row r="571" spans="1:23" s="89" customFormat="1" x14ac:dyDescent="0.2">
      <c r="A571" s="91"/>
      <c r="B571" s="93"/>
      <c r="C571" s="92"/>
      <c r="D571" s="92"/>
      <c r="E571" s="92"/>
      <c r="F571" s="92"/>
      <c r="G571" s="92"/>
      <c r="H571" s="92"/>
      <c r="I571" s="92"/>
      <c r="J571" s="92"/>
      <c r="K571" s="92"/>
      <c r="L571" s="92"/>
      <c r="M571" s="92"/>
      <c r="N571" s="92"/>
      <c r="O571" s="92"/>
      <c r="P571" s="92"/>
      <c r="Q571" s="92"/>
      <c r="R571" s="92"/>
      <c r="S571" s="92"/>
      <c r="T571" s="92"/>
      <c r="U571" s="92"/>
      <c r="V571" s="92"/>
      <c r="W571" s="92"/>
    </row>
    <row r="572" spans="1:23" s="89" customFormat="1" x14ac:dyDescent="0.2">
      <c r="A572" s="91"/>
      <c r="B572" s="93"/>
      <c r="C572" s="92"/>
      <c r="D572" s="92"/>
      <c r="E572" s="92"/>
      <c r="F572" s="92"/>
      <c r="G572" s="92"/>
      <c r="H572" s="92"/>
      <c r="I572" s="92"/>
      <c r="J572" s="92"/>
      <c r="K572" s="92"/>
      <c r="L572" s="92"/>
      <c r="M572" s="92"/>
      <c r="N572" s="92"/>
      <c r="O572" s="92"/>
      <c r="P572" s="92"/>
      <c r="Q572" s="92"/>
      <c r="R572" s="92"/>
      <c r="S572" s="92"/>
      <c r="T572" s="92"/>
      <c r="U572" s="92"/>
      <c r="V572" s="92"/>
      <c r="W572" s="92"/>
    </row>
    <row r="573" spans="1:23" s="89" customFormat="1" x14ac:dyDescent="0.2">
      <c r="A573" s="91"/>
      <c r="B573" s="93"/>
      <c r="C573" s="92"/>
      <c r="D573" s="92"/>
      <c r="E573" s="92"/>
      <c r="F573" s="92"/>
      <c r="G573" s="92"/>
      <c r="H573" s="92"/>
      <c r="I573" s="92"/>
      <c r="J573" s="92"/>
      <c r="K573" s="92"/>
      <c r="L573" s="92"/>
      <c r="M573" s="92"/>
      <c r="N573" s="92"/>
      <c r="O573" s="92"/>
      <c r="P573" s="92"/>
      <c r="Q573" s="92"/>
      <c r="R573" s="92"/>
      <c r="S573" s="92"/>
      <c r="T573" s="92"/>
      <c r="U573" s="92"/>
      <c r="V573" s="92"/>
      <c r="W573" s="92"/>
    </row>
    <row r="574" spans="1:23" s="89" customFormat="1" x14ac:dyDescent="0.2">
      <c r="A574" s="91"/>
      <c r="B574" s="93"/>
      <c r="C574" s="92"/>
      <c r="D574" s="92"/>
      <c r="E574" s="92"/>
      <c r="F574" s="92"/>
      <c r="G574" s="92"/>
      <c r="H574" s="92"/>
      <c r="I574" s="92"/>
      <c r="J574" s="92"/>
      <c r="K574" s="92"/>
      <c r="L574" s="92"/>
      <c r="M574" s="92"/>
      <c r="N574" s="92"/>
      <c r="O574" s="92"/>
      <c r="P574" s="92"/>
      <c r="Q574" s="92"/>
      <c r="R574" s="92"/>
      <c r="S574" s="92"/>
      <c r="T574" s="92"/>
      <c r="U574" s="92"/>
      <c r="V574" s="92"/>
      <c r="W574" s="92"/>
    </row>
    <row r="575" spans="1:23" s="89" customFormat="1" x14ac:dyDescent="0.2">
      <c r="A575" s="91"/>
      <c r="B575" s="93"/>
      <c r="C575" s="92"/>
      <c r="D575" s="92"/>
      <c r="E575" s="92"/>
      <c r="F575" s="92"/>
      <c r="G575" s="92"/>
      <c r="H575" s="92"/>
      <c r="I575" s="92"/>
      <c r="J575" s="92"/>
      <c r="K575" s="92"/>
      <c r="L575" s="92"/>
      <c r="M575" s="92"/>
      <c r="N575" s="92"/>
      <c r="O575" s="92"/>
      <c r="P575" s="92"/>
      <c r="Q575" s="92"/>
      <c r="R575" s="92"/>
      <c r="S575" s="92"/>
      <c r="T575" s="92"/>
      <c r="U575" s="92"/>
      <c r="V575" s="92"/>
      <c r="W575" s="92"/>
    </row>
    <row r="576" spans="1:23" s="89" customFormat="1" x14ac:dyDescent="0.2">
      <c r="A576" s="91"/>
      <c r="B576" s="93"/>
      <c r="C576" s="92"/>
      <c r="D576" s="92"/>
      <c r="E576" s="92"/>
      <c r="F576" s="92"/>
      <c r="G576" s="92"/>
      <c r="H576" s="92"/>
      <c r="I576" s="92"/>
      <c r="J576" s="92"/>
      <c r="K576" s="92"/>
      <c r="L576" s="92"/>
      <c r="M576" s="92"/>
      <c r="N576" s="92"/>
      <c r="O576" s="92"/>
      <c r="P576" s="92"/>
      <c r="Q576" s="92"/>
      <c r="R576" s="92"/>
      <c r="S576" s="92"/>
      <c r="T576" s="92"/>
      <c r="U576" s="92"/>
      <c r="V576" s="92"/>
      <c r="W576" s="92"/>
    </row>
    <row r="577" spans="1:23" s="89" customFormat="1" x14ac:dyDescent="0.2">
      <c r="A577" s="91"/>
      <c r="B577" s="93"/>
      <c r="C577" s="92"/>
      <c r="D577" s="92"/>
      <c r="E577" s="92"/>
      <c r="F577" s="92"/>
      <c r="G577" s="92"/>
      <c r="H577" s="92"/>
      <c r="I577" s="92"/>
      <c r="J577" s="92"/>
      <c r="K577" s="92"/>
      <c r="L577" s="92"/>
      <c r="M577" s="92"/>
      <c r="N577" s="92"/>
      <c r="O577" s="92"/>
      <c r="P577" s="92"/>
      <c r="Q577" s="92"/>
      <c r="R577" s="92"/>
      <c r="S577" s="92"/>
      <c r="T577" s="92"/>
      <c r="U577" s="92"/>
      <c r="V577" s="92"/>
      <c r="W577" s="92"/>
    </row>
    <row r="578" spans="1:23" s="89" customFormat="1" x14ac:dyDescent="0.2">
      <c r="A578" s="91"/>
      <c r="B578" s="93"/>
      <c r="C578" s="92"/>
      <c r="D578" s="92"/>
      <c r="E578" s="92"/>
      <c r="F578" s="92"/>
      <c r="G578" s="92"/>
      <c r="H578" s="92"/>
      <c r="I578" s="92"/>
      <c r="J578" s="92"/>
      <c r="K578" s="92"/>
      <c r="L578" s="92"/>
      <c r="M578" s="92"/>
      <c r="N578" s="92"/>
      <c r="O578" s="92"/>
      <c r="P578" s="92"/>
      <c r="Q578" s="92"/>
      <c r="R578" s="92"/>
      <c r="S578" s="92"/>
      <c r="T578" s="92"/>
      <c r="U578" s="92"/>
      <c r="V578" s="92"/>
      <c r="W578" s="92"/>
    </row>
    <row r="579" spans="1:23" s="89" customFormat="1" x14ac:dyDescent="0.2">
      <c r="A579" s="91"/>
      <c r="B579" s="93"/>
      <c r="C579" s="92"/>
      <c r="D579" s="92"/>
      <c r="E579" s="92"/>
      <c r="F579" s="92"/>
      <c r="G579" s="92"/>
      <c r="H579" s="92"/>
      <c r="I579" s="92"/>
      <c r="J579" s="92"/>
      <c r="K579" s="92"/>
      <c r="L579" s="92"/>
      <c r="M579" s="92"/>
      <c r="N579" s="92"/>
      <c r="O579" s="92"/>
      <c r="P579" s="92"/>
      <c r="Q579" s="92"/>
      <c r="R579" s="92"/>
      <c r="S579" s="92"/>
      <c r="T579" s="92"/>
      <c r="U579" s="92"/>
      <c r="V579" s="92"/>
      <c r="W579" s="92"/>
    </row>
    <row r="580" spans="1:23" s="89" customFormat="1" x14ac:dyDescent="0.2">
      <c r="A580" s="91"/>
      <c r="B580" s="93"/>
      <c r="C580" s="92"/>
      <c r="D580" s="92"/>
      <c r="E580" s="92"/>
      <c r="F580" s="92"/>
      <c r="G580" s="92"/>
      <c r="H580" s="92"/>
      <c r="I580" s="92"/>
      <c r="J580" s="92"/>
      <c r="K580" s="92"/>
      <c r="L580" s="92"/>
      <c r="M580" s="92"/>
      <c r="N580" s="92"/>
      <c r="O580" s="92"/>
      <c r="P580" s="92"/>
      <c r="Q580" s="92"/>
      <c r="R580" s="92"/>
      <c r="S580" s="92"/>
      <c r="T580" s="92"/>
      <c r="U580" s="92"/>
      <c r="V580" s="92"/>
      <c r="W580" s="92"/>
    </row>
    <row r="581" spans="1:23" s="89" customFormat="1" x14ac:dyDescent="0.2">
      <c r="A581" s="91"/>
      <c r="B581" s="93"/>
      <c r="C581" s="92"/>
      <c r="D581" s="92"/>
      <c r="E581" s="92"/>
      <c r="F581" s="92"/>
      <c r="G581" s="92"/>
      <c r="H581" s="92"/>
      <c r="I581" s="92"/>
      <c r="J581" s="92"/>
      <c r="K581" s="92"/>
      <c r="L581" s="92"/>
      <c r="M581" s="92"/>
      <c r="N581" s="92"/>
      <c r="O581" s="92"/>
      <c r="P581" s="92"/>
      <c r="Q581" s="92"/>
      <c r="R581" s="92"/>
      <c r="S581" s="92"/>
      <c r="T581" s="92"/>
      <c r="U581" s="92"/>
      <c r="V581" s="92"/>
      <c r="W581" s="92"/>
    </row>
    <row r="582" spans="1:23" s="89" customFormat="1" x14ac:dyDescent="0.2">
      <c r="A582" s="91"/>
      <c r="B582" s="93"/>
      <c r="C582" s="92"/>
      <c r="D582" s="92"/>
      <c r="E582" s="92"/>
      <c r="F582" s="92"/>
      <c r="G582" s="92"/>
      <c r="H582" s="92"/>
      <c r="I582" s="92"/>
      <c r="J582" s="92"/>
      <c r="K582" s="92"/>
      <c r="L582" s="92"/>
      <c r="M582" s="92"/>
      <c r="N582" s="92"/>
      <c r="O582" s="92"/>
      <c r="P582" s="92"/>
      <c r="Q582" s="92"/>
      <c r="R582" s="92"/>
      <c r="S582" s="92"/>
      <c r="T582" s="92"/>
      <c r="U582" s="92"/>
      <c r="V582" s="92"/>
      <c r="W582" s="92"/>
    </row>
    <row r="583" spans="1:23" s="89" customFormat="1" x14ac:dyDescent="0.2">
      <c r="A583" s="91"/>
      <c r="B583" s="93"/>
      <c r="C583" s="92"/>
      <c r="D583" s="92"/>
      <c r="E583" s="92"/>
      <c r="F583" s="92"/>
      <c r="G583" s="92"/>
      <c r="H583" s="92"/>
      <c r="I583" s="92"/>
      <c r="J583" s="92"/>
      <c r="K583" s="92"/>
      <c r="L583" s="92"/>
      <c r="M583" s="92"/>
      <c r="N583" s="92"/>
      <c r="O583" s="92"/>
      <c r="P583" s="92"/>
      <c r="Q583" s="92"/>
      <c r="R583" s="92"/>
      <c r="S583" s="92"/>
      <c r="T583" s="92"/>
      <c r="U583" s="92"/>
      <c r="V583" s="92"/>
      <c r="W583" s="92"/>
    </row>
    <row r="584" spans="1:23" s="89" customFormat="1" x14ac:dyDescent="0.2">
      <c r="A584" s="91"/>
      <c r="B584" s="93"/>
      <c r="C584" s="92"/>
      <c r="D584" s="92"/>
      <c r="E584" s="92"/>
      <c r="F584" s="92"/>
      <c r="G584" s="92"/>
      <c r="H584" s="92"/>
      <c r="I584" s="92"/>
      <c r="J584" s="92"/>
      <c r="K584" s="92"/>
      <c r="L584" s="92"/>
      <c r="M584" s="92"/>
      <c r="N584" s="92"/>
      <c r="O584" s="92"/>
      <c r="P584" s="92"/>
      <c r="Q584" s="92"/>
      <c r="R584" s="92"/>
      <c r="S584" s="92"/>
      <c r="T584" s="92"/>
      <c r="U584" s="92"/>
      <c r="V584" s="92"/>
      <c r="W584" s="92"/>
    </row>
    <row r="585" spans="1:23" s="89" customFormat="1" x14ac:dyDescent="0.2">
      <c r="A585" s="91"/>
      <c r="B585" s="93"/>
      <c r="C585" s="92"/>
      <c r="D585" s="92"/>
      <c r="E585" s="92"/>
      <c r="F585" s="92"/>
      <c r="G585" s="92"/>
      <c r="H585" s="92"/>
      <c r="I585" s="92"/>
      <c r="J585" s="92"/>
      <c r="K585" s="92"/>
      <c r="L585" s="92"/>
      <c r="M585" s="92"/>
      <c r="N585" s="92"/>
      <c r="O585" s="92"/>
      <c r="P585" s="92"/>
      <c r="Q585" s="92"/>
      <c r="R585" s="92"/>
      <c r="S585" s="92"/>
      <c r="T585" s="92"/>
      <c r="U585" s="92"/>
      <c r="V585" s="92"/>
      <c r="W585" s="92"/>
    </row>
    <row r="586" spans="1:23" s="89" customFormat="1" x14ac:dyDescent="0.2">
      <c r="A586" s="91"/>
      <c r="B586" s="93"/>
      <c r="C586" s="92"/>
      <c r="D586" s="92"/>
      <c r="E586" s="92"/>
      <c r="F586" s="92"/>
      <c r="G586" s="92"/>
      <c r="H586" s="92"/>
      <c r="I586" s="92"/>
      <c r="J586" s="92"/>
      <c r="K586" s="92"/>
      <c r="L586" s="92"/>
      <c r="M586" s="92"/>
      <c r="N586" s="92"/>
      <c r="O586" s="92"/>
      <c r="P586" s="92"/>
      <c r="Q586" s="92"/>
      <c r="R586" s="92"/>
      <c r="S586" s="92"/>
      <c r="T586" s="92"/>
      <c r="U586" s="92"/>
      <c r="V586" s="92"/>
      <c r="W586" s="92"/>
    </row>
    <row r="587" spans="1:23" s="89" customFormat="1" x14ac:dyDescent="0.2">
      <c r="A587" s="91"/>
      <c r="B587" s="93"/>
      <c r="C587" s="92"/>
      <c r="D587" s="92"/>
      <c r="E587" s="92"/>
      <c r="F587" s="92"/>
      <c r="G587" s="92"/>
      <c r="H587" s="92"/>
      <c r="I587" s="92"/>
      <c r="J587" s="92"/>
      <c r="K587" s="92"/>
      <c r="L587" s="92"/>
      <c r="M587" s="92"/>
      <c r="N587" s="92"/>
      <c r="O587" s="92"/>
      <c r="P587" s="92"/>
      <c r="Q587" s="92"/>
      <c r="R587" s="92"/>
      <c r="S587" s="92"/>
      <c r="T587" s="92"/>
      <c r="U587" s="92"/>
      <c r="V587" s="92"/>
      <c r="W587" s="92"/>
    </row>
    <row r="588" spans="1:23" s="89" customFormat="1" x14ac:dyDescent="0.2">
      <c r="A588" s="91"/>
      <c r="B588" s="93"/>
      <c r="C588" s="92"/>
      <c r="D588" s="92"/>
      <c r="E588" s="92"/>
      <c r="F588" s="92"/>
      <c r="G588" s="92"/>
      <c r="H588" s="92"/>
      <c r="I588" s="92"/>
      <c r="J588" s="92"/>
      <c r="K588" s="92"/>
      <c r="L588" s="92"/>
      <c r="M588" s="92"/>
      <c r="N588" s="92"/>
      <c r="O588" s="92"/>
      <c r="P588" s="92"/>
      <c r="Q588" s="92"/>
      <c r="R588" s="92"/>
      <c r="S588" s="92"/>
      <c r="T588" s="92"/>
      <c r="U588" s="92"/>
      <c r="V588" s="92"/>
      <c r="W588" s="92"/>
    </row>
    <row r="589" spans="1:23" s="89" customFormat="1" x14ac:dyDescent="0.2">
      <c r="A589" s="91"/>
      <c r="B589" s="93"/>
      <c r="C589" s="92"/>
      <c r="D589" s="92"/>
      <c r="E589" s="92"/>
      <c r="F589" s="92"/>
      <c r="G589" s="92"/>
      <c r="H589" s="92"/>
      <c r="I589" s="92"/>
      <c r="J589" s="92"/>
      <c r="K589" s="92"/>
      <c r="L589" s="92"/>
      <c r="M589" s="92"/>
      <c r="N589" s="92"/>
      <c r="O589" s="92"/>
      <c r="P589" s="92"/>
      <c r="Q589" s="92"/>
      <c r="R589" s="92"/>
      <c r="S589" s="92"/>
      <c r="T589" s="92"/>
      <c r="U589" s="92"/>
      <c r="V589" s="92"/>
      <c r="W589" s="92"/>
    </row>
    <row r="590" spans="1:23" s="89" customFormat="1" x14ac:dyDescent="0.2">
      <c r="A590" s="91"/>
      <c r="B590" s="93"/>
      <c r="C590" s="92"/>
      <c r="D590" s="92"/>
      <c r="E590" s="92"/>
      <c r="F590" s="92"/>
      <c r="G590" s="92"/>
      <c r="H590" s="92"/>
      <c r="I590" s="92"/>
      <c r="J590" s="92"/>
      <c r="K590" s="92"/>
      <c r="L590" s="92"/>
      <c r="M590" s="92"/>
      <c r="N590" s="92"/>
      <c r="O590" s="92"/>
      <c r="P590" s="92"/>
      <c r="Q590" s="92"/>
      <c r="R590" s="92"/>
      <c r="S590" s="92"/>
      <c r="T590" s="92"/>
      <c r="U590" s="92"/>
      <c r="V590" s="92"/>
      <c r="W590" s="92"/>
    </row>
    <row r="591" spans="1:23" s="89" customFormat="1" x14ac:dyDescent="0.2">
      <c r="A591" s="91"/>
      <c r="B591" s="93"/>
      <c r="C591" s="92"/>
      <c r="D591" s="92"/>
      <c r="E591" s="92"/>
      <c r="F591" s="92"/>
      <c r="G591" s="92"/>
      <c r="H591" s="92"/>
      <c r="I591" s="92"/>
      <c r="J591" s="92"/>
      <c r="K591" s="92"/>
      <c r="L591" s="92"/>
      <c r="M591" s="92"/>
      <c r="N591" s="92"/>
      <c r="O591" s="92"/>
      <c r="P591" s="92"/>
      <c r="Q591" s="92"/>
      <c r="R591" s="92"/>
      <c r="S591" s="92"/>
      <c r="T591" s="92"/>
      <c r="U591" s="92"/>
      <c r="V591" s="92"/>
      <c r="W591" s="92"/>
    </row>
    <row r="592" spans="1:23" s="89" customFormat="1" x14ac:dyDescent="0.2">
      <c r="A592" s="91"/>
      <c r="B592" s="93"/>
      <c r="C592" s="92"/>
      <c r="D592" s="92"/>
      <c r="E592" s="92"/>
      <c r="F592" s="92"/>
      <c r="G592" s="92"/>
      <c r="H592" s="92"/>
      <c r="I592" s="92"/>
      <c r="J592" s="92"/>
      <c r="K592" s="92"/>
      <c r="L592" s="92"/>
      <c r="M592" s="92"/>
      <c r="N592" s="92"/>
      <c r="O592" s="92"/>
      <c r="P592" s="92"/>
      <c r="Q592" s="92"/>
      <c r="R592" s="92"/>
      <c r="S592" s="92"/>
      <c r="T592" s="92"/>
      <c r="U592" s="92"/>
      <c r="V592" s="92"/>
      <c r="W592" s="92"/>
    </row>
    <row r="593" spans="1:23" s="89" customFormat="1" x14ac:dyDescent="0.2">
      <c r="A593" s="91"/>
      <c r="B593" s="93"/>
      <c r="C593" s="92"/>
      <c r="D593" s="92"/>
      <c r="E593" s="92"/>
      <c r="F593" s="92"/>
      <c r="G593" s="92"/>
      <c r="H593" s="92"/>
      <c r="I593" s="92"/>
      <c r="J593" s="92"/>
      <c r="K593" s="92"/>
      <c r="L593" s="92"/>
      <c r="M593" s="92"/>
      <c r="N593" s="92"/>
      <c r="O593" s="92"/>
      <c r="P593" s="92"/>
      <c r="Q593" s="92"/>
      <c r="R593" s="92"/>
      <c r="S593" s="92"/>
      <c r="T593" s="92"/>
      <c r="U593" s="92"/>
      <c r="V593" s="92"/>
      <c r="W593" s="92"/>
    </row>
    <row r="594" spans="1:23" s="89" customFormat="1" x14ac:dyDescent="0.2">
      <c r="A594" s="91"/>
      <c r="B594" s="93"/>
      <c r="C594" s="92"/>
      <c r="D594" s="92"/>
      <c r="E594" s="92"/>
      <c r="F594" s="92"/>
      <c r="G594" s="92"/>
      <c r="H594" s="92"/>
      <c r="I594" s="92"/>
      <c r="J594" s="92"/>
      <c r="K594" s="92"/>
      <c r="L594" s="92"/>
      <c r="M594" s="92"/>
      <c r="N594" s="92"/>
      <c r="O594" s="92"/>
      <c r="P594" s="92"/>
      <c r="Q594" s="92"/>
      <c r="R594" s="92"/>
      <c r="S594" s="92"/>
      <c r="T594" s="92"/>
      <c r="U594" s="92"/>
      <c r="V594" s="92"/>
      <c r="W594" s="92"/>
    </row>
    <row r="595" spans="1:23" s="89" customFormat="1" x14ac:dyDescent="0.2">
      <c r="A595" s="91"/>
      <c r="B595" s="93"/>
      <c r="C595" s="92"/>
      <c r="D595" s="92"/>
      <c r="E595" s="92"/>
      <c r="F595" s="92"/>
      <c r="G595" s="92"/>
      <c r="H595" s="92"/>
      <c r="I595" s="92"/>
      <c r="J595" s="92"/>
      <c r="K595" s="92"/>
      <c r="L595" s="92"/>
      <c r="M595" s="92"/>
      <c r="N595" s="92"/>
      <c r="O595" s="92"/>
      <c r="P595" s="92"/>
      <c r="Q595" s="92"/>
      <c r="R595" s="92"/>
      <c r="S595" s="92"/>
      <c r="T595" s="92"/>
      <c r="U595" s="92"/>
      <c r="V595" s="92"/>
      <c r="W595" s="92"/>
    </row>
    <row r="596" spans="1:23" s="89" customFormat="1" x14ac:dyDescent="0.2">
      <c r="A596" s="91"/>
      <c r="B596" s="93"/>
      <c r="C596" s="92"/>
      <c r="D596" s="92"/>
      <c r="E596" s="92"/>
      <c r="F596" s="92"/>
      <c r="G596" s="92"/>
      <c r="H596" s="92"/>
      <c r="I596" s="92"/>
      <c r="J596" s="92"/>
      <c r="K596" s="92"/>
      <c r="L596" s="92"/>
      <c r="M596" s="92"/>
      <c r="N596" s="92"/>
      <c r="O596" s="92"/>
      <c r="P596" s="92"/>
      <c r="Q596" s="92"/>
      <c r="R596" s="92"/>
      <c r="S596" s="92"/>
      <c r="T596" s="92"/>
      <c r="U596" s="92"/>
      <c r="V596" s="92"/>
      <c r="W596" s="92"/>
    </row>
    <row r="597" spans="1:23" s="89" customFormat="1" x14ac:dyDescent="0.2">
      <c r="A597" s="91"/>
      <c r="B597" s="93"/>
      <c r="C597" s="92"/>
      <c r="D597" s="92"/>
      <c r="E597" s="92"/>
      <c r="F597" s="92"/>
      <c r="G597" s="92"/>
      <c r="H597" s="92"/>
      <c r="I597" s="92"/>
      <c r="J597" s="92"/>
      <c r="K597" s="92"/>
      <c r="L597" s="92"/>
      <c r="M597" s="92"/>
      <c r="N597" s="92"/>
      <c r="O597" s="92"/>
      <c r="P597" s="92"/>
      <c r="Q597" s="92"/>
      <c r="R597" s="92"/>
      <c r="S597" s="92"/>
      <c r="T597" s="92"/>
      <c r="U597" s="92"/>
      <c r="V597" s="92"/>
      <c r="W597" s="92"/>
    </row>
    <row r="598" spans="1:23" s="89" customFormat="1" x14ac:dyDescent="0.2">
      <c r="A598" s="91"/>
      <c r="B598" s="93"/>
      <c r="C598" s="92"/>
      <c r="D598" s="92"/>
      <c r="E598" s="92"/>
      <c r="F598" s="92"/>
      <c r="G598" s="92"/>
      <c r="H598" s="92"/>
      <c r="I598" s="92"/>
      <c r="J598" s="92"/>
      <c r="K598" s="92"/>
      <c r="L598" s="92"/>
      <c r="M598" s="92"/>
      <c r="N598" s="92"/>
      <c r="O598" s="92"/>
      <c r="P598" s="92"/>
      <c r="Q598" s="92"/>
      <c r="R598" s="92"/>
      <c r="S598" s="92"/>
      <c r="T598" s="92"/>
      <c r="U598" s="92"/>
      <c r="V598" s="92"/>
      <c r="W598" s="92"/>
    </row>
    <row r="599" spans="1:23" s="89" customFormat="1" x14ac:dyDescent="0.2">
      <c r="A599" s="91"/>
      <c r="B599" s="93"/>
      <c r="C599" s="92"/>
      <c r="D599" s="92"/>
      <c r="E599" s="92"/>
      <c r="F599" s="92"/>
      <c r="G599" s="92"/>
      <c r="H599" s="92"/>
      <c r="I599" s="92"/>
      <c r="J599" s="92"/>
      <c r="K599" s="92"/>
      <c r="L599" s="92"/>
      <c r="M599" s="92"/>
      <c r="N599" s="92"/>
      <c r="O599" s="92"/>
      <c r="P599" s="92"/>
      <c r="Q599" s="92"/>
      <c r="R599" s="92"/>
      <c r="S599" s="92"/>
      <c r="T599" s="92"/>
      <c r="U599" s="92"/>
      <c r="V599" s="92"/>
      <c r="W599" s="92"/>
    </row>
    <row r="600" spans="1:23" s="89" customFormat="1" x14ac:dyDescent="0.2">
      <c r="A600" s="91"/>
      <c r="B600" s="93"/>
      <c r="C600" s="92"/>
      <c r="D600" s="92"/>
      <c r="E600" s="92"/>
      <c r="F600" s="92"/>
      <c r="G600" s="92"/>
      <c r="H600" s="92"/>
      <c r="I600" s="92"/>
      <c r="J600" s="92"/>
      <c r="K600" s="92"/>
      <c r="L600" s="92"/>
      <c r="M600" s="92"/>
      <c r="N600" s="92"/>
      <c r="O600" s="92"/>
      <c r="P600" s="92"/>
      <c r="Q600" s="92"/>
      <c r="R600" s="92"/>
      <c r="S600" s="92"/>
      <c r="T600" s="92"/>
      <c r="U600" s="92"/>
      <c r="V600" s="92"/>
      <c r="W600" s="92"/>
    </row>
    <row r="601" spans="1:23" s="89" customFormat="1" x14ac:dyDescent="0.2">
      <c r="A601" s="91"/>
      <c r="B601" s="93"/>
      <c r="C601" s="92"/>
      <c r="D601" s="92"/>
      <c r="E601" s="92"/>
      <c r="F601" s="92"/>
      <c r="G601" s="92"/>
      <c r="H601" s="92"/>
      <c r="I601" s="92"/>
      <c r="J601" s="92"/>
      <c r="K601" s="92"/>
      <c r="L601" s="92"/>
      <c r="M601" s="92"/>
      <c r="N601" s="92"/>
      <c r="O601" s="92"/>
      <c r="P601" s="92"/>
      <c r="Q601" s="92"/>
      <c r="R601" s="92"/>
      <c r="S601" s="92"/>
      <c r="T601" s="92"/>
      <c r="U601" s="92"/>
      <c r="V601" s="92"/>
      <c r="W601" s="92"/>
    </row>
    <row r="602" spans="1:23" s="89" customFormat="1" x14ac:dyDescent="0.2">
      <c r="A602" s="91"/>
      <c r="B602" s="93"/>
      <c r="C602" s="92"/>
      <c r="D602" s="92"/>
      <c r="E602" s="92"/>
      <c r="F602" s="92"/>
      <c r="G602" s="92"/>
      <c r="H602" s="92"/>
      <c r="I602" s="92"/>
      <c r="J602" s="92"/>
      <c r="K602" s="92"/>
      <c r="L602" s="92"/>
      <c r="M602" s="92"/>
      <c r="N602" s="92"/>
      <c r="O602" s="92"/>
      <c r="P602" s="92"/>
      <c r="Q602" s="92"/>
      <c r="R602" s="92"/>
      <c r="S602" s="92"/>
      <c r="T602" s="92"/>
      <c r="U602" s="92"/>
      <c r="V602" s="92"/>
      <c r="W602" s="92"/>
    </row>
    <row r="603" spans="1:23" s="89" customFormat="1" x14ac:dyDescent="0.2">
      <c r="A603" s="91"/>
      <c r="B603" s="93"/>
      <c r="C603" s="92"/>
      <c r="D603" s="92"/>
      <c r="E603" s="92"/>
      <c r="F603" s="92"/>
      <c r="G603" s="92"/>
      <c r="H603" s="92"/>
      <c r="I603" s="92"/>
      <c r="J603" s="92"/>
      <c r="K603" s="92"/>
      <c r="L603" s="92"/>
      <c r="M603" s="92"/>
      <c r="N603" s="92"/>
      <c r="O603" s="92"/>
      <c r="P603" s="92"/>
      <c r="Q603" s="92"/>
      <c r="R603" s="92"/>
      <c r="S603" s="92"/>
      <c r="T603" s="92"/>
      <c r="U603" s="92"/>
      <c r="V603" s="92"/>
      <c r="W603" s="92"/>
    </row>
    <row r="604" spans="1:23" s="89" customFormat="1" x14ac:dyDescent="0.2">
      <c r="A604" s="91"/>
      <c r="B604" s="93"/>
      <c r="C604" s="92"/>
      <c r="D604" s="92"/>
      <c r="E604" s="92"/>
      <c r="F604" s="92"/>
      <c r="G604" s="92"/>
      <c r="H604" s="92"/>
      <c r="I604" s="92"/>
      <c r="J604" s="92"/>
      <c r="K604" s="92"/>
      <c r="L604" s="92"/>
      <c r="M604" s="92"/>
      <c r="N604" s="92"/>
      <c r="O604" s="92"/>
      <c r="P604" s="92"/>
      <c r="Q604" s="92"/>
      <c r="R604" s="92"/>
      <c r="S604" s="92"/>
      <c r="T604" s="92"/>
      <c r="U604" s="92"/>
      <c r="V604" s="92"/>
      <c r="W604" s="92"/>
    </row>
    <row r="605" spans="1:23" s="89" customFormat="1" x14ac:dyDescent="0.2">
      <c r="A605" s="91"/>
      <c r="B605" s="93"/>
      <c r="C605" s="92"/>
      <c r="D605" s="92"/>
      <c r="E605" s="92"/>
      <c r="F605" s="92"/>
      <c r="G605" s="92"/>
      <c r="H605" s="92"/>
      <c r="I605" s="92"/>
      <c r="J605" s="92"/>
      <c r="K605" s="92"/>
      <c r="L605" s="92"/>
      <c r="M605" s="92"/>
      <c r="N605" s="92"/>
      <c r="O605" s="92"/>
      <c r="P605" s="92"/>
      <c r="Q605" s="92"/>
      <c r="R605" s="92"/>
      <c r="S605" s="92"/>
      <c r="T605" s="92"/>
      <c r="U605" s="92"/>
      <c r="V605" s="92"/>
      <c r="W605" s="92"/>
    </row>
    <row r="606" spans="1:23" s="89" customFormat="1" x14ac:dyDescent="0.2">
      <c r="A606" s="91"/>
      <c r="B606" s="93"/>
      <c r="C606" s="92"/>
      <c r="D606" s="92"/>
      <c r="E606" s="92"/>
      <c r="F606" s="92"/>
      <c r="G606" s="92"/>
      <c r="H606" s="92"/>
      <c r="I606" s="92"/>
      <c r="J606" s="92"/>
      <c r="K606" s="92"/>
      <c r="L606" s="92"/>
      <c r="M606" s="92"/>
      <c r="N606" s="92"/>
      <c r="O606" s="92"/>
      <c r="P606" s="92"/>
      <c r="Q606" s="92"/>
      <c r="R606" s="92"/>
      <c r="S606" s="92"/>
      <c r="T606" s="92"/>
      <c r="U606" s="92"/>
      <c r="V606" s="92"/>
      <c r="W606" s="92"/>
    </row>
    <row r="607" spans="1:23" s="89" customFormat="1" x14ac:dyDescent="0.2">
      <c r="A607" s="91"/>
      <c r="B607" s="93"/>
      <c r="C607" s="92"/>
      <c r="D607" s="92"/>
      <c r="E607" s="92"/>
      <c r="F607" s="92"/>
      <c r="G607" s="92"/>
      <c r="H607" s="92"/>
      <c r="I607" s="92"/>
      <c r="J607" s="92"/>
      <c r="K607" s="92"/>
      <c r="L607" s="92"/>
      <c r="M607" s="92"/>
      <c r="N607" s="92"/>
      <c r="O607" s="92"/>
      <c r="P607" s="92"/>
      <c r="Q607" s="92"/>
      <c r="R607" s="92"/>
      <c r="S607" s="92"/>
      <c r="T607" s="92"/>
      <c r="U607" s="92"/>
      <c r="V607" s="92"/>
      <c r="W607" s="92"/>
    </row>
    <row r="608" spans="1:23" s="89" customFormat="1" x14ac:dyDescent="0.2">
      <c r="A608" s="91"/>
      <c r="B608" s="93"/>
      <c r="C608" s="92"/>
      <c r="D608" s="92"/>
      <c r="E608" s="92"/>
      <c r="F608" s="92"/>
      <c r="G608" s="92"/>
      <c r="H608" s="92"/>
      <c r="I608" s="92"/>
      <c r="J608" s="92"/>
      <c r="K608" s="92"/>
      <c r="L608" s="92"/>
      <c r="M608" s="92"/>
      <c r="N608" s="92"/>
      <c r="O608" s="92"/>
      <c r="P608" s="92"/>
      <c r="Q608" s="92"/>
      <c r="R608" s="92"/>
      <c r="S608" s="92"/>
      <c r="T608" s="92"/>
      <c r="U608" s="92"/>
      <c r="V608" s="92"/>
      <c r="W608" s="92"/>
    </row>
    <row r="609" spans="1:23" s="89" customFormat="1" x14ac:dyDescent="0.2">
      <c r="A609" s="91"/>
      <c r="B609" s="93"/>
      <c r="C609" s="92"/>
      <c r="D609" s="92"/>
      <c r="E609" s="92"/>
      <c r="F609" s="92"/>
      <c r="G609" s="92"/>
      <c r="H609" s="92"/>
      <c r="I609" s="92"/>
      <c r="J609" s="92"/>
      <c r="K609" s="92"/>
      <c r="L609" s="92"/>
      <c r="M609" s="92"/>
      <c r="N609" s="92"/>
      <c r="O609" s="92"/>
      <c r="P609" s="92"/>
      <c r="Q609" s="92"/>
      <c r="R609" s="92"/>
      <c r="S609" s="92"/>
      <c r="T609" s="92"/>
      <c r="U609" s="92"/>
      <c r="V609" s="92"/>
      <c r="W609" s="92"/>
    </row>
    <row r="610" spans="1:23" s="89" customFormat="1" x14ac:dyDescent="0.2">
      <c r="A610" s="91"/>
      <c r="B610" s="93"/>
      <c r="C610" s="92"/>
      <c r="D610" s="92"/>
      <c r="E610" s="92"/>
      <c r="F610" s="92"/>
      <c r="G610" s="92"/>
      <c r="H610" s="92"/>
      <c r="I610" s="92"/>
      <c r="J610" s="92"/>
      <c r="K610" s="92"/>
      <c r="L610" s="92"/>
      <c r="M610" s="92"/>
      <c r="N610" s="92"/>
      <c r="O610" s="92"/>
      <c r="P610" s="92"/>
      <c r="Q610" s="92"/>
      <c r="R610" s="92"/>
      <c r="S610" s="92"/>
      <c r="T610" s="92"/>
      <c r="U610" s="92"/>
      <c r="V610" s="92"/>
      <c r="W610" s="92"/>
    </row>
    <row r="611" spans="1:23" s="89" customFormat="1" x14ac:dyDescent="0.2">
      <c r="A611" s="91"/>
      <c r="B611" s="93"/>
      <c r="C611" s="92"/>
      <c r="D611" s="92"/>
      <c r="E611" s="92"/>
      <c r="F611" s="92"/>
      <c r="G611" s="92"/>
      <c r="H611" s="92"/>
      <c r="I611" s="92"/>
      <c r="J611" s="92"/>
      <c r="K611" s="92"/>
      <c r="L611" s="92"/>
      <c r="M611" s="92"/>
      <c r="N611" s="92"/>
      <c r="O611" s="92"/>
      <c r="P611" s="92"/>
      <c r="Q611" s="92"/>
      <c r="R611" s="92"/>
      <c r="S611" s="92"/>
      <c r="T611" s="92"/>
      <c r="U611" s="92"/>
      <c r="V611" s="92"/>
      <c r="W611" s="92"/>
    </row>
    <row r="612" spans="1:23" s="89" customFormat="1" x14ac:dyDescent="0.2">
      <c r="A612" s="91"/>
      <c r="B612" s="93"/>
      <c r="C612" s="92"/>
      <c r="D612" s="92"/>
      <c r="E612" s="92"/>
      <c r="F612" s="92"/>
      <c r="G612" s="92"/>
      <c r="H612" s="92"/>
      <c r="I612" s="92"/>
      <c r="J612" s="92"/>
      <c r="K612" s="92"/>
      <c r="L612" s="92"/>
      <c r="M612" s="92"/>
      <c r="N612" s="92"/>
      <c r="O612" s="92"/>
      <c r="P612" s="92"/>
      <c r="Q612" s="92"/>
      <c r="R612" s="92"/>
      <c r="S612" s="92"/>
      <c r="T612" s="92"/>
      <c r="U612" s="92"/>
      <c r="V612" s="92"/>
      <c r="W612" s="92"/>
    </row>
    <row r="613" spans="1:23" s="89" customFormat="1" x14ac:dyDescent="0.2">
      <c r="A613" s="91"/>
      <c r="B613" s="93"/>
      <c r="C613" s="92"/>
      <c r="D613" s="92"/>
      <c r="E613" s="92"/>
      <c r="F613" s="92"/>
      <c r="G613" s="92"/>
      <c r="H613" s="92"/>
      <c r="I613" s="92"/>
      <c r="J613" s="92"/>
      <c r="K613" s="92"/>
      <c r="L613" s="92"/>
      <c r="M613" s="92"/>
      <c r="N613" s="92"/>
      <c r="O613" s="92"/>
      <c r="P613" s="92"/>
      <c r="Q613" s="92"/>
      <c r="R613" s="92"/>
      <c r="S613" s="92"/>
      <c r="T613" s="92"/>
      <c r="U613" s="92"/>
      <c r="V613" s="92"/>
      <c r="W613" s="92"/>
    </row>
    <row r="614" spans="1:23" s="89" customFormat="1" x14ac:dyDescent="0.2">
      <c r="A614" s="91"/>
      <c r="B614" s="93"/>
      <c r="C614" s="92"/>
      <c r="D614" s="92"/>
      <c r="E614" s="92"/>
      <c r="F614" s="92"/>
      <c r="G614" s="92"/>
      <c r="H614" s="92"/>
      <c r="I614" s="92"/>
      <c r="J614" s="92"/>
      <c r="K614" s="92"/>
      <c r="L614" s="92"/>
      <c r="M614" s="92"/>
      <c r="N614" s="92"/>
      <c r="O614" s="92"/>
      <c r="P614" s="92"/>
      <c r="Q614" s="92"/>
      <c r="R614" s="92"/>
      <c r="S614" s="92"/>
      <c r="T614" s="92"/>
      <c r="U614" s="92"/>
      <c r="V614" s="92"/>
      <c r="W614" s="92"/>
    </row>
    <row r="615" spans="1:23" s="89" customFormat="1" x14ac:dyDescent="0.2">
      <c r="A615" s="91"/>
      <c r="B615" s="93"/>
      <c r="C615" s="92"/>
      <c r="D615" s="92"/>
      <c r="E615" s="92"/>
      <c r="F615" s="92"/>
      <c r="G615" s="92"/>
      <c r="H615" s="92"/>
      <c r="I615" s="92"/>
      <c r="J615" s="92"/>
      <c r="K615" s="92"/>
      <c r="L615" s="92"/>
      <c r="M615" s="92"/>
      <c r="N615" s="92"/>
      <c r="O615" s="92"/>
      <c r="P615" s="92"/>
      <c r="Q615" s="92"/>
      <c r="R615" s="92"/>
      <c r="S615" s="92"/>
      <c r="T615" s="92"/>
      <c r="U615" s="92"/>
      <c r="V615" s="92"/>
      <c r="W615" s="92"/>
    </row>
    <row r="616" spans="1:23" s="89" customFormat="1" x14ac:dyDescent="0.2">
      <c r="A616" s="91"/>
      <c r="B616" s="93"/>
      <c r="C616" s="92"/>
      <c r="D616" s="92"/>
      <c r="E616" s="92"/>
      <c r="F616" s="92"/>
      <c r="G616" s="92"/>
      <c r="H616" s="92"/>
      <c r="I616" s="92"/>
      <c r="J616" s="92"/>
      <c r="K616" s="92"/>
      <c r="L616" s="92"/>
      <c r="M616" s="92"/>
      <c r="N616" s="92"/>
      <c r="O616" s="92"/>
      <c r="P616" s="92"/>
      <c r="Q616" s="92"/>
      <c r="R616" s="92"/>
      <c r="S616" s="92"/>
      <c r="T616" s="92"/>
      <c r="U616" s="92"/>
      <c r="V616" s="92"/>
      <c r="W616" s="92"/>
    </row>
    <row r="617" spans="1:23" s="89" customFormat="1" x14ac:dyDescent="0.2">
      <c r="A617" s="91"/>
      <c r="B617" s="93"/>
      <c r="C617" s="92"/>
      <c r="D617" s="92"/>
      <c r="E617" s="92"/>
      <c r="F617" s="92"/>
      <c r="G617" s="92"/>
      <c r="H617" s="92"/>
      <c r="I617" s="92"/>
      <c r="J617" s="92"/>
      <c r="K617" s="92"/>
      <c r="L617" s="92"/>
      <c r="M617" s="92"/>
      <c r="N617" s="92"/>
      <c r="O617" s="92"/>
      <c r="P617" s="92"/>
      <c r="Q617" s="92"/>
      <c r="R617" s="92"/>
      <c r="S617" s="92"/>
      <c r="T617" s="92"/>
      <c r="U617" s="92"/>
      <c r="V617" s="92"/>
      <c r="W617" s="92"/>
    </row>
    <row r="618" spans="1:23" s="89" customFormat="1" x14ac:dyDescent="0.2">
      <c r="A618" s="91"/>
      <c r="B618" s="93"/>
      <c r="C618" s="92"/>
      <c r="D618" s="92"/>
      <c r="E618" s="92"/>
      <c r="F618" s="92"/>
      <c r="G618" s="92"/>
      <c r="H618" s="92"/>
      <c r="I618" s="92"/>
      <c r="J618" s="92"/>
      <c r="K618" s="92"/>
      <c r="L618" s="92"/>
      <c r="M618" s="92"/>
      <c r="N618" s="92"/>
      <c r="O618" s="92"/>
      <c r="P618" s="92"/>
      <c r="Q618" s="92"/>
      <c r="R618" s="92"/>
      <c r="S618" s="92"/>
      <c r="T618" s="92"/>
      <c r="U618" s="92"/>
      <c r="V618" s="92"/>
      <c r="W618" s="92"/>
    </row>
    <row r="619" spans="1:23" s="89" customFormat="1" x14ac:dyDescent="0.2">
      <c r="A619" s="91"/>
      <c r="B619" s="93"/>
      <c r="C619" s="92"/>
      <c r="D619" s="92"/>
      <c r="E619" s="92"/>
      <c r="F619" s="92"/>
      <c r="G619" s="92"/>
      <c r="H619" s="92"/>
      <c r="I619" s="92"/>
      <c r="J619" s="92"/>
      <c r="K619" s="92"/>
      <c r="L619" s="92"/>
      <c r="M619" s="92"/>
      <c r="N619" s="92"/>
      <c r="O619" s="92"/>
      <c r="P619" s="92"/>
      <c r="Q619" s="92"/>
      <c r="R619" s="92"/>
      <c r="S619" s="92"/>
      <c r="T619" s="92"/>
      <c r="U619" s="92"/>
      <c r="V619" s="92"/>
      <c r="W619" s="92"/>
    </row>
    <row r="620" spans="1:23" s="89" customFormat="1" x14ac:dyDescent="0.2">
      <c r="A620" s="91"/>
      <c r="B620" s="93"/>
      <c r="C620" s="92"/>
      <c r="D620" s="92"/>
      <c r="E620" s="92"/>
      <c r="F620" s="92"/>
      <c r="G620" s="92"/>
      <c r="H620" s="92"/>
      <c r="I620" s="92"/>
      <c r="J620" s="92"/>
      <c r="K620" s="92"/>
      <c r="L620" s="92"/>
      <c r="M620" s="92"/>
      <c r="N620" s="92"/>
      <c r="O620" s="92"/>
      <c r="P620" s="92"/>
      <c r="Q620" s="92"/>
      <c r="R620" s="92"/>
      <c r="S620" s="92"/>
      <c r="T620" s="92"/>
      <c r="U620" s="92"/>
      <c r="V620" s="92"/>
      <c r="W620" s="92"/>
    </row>
    <row r="621" spans="1:23" s="89" customFormat="1" x14ac:dyDescent="0.2">
      <c r="A621" s="91"/>
      <c r="B621" s="93"/>
      <c r="C621" s="92"/>
      <c r="D621" s="92"/>
      <c r="E621" s="92"/>
      <c r="F621" s="92"/>
      <c r="G621" s="92"/>
      <c r="H621" s="92"/>
      <c r="I621" s="92"/>
      <c r="J621" s="92"/>
      <c r="K621" s="92"/>
      <c r="L621" s="92"/>
      <c r="M621" s="92"/>
      <c r="N621" s="92"/>
      <c r="O621" s="92"/>
      <c r="P621" s="92"/>
      <c r="Q621" s="92"/>
      <c r="R621" s="92"/>
      <c r="S621" s="92"/>
      <c r="T621" s="92"/>
      <c r="U621" s="92"/>
      <c r="V621" s="92"/>
      <c r="W621" s="92"/>
    </row>
    <row r="622" spans="1:23" s="89" customFormat="1" x14ac:dyDescent="0.2">
      <c r="A622" s="91"/>
      <c r="B622" s="93"/>
      <c r="C622" s="92"/>
      <c r="D622" s="92"/>
      <c r="E622" s="92"/>
      <c r="F622" s="92"/>
      <c r="G622" s="92"/>
      <c r="H622" s="92"/>
      <c r="I622" s="92"/>
      <c r="J622" s="92"/>
      <c r="K622" s="92"/>
      <c r="L622" s="92"/>
      <c r="M622" s="92"/>
      <c r="N622" s="92"/>
      <c r="O622" s="92"/>
      <c r="P622" s="92"/>
      <c r="Q622" s="92"/>
      <c r="R622" s="92"/>
      <c r="S622" s="92"/>
      <c r="T622" s="92"/>
      <c r="U622" s="92"/>
      <c r="V622" s="92"/>
      <c r="W622" s="92"/>
    </row>
    <row r="623" spans="1:23" s="89" customFormat="1" x14ac:dyDescent="0.2">
      <c r="A623" s="91"/>
      <c r="B623" s="93"/>
      <c r="C623" s="92"/>
      <c r="D623" s="92"/>
      <c r="E623" s="92"/>
      <c r="F623" s="92"/>
      <c r="G623" s="92"/>
      <c r="H623" s="92"/>
      <c r="I623" s="92"/>
      <c r="J623" s="92"/>
      <c r="K623" s="92"/>
      <c r="L623" s="92"/>
      <c r="M623" s="92"/>
      <c r="N623" s="92"/>
      <c r="O623" s="92"/>
      <c r="P623" s="92"/>
      <c r="Q623" s="92"/>
      <c r="R623" s="92"/>
      <c r="S623" s="92"/>
      <c r="T623" s="92"/>
      <c r="U623" s="92"/>
      <c r="V623" s="92"/>
      <c r="W623" s="92"/>
    </row>
    <row r="624" spans="1:23" s="89" customFormat="1" x14ac:dyDescent="0.2">
      <c r="A624" s="91"/>
      <c r="B624" s="93"/>
      <c r="C624" s="92"/>
      <c r="D624" s="92"/>
      <c r="E624" s="92"/>
      <c r="F624" s="92"/>
      <c r="G624" s="92"/>
      <c r="H624" s="92"/>
      <c r="I624" s="92"/>
      <c r="J624" s="92"/>
      <c r="K624" s="92"/>
      <c r="L624" s="92"/>
      <c r="M624" s="92"/>
      <c r="N624" s="92"/>
      <c r="O624" s="92"/>
      <c r="P624" s="92"/>
      <c r="Q624" s="92"/>
      <c r="R624" s="92"/>
      <c r="S624" s="92"/>
      <c r="T624" s="92"/>
      <c r="U624" s="92"/>
      <c r="V624" s="92"/>
      <c r="W624" s="92"/>
    </row>
    <row r="625" spans="1:23" s="89" customFormat="1" x14ac:dyDescent="0.2">
      <c r="A625" s="91"/>
      <c r="B625" s="93"/>
      <c r="C625" s="92"/>
      <c r="D625" s="92"/>
      <c r="E625" s="92"/>
      <c r="F625" s="92"/>
      <c r="G625" s="92"/>
      <c r="H625" s="92"/>
      <c r="I625" s="92"/>
      <c r="J625" s="92"/>
      <c r="K625" s="92"/>
      <c r="L625" s="92"/>
      <c r="M625" s="92"/>
      <c r="N625" s="92"/>
      <c r="O625" s="92"/>
      <c r="P625" s="92"/>
      <c r="Q625" s="92"/>
      <c r="R625" s="92"/>
      <c r="S625" s="92"/>
      <c r="T625" s="92"/>
      <c r="U625" s="92"/>
      <c r="V625" s="92"/>
      <c r="W625" s="92"/>
    </row>
    <row r="626" spans="1:23" s="89" customFormat="1" x14ac:dyDescent="0.2">
      <c r="A626" s="91"/>
      <c r="B626" s="93"/>
      <c r="C626" s="92"/>
      <c r="D626" s="92"/>
      <c r="E626" s="92"/>
      <c r="F626" s="92"/>
      <c r="G626" s="92"/>
      <c r="H626" s="92"/>
      <c r="I626" s="92"/>
      <c r="J626" s="92"/>
      <c r="K626" s="92"/>
      <c r="L626" s="92"/>
      <c r="M626" s="92"/>
      <c r="N626" s="92"/>
      <c r="O626" s="92"/>
      <c r="P626" s="92"/>
      <c r="Q626" s="92"/>
      <c r="R626" s="92"/>
      <c r="S626" s="92"/>
      <c r="T626" s="92"/>
      <c r="U626" s="92"/>
      <c r="V626" s="92"/>
      <c r="W626" s="92"/>
    </row>
    <row r="627" spans="1:23" s="89" customFormat="1" x14ac:dyDescent="0.2">
      <c r="A627" s="91"/>
      <c r="B627" s="93"/>
      <c r="C627" s="92"/>
      <c r="D627" s="92"/>
      <c r="E627" s="92"/>
      <c r="F627" s="92"/>
      <c r="G627" s="92"/>
      <c r="H627" s="92"/>
      <c r="I627" s="92"/>
      <c r="J627" s="92"/>
      <c r="K627" s="92"/>
      <c r="L627" s="92"/>
      <c r="M627" s="92"/>
      <c r="N627" s="92"/>
      <c r="O627" s="92"/>
      <c r="P627" s="92"/>
      <c r="Q627" s="92"/>
      <c r="R627" s="92"/>
      <c r="S627" s="92"/>
      <c r="T627" s="92"/>
      <c r="U627" s="92"/>
      <c r="V627" s="92"/>
      <c r="W627" s="92"/>
    </row>
    <row r="628" spans="1:23" s="89" customFormat="1" x14ac:dyDescent="0.2">
      <c r="A628" s="91"/>
      <c r="B628" s="93"/>
      <c r="C628" s="92"/>
      <c r="D628" s="92"/>
      <c r="E628" s="92"/>
      <c r="F628" s="92"/>
      <c r="G628" s="92"/>
      <c r="H628" s="92"/>
      <c r="I628" s="92"/>
      <c r="J628" s="92"/>
      <c r="K628" s="92"/>
      <c r="L628" s="92"/>
      <c r="M628" s="92"/>
      <c r="N628" s="92"/>
      <c r="O628" s="92"/>
      <c r="P628" s="92"/>
      <c r="Q628" s="92"/>
      <c r="R628" s="92"/>
      <c r="S628" s="92"/>
      <c r="T628" s="92"/>
      <c r="U628" s="92"/>
      <c r="V628" s="92"/>
      <c r="W628" s="92"/>
    </row>
    <row r="629" spans="1:23" s="89" customFormat="1" x14ac:dyDescent="0.2">
      <c r="A629" s="91"/>
      <c r="B629" s="93"/>
      <c r="C629" s="92"/>
      <c r="D629" s="92"/>
      <c r="E629" s="92"/>
      <c r="F629" s="92"/>
      <c r="G629" s="92"/>
      <c r="H629" s="92"/>
      <c r="I629" s="92"/>
      <c r="J629" s="92"/>
      <c r="K629" s="92"/>
      <c r="L629" s="92"/>
      <c r="M629" s="92"/>
      <c r="N629" s="92"/>
      <c r="O629" s="92"/>
      <c r="P629" s="92"/>
      <c r="Q629" s="92"/>
      <c r="R629" s="92"/>
      <c r="S629" s="92"/>
      <c r="T629" s="92"/>
      <c r="U629" s="92"/>
      <c r="V629" s="92"/>
      <c r="W629" s="92"/>
    </row>
    <row r="630" spans="1:23" s="89" customFormat="1" x14ac:dyDescent="0.2">
      <c r="A630" s="91"/>
      <c r="B630" s="93"/>
      <c r="C630" s="92"/>
      <c r="D630" s="92"/>
      <c r="E630" s="92"/>
      <c r="F630" s="92"/>
      <c r="G630" s="92"/>
      <c r="H630" s="92"/>
      <c r="I630" s="92"/>
      <c r="J630" s="92"/>
      <c r="K630" s="92"/>
      <c r="L630" s="92"/>
      <c r="M630" s="92"/>
      <c r="N630" s="92"/>
      <c r="O630" s="92"/>
      <c r="P630" s="92"/>
      <c r="Q630" s="92"/>
      <c r="R630" s="92"/>
      <c r="S630" s="92"/>
      <c r="T630" s="92"/>
      <c r="U630" s="92"/>
      <c r="V630" s="92"/>
      <c r="W630" s="92"/>
    </row>
    <row r="631" spans="1:23" s="89" customFormat="1" x14ac:dyDescent="0.2">
      <c r="A631" s="91"/>
      <c r="B631" s="93"/>
      <c r="C631" s="92"/>
      <c r="D631" s="92"/>
      <c r="E631" s="92"/>
      <c r="F631" s="92"/>
      <c r="G631" s="92"/>
      <c r="H631" s="92"/>
      <c r="I631" s="92"/>
      <c r="J631" s="92"/>
      <c r="K631" s="92"/>
      <c r="L631" s="92"/>
      <c r="M631" s="92"/>
      <c r="N631" s="92"/>
      <c r="O631" s="92"/>
      <c r="P631" s="92"/>
      <c r="Q631" s="92"/>
      <c r="R631" s="92"/>
      <c r="S631" s="92"/>
      <c r="T631" s="92"/>
      <c r="U631" s="92"/>
      <c r="V631" s="92"/>
      <c r="W631" s="92"/>
    </row>
    <row r="632" spans="1:23" s="89" customFormat="1" x14ac:dyDescent="0.2">
      <c r="A632" s="91"/>
      <c r="B632" s="93"/>
      <c r="C632" s="92"/>
      <c r="D632" s="92"/>
      <c r="E632" s="92"/>
      <c r="F632" s="92"/>
      <c r="G632" s="92"/>
      <c r="H632" s="92"/>
      <c r="I632" s="92"/>
      <c r="J632" s="92"/>
      <c r="K632" s="92"/>
      <c r="L632" s="92"/>
      <c r="M632" s="92"/>
      <c r="N632" s="92"/>
      <c r="O632" s="92"/>
      <c r="P632" s="92"/>
      <c r="Q632" s="92"/>
      <c r="R632" s="92"/>
      <c r="S632" s="92"/>
      <c r="T632" s="92"/>
      <c r="U632" s="92"/>
      <c r="V632" s="92"/>
      <c r="W632" s="92"/>
    </row>
    <row r="633" spans="1:23" s="89" customFormat="1" x14ac:dyDescent="0.2">
      <c r="A633" s="91"/>
      <c r="B633" s="93"/>
      <c r="C633" s="92"/>
      <c r="D633" s="92"/>
      <c r="E633" s="92"/>
      <c r="F633" s="92"/>
      <c r="G633" s="92"/>
      <c r="H633" s="92"/>
      <c r="I633" s="92"/>
      <c r="J633" s="92"/>
      <c r="K633" s="92"/>
      <c r="L633" s="92"/>
      <c r="M633" s="92"/>
      <c r="N633" s="92"/>
      <c r="O633" s="92"/>
      <c r="P633" s="92"/>
      <c r="Q633" s="92"/>
      <c r="R633" s="92"/>
      <c r="S633" s="92"/>
      <c r="T633" s="92"/>
      <c r="U633" s="92"/>
      <c r="V633" s="92"/>
      <c r="W633" s="92"/>
    </row>
    <row r="634" spans="1:23" s="89" customFormat="1" x14ac:dyDescent="0.2">
      <c r="A634" s="91"/>
      <c r="B634" s="93"/>
      <c r="C634" s="92"/>
      <c r="D634" s="92"/>
      <c r="E634" s="92"/>
      <c r="F634" s="92"/>
      <c r="G634" s="92"/>
      <c r="H634" s="92"/>
      <c r="I634" s="92"/>
      <c r="J634" s="92"/>
      <c r="K634" s="92"/>
      <c r="L634" s="92"/>
      <c r="M634" s="92"/>
      <c r="N634" s="92"/>
      <c r="O634" s="92"/>
      <c r="P634" s="92"/>
      <c r="Q634" s="92"/>
      <c r="R634" s="92"/>
      <c r="S634" s="92"/>
      <c r="T634" s="92"/>
      <c r="U634" s="92"/>
      <c r="V634" s="92"/>
      <c r="W634" s="92"/>
    </row>
    <row r="635" spans="1:23" s="89" customFormat="1" x14ac:dyDescent="0.2">
      <c r="A635" s="91"/>
      <c r="B635" s="93"/>
      <c r="C635" s="92"/>
      <c r="D635" s="92"/>
      <c r="E635" s="92"/>
      <c r="F635" s="92"/>
      <c r="G635" s="92"/>
      <c r="H635" s="92"/>
      <c r="I635" s="92"/>
      <c r="J635" s="92"/>
      <c r="K635" s="92"/>
      <c r="L635" s="92"/>
      <c r="M635" s="92"/>
      <c r="N635" s="92"/>
      <c r="O635" s="92"/>
      <c r="P635" s="92"/>
      <c r="Q635" s="92"/>
      <c r="R635" s="92"/>
      <c r="S635" s="92"/>
      <c r="T635" s="92"/>
      <c r="U635" s="92"/>
      <c r="V635" s="92"/>
      <c r="W635" s="92"/>
    </row>
    <row r="636" spans="1:23" s="89" customFormat="1" x14ac:dyDescent="0.2">
      <c r="A636" s="91"/>
      <c r="B636" s="93"/>
      <c r="C636" s="92"/>
      <c r="D636" s="92"/>
      <c r="E636" s="92"/>
      <c r="F636" s="92"/>
      <c r="G636" s="92"/>
      <c r="H636" s="92"/>
      <c r="I636" s="92"/>
      <c r="J636" s="92"/>
      <c r="K636" s="92"/>
      <c r="L636" s="92"/>
      <c r="M636" s="92"/>
      <c r="N636" s="92"/>
      <c r="O636" s="92"/>
      <c r="P636" s="92"/>
      <c r="Q636" s="92"/>
      <c r="R636" s="92"/>
      <c r="S636" s="92"/>
      <c r="T636" s="92"/>
      <c r="U636" s="92"/>
      <c r="V636" s="92"/>
      <c r="W636" s="92"/>
    </row>
    <row r="637" spans="1:23" s="89" customFormat="1" x14ac:dyDescent="0.2">
      <c r="A637" s="91"/>
      <c r="B637" s="93"/>
      <c r="C637" s="92"/>
      <c r="D637" s="92"/>
      <c r="E637" s="92"/>
      <c r="F637" s="92"/>
      <c r="G637" s="92"/>
      <c r="H637" s="92"/>
      <c r="I637" s="92"/>
      <c r="J637" s="92"/>
      <c r="K637" s="92"/>
      <c r="L637" s="92"/>
      <c r="M637" s="92"/>
      <c r="N637" s="92"/>
      <c r="O637" s="92"/>
      <c r="P637" s="92"/>
      <c r="Q637" s="92"/>
      <c r="R637" s="92"/>
      <c r="S637" s="92"/>
      <c r="T637" s="92"/>
      <c r="U637" s="92"/>
      <c r="V637" s="92"/>
      <c r="W637" s="92"/>
    </row>
    <row r="638" spans="1:23" s="89" customFormat="1" x14ac:dyDescent="0.2">
      <c r="A638" s="91"/>
      <c r="B638" s="93"/>
      <c r="C638" s="92"/>
      <c r="D638" s="92"/>
      <c r="E638" s="92"/>
      <c r="F638" s="92"/>
      <c r="G638" s="92"/>
      <c r="H638" s="92"/>
      <c r="I638" s="92"/>
      <c r="J638" s="92"/>
      <c r="K638" s="92"/>
      <c r="L638" s="92"/>
      <c r="M638" s="92"/>
      <c r="N638" s="92"/>
      <c r="O638" s="92"/>
      <c r="P638" s="92"/>
      <c r="Q638" s="92"/>
      <c r="R638" s="92"/>
      <c r="S638" s="92"/>
      <c r="T638" s="92"/>
      <c r="U638" s="92"/>
      <c r="V638" s="92"/>
      <c r="W638" s="92"/>
    </row>
    <row r="639" spans="1:23" s="89" customFormat="1" x14ac:dyDescent="0.2">
      <c r="A639" s="91"/>
      <c r="B639" s="93"/>
      <c r="C639" s="92"/>
      <c r="D639" s="92"/>
      <c r="E639" s="92"/>
      <c r="F639" s="92"/>
      <c r="G639" s="92"/>
      <c r="H639" s="92"/>
      <c r="I639" s="92"/>
      <c r="J639" s="92"/>
      <c r="K639" s="92"/>
      <c r="L639" s="92"/>
      <c r="M639" s="92"/>
      <c r="N639" s="92"/>
      <c r="O639" s="92"/>
      <c r="P639" s="92"/>
      <c r="Q639" s="92"/>
      <c r="R639" s="92"/>
      <c r="S639" s="92"/>
      <c r="T639" s="92"/>
      <c r="U639" s="92"/>
      <c r="V639" s="92"/>
      <c r="W639" s="92"/>
    </row>
    <row r="640" spans="1:23" s="89" customFormat="1" x14ac:dyDescent="0.2">
      <c r="A640" s="91"/>
      <c r="B640" s="93"/>
      <c r="C640" s="92"/>
      <c r="D640" s="92"/>
      <c r="E640" s="92"/>
      <c r="F640" s="92"/>
      <c r="G640" s="92"/>
      <c r="H640" s="92"/>
      <c r="I640" s="92"/>
      <c r="J640" s="92"/>
      <c r="K640" s="92"/>
      <c r="L640" s="92"/>
      <c r="M640" s="92"/>
      <c r="N640" s="92"/>
      <c r="O640" s="92"/>
      <c r="P640" s="92"/>
      <c r="Q640" s="92"/>
      <c r="R640" s="92"/>
      <c r="S640" s="92"/>
      <c r="T640" s="92"/>
      <c r="U640" s="92"/>
      <c r="V640" s="92"/>
      <c r="W640" s="92"/>
    </row>
    <row r="641" spans="1:23" s="89" customFormat="1" x14ac:dyDescent="0.2">
      <c r="A641" s="91"/>
      <c r="B641" s="93"/>
      <c r="C641" s="92"/>
      <c r="D641" s="92"/>
      <c r="E641" s="92"/>
      <c r="F641" s="92"/>
      <c r="G641" s="92"/>
      <c r="H641" s="92"/>
      <c r="I641" s="92"/>
      <c r="J641" s="92"/>
      <c r="K641" s="92"/>
      <c r="L641" s="92"/>
      <c r="M641" s="92"/>
      <c r="N641" s="92"/>
      <c r="O641" s="92"/>
      <c r="P641" s="92"/>
      <c r="Q641" s="92"/>
      <c r="R641" s="92"/>
      <c r="S641" s="92"/>
      <c r="T641" s="92"/>
      <c r="U641" s="92"/>
      <c r="V641" s="92"/>
      <c r="W641" s="92"/>
    </row>
    <row r="642" spans="1:23" s="89" customFormat="1" x14ac:dyDescent="0.2">
      <c r="A642" s="91"/>
      <c r="B642" s="93"/>
      <c r="C642" s="92"/>
      <c r="D642" s="92"/>
      <c r="E642" s="92"/>
      <c r="F642" s="92"/>
      <c r="G642" s="92"/>
      <c r="H642" s="92"/>
      <c r="I642" s="92"/>
      <c r="J642" s="92"/>
      <c r="K642" s="92"/>
      <c r="L642" s="92"/>
      <c r="M642" s="92"/>
      <c r="N642" s="92"/>
      <c r="O642" s="92"/>
      <c r="P642" s="92"/>
      <c r="Q642" s="92"/>
      <c r="R642" s="92"/>
      <c r="S642" s="92"/>
      <c r="T642" s="92"/>
      <c r="U642" s="92"/>
      <c r="V642" s="92"/>
      <c r="W642" s="92"/>
    </row>
    <row r="643" spans="1:23" s="89" customFormat="1" x14ac:dyDescent="0.2">
      <c r="A643" s="91"/>
      <c r="B643" s="93"/>
      <c r="C643" s="92"/>
      <c r="D643" s="92"/>
      <c r="E643" s="92"/>
      <c r="F643" s="92"/>
      <c r="G643" s="92"/>
      <c r="H643" s="92"/>
      <c r="I643" s="92"/>
      <c r="J643" s="92"/>
      <c r="K643" s="92"/>
      <c r="L643" s="92"/>
      <c r="M643" s="92"/>
      <c r="N643" s="92"/>
      <c r="O643" s="92"/>
      <c r="P643" s="92"/>
      <c r="Q643" s="92"/>
      <c r="R643" s="92"/>
      <c r="S643" s="92"/>
      <c r="T643" s="92"/>
      <c r="U643" s="92"/>
      <c r="V643" s="92"/>
      <c r="W643" s="92"/>
    </row>
    <row r="644" spans="1:23" s="89" customFormat="1" x14ac:dyDescent="0.2">
      <c r="A644" s="91"/>
      <c r="B644" s="93"/>
      <c r="C644" s="92"/>
      <c r="D644" s="92"/>
      <c r="E644" s="92"/>
      <c r="F644" s="92"/>
      <c r="G644" s="92"/>
      <c r="H644" s="92"/>
      <c r="I644" s="92"/>
      <c r="J644" s="92"/>
      <c r="K644" s="92"/>
      <c r="L644" s="92"/>
      <c r="M644" s="92"/>
      <c r="N644" s="92"/>
      <c r="O644" s="92"/>
      <c r="P644" s="92"/>
      <c r="Q644" s="92"/>
      <c r="R644" s="92"/>
      <c r="S644" s="92"/>
      <c r="T644" s="92"/>
      <c r="U644" s="92"/>
      <c r="V644" s="92"/>
      <c r="W644" s="92"/>
    </row>
    <row r="645" spans="1:23" s="89" customFormat="1" x14ac:dyDescent="0.2">
      <c r="A645" s="91"/>
      <c r="B645" s="93"/>
      <c r="C645" s="92"/>
      <c r="D645" s="92"/>
      <c r="E645" s="92"/>
      <c r="F645" s="92"/>
      <c r="G645" s="92"/>
      <c r="H645" s="92"/>
      <c r="I645" s="92"/>
      <c r="J645" s="92"/>
      <c r="K645" s="92"/>
      <c r="L645" s="92"/>
      <c r="M645" s="92"/>
      <c r="N645" s="92"/>
      <c r="O645" s="92"/>
      <c r="P645" s="92"/>
      <c r="Q645" s="92"/>
      <c r="R645" s="92"/>
      <c r="S645" s="92"/>
      <c r="T645" s="92"/>
      <c r="U645" s="92"/>
      <c r="V645" s="92"/>
      <c r="W645" s="92"/>
    </row>
    <row r="646" spans="1:23" s="89" customFormat="1" x14ac:dyDescent="0.2">
      <c r="A646" s="91"/>
      <c r="B646" s="93"/>
      <c r="C646" s="92"/>
      <c r="D646" s="92"/>
      <c r="E646" s="92"/>
      <c r="F646" s="92"/>
      <c r="G646" s="92"/>
      <c r="H646" s="92"/>
      <c r="I646" s="92"/>
      <c r="J646" s="92"/>
      <c r="K646" s="92"/>
      <c r="L646" s="92"/>
      <c r="M646" s="92"/>
      <c r="N646" s="92"/>
      <c r="O646" s="92"/>
      <c r="P646" s="92"/>
      <c r="Q646" s="92"/>
      <c r="R646" s="92"/>
      <c r="S646" s="92"/>
      <c r="T646" s="92"/>
      <c r="U646" s="92"/>
      <c r="V646" s="92"/>
      <c r="W646" s="92"/>
    </row>
    <row r="647" spans="1:23" s="89" customFormat="1" x14ac:dyDescent="0.2">
      <c r="A647" s="91"/>
      <c r="B647" s="93"/>
      <c r="C647" s="92"/>
      <c r="D647" s="92"/>
      <c r="E647" s="92"/>
      <c r="F647" s="92"/>
      <c r="G647" s="92"/>
      <c r="H647" s="92"/>
      <c r="I647" s="92"/>
      <c r="J647" s="92"/>
      <c r="K647" s="92"/>
      <c r="L647" s="92"/>
      <c r="M647" s="92"/>
      <c r="N647" s="92"/>
      <c r="O647" s="92"/>
      <c r="P647" s="92"/>
      <c r="Q647" s="92"/>
      <c r="R647" s="92"/>
      <c r="S647" s="92"/>
      <c r="T647" s="92"/>
      <c r="U647" s="92"/>
      <c r="V647" s="92"/>
      <c r="W647" s="92"/>
    </row>
    <row r="648" spans="1:23" s="89" customFormat="1" x14ac:dyDescent="0.2">
      <c r="A648" s="91"/>
      <c r="B648" s="93"/>
      <c r="C648" s="92"/>
      <c r="D648" s="92"/>
      <c r="E648" s="92"/>
      <c r="F648" s="92"/>
      <c r="G648" s="92"/>
      <c r="H648" s="92"/>
      <c r="I648" s="92"/>
      <c r="J648" s="92"/>
      <c r="K648" s="92"/>
      <c r="L648" s="92"/>
      <c r="M648" s="92"/>
      <c r="N648" s="92"/>
      <c r="O648" s="92"/>
      <c r="P648" s="92"/>
      <c r="Q648" s="92"/>
      <c r="R648" s="92"/>
      <c r="S648" s="92"/>
      <c r="T648" s="92"/>
      <c r="U648" s="92"/>
      <c r="V648" s="92"/>
      <c r="W648" s="92"/>
    </row>
    <row r="649" spans="1:23" s="89" customFormat="1" x14ac:dyDescent="0.2">
      <c r="A649" s="91"/>
      <c r="B649" s="93"/>
      <c r="C649" s="92"/>
      <c r="D649" s="92"/>
      <c r="E649" s="92"/>
      <c r="F649" s="92"/>
      <c r="G649" s="92"/>
      <c r="H649" s="92"/>
      <c r="I649" s="92"/>
      <c r="J649" s="92"/>
      <c r="K649" s="92"/>
      <c r="L649" s="92"/>
      <c r="M649" s="92"/>
      <c r="N649" s="92"/>
      <c r="O649" s="92"/>
      <c r="P649" s="92"/>
      <c r="Q649" s="92"/>
      <c r="R649" s="92"/>
      <c r="S649" s="92"/>
      <c r="T649" s="92"/>
      <c r="U649" s="92"/>
      <c r="V649" s="92"/>
      <c r="W649" s="92"/>
    </row>
    <row r="650" spans="1:23" s="89" customFormat="1" x14ac:dyDescent="0.2">
      <c r="A650" s="91"/>
      <c r="B650" s="93"/>
      <c r="C650" s="92"/>
      <c r="D650" s="92"/>
      <c r="E650" s="92"/>
      <c r="F650" s="92"/>
      <c r="G650" s="92"/>
      <c r="H650" s="92"/>
      <c r="I650" s="92"/>
      <c r="J650" s="92"/>
      <c r="K650" s="92"/>
      <c r="L650" s="92"/>
      <c r="M650" s="92"/>
      <c r="N650" s="92"/>
      <c r="O650" s="92"/>
      <c r="P650" s="92"/>
      <c r="Q650" s="92"/>
      <c r="R650" s="92"/>
      <c r="S650" s="92"/>
      <c r="T650" s="92"/>
      <c r="U650" s="92"/>
      <c r="V650" s="92"/>
      <c r="W650" s="92"/>
    </row>
    <row r="651" spans="1:23" s="89" customFormat="1" x14ac:dyDescent="0.2">
      <c r="A651" s="91"/>
      <c r="B651" s="93"/>
      <c r="C651" s="92"/>
      <c r="D651" s="92"/>
      <c r="E651" s="92"/>
      <c r="F651" s="92"/>
      <c r="G651" s="92"/>
      <c r="H651" s="92"/>
      <c r="I651" s="92"/>
      <c r="J651" s="92"/>
      <c r="K651" s="92"/>
      <c r="L651" s="92"/>
      <c r="M651" s="92"/>
      <c r="N651" s="92"/>
      <c r="O651" s="92"/>
      <c r="P651" s="92"/>
      <c r="Q651" s="92"/>
      <c r="R651" s="92"/>
      <c r="S651" s="92"/>
      <c r="T651" s="92"/>
      <c r="U651" s="92"/>
      <c r="V651" s="92"/>
      <c r="W651" s="92"/>
    </row>
    <row r="652" spans="1:23" s="89" customFormat="1" x14ac:dyDescent="0.2">
      <c r="A652" s="91"/>
      <c r="B652" s="93"/>
      <c r="C652" s="92"/>
      <c r="D652" s="92"/>
      <c r="E652" s="92"/>
      <c r="F652" s="92"/>
      <c r="G652" s="92"/>
      <c r="H652" s="92"/>
      <c r="I652" s="92"/>
      <c r="J652" s="92"/>
      <c r="K652" s="92"/>
      <c r="L652" s="92"/>
      <c r="M652" s="92"/>
      <c r="N652" s="92"/>
      <c r="O652" s="92"/>
      <c r="P652" s="92"/>
      <c r="Q652" s="92"/>
      <c r="R652" s="92"/>
      <c r="S652" s="92"/>
      <c r="T652" s="92"/>
      <c r="U652" s="92"/>
      <c r="V652" s="92"/>
      <c r="W652" s="92"/>
    </row>
    <row r="653" spans="1:23" s="89" customFormat="1" x14ac:dyDescent="0.2">
      <c r="A653" s="91"/>
      <c r="B653" s="93"/>
      <c r="C653" s="92"/>
      <c r="D653" s="92"/>
      <c r="E653" s="92"/>
      <c r="F653" s="92"/>
      <c r="G653" s="92"/>
      <c r="H653" s="92"/>
      <c r="I653" s="92"/>
      <c r="J653" s="92"/>
      <c r="K653" s="92"/>
      <c r="L653" s="92"/>
      <c r="M653" s="92"/>
      <c r="N653" s="92"/>
      <c r="O653" s="92"/>
      <c r="P653" s="92"/>
      <c r="Q653" s="92"/>
      <c r="R653" s="92"/>
      <c r="S653" s="92"/>
      <c r="T653" s="92"/>
      <c r="U653" s="92"/>
      <c r="V653" s="92"/>
      <c r="W653" s="92"/>
    </row>
    <row r="654" spans="1:23" s="89" customFormat="1" x14ac:dyDescent="0.2">
      <c r="A654" s="91"/>
      <c r="B654" s="93"/>
      <c r="C654" s="92"/>
      <c r="D654" s="92"/>
      <c r="E654" s="92"/>
      <c r="F654" s="92"/>
      <c r="G654" s="92"/>
      <c r="H654" s="92"/>
      <c r="I654" s="92"/>
      <c r="J654" s="92"/>
      <c r="K654" s="92"/>
      <c r="L654" s="92"/>
      <c r="M654" s="92"/>
      <c r="N654" s="92"/>
      <c r="O654" s="92"/>
      <c r="P654" s="92"/>
      <c r="Q654" s="92"/>
      <c r="R654" s="92"/>
      <c r="S654" s="92"/>
      <c r="T654" s="92"/>
      <c r="U654" s="92"/>
      <c r="V654" s="92"/>
      <c r="W654" s="92"/>
    </row>
    <row r="655" spans="1:23" s="89" customFormat="1" x14ac:dyDescent="0.2">
      <c r="A655" s="91"/>
      <c r="B655" s="93"/>
      <c r="C655" s="92"/>
      <c r="D655" s="92"/>
      <c r="E655" s="92"/>
      <c r="F655" s="92"/>
      <c r="G655" s="92"/>
      <c r="H655" s="92"/>
      <c r="I655" s="92"/>
      <c r="J655" s="92"/>
      <c r="K655" s="92"/>
      <c r="L655" s="92"/>
      <c r="M655" s="92"/>
      <c r="N655" s="92"/>
      <c r="O655" s="92"/>
      <c r="P655" s="92"/>
      <c r="Q655" s="92"/>
      <c r="R655" s="92"/>
      <c r="S655" s="92"/>
      <c r="T655" s="92"/>
      <c r="U655" s="92"/>
      <c r="V655" s="92"/>
      <c r="W655" s="92"/>
    </row>
    <row r="656" spans="1:23" s="89" customFormat="1" x14ac:dyDescent="0.2">
      <c r="A656" s="91"/>
      <c r="B656" s="93"/>
      <c r="C656" s="92"/>
      <c r="D656" s="92"/>
      <c r="E656" s="92"/>
      <c r="F656" s="92"/>
      <c r="G656" s="92"/>
      <c r="H656" s="92"/>
      <c r="I656" s="92"/>
      <c r="J656" s="92"/>
      <c r="K656" s="92"/>
      <c r="L656" s="92"/>
      <c r="M656" s="92"/>
      <c r="N656" s="92"/>
      <c r="O656" s="92"/>
      <c r="P656" s="92"/>
      <c r="Q656" s="92"/>
      <c r="R656" s="92"/>
      <c r="S656" s="92"/>
      <c r="T656" s="92"/>
      <c r="U656" s="92"/>
      <c r="V656" s="92"/>
      <c r="W656" s="92"/>
    </row>
    <row r="657" spans="1:23" s="89" customFormat="1" x14ac:dyDescent="0.2">
      <c r="A657" s="91"/>
      <c r="B657" s="93"/>
      <c r="C657" s="92"/>
      <c r="D657" s="92"/>
      <c r="E657" s="92"/>
      <c r="F657" s="92"/>
      <c r="G657" s="92"/>
      <c r="H657" s="92"/>
      <c r="I657" s="92"/>
      <c r="J657" s="92"/>
      <c r="K657" s="92"/>
      <c r="L657" s="92"/>
      <c r="M657" s="92"/>
      <c r="N657" s="92"/>
      <c r="O657" s="92"/>
      <c r="P657" s="92"/>
      <c r="Q657" s="92"/>
      <c r="R657" s="92"/>
      <c r="S657" s="92"/>
      <c r="T657" s="92"/>
      <c r="U657" s="92"/>
      <c r="V657" s="92"/>
      <c r="W657" s="92"/>
    </row>
    <row r="658" spans="1:23" s="89" customFormat="1" x14ac:dyDescent="0.2">
      <c r="A658" s="91"/>
      <c r="B658" s="93"/>
      <c r="C658" s="92"/>
      <c r="D658" s="92"/>
      <c r="E658" s="92"/>
      <c r="F658" s="92"/>
      <c r="G658" s="92"/>
      <c r="H658" s="92"/>
      <c r="I658" s="92"/>
      <c r="J658" s="92"/>
      <c r="K658" s="92"/>
      <c r="L658" s="92"/>
      <c r="M658" s="92"/>
      <c r="N658" s="92"/>
      <c r="O658" s="92"/>
      <c r="P658" s="92"/>
      <c r="Q658" s="92"/>
      <c r="R658" s="92"/>
      <c r="S658" s="92"/>
      <c r="T658" s="92"/>
      <c r="U658" s="92"/>
      <c r="V658" s="92"/>
      <c r="W658" s="92"/>
    </row>
    <row r="659" spans="1:23" s="89" customFormat="1" x14ac:dyDescent="0.2">
      <c r="A659" s="91"/>
      <c r="B659" s="93"/>
      <c r="C659" s="92"/>
      <c r="D659" s="92"/>
      <c r="E659" s="92"/>
      <c r="F659" s="92"/>
      <c r="G659" s="92"/>
      <c r="H659" s="92"/>
      <c r="I659" s="92"/>
      <c r="J659" s="92"/>
      <c r="K659" s="92"/>
      <c r="L659" s="92"/>
      <c r="M659" s="92"/>
      <c r="N659" s="92"/>
      <c r="O659" s="92"/>
      <c r="P659" s="92"/>
      <c r="Q659" s="92"/>
      <c r="R659" s="92"/>
      <c r="S659" s="92"/>
      <c r="T659" s="92"/>
      <c r="U659" s="92"/>
      <c r="V659" s="92"/>
      <c r="W659" s="92"/>
    </row>
    <row r="660" spans="1:23" s="89" customFormat="1" x14ac:dyDescent="0.2">
      <c r="A660" s="91"/>
      <c r="B660" s="93"/>
      <c r="C660" s="92"/>
      <c r="D660" s="92"/>
      <c r="E660" s="92"/>
      <c r="F660" s="92"/>
      <c r="G660" s="92"/>
      <c r="H660" s="92"/>
      <c r="I660" s="92"/>
      <c r="J660" s="92"/>
      <c r="K660" s="92"/>
      <c r="L660" s="92"/>
      <c r="M660" s="92"/>
      <c r="N660" s="92"/>
      <c r="O660" s="92"/>
      <c r="P660" s="92"/>
      <c r="Q660" s="92"/>
      <c r="R660" s="92"/>
      <c r="S660" s="92"/>
      <c r="T660" s="92"/>
      <c r="U660" s="92"/>
      <c r="V660" s="92"/>
      <c r="W660" s="92"/>
    </row>
    <row r="661" spans="1:23" s="89" customFormat="1" x14ac:dyDescent="0.2">
      <c r="A661" s="91"/>
      <c r="B661" s="93"/>
      <c r="C661" s="92"/>
      <c r="D661" s="92"/>
      <c r="E661" s="92"/>
      <c r="F661" s="92"/>
      <c r="G661" s="92"/>
      <c r="H661" s="92"/>
      <c r="I661" s="92"/>
      <c r="J661" s="92"/>
      <c r="K661" s="92"/>
      <c r="L661" s="92"/>
      <c r="M661" s="92"/>
      <c r="N661" s="92"/>
      <c r="O661" s="92"/>
      <c r="P661" s="92"/>
      <c r="Q661" s="92"/>
      <c r="R661" s="92"/>
      <c r="S661" s="92"/>
      <c r="T661" s="92"/>
      <c r="U661" s="92"/>
      <c r="V661" s="92"/>
      <c r="W661" s="92"/>
    </row>
    <row r="662" spans="1:23" s="89" customFormat="1" x14ac:dyDescent="0.2">
      <c r="A662" s="91"/>
      <c r="B662" s="93"/>
      <c r="C662" s="92"/>
      <c r="D662" s="92"/>
      <c r="E662" s="92"/>
      <c r="F662" s="92"/>
      <c r="G662" s="92"/>
      <c r="H662" s="92"/>
      <c r="I662" s="92"/>
      <c r="J662" s="92"/>
      <c r="K662" s="92"/>
      <c r="L662" s="92"/>
      <c r="M662" s="92"/>
      <c r="N662" s="92"/>
      <c r="O662" s="92"/>
      <c r="P662" s="92"/>
      <c r="Q662" s="92"/>
      <c r="R662" s="92"/>
      <c r="S662" s="92"/>
      <c r="T662" s="92"/>
      <c r="U662" s="92"/>
      <c r="V662" s="92"/>
      <c r="W662" s="92"/>
    </row>
    <row r="663" spans="1:23" s="89" customFormat="1" x14ac:dyDescent="0.2">
      <c r="A663" s="91"/>
      <c r="B663" s="93"/>
      <c r="C663" s="92"/>
      <c r="D663" s="92"/>
      <c r="E663" s="92"/>
      <c r="F663" s="92"/>
      <c r="G663" s="92"/>
      <c r="H663" s="92"/>
      <c r="I663" s="92"/>
      <c r="J663" s="92"/>
      <c r="K663" s="92"/>
      <c r="L663" s="92"/>
      <c r="M663" s="92"/>
      <c r="N663" s="92"/>
      <c r="O663" s="92"/>
      <c r="P663" s="92"/>
      <c r="Q663" s="92"/>
      <c r="R663" s="92"/>
      <c r="S663" s="92"/>
      <c r="T663" s="92"/>
      <c r="U663" s="92"/>
      <c r="V663" s="92"/>
      <c r="W663" s="92"/>
    </row>
    <row r="664" spans="1:23" s="89" customFormat="1" x14ac:dyDescent="0.2">
      <c r="A664" s="91"/>
      <c r="B664" s="93"/>
      <c r="C664" s="92"/>
      <c r="D664" s="92"/>
      <c r="E664" s="92"/>
      <c r="F664" s="92"/>
      <c r="G664" s="92"/>
      <c r="H664" s="92"/>
      <c r="I664" s="92"/>
      <c r="J664" s="92"/>
      <c r="K664" s="92"/>
      <c r="L664" s="92"/>
      <c r="M664" s="92"/>
      <c r="N664" s="92"/>
      <c r="O664" s="92"/>
      <c r="P664" s="92"/>
      <c r="Q664" s="92"/>
      <c r="R664" s="92"/>
      <c r="S664" s="92"/>
      <c r="T664" s="92"/>
      <c r="U664" s="92"/>
      <c r="V664" s="92"/>
      <c r="W664" s="92"/>
    </row>
    <row r="665" spans="1:23" s="89" customFormat="1" x14ac:dyDescent="0.2">
      <c r="A665" s="91"/>
      <c r="B665" s="93"/>
      <c r="C665" s="92"/>
      <c r="D665" s="92"/>
      <c r="E665" s="92"/>
      <c r="F665" s="92"/>
      <c r="G665" s="92"/>
      <c r="H665" s="92"/>
      <c r="I665" s="92"/>
      <c r="J665" s="92"/>
      <c r="K665" s="92"/>
      <c r="L665" s="92"/>
      <c r="M665" s="92"/>
      <c r="N665" s="92"/>
      <c r="O665" s="92"/>
      <c r="P665" s="92"/>
      <c r="Q665" s="92"/>
      <c r="R665" s="92"/>
      <c r="S665" s="92"/>
      <c r="T665" s="92"/>
      <c r="U665" s="92"/>
      <c r="V665" s="92"/>
      <c r="W665" s="92"/>
    </row>
    <row r="666" spans="1:23" s="89" customFormat="1" x14ac:dyDescent="0.2">
      <c r="A666" s="91"/>
      <c r="B666" s="93"/>
      <c r="C666" s="92"/>
      <c r="D666" s="92"/>
      <c r="E666" s="92"/>
      <c r="F666" s="92"/>
      <c r="G666" s="92"/>
      <c r="H666" s="92"/>
      <c r="I666" s="92"/>
      <c r="J666" s="92"/>
      <c r="K666" s="92"/>
      <c r="L666" s="92"/>
      <c r="M666" s="92"/>
      <c r="N666" s="92"/>
      <c r="O666" s="92"/>
      <c r="P666" s="92"/>
      <c r="Q666" s="92"/>
      <c r="R666" s="92"/>
      <c r="S666" s="92"/>
      <c r="T666" s="92"/>
      <c r="U666" s="92"/>
      <c r="V666" s="92"/>
      <c r="W666" s="92"/>
    </row>
    <row r="667" spans="1:23" s="89" customFormat="1" x14ac:dyDescent="0.2">
      <c r="A667" s="91"/>
      <c r="B667" s="93"/>
      <c r="C667" s="92"/>
      <c r="D667" s="92"/>
      <c r="E667" s="92"/>
      <c r="F667" s="92"/>
      <c r="G667" s="92"/>
      <c r="H667" s="92"/>
      <c r="I667" s="92"/>
      <c r="J667" s="92"/>
      <c r="K667" s="92"/>
      <c r="L667" s="92"/>
      <c r="M667" s="92"/>
      <c r="N667" s="92"/>
      <c r="O667" s="92"/>
      <c r="P667" s="92"/>
      <c r="Q667" s="92"/>
      <c r="R667" s="92"/>
      <c r="S667" s="92"/>
      <c r="T667" s="92"/>
      <c r="U667" s="92"/>
      <c r="V667" s="92"/>
      <c r="W667" s="92"/>
    </row>
    <row r="668" spans="1:23" s="89" customFormat="1" x14ac:dyDescent="0.2">
      <c r="A668" s="91"/>
      <c r="B668" s="93"/>
      <c r="C668" s="92"/>
      <c r="D668" s="92"/>
      <c r="E668" s="92"/>
      <c r="F668" s="92"/>
      <c r="G668" s="92"/>
      <c r="H668" s="92"/>
      <c r="I668" s="92"/>
      <c r="J668" s="92"/>
      <c r="K668" s="92"/>
      <c r="L668" s="92"/>
      <c r="M668" s="92"/>
      <c r="N668" s="92"/>
      <c r="O668" s="92"/>
      <c r="P668" s="92"/>
      <c r="Q668" s="92"/>
      <c r="R668" s="92"/>
      <c r="S668" s="92"/>
      <c r="T668" s="92"/>
      <c r="U668" s="92"/>
      <c r="V668" s="92"/>
      <c r="W668" s="92"/>
    </row>
    <row r="669" spans="1:23" s="89" customFormat="1" x14ac:dyDescent="0.2">
      <c r="A669" s="91"/>
      <c r="B669" s="93"/>
      <c r="C669" s="92"/>
      <c r="D669" s="92"/>
      <c r="E669" s="92"/>
      <c r="F669" s="92"/>
      <c r="G669" s="92"/>
      <c r="H669" s="92"/>
      <c r="I669" s="92"/>
      <c r="J669" s="92"/>
      <c r="K669" s="92"/>
      <c r="L669" s="92"/>
      <c r="M669" s="92"/>
      <c r="N669" s="92"/>
      <c r="O669" s="92"/>
      <c r="P669" s="92"/>
      <c r="Q669" s="92"/>
      <c r="R669" s="92"/>
      <c r="S669" s="92"/>
      <c r="T669" s="92"/>
      <c r="U669" s="92"/>
      <c r="V669" s="92"/>
      <c r="W669" s="92"/>
    </row>
    <row r="670" spans="1:23" s="89" customFormat="1" x14ac:dyDescent="0.2">
      <c r="A670" s="91"/>
      <c r="B670" s="93"/>
      <c r="C670" s="92"/>
      <c r="D670" s="92"/>
      <c r="E670" s="92"/>
      <c r="F670" s="92"/>
      <c r="G670" s="92"/>
      <c r="H670" s="92"/>
      <c r="I670" s="92"/>
      <c r="J670" s="92"/>
      <c r="K670" s="92"/>
      <c r="L670" s="92"/>
      <c r="M670" s="92"/>
      <c r="N670" s="92"/>
      <c r="O670" s="92"/>
      <c r="P670" s="92"/>
      <c r="Q670" s="92"/>
      <c r="R670" s="92"/>
      <c r="S670" s="92"/>
      <c r="T670" s="92"/>
      <c r="U670" s="92"/>
      <c r="V670" s="92"/>
      <c r="W670" s="92"/>
    </row>
    <row r="671" spans="1:23" s="89" customFormat="1" x14ac:dyDescent="0.2">
      <c r="A671" s="91"/>
      <c r="B671" s="93"/>
      <c r="C671" s="92"/>
      <c r="D671" s="92"/>
      <c r="E671" s="92"/>
      <c r="F671" s="92"/>
      <c r="G671" s="92"/>
      <c r="H671" s="92"/>
      <c r="I671" s="92"/>
      <c r="J671" s="92"/>
      <c r="K671" s="92"/>
      <c r="L671" s="92"/>
      <c r="M671" s="92"/>
      <c r="N671" s="92"/>
      <c r="O671" s="92"/>
      <c r="P671" s="92"/>
      <c r="Q671" s="92"/>
      <c r="R671" s="92"/>
      <c r="S671" s="92"/>
      <c r="T671" s="92"/>
      <c r="U671" s="92"/>
      <c r="V671" s="92"/>
      <c r="W671" s="92"/>
    </row>
    <row r="672" spans="1:23" s="89" customFormat="1" x14ac:dyDescent="0.2">
      <c r="A672" s="91"/>
      <c r="B672" s="93"/>
      <c r="C672" s="92"/>
      <c r="D672" s="92"/>
      <c r="E672" s="92"/>
      <c r="F672" s="92"/>
      <c r="G672" s="92"/>
      <c r="H672" s="92"/>
      <c r="I672" s="92"/>
      <c r="J672" s="92"/>
      <c r="K672" s="92"/>
      <c r="L672" s="92"/>
      <c r="M672" s="92"/>
      <c r="N672" s="92"/>
      <c r="O672" s="92"/>
      <c r="P672" s="92"/>
      <c r="Q672" s="92"/>
      <c r="R672" s="92"/>
      <c r="S672" s="92"/>
      <c r="T672" s="92"/>
      <c r="U672" s="92"/>
      <c r="V672" s="92"/>
      <c r="W672" s="92"/>
    </row>
    <row r="673" spans="1:23" s="89" customFormat="1" x14ac:dyDescent="0.2">
      <c r="A673" s="91"/>
      <c r="B673" s="93"/>
      <c r="C673" s="92"/>
      <c r="D673" s="92"/>
      <c r="E673" s="92"/>
      <c r="F673" s="92"/>
      <c r="G673" s="92"/>
      <c r="H673" s="92"/>
      <c r="I673" s="92"/>
      <c r="J673" s="92"/>
      <c r="K673" s="92"/>
      <c r="L673" s="92"/>
      <c r="M673" s="92"/>
      <c r="N673" s="92"/>
      <c r="O673" s="92"/>
      <c r="P673" s="92"/>
      <c r="Q673" s="92"/>
      <c r="R673" s="92"/>
      <c r="S673" s="92"/>
      <c r="T673" s="92"/>
      <c r="U673" s="92"/>
      <c r="V673" s="92"/>
      <c r="W673" s="92"/>
    </row>
    <row r="674" spans="1:23" s="89" customFormat="1" x14ac:dyDescent="0.2">
      <c r="A674" s="91"/>
      <c r="B674" s="93"/>
      <c r="C674" s="92"/>
      <c r="D674" s="92"/>
      <c r="E674" s="92"/>
      <c r="F674" s="92"/>
      <c r="G674" s="92"/>
      <c r="H674" s="92"/>
      <c r="I674" s="92"/>
      <c r="J674" s="92"/>
      <c r="K674" s="92"/>
      <c r="L674" s="92"/>
      <c r="M674" s="92"/>
      <c r="N674" s="92"/>
      <c r="O674" s="92"/>
      <c r="P674" s="92"/>
      <c r="Q674" s="92"/>
      <c r="R674" s="92"/>
      <c r="S674" s="92"/>
      <c r="T674" s="92"/>
      <c r="U674" s="92"/>
      <c r="V674" s="92"/>
      <c r="W674" s="92"/>
    </row>
    <row r="675" spans="1:23" s="89" customFormat="1" x14ac:dyDescent="0.2">
      <c r="A675" s="91"/>
      <c r="B675" s="93"/>
      <c r="C675" s="92"/>
      <c r="D675" s="92"/>
      <c r="E675" s="92"/>
      <c r="F675" s="92"/>
      <c r="G675" s="92"/>
      <c r="H675" s="92"/>
      <c r="I675" s="92"/>
      <c r="J675" s="92"/>
      <c r="K675" s="92"/>
      <c r="L675" s="92"/>
      <c r="M675" s="92"/>
      <c r="N675" s="92"/>
      <c r="O675" s="92"/>
      <c r="P675" s="92"/>
      <c r="Q675" s="92"/>
      <c r="R675" s="92"/>
      <c r="S675" s="92"/>
      <c r="T675" s="92"/>
      <c r="U675" s="92"/>
      <c r="V675" s="92"/>
      <c r="W675" s="92"/>
    </row>
    <row r="676" spans="1:23" s="89" customFormat="1" x14ac:dyDescent="0.2">
      <c r="A676" s="91"/>
      <c r="B676" s="93"/>
      <c r="C676" s="92"/>
      <c r="D676" s="92"/>
      <c r="E676" s="92"/>
      <c r="F676" s="92"/>
      <c r="G676" s="92"/>
      <c r="H676" s="92"/>
      <c r="I676" s="92"/>
      <c r="J676" s="92"/>
      <c r="K676" s="92"/>
      <c r="L676" s="92"/>
      <c r="M676" s="92"/>
      <c r="N676" s="92"/>
      <c r="O676" s="92"/>
      <c r="P676" s="92"/>
      <c r="Q676" s="92"/>
      <c r="R676" s="92"/>
      <c r="S676" s="92"/>
      <c r="T676" s="92"/>
      <c r="U676" s="92"/>
      <c r="V676" s="92"/>
      <c r="W676" s="92"/>
    </row>
    <row r="677" spans="1:23" s="89" customFormat="1" x14ac:dyDescent="0.2">
      <c r="A677" s="91"/>
      <c r="B677" s="93"/>
      <c r="C677" s="92"/>
      <c r="D677" s="92"/>
      <c r="E677" s="92"/>
      <c r="F677" s="92"/>
      <c r="G677" s="92"/>
      <c r="H677" s="92"/>
      <c r="I677" s="92"/>
      <c r="J677" s="92"/>
      <c r="K677" s="92"/>
      <c r="L677" s="92"/>
      <c r="M677" s="92"/>
      <c r="N677" s="92"/>
      <c r="O677" s="92"/>
      <c r="P677" s="92"/>
      <c r="Q677" s="92"/>
      <c r="R677" s="92"/>
      <c r="S677" s="92"/>
      <c r="T677" s="92"/>
      <c r="U677" s="92"/>
      <c r="V677" s="92"/>
      <c r="W677" s="92"/>
    </row>
    <row r="678" spans="1:23" s="89" customFormat="1" x14ac:dyDescent="0.2">
      <c r="A678" s="91"/>
      <c r="B678" s="93"/>
      <c r="C678" s="92"/>
      <c r="D678" s="92"/>
      <c r="E678" s="92"/>
      <c r="F678" s="92"/>
      <c r="G678" s="92"/>
      <c r="H678" s="92"/>
      <c r="I678" s="92"/>
      <c r="J678" s="92"/>
      <c r="K678" s="92"/>
      <c r="L678" s="92"/>
      <c r="M678" s="92"/>
      <c r="N678" s="92"/>
      <c r="O678" s="92"/>
      <c r="P678" s="92"/>
      <c r="Q678" s="92"/>
      <c r="R678" s="92"/>
      <c r="S678" s="92"/>
      <c r="T678" s="92"/>
      <c r="U678" s="92"/>
      <c r="V678" s="92"/>
      <c r="W678" s="92"/>
    </row>
    <row r="679" spans="1:23" s="89" customFormat="1" x14ac:dyDescent="0.2">
      <c r="A679" s="91"/>
      <c r="B679" s="93"/>
      <c r="C679" s="92"/>
      <c r="D679" s="92"/>
      <c r="E679" s="92"/>
      <c r="F679" s="92"/>
      <c r="G679" s="92"/>
      <c r="H679" s="92"/>
      <c r="I679" s="92"/>
      <c r="J679" s="92"/>
      <c r="K679" s="92"/>
      <c r="L679" s="92"/>
      <c r="M679" s="92"/>
      <c r="N679" s="92"/>
      <c r="O679" s="92"/>
      <c r="P679" s="92"/>
      <c r="Q679" s="92"/>
      <c r="R679" s="92"/>
      <c r="S679" s="92"/>
      <c r="T679" s="92"/>
      <c r="U679" s="92"/>
      <c r="V679" s="92"/>
      <c r="W679" s="92"/>
    </row>
    <row r="680" spans="1:23" s="89" customFormat="1" x14ac:dyDescent="0.2">
      <c r="A680" s="91"/>
      <c r="B680" s="93"/>
      <c r="C680" s="92"/>
      <c r="D680" s="92"/>
      <c r="E680" s="92"/>
      <c r="F680" s="92"/>
      <c r="G680" s="92"/>
      <c r="H680" s="92"/>
      <c r="I680" s="92"/>
      <c r="J680" s="92"/>
      <c r="K680" s="92"/>
      <c r="L680" s="92"/>
      <c r="M680" s="92"/>
      <c r="N680" s="92"/>
      <c r="O680" s="92"/>
      <c r="P680" s="92"/>
      <c r="Q680" s="92"/>
      <c r="R680" s="92"/>
      <c r="S680" s="92"/>
      <c r="T680" s="92"/>
      <c r="U680" s="92"/>
      <c r="V680" s="92"/>
      <c r="W680" s="92"/>
    </row>
    <row r="681" spans="1:23" s="89" customFormat="1" x14ac:dyDescent="0.2">
      <c r="A681" s="91"/>
      <c r="B681" s="93"/>
      <c r="C681" s="92"/>
      <c r="D681" s="92"/>
      <c r="E681" s="92"/>
      <c r="F681" s="92"/>
      <c r="G681" s="92"/>
      <c r="H681" s="92"/>
      <c r="I681" s="92"/>
      <c r="J681" s="92"/>
      <c r="K681" s="92"/>
      <c r="L681" s="92"/>
      <c r="M681" s="92"/>
      <c r="N681" s="92"/>
      <c r="O681" s="92"/>
      <c r="P681" s="92"/>
      <c r="Q681" s="92"/>
      <c r="R681" s="92"/>
      <c r="S681" s="92"/>
      <c r="T681" s="92"/>
      <c r="U681" s="92"/>
      <c r="V681" s="92"/>
      <c r="W681" s="92"/>
    </row>
    <row r="682" spans="1:23" s="89" customFormat="1" x14ac:dyDescent="0.2">
      <c r="A682" s="91"/>
      <c r="B682" s="93"/>
      <c r="C682" s="92"/>
      <c r="D682" s="92"/>
      <c r="E682" s="92"/>
      <c r="F682" s="92"/>
      <c r="G682" s="92"/>
      <c r="H682" s="92"/>
      <c r="I682" s="92"/>
      <c r="J682" s="92"/>
      <c r="K682" s="92"/>
      <c r="L682" s="92"/>
      <c r="M682" s="92"/>
      <c r="N682" s="92"/>
      <c r="O682" s="92"/>
      <c r="P682" s="92"/>
      <c r="Q682" s="92"/>
      <c r="R682" s="92"/>
      <c r="S682" s="92"/>
      <c r="T682" s="92"/>
      <c r="U682" s="92"/>
      <c r="V682" s="92"/>
      <c r="W682" s="92"/>
    </row>
    <row r="683" spans="1:23" s="89" customFormat="1" x14ac:dyDescent="0.2">
      <c r="A683" s="91"/>
      <c r="B683" s="93"/>
      <c r="C683" s="92"/>
      <c r="D683" s="92"/>
      <c r="E683" s="92"/>
      <c r="F683" s="92"/>
      <c r="G683" s="92"/>
      <c r="H683" s="92"/>
      <c r="I683" s="92"/>
      <c r="J683" s="92"/>
      <c r="K683" s="92"/>
      <c r="L683" s="92"/>
      <c r="M683" s="92"/>
      <c r="N683" s="92"/>
      <c r="O683" s="92"/>
      <c r="P683" s="92"/>
      <c r="Q683" s="92"/>
      <c r="R683" s="92"/>
      <c r="S683" s="92"/>
      <c r="T683" s="92"/>
      <c r="U683" s="92"/>
      <c r="V683" s="92"/>
      <c r="W683" s="92"/>
    </row>
    <row r="684" spans="1:23" s="89" customFormat="1" x14ac:dyDescent="0.2">
      <c r="A684" s="91"/>
      <c r="B684" s="93"/>
      <c r="C684" s="92"/>
      <c r="D684" s="92"/>
      <c r="E684" s="92"/>
      <c r="F684" s="92"/>
      <c r="G684" s="92"/>
      <c r="H684" s="92"/>
      <c r="I684" s="92"/>
      <c r="J684" s="92"/>
      <c r="K684" s="92"/>
      <c r="L684" s="92"/>
      <c r="M684" s="92"/>
      <c r="N684" s="92"/>
      <c r="O684" s="92"/>
      <c r="P684" s="92"/>
      <c r="Q684" s="92"/>
      <c r="R684" s="92"/>
      <c r="S684" s="92"/>
      <c r="T684" s="92"/>
      <c r="U684" s="92"/>
      <c r="V684" s="92"/>
      <c r="W684" s="92"/>
    </row>
    <row r="685" spans="1:23" s="89" customFormat="1" x14ac:dyDescent="0.2">
      <c r="A685" s="91"/>
      <c r="B685" s="93"/>
      <c r="C685" s="92"/>
      <c r="D685" s="92"/>
      <c r="E685" s="92"/>
      <c r="F685" s="92"/>
      <c r="G685" s="92"/>
      <c r="H685" s="92"/>
      <c r="I685" s="92"/>
      <c r="J685" s="92"/>
      <c r="K685" s="92"/>
      <c r="L685" s="92"/>
      <c r="M685" s="92"/>
      <c r="N685" s="92"/>
      <c r="O685" s="92"/>
      <c r="P685" s="92"/>
      <c r="Q685" s="92"/>
      <c r="R685" s="92"/>
      <c r="S685" s="92"/>
      <c r="T685" s="92"/>
      <c r="U685" s="92"/>
      <c r="V685" s="92"/>
      <c r="W685" s="92"/>
    </row>
    <row r="686" spans="1:23" s="89" customFormat="1" x14ac:dyDescent="0.2">
      <c r="A686" s="91"/>
      <c r="B686" s="93"/>
      <c r="C686" s="92"/>
      <c r="D686" s="92"/>
      <c r="E686" s="92"/>
      <c r="F686" s="92"/>
      <c r="G686" s="92"/>
      <c r="H686" s="92"/>
      <c r="I686" s="92"/>
      <c r="J686" s="92"/>
      <c r="K686" s="92"/>
      <c r="L686" s="92"/>
      <c r="M686" s="92"/>
      <c r="N686" s="92"/>
      <c r="O686" s="92"/>
      <c r="P686" s="92"/>
      <c r="Q686" s="92"/>
      <c r="R686" s="92"/>
      <c r="S686" s="92"/>
      <c r="T686" s="92"/>
      <c r="U686" s="92"/>
      <c r="V686" s="92"/>
      <c r="W686" s="92"/>
    </row>
    <row r="687" spans="1:23" s="89" customFormat="1" x14ac:dyDescent="0.2">
      <c r="A687" s="91"/>
      <c r="B687" s="93"/>
      <c r="C687" s="92"/>
      <c r="D687" s="92"/>
      <c r="E687" s="92"/>
      <c r="F687" s="92"/>
      <c r="G687" s="92"/>
      <c r="H687" s="92"/>
      <c r="I687" s="92"/>
      <c r="J687" s="92"/>
      <c r="K687" s="92"/>
      <c r="L687" s="92"/>
      <c r="M687" s="92"/>
      <c r="N687" s="92"/>
      <c r="O687" s="92"/>
      <c r="P687" s="92"/>
      <c r="Q687" s="92"/>
      <c r="R687" s="92"/>
      <c r="S687" s="92"/>
      <c r="T687" s="92"/>
      <c r="U687" s="92"/>
      <c r="V687" s="92"/>
      <c r="W687" s="92"/>
    </row>
    <row r="688" spans="1:23" s="89" customFormat="1" x14ac:dyDescent="0.2">
      <c r="A688" s="91"/>
      <c r="B688" s="93"/>
      <c r="C688" s="92"/>
      <c r="D688" s="92"/>
      <c r="E688" s="92"/>
      <c r="F688" s="92"/>
      <c r="G688" s="92"/>
      <c r="H688" s="92"/>
      <c r="I688" s="92"/>
      <c r="J688" s="92"/>
      <c r="K688" s="92"/>
      <c r="L688" s="92"/>
      <c r="M688" s="92"/>
      <c r="N688" s="92"/>
      <c r="O688" s="92"/>
      <c r="P688" s="92"/>
      <c r="Q688" s="92"/>
      <c r="R688" s="92"/>
      <c r="S688" s="92"/>
      <c r="T688" s="92"/>
      <c r="U688" s="92"/>
      <c r="V688" s="92"/>
      <c r="W688" s="92"/>
    </row>
    <row r="689" spans="1:23" s="89" customFormat="1" x14ac:dyDescent="0.2">
      <c r="A689" s="91"/>
      <c r="B689" s="93"/>
      <c r="C689" s="92"/>
      <c r="D689" s="92"/>
      <c r="E689" s="92"/>
      <c r="F689" s="92"/>
      <c r="G689" s="92"/>
      <c r="H689" s="92"/>
      <c r="I689" s="92"/>
      <c r="J689" s="92"/>
      <c r="K689" s="92"/>
      <c r="L689" s="92"/>
      <c r="M689" s="92"/>
      <c r="N689" s="92"/>
      <c r="O689" s="92"/>
      <c r="P689" s="92"/>
      <c r="Q689" s="92"/>
      <c r="R689" s="92"/>
      <c r="S689" s="92"/>
      <c r="T689" s="92"/>
      <c r="U689" s="92"/>
      <c r="V689" s="92"/>
      <c r="W689" s="92"/>
    </row>
    <row r="690" spans="1:23" s="89" customFormat="1" x14ac:dyDescent="0.2">
      <c r="A690" s="91"/>
      <c r="B690" s="93"/>
      <c r="C690" s="92"/>
      <c r="D690" s="92"/>
      <c r="E690" s="92"/>
      <c r="F690" s="92"/>
      <c r="G690" s="92"/>
      <c r="H690" s="92"/>
      <c r="I690" s="92"/>
      <c r="J690" s="92"/>
      <c r="K690" s="92"/>
      <c r="L690" s="92"/>
      <c r="M690" s="92"/>
      <c r="N690" s="92"/>
      <c r="O690" s="92"/>
      <c r="P690" s="92"/>
      <c r="Q690" s="92"/>
      <c r="R690" s="92"/>
      <c r="S690" s="92"/>
      <c r="T690" s="92"/>
      <c r="U690" s="92"/>
      <c r="V690" s="92"/>
      <c r="W690" s="92"/>
    </row>
    <row r="691" spans="1:23" s="89" customFormat="1" x14ac:dyDescent="0.2">
      <c r="A691" s="91"/>
      <c r="B691" s="93"/>
      <c r="C691" s="92"/>
      <c r="D691" s="92"/>
      <c r="E691" s="92"/>
      <c r="F691" s="92"/>
      <c r="G691" s="92"/>
      <c r="H691" s="92"/>
      <c r="I691" s="92"/>
      <c r="J691" s="92"/>
      <c r="K691" s="92"/>
      <c r="L691" s="92"/>
      <c r="M691" s="92"/>
      <c r="N691" s="92"/>
      <c r="O691" s="92"/>
      <c r="P691" s="92"/>
      <c r="Q691" s="92"/>
      <c r="R691" s="92"/>
      <c r="S691" s="92"/>
      <c r="T691" s="92"/>
      <c r="U691" s="92"/>
      <c r="V691" s="92"/>
      <c r="W691" s="92"/>
    </row>
    <row r="692" spans="1:23" s="89" customFormat="1" x14ac:dyDescent="0.2">
      <c r="A692" s="91"/>
      <c r="B692" s="93"/>
      <c r="C692" s="92"/>
      <c r="D692" s="92"/>
      <c r="E692" s="92"/>
      <c r="F692" s="92"/>
      <c r="G692" s="92"/>
      <c r="H692" s="92"/>
      <c r="I692" s="92"/>
      <c r="J692" s="92"/>
      <c r="K692" s="92"/>
      <c r="L692" s="92"/>
      <c r="M692" s="92"/>
      <c r="N692" s="92"/>
      <c r="O692" s="92"/>
      <c r="P692" s="92"/>
      <c r="Q692" s="92"/>
      <c r="R692" s="92"/>
      <c r="S692" s="92"/>
      <c r="T692" s="92"/>
      <c r="U692" s="92"/>
      <c r="V692" s="92"/>
      <c r="W692" s="92"/>
    </row>
    <row r="693" spans="1:23" s="89" customFormat="1" x14ac:dyDescent="0.2">
      <c r="A693" s="91"/>
      <c r="B693" s="93"/>
      <c r="C693" s="92"/>
      <c r="D693" s="92"/>
      <c r="E693" s="92"/>
      <c r="F693" s="92"/>
      <c r="G693" s="92"/>
      <c r="H693" s="92"/>
      <c r="I693" s="92"/>
      <c r="J693" s="92"/>
      <c r="K693" s="92"/>
      <c r="L693" s="92"/>
      <c r="M693" s="92"/>
      <c r="N693" s="92"/>
      <c r="O693" s="92"/>
      <c r="P693" s="92"/>
      <c r="Q693" s="92"/>
      <c r="R693" s="92"/>
      <c r="S693" s="92"/>
      <c r="T693" s="92"/>
      <c r="U693" s="92"/>
      <c r="V693" s="92"/>
      <c r="W693" s="92"/>
    </row>
    <row r="694" spans="1:23" s="89" customFormat="1" x14ac:dyDescent="0.2">
      <c r="A694" s="91"/>
      <c r="B694" s="93"/>
      <c r="C694" s="92"/>
      <c r="D694" s="92"/>
      <c r="E694" s="92"/>
      <c r="F694" s="92"/>
      <c r="G694" s="92"/>
      <c r="H694" s="92"/>
      <c r="I694" s="92"/>
      <c r="J694" s="92"/>
      <c r="K694" s="92"/>
      <c r="L694" s="92"/>
      <c r="M694" s="92"/>
      <c r="N694" s="92"/>
      <c r="O694" s="92"/>
      <c r="P694" s="92"/>
      <c r="Q694" s="92"/>
      <c r="R694" s="92"/>
      <c r="S694" s="92"/>
      <c r="T694" s="92"/>
      <c r="U694" s="92"/>
      <c r="V694" s="92"/>
      <c r="W694" s="92"/>
    </row>
    <row r="695" spans="1:23" s="89" customFormat="1" x14ac:dyDescent="0.2">
      <c r="A695" s="91"/>
      <c r="B695" s="93"/>
      <c r="C695" s="92"/>
      <c r="D695" s="92"/>
      <c r="E695" s="92"/>
      <c r="F695" s="92"/>
      <c r="G695" s="92"/>
      <c r="H695" s="92"/>
      <c r="I695" s="92"/>
      <c r="J695" s="92"/>
      <c r="K695" s="92"/>
      <c r="L695" s="92"/>
      <c r="M695" s="92"/>
      <c r="N695" s="92"/>
      <c r="O695" s="92"/>
      <c r="P695" s="92"/>
      <c r="Q695" s="92"/>
      <c r="R695" s="92"/>
      <c r="S695" s="92"/>
      <c r="T695" s="92"/>
      <c r="U695" s="92"/>
      <c r="V695" s="92"/>
      <c r="W695" s="92"/>
    </row>
    <row r="696" spans="1:23" s="89" customFormat="1" x14ac:dyDescent="0.2">
      <c r="A696" s="91"/>
      <c r="B696" s="93"/>
      <c r="C696" s="92"/>
      <c r="D696" s="92"/>
      <c r="E696" s="92"/>
      <c r="F696" s="92"/>
      <c r="G696" s="92"/>
      <c r="H696" s="92"/>
      <c r="I696" s="92"/>
      <c r="J696" s="92"/>
      <c r="K696" s="92"/>
      <c r="L696" s="92"/>
      <c r="M696" s="92"/>
      <c r="N696" s="92"/>
      <c r="O696" s="92"/>
      <c r="P696" s="92"/>
      <c r="Q696" s="92"/>
      <c r="R696" s="92"/>
      <c r="S696" s="92"/>
      <c r="T696" s="92"/>
      <c r="U696" s="92"/>
      <c r="V696" s="92"/>
      <c r="W696" s="92"/>
    </row>
    <row r="697" spans="1:23" s="89" customFormat="1" x14ac:dyDescent="0.2">
      <c r="A697" s="91"/>
      <c r="B697" s="93"/>
      <c r="C697" s="92"/>
      <c r="D697" s="92"/>
      <c r="E697" s="92"/>
      <c r="F697" s="92"/>
      <c r="G697" s="92"/>
      <c r="H697" s="92"/>
      <c r="I697" s="92"/>
      <c r="J697" s="92"/>
      <c r="K697" s="92"/>
      <c r="L697" s="92"/>
      <c r="M697" s="92"/>
      <c r="N697" s="92"/>
      <c r="O697" s="92"/>
      <c r="P697" s="92"/>
      <c r="Q697" s="92"/>
      <c r="R697" s="92"/>
      <c r="S697" s="92"/>
      <c r="T697" s="92"/>
      <c r="U697" s="92"/>
      <c r="V697" s="92"/>
      <c r="W697" s="92"/>
    </row>
    <row r="698" spans="1:23" s="89" customFormat="1" x14ac:dyDescent="0.2">
      <c r="A698" s="91"/>
      <c r="B698" s="93"/>
      <c r="C698" s="92"/>
      <c r="D698" s="92"/>
      <c r="E698" s="92"/>
      <c r="F698" s="92"/>
      <c r="G698" s="92"/>
      <c r="H698" s="92"/>
      <c r="I698" s="92"/>
      <c r="J698" s="92"/>
      <c r="K698" s="92"/>
      <c r="L698" s="92"/>
      <c r="M698" s="92"/>
      <c r="N698" s="92"/>
      <c r="O698" s="92"/>
      <c r="P698" s="92"/>
      <c r="Q698" s="92"/>
      <c r="R698" s="92"/>
      <c r="S698" s="92"/>
      <c r="T698" s="92"/>
      <c r="U698" s="92"/>
      <c r="V698" s="92"/>
      <c r="W698" s="92"/>
    </row>
    <row r="699" spans="1:23" s="89" customFormat="1" x14ac:dyDescent="0.2">
      <c r="A699" s="91"/>
      <c r="B699" s="93"/>
      <c r="C699" s="92"/>
      <c r="D699" s="92"/>
      <c r="E699" s="92"/>
      <c r="F699" s="92"/>
      <c r="G699" s="92"/>
      <c r="H699" s="92"/>
      <c r="I699" s="92"/>
      <c r="J699" s="92"/>
      <c r="K699" s="92"/>
      <c r="L699" s="92"/>
      <c r="M699" s="92"/>
      <c r="N699" s="92"/>
      <c r="O699" s="92"/>
      <c r="P699" s="92"/>
      <c r="Q699" s="92"/>
      <c r="R699" s="92"/>
      <c r="S699" s="92"/>
      <c r="T699" s="92"/>
      <c r="U699" s="92"/>
      <c r="V699" s="92"/>
      <c r="W699" s="92"/>
    </row>
    <row r="700" spans="1:23" s="89" customFormat="1" x14ac:dyDescent="0.2">
      <c r="A700" s="91"/>
      <c r="B700" s="93"/>
      <c r="C700" s="92"/>
      <c r="D700" s="92"/>
      <c r="E700" s="92"/>
      <c r="F700" s="92"/>
      <c r="G700" s="92"/>
      <c r="H700" s="92"/>
      <c r="I700" s="92"/>
      <c r="J700" s="92"/>
      <c r="K700" s="92"/>
      <c r="L700" s="92"/>
      <c r="M700" s="92"/>
      <c r="N700" s="92"/>
      <c r="O700" s="92"/>
      <c r="P700" s="92"/>
      <c r="Q700" s="92"/>
      <c r="R700" s="92"/>
      <c r="S700" s="92"/>
      <c r="T700" s="92"/>
      <c r="U700" s="92"/>
      <c r="V700" s="92"/>
      <c r="W700" s="92"/>
    </row>
    <row r="701" spans="1:23" s="89" customFormat="1" x14ac:dyDescent="0.2">
      <c r="A701" s="91"/>
      <c r="B701" s="93"/>
      <c r="C701" s="92"/>
      <c r="D701" s="92"/>
      <c r="E701" s="92"/>
      <c r="F701" s="92"/>
      <c r="G701" s="92"/>
      <c r="H701" s="92"/>
      <c r="I701" s="92"/>
      <c r="J701" s="92"/>
      <c r="K701" s="92"/>
      <c r="L701" s="92"/>
      <c r="M701" s="92"/>
      <c r="N701" s="92"/>
      <c r="O701" s="92"/>
      <c r="P701" s="92"/>
      <c r="Q701" s="92"/>
      <c r="R701" s="92"/>
      <c r="S701" s="92"/>
      <c r="T701" s="92"/>
      <c r="U701" s="92"/>
      <c r="V701" s="92"/>
      <c r="W701" s="92"/>
    </row>
    <row r="702" spans="1:23" s="89" customFormat="1" x14ac:dyDescent="0.2">
      <c r="A702" s="91"/>
      <c r="B702" s="93"/>
      <c r="C702" s="92"/>
      <c r="D702" s="92"/>
      <c r="E702" s="92"/>
      <c r="F702" s="92"/>
      <c r="G702" s="92"/>
      <c r="H702" s="92"/>
      <c r="I702" s="92"/>
      <c r="J702" s="92"/>
      <c r="K702" s="92"/>
      <c r="L702" s="92"/>
      <c r="M702" s="92"/>
      <c r="N702" s="92"/>
      <c r="O702" s="92"/>
      <c r="P702" s="92"/>
      <c r="Q702" s="92"/>
      <c r="R702" s="92"/>
      <c r="S702" s="92"/>
      <c r="T702" s="92"/>
      <c r="U702" s="92"/>
      <c r="V702" s="92"/>
      <c r="W702" s="92"/>
    </row>
    <row r="703" spans="1:23" s="89" customFormat="1" x14ac:dyDescent="0.2">
      <c r="A703" s="91"/>
      <c r="B703" s="93"/>
      <c r="C703" s="92"/>
      <c r="D703" s="92"/>
      <c r="E703" s="92"/>
      <c r="F703" s="92"/>
      <c r="G703" s="92"/>
      <c r="H703" s="92"/>
      <c r="I703" s="92"/>
      <c r="J703" s="92"/>
      <c r="K703" s="92"/>
      <c r="L703" s="92"/>
      <c r="M703" s="92"/>
      <c r="N703" s="92"/>
      <c r="O703" s="92"/>
      <c r="P703" s="92"/>
      <c r="Q703" s="92"/>
      <c r="R703" s="92"/>
      <c r="S703" s="92"/>
      <c r="T703" s="92"/>
      <c r="U703" s="92"/>
      <c r="V703" s="92"/>
      <c r="W703" s="92"/>
    </row>
    <row r="704" spans="1:23" s="89" customFormat="1" x14ac:dyDescent="0.2">
      <c r="A704" s="91"/>
      <c r="B704" s="93"/>
      <c r="C704" s="92"/>
      <c r="D704" s="92"/>
      <c r="E704" s="92"/>
      <c r="F704" s="92"/>
      <c r="G704" s="92"/>
      <c r="H704" s="92"/>
      <c r="I704" s="92"/>
      <c r="J704" s="92"/>
      <c r="K704" s="92"/>
      <c r="L704" s="92"/>
      <c r="M704" s="92"/>
      <c r="N704" s="92"/>
      <c r="O704" s="92"/>
      <c r="P704" s="92"/>
      <c r="Q704" s="92"/>
      <c r="R704" s="92"/>
      <c r="S704" s="92"/>
      <c r="T704" s="92"/>
      <c r="U704" s="92"/>
      <c r="V704" s="92"/>
      <c r="W704" s="92"/>
    </row>
    <row r="705" spans="1:23" s="89" customFormat="1" x14ac:dyDescent="0.2">
      <c r="A705" s="91"/>
      <c r="B705" s="93"/>
      <c r="C705" s="92"/>
      <c r="D705" s="92"/>
      <c r="E705" s="92"/>
      <c r="F705" s="92"/>
      <c r="G705" s="92"/>
      <c r="H705" s="92"/>
      <c r="I705" s="92"/>
      <c r="J705" s="92"/>
      <c r="K705" s="92"/>
      <c r="L705" s="92"/>
      <c r="M705" s="92"/>
      <c r="N705" s="92"/>
      <c r="O705" s="92"/>
      <c r="P705" s="92"/>
      <c r="Q705" s="92"/>
      <c r="R705" s="92"/>
      <c r="S705" s="92"/>
      <c r="T705" s="92"/>
      <c r="U705" s="92"/>
      <c r="V705" s="92"/>
      <c r="W705" s="92"/>
    </row>
    <row r="706" spans="1:23" s="89" customFormat="1" x14ac:dyDescent="0.2">
      <c r="A706" s="91"/>
      <c r="B706" s="93"/>
      <c r="C706" s="92"/>
      <c r="D706" s="92"/>
      <c r="E706" s="92"/>
      <c r="F706" s="92"/>
      <c r="G706" s="92"/>
      <c r="H706" s="92"/>
      <c r="I706" s="92"/>
      <c r="J706" s="92"/>
      <c r="K706" s="92"/>
      <c r="L706" s="92"/>
      <c r="M706" s="92"/>
      <c r="N706" s="92"/>
      <c r="O706" s="92"/>
      <c r="P706" s="92"/>
      <c r="Q706" s="92"/>
      <c r="R706" s="92"/>
      <c r="S706" s="92"/>
      <c r="T706" s="92"/>
      <c r="U706" s="92"/>
      <c r="V706" s="92"/>
      <c r="W706" s="92"/>
    </row>
    <row r="707" spans="1:23" s="89" customFormat="1" x14ac:dyDescent="0.2">
      <c r="A707" s="91"/>
      <c r="B707" s="93"/>
      <c r="C707" s="92"/>
      <c r="D707" s="92"/>
      <c r="E707" s="92"/>
      <c r="F707" s="92"/>
      <c r="G707" s="92"/>
      <c r="H707" s="92"/>
      <c r="I707" s="92"/>
      <c r="J707" s="92"/>
      <c r="K707" s="92"/>
      <c r="L707" s="92"/>
      <c r="M707" s="92"/>
      <c r="N707" s="92"/>
      <c r="O707" s="92"/>
      <c r="P707" s="92"/>
      <c r="Q707" s="92"/>
      <c r="R707" s="92"/>
      <c r="S707" s="92"/>
      <c r="T707" s="92"/>
      <c r="U707" s="92"/>
      <c r="V707" s="92"/>
      <c r="W707" s="92"/>
    </row>
    <row r="708" spans="1:23" s="89" customFormat="1" x14ac:dyDescent="0.2">
      <c r="A708" s="91"/>
      <c r="B708" s="93"/>
      <c r="C708" s="92"/>
      <c r="D708" s="92"/>
      <c r="E708" s="92"/>
      <c r="F708" s="92"/>
      <c r="G708" s="92"/>
      <c r="H708" s="92"/>
      <c r="I708" s="92"/>
      <c r="J708" s="92"/>
      <c r="K708" s="92"/>
      <c r="L708" s="92"/>
      <c r="M708" s="92"/>
      <c r="N708" s="92"/>
      <c r="O708" s="92"/>
      <c r="P708" s="92"/>
      <c r="Q708" s="92"/>
      <c r="R708" s="92"/>
      <c r="S708" s="92"/>
      <c r="T708" s="92"/>
      <c r="U708" s="92"/>
      <c r="V708" s="92"/>
      <c r="W708" s="92"/>
    </row>
    <row r="709" spans="1:23" s="89" customFormat="1" x14ac:dyDescent="0.2">
      <c r="A709" s="91"/>
      <c r="B709" s="93"/>
      <c r="C709" s="92"/>
      <c r="D709" s="92"/>
      <c r="E709" s="92"/>
      <c r="F709" s="92"/>
      <c r="G709" s="92"/>
      <c r="H709" s="92"/>
      <c r="I709" s="92"/>
      <c r="J709" s="92"/>
      <c r="K709" s="92"/>
      <c r="L709" s="92"/>
      <c r="M709" s="92"/>
      <c r="N709" s="92"/>
      <c r="O709" s="92"/>
      <c r="P709" s="92"/>
      <c r="Q709" s="92"/>
      <c r="R709" s="92"/>
      <c r="S709" s="92"/>
      <c r="T709" s="92"/>
      <c r="U709" s="92"/>
      <c r="V709" s="92"/>
      <c r="W709" s="92"/>
    </row>
    <row r="710" spans="1:23" s="89" customFormat="1" x14ac:dyDescent="0.2">
      <c r="A710" s="91"/>
      <c r="B710" s="93"/>
      <c r="C710" s="92"/>
      <c r="D710" s="92"/>
      <c r="E710" s="92"/>
      <c r="F710" s="92"/>
      <c r="G710" s="92"/>
      <c r="H710" s="92"/>
      <c r="I710" s="92"/>
      <c r="J710" s="92"/>
      <c r="K710" s="92"/>
      <c r="L710" s="92"/>
      <c r="M710" s="92"/>
      <c r="N710" s="92"/>
      <c r="O710" s="92"/>
      <c r="P710" s="92"/>
      <c r="Q710" s="92"/>
      <c r="R710" s="92"/>
      <c r="S710" s="92"/>
      <c r="T710" s="92"/>
      <c r="U710" s="92"/>
      <c r="V710" s="92"/>
      <c r="W710" s="92"/>
    </row>
    <row r="711" spans="1:23" s="89" customFormat="1" x14ac:dyDescent="0.2">
      <c r="A711" s="91"/>
      <c r="B711" s="93"/>
      <c r="C711" s="92"/>
      <c r="D711" s="92"/>
      <c r="E711" s="92"/>
      <c r="F711" s="92"/>
      <c r="G711" s="92"/>
      <c r="H711" s="92"/>
      <c r="I711" s="92"/>
      <c r="J711" s="92"/>
      <c r="K711" s="92"/>
      <c r="L711" s="92"/>
      <c r="M711" s="92"/>
      <c r="N711" s="92"/>
      <c r="O711" s="92"/>
      <c r="P711" s="92"/>
      <c r="Q711" s="92"/>
      <c r="R711" s="92"/>
      <c r="S711" s="92"/>
      <c r="T711" s="92"/>
      <c r="U711" s="92"/>
      <c r="V711" s="92"/>
      <c r="W711" s="92"/>
    </row>
    <row r="712" spans="1:23" s="89" customFormat="1" x14ac:dyDescent="0.2">
      <c r="A712" s="91"/>
      <c r="B712" s="93"/>
      <c r="C712" s="92"/>
      <c r="D712" s="92"/>
      <c r="E712" s="92"/>
      <c r="F712" s="92"/>
      <c r="G712" s="92"/>
      <c r="H712" s="92"/>
      <c r="I712" s="92"/>
      <c r="J712" s="92"/>
      <c r="K712" s="92"/>
      <c r="L712" s="92"/>
      <c r="M712" s="92"/>
      <c r="N712" s="92"/>
      <c r="O712" s="92"/>
      <c r="P712" s="92"/>
      <c r="Q712" s="92"/>
      <c r="R712" s="92"/>
      <c r="S712" s="92"/>
      <c r="T712" s="92"/>
      <c r="U712" s="92"/>
      <c r="V712" s="92"/>
      <c r="W712" s="92"/>
    </row>
    <row r="713" spans="1:23" s="89" customFormat="1" x14ac:dyDescent="0.2">
      <c r="A713" s="91"/>
      <c r="B713" s="93"/>
      <c r="C713" s="92"/>
      <c r="D713" s="92"/>
      <c r="E713" s="92"/>
      <c r="F713" s="92"/>
      <c r="G713" s="92"/>
      <c r="H713" s="92"/>
      <c r="I713" s="92"/>
      <c r="J713" s="92"/>
      <c r="K713" s="92"/>
      <c r="L713" s="92"/>
      <c r="M713" s="92"/>
      <c r="N713" s="92"/>
      <c r="O713" s="92"/>
      <c r="P713" s="92"/>
      <c r="Q713" s="92"/>
      <c r="R713" s="92"/>
      <c r="S713" s="92"/>
      <c r="T713" s="92"/>
      <c r="U713" s="92"/>
      <c r="V713" s="92"/>
      <c r="W713" s="92"/>
    </row>
    <row r="714" spans="1:23" s="89" customFormat="1" x14ac:dyDescent="0.2">
      <c r="A714" s="91"/>
      <c r="B714" s="93"/>
      <c r="C714" s="92"/>
      <c r="D714" s="92"/>
      <c r="E714" s="92"/>
      <c r="F714" s="92"/>
      <c r="G714" s="92"/>
      <c r="H714" s="92"/>
      <c r="I714" s="92"/>
      <c r="J714" s="92"/>
      <c r="K714" s="92"/>
      <c r="L714" s="92"/>
      <c r="M714" s="92"/>
      <c r="N714" s="92"/>
      <c r="O714" s="92"/>
      <c r="P714" s="92"/>
      <c r="Q714" s="92"/>
      <c r="R714" s="92"/>
      <c r="S714" s="92"/>
      <c r="T714" s="92"/>
      <c r="U714" s="92"/>
      <c r="V714" s="92"/>
      <c r="W714" s="92"/>
    </row>
    <row r="715" spans="1:23" s="89" customFormat="1" x14ac:dyDescent="0.2">
      <c r="A715" s="91"/>
      <c r="B715" s="93"/>
      <c r="C715" s="92"/>
      <c r="D715" s="92"/>
      <c r="E715" s="92"/>
      <c r="F715" s="92"/>
      <c r="G715" s="92"/>
      <c r="H715" s="92"/>
      <c r="I715" s="92"/>
      <c r="J715" s="92"/>
      <c r="K715" s="92"/>
      <c r="L715" s="92"/>
      <c r="M715" s="92"/>
      <c r="N715" s="92"/>
      <c r="O715" s="92"/>
      <c r="P715" s="92"/>
      <c r="Q715" s="92"/>
      <c r="R715" s="92"/>
      <c r="S715" s="92"/>
      <c r="T715" s="92"/>
      <c r="U715" s="92"/>
      <c r="V715" s="92"/>
      <c r="W715" s="92"/>
    </row>
    <row r="716" spans="1:23" s="89" customFormat="1" x14ac:dyDescent="0.2">
      <c r="A716" s="91"/>
      <c r="B716" s="93"/>
      <c r="C716" s="92"/>
      <c r="D716" s="92"/>
      <c r="E716" s="92"/>
      <c r="F716" s="92"/>
      <c r="G716" s="92"/>
      <c r="H716" s="92"/>
      <c r="I716" s="92"/>
      <c r="J716" s="92"/>
      <c r="K716" s="92"/>
      <c r="L716" s="92"/>
      <c r="M716" s="92"/>
      <c r="N716" s="92"/>
      <c r="O716" s="92"/>
      <c r="P716" s="92"/>
      <c r="Q716" s="92"/>
      <c r="R716" s="92"/>
      <c r="S716" s="92"/>
      <c r="T716" s="92"/>
      <c r="U716" s="92"/>
      <c r="V716" s="92"/>
      <c r="W716" s="92"/>
    </row>
    <row r="717" spans="1:23" s="89" customFormat="1" x14ac:dyDescent="0.2">
      <c r="A717" s="91"/>
      <c r="B717" s="93"/>
      <c r="C717" s="92"/>
      <c r="D717" s="92"/>
      <c r="E717" s="92"/>
      <c r="F717" s="92"/>
      <c r="G717" s="92"/>
      <c r="H717" s="92"/>
      <c r="I717" s="92"/>
      <c r="J717" s="92"/>
      <c r="K717" s="92"/>
      <c r="L717" s="92"/>
      <c r="M717" s="92"/>
      <c r="N717" s="92"/>
      <c r="O717" s="92"/>
      <c r="P717" s="92"/>
      <c r="Q717" s="92"/>
      <c r="R717" s="92"/>
      <c r="S717" s="92"/>
      <c r="T717" s="92"/>
      <c r="U717" s="92"/>
      <c r="V717" s="92"/>
      <c r="W717" s="92"/>
    </row>
    <row r="718" spans="1:23" s="89" customFormat="1" x14ac:dyDescent="0.2">
      <c r="A718" s="91"/>
      <c r="B718" s="93"/>
      <c r="C718" s="92"/>
      <c r="D718" s="92"/>
      <c r="E718" s="92"/>
      <c r="F718" s="92"/>
      <c r="G718" s="92"/>
      <c r="H718" s="92"/>
      <c r="I718" s="92"/>
      <c r="J718" s="92"/>
      <c r="K718" s="92"/>
      <c r="L718" s="92"/>
      <c r="M718" s="92"/>
      <c r="N718" s="92"/>
      <c r="O718" s="92"/>
      <c r="P718" s="92"/>
      <c r="Q718" s="92"/>
      <c r="R718" s="92"/>
      <c r="S718" s="92"/>
      <c r="T718" s="92"/>
      <c r="U718" s="92"/>
      <c r="V718" s="92"/>
      <c r="W718" s="92"/>
    </row>
    <row r="719" spans="1:23" s="89" customFormat="1" x14ac:dyDescent="0.2">
      <c r="A719" s="91"/>
      <c r="B719" s="93"/>
      <c r="C719" s="92"/>
      <c r="D719" s="92"/>
      <c r="E719" s="92"/>
      <c r="F719" s="92"/>
      <c r="G719" s="92"/>
      <c r="H719" s="92"/>
      <c r="I719" s="92"/>
      <c r="J719" s="92"/>
      <c r="K719" s="92"/>
      <c r="L719" s="92"/>
      <c r="M719" s="92"/>
      <c r="N719" s="92"/>
      <c r="O719" s="92"/>
      <c r="P719" s="92"/>
      <c r="Q719" s="92"/>
      <c r="R719" s="92"/>
      <c r="S719" s="92"/>
      <c r="T719" s="92"/>
      <c r="U719" s="92"/>
      <c r="V719" s="92"/>
      <c r="W719" s="92"/>
    </row>
    <row r="720" spans="1:23" s="89" customFormat="1" x14ac:dyDescent="0.2">
      <c r="A720" s="91"/>
      <c r="B720" s="93"/>
      <c r="C720" s="92"/>
      <c r="D720" s="92"/>
      <c r="E720" s="92"/>
      <c r="F720" s="92"/>
      <c r="G720" s="92"/>
      <c r="H720" s="92"/>
      <c r="I720" s="92"/>
      <c r="J720" s="92"/>
      <c r="K720" s="92"/>
      <c r="L720" s="92"/>
      <c r="M720" s="92"/>
      <c r="N720" s="92"/>
      <c r="O720" s="92"/>
      <c r="P720" s="92"/>
      <c r="Q720" s="92"/>
      <c r="R720" s="92"/>
      <c r="S720" s="92"/>
      <c r="T720" s="92"/>
      <c r="U720" s="92"/>
      <c r="V720" s="92"/>
      <c r="W720" s="92"/>
    </row>
    <row r="721" spans="1:23" s="89" customFormat="1" x14ac:dyDescent="0.2">
      <c r="A721" s="91"/>
      <c r="B721" s="93"/>
      <c r="C721" s="92"/>
      <c r="D721" s="92"/>
      <c r="E721" s="92"/>
      <c r="F721" s="92"/>
      <c r="G721" s="92"/>
      <c r="H721" s="92"/>
      <c r="I721" s="92"/>
      <c r="J721" s="92"/>
      <c r="K721" s="92"/>
      <c r="L721" s="92"/>
      <c r="M721" s="92"/>
      <c r="N721" s="92"/>
      <c r="O721" s="92"/>
      <c r="P721" s="92"/>
      <c r="Q721" s="92"/>
      <c r="R721" s="92"/>
      <c r="S721" s="92"/>
      <c r="T721" s="92"/>
      <c r="U721" s="92"/>
      <c r="V721" s="92"/>
      <c r="W721" s="92"/>
    </row>
    <row r="722" spans="1:23" s="89" customFormat="1" x14ac:dyDescent="0.2">
      <c r="A722" s="91"/>
      <c r="B722" s="93"/>
      <c r="C722" s="92"/>
      <c r="D722" s="92"/>
      <c r="E722" s="92"/>
      <c r="F722" s="92"/>
      <c r="G722" s="92"/>
      <c r="H722" s="92"/>
      <c r="I722" s="92"/>
      <c r="J722" s="92"/>
      <c r="K722" s="92"/>
      <c r="L722" s="92"/>
      <c r="M722" s="92"/>
      <c r="N722" s="92"/>
      <c r="O722" s="92"/>
      <c r="P722" s="92"/>
      <c r="Q722" s="92"/>
      <c r="R722" s="92"/>
      <c r="S722" s="92"/>
      <c r="T722" s="92"/>
      <c r="U722" s="92"/>
      <c r="V722" s="92"/>
      <c r="W722" s="92"/>
    </row>
    <row r="723" spans="1:23" s="89" customFormat="1" x14ac:dyDescent="0.2">
      <c r="A723" s="91"/>
      <c r="B723" s="93"/>
      <c r="C723" s="92"/>
      <c r="D723" s="92"/>
      <c r="E723" s="92"/>
      <c r="F723" s="92"/>
      <c r="G723" s="92"/>
      <c r="H723" s="92"/>
      <c r="I723" s="92"/>
      <c r="J723" s="92"/>
      <c r="K723" s="92"/>
      <c r="L723" s="92"/>
      <c r="M723" s="92"/>
      <c r="N723" s="92"/>
      <c r="O723" s="92"/>
      <c r="P723" s="92"/>
      <c r="Q723" s="92"/>
      <c r="R723" s="92"/>
      <c r="S723" s="92"/>
      <c r="T723" s="92"/>
      <c r="U723" s="92"/>
      <c r="V723" s="92"/>
      <c r="W723" s="92"/>
    </row>
    <row r="724" spans="1:23" s="89" customFormat="1" x14ac:dyDescent="0.2">
      <c r="A724" s="91"/>
      <c r="B724" s="93"/>
      <c r="C724" s="92"/>
      <c r="D724" s="92"/>
      <c r="E724" s="92"/>
      <c r="F724" s="92"/>
      <c r="G724" s="92"/>
      <c r="H724" s="92"/>
      <c r="I724" s="92"/>
      <c r="J724" s="92"/>
      <c r="K724" s="92"/>
      <c r="L724" s="92"/>
      <c r="M724" s="92"/>
      <c r="N724" s="92"/>
      <c r="O724" s="92"/>
      <c r="P724" s="92"/>
      <c r="Q724" s="92"/>
      <c r="R724" s="92"/>
      <c r="S724" s="92"/>
      <c r="T724" s="92"/>
      <c r="U724" s="92"/>
      <c r="V724" s="92"/>
      <c r="W724" s="92"/>
    </row>
    <row r="725" spans="1:23" s="89" customFormat="1" x14ac:dyDescent="0.2">
      <c r="A725" s="91"/>
      <c r="B725" s="93"/>
      <c r="C725" s="92"/>
      <c r="D725" s="92"/>
      <c r="E725" s="92"/>
      <c r="F725" s="92"/>
      <c r="G725" s="92"/>
      <c r="H725" s="92"/>
      <c r="I725" s="92"/>
      <c r="J725" s="92"/>
      <c r="K725" s="92"/>
      <c r="L725" s="92"/>
      <c r="M725" s="92"/>
      <c r="N725" s="92"/>
      <c r="O725" s="92"/>
      <c r="P725" s="92"/>
      <c r="Q725" s="92"/>
      <c r="R725" s="92"/>
      <c r="S725" s="92"/>
      <c r="T725" s="92"/>
      <c r="U725" s="92"/>
      <c r="V725" s="92"/>
      <c r="W725" s="92"/>
    </row>
    <row r="726" spans="1:23" s="89" customFormat="1" x14ac:dyDescent="0.2">
      <c r="A726" s="91"/>
      <c r="B726" s="93"/>
      <c r="C726" s="92"/>
      <c r="D726" s="92"/>
      <c r="E726" s="92"/>
      <c r="F726" s="92"/>
      <c r="G726" s="92"/>
      <c r="H726" s="92"/>
      <c r="I726" s="92"/>
      <c r="J726" s="92"/>
      <c r="K726" s="92"/>
      <c r="L726" s="92"/>
      <c r="M726" s="92"/>
      <c r="N726" s="92"/>
      <c r="O726" s="92"/>
      <c r="P726" s="92"/>
      <c r="Q726" s="92"/>
      <c r="R726" s="92"/>
      <c r="S726" s="92"/>
      <c r="T726" s="92"/>
      <c r="U726" s="92"/>
      <c r="V726" s="92"/>
      <c r="W726" s="92"/>
    </row>
    <row r="727" spans="1:23" s="89" customFormat="1" x14ac:dyDescent="0.2">
      <c r="A727" s="91"/>
      <c r="B727" s="93"/>
      <c r="C727" s="92"/>
      <c r="D727" s="92"/>
      <c r="E727" s="92"/>
      <c r="F727" s="92"/>
      <c r="G727" s="92"/>
      <c r="H727" s="92"/>
      <c r="I727" s="92"/>
      <c r="J727" s="92"/>
      <c r="K727" s="92"/>
      <c r="L727" s="92"/>
      <c r="M727" s="92"/>
      <c r="N727" s="92"/>
      <c r="O727" s="92"/>
      <c r="P727" s="92"/>
      <c r="Q727" s="92"/>
      <c r="R727" s="92"/>
      <c r="S727" s="92"/>
      <c r="T727" s="92"/>
      <c r="U727" s="92"/>
      <c r="V727" s="92"/>
      <c r="W727" s="92"/>
    </row>
    <row r="728" spans="1:23" s="89" customFormat="1" x14ac:dyDescent="0.2">
      <c r="A728" s="91"/>
      <c r="B728" s="93"/>
      <c r="C728" s="92"/>
      <c r="D728" s="92"/>
      <c r="E728" s="92"/>
      <c r="F728" s="92"/>
      <c r="G728" s="92"/>
      <c r="H728" s="92"/>
      <c r="I728" s="92"/>
      <c r="J728" s="92"/>
      <c r="K728" s="92"/>
      <c r="L728" s="92"/>
      <c r="M728" s="92"/>
      <c r="N728" s="92"/>
      <c r="O728" s="92"/>
      <c r="P728" s="92"/>
      <c r="Q728" s="92"/>
      <c r="R728" s="92"/>
      <c r="S728" s="92"/>
      <c r="T728" s="92"/>
      <c r="U728" s="92"/>
      <c r="V728" s="92"/>
      <c r="W728" s="92"/>
    </row>
    <row r="729" spans="1:23" s="89" customFormat="1" x14ac:dyDescent="0.2">
      <c r="A729" s="91"/>
      <c r="B729" s="93"/>
      <c r="C729" s="92"/>
      <c r="D729" s="92"/>
      <c r="E729" s="92"/>
      <c r="F729" s="92"/>
      <c r="G729" s="92"/>
      <c r="H729" s="92"/>
      <c r="I729" s="92"/>
      <c r="J729" s="92"/>
      <c r="K729" s="92"/>
      <c r="L729" s="92"/>
      <c r="M729" s="92"/>
      <c r="N729" s="92"/>
      <c r="O729" s="92"/>
      <c r="P729" s="92"/>
      <c r="Q729" s="92"/>
      <c r="R729" s="92"/>
      <c r="S729" s="92"/>
      <c r="T729" s="92"/>
      <c r="U729" s="92"/>
      <c r="V729" s="92"/>
      <c r="W729" s="92"/>
    </row>
    <row r="730" spans="1:23" s="89" customFormat="1" x14ac:dyDescent="0.2">
      <c r="A730" s="91"/>
      <c r="B730" s="93"/>
      <c r="C730" s="92"/>
      <c r="D730" s="92"/>
      <c r="E730" s="92"/>
      <c r="F730" s="92"/>
      <c r="G730" s="92"/>
      <c r="H730" s="92"/>
      <c r="I730" s="92"/>
      <c r="J730" s="92"/>
      <c r="K730" s="92"/>
      <c r="L730" s="92"/>
      <c r="M730" s="92"/>
      <c r="N730" s="92"/>
      <c r="O730" s="92"/>
      <c r="P730" s="92"/>
      <c r="Q730" s="92"/>
      <c r="R730" s="92"/>
      <c r="S730" s="92"/>
      <c r="T730" s="92"/>
      <c r="U730" s="92"/>
      <c r="V730" s="92"/>
      <c r="W730" s="92"/>
    </row>
    <row r="731" spans="1:23" s="89" customFormat="1" x14ac:dyDescent="0.2">
      <c r="A731" s="91"/>
      <c r="B731" s="93"/>
      <c r="C731" s="92"/>
      <c r="D731" s="92"/>
      <c r="E731" s="92"/>
      <c r="F731" s="92"/>
      <c r="G731" s="92"/>
      <c r="H731" s="92"/>
      <c r="I731" s="92"/>
      <c r="J731" s="92"/>
      <c r="K731" s="92"/>
      <c r="L731" s="92"/>
      <c r="M731" s="92"/>
      <c r="N731" s="92"/>
      <c r="O731" s="92"/>
      <c r="P731" s="92"/>
      <c r="Q731" s="92"/>
      <c r="R731" s="92"/>
      <c r="S731" s="92"/>
      <c r="T731" s="92"/>
      <c r="U731" s="92"/>
      <c r="V731" s="92"/>
      <c r="W731" s="92"/>
    </row>
    <row r="732" spans="1:23" s="89" customFormat="1" x14ac:dyDescent="0.2">
      <c r="A732" s="91"/>
      <c r="B732" s="93"/>
      <c r="C732" s="92"/>
      <c r="D732" s="92"/>
      <c r="E732" s="92"/>
      <c r="F732" s="92"/>
      <c r="G732" s="92"/>
      <c r="H732" s="92"/>
      <c r="I732" s="92"/>
      <c r="J732" s="92"/>
      <c r="K732" s="92"/>
      <c r="L732" s="92"/>
      <c r="M732" s="92"/>
      <c r="N732" s="92"/>
      <c r="O732" s="92"/>
      <c r="P732" s="92"/>
      <c r="Q732" s="92"/>
      <c r="R732" s="92"/>
      <c r="S732" s="92"/>
      <c r="T732" s="92"/>
      <c r="U732" s="92"/>
      <c r="V732" s="92"/>
      <c r="W732" s="92"/>
    </row>
    <row r="733" spans="1:23" s="89" customFormat="1" x14ac:dyDescent="0.2">
      <c r="A733" s="91"/>
      <c r="B733" s="93"/>
      <c r="C733" s="92"/>
      <c r="D733" s="92"/>
      <c r="E733" s="92"/>
      <c r="F733" s="92"/>
      <c r="G733" s="92"/>
      <c r="H733" s="92"/>
      <c r="I733" s="92"/>
      <c r="J733" s="92"/>
      <c r="K733" s="92"/>
      <c r="L733" s="92"/>
      <c r="M733" s="92"/>
      <c r="N733" s="92"/>
      <c r="O733" s="92"/>
      <c r="P733" s="92"/>
      <c r="Q733" s="92"/>
      <c r="R733" s="92"/>
      <c r="S733" s="92"/>
      <c r="T733" s="92"/>
      <c r="U733" s="92"/>
      <c r="V733" s="92"/>
      <c r="W733" s="92"/>
    </row>
    <row r="734" spans="1:23" s="89" customFormat="1" x14ac:dyDescent="0.2">
      <c r="A734" s="91"/>
      <c r="B734" s="93"/>
      <c r="C734" s="92"/>
      <c r="D734" s="92"/>
      <c r="E734" s="92"/>
      <c r="F734" s="92"/>
      <c r="G734" s="92"/>
      <c r="H734" s="92"/>
      <c r="I734" s="92"/>
      <c r="J734" s="92"/>
      <c r="K734" s="92"/>
      <c r="L734" s="92"/>
      <c r="M734" s="92"/>
      <c r="N734" s="92"/>
      <c r="O734" s="92"/>
      <c r="P734" s="92"/>
      <c r="Q734" s="92"/>
      <c r="R734" s="92"/>
      <c r="S734" s="92"/>
      <c r="T734" s="92"/>
      <c r="U734" s="92"/>
      <c r="V734" s="92"/>
      <c r="W734" s="92"/>
    </row>
    <row r="735" spans="1:23" s="89" customFormat="1" x14ac:dyDescent="0.2">
      <c r="A735" s="91"/>
      <c r="B735" s="93"/>
      <c r="C735" s="92"/>
      <c r="D735" s="92"/>
      <c r="E735" s="92"/>
      <c r="F735" s="92"/>
      <c r="G735" s="92"/>
      <c r="H735" s="92"/>
      <c r="I735" s="92"/>
      <c r="J735" s="92"/>
      <c r="K735" s="92"/>
      <c r="L735" s="92"/>
      <c r="M735" s="92"/>
      <c r="N735" s="92"/>
      <c r="O735" s="92"/>
      <c r="P735" s="92"/>
      <c r="Q735" s="92"/>
      <c r="R735" s="92"/>
      <c r="S735" s="92"/>
      <c r="T735" s="92"/>
      <c r="U735" s="92"/>
      <c r="V735" s="92"/>
      <c r="W735" s="92"/>
    </row>
    <row r="736" spans="1:23" s="89" customFormat="1" x14ac:dyDescent="0.2">
      <c r="A736" s="91"/>
      <c r="B736" s="93"/>
      <c r="C736" s="92"/>
      <c r="D736" s="92"/>
      <c r="E736" s="92"/>
      <c r="F736" s="92"/>
      <c r="G736" s="92"/>
      <c r="H736" s="92"/>
      <c r="I736" s="92"/>
      <c r="J736" s="92"/>
      <c r="K736" s="92"/>
      <c r="L736" s="92"/>
      <c r="M736" s="92"/>
      <c r="N736" s="92"/>
      <c r="O736" s="92"/>
      <c r="P736" s="92"/>
      <c r="Q736" s="92"/>
      <c r="R736" s="92"/>
      <c r="S736" s="92"/>
      <c r="T736" s="92"/>
      <c r="U736" s="92"/>
      <c r="V736" s="92"/>
      <c r="W736" s="92"/>
    </row>
    <row r="737" spans="1:23" s="89" customFormat="1" x14ac:dyDescent="0.2">
      <c r="A737" s="91"/>
      <c r="B737" s="93"/>
      <c r="C737" s="92"/>
      <c r="D737" s="92"/>
      <c r="E737" s="92"/>
      <c r="F737" s="92"/>
      <c r="G737" s="92"/>
      <c r="H737" s="92"/>
      <c r="I737" s="92"/>
      <c r="J737" s="92"/>
      <c r="K737" s="92"/>
      <c r="L737" s="92"/>
      <c r="M737" s="92"/>
      <c r="N737" s="92"/>
      <c r="O737" s="92"/>
      <c r="P737" s="92"/>
      <c r="Q737" s="92"/>
      <c r="R737" s="92"/>
      <c r="S737" s="92"/>
      <c r="T737" s="92"/>
      <c r="U737" s="92"/>
      <c r="V737" s="92"/>
      <c r="W737" s="92"/>
    </row>
    <row r="738" spans="1:23" s="89" customFormat="1" x14ac:dyDescent="0.2">
      <c r="A738" s="91"/>
      <c r="B738" s="93"/>
      <c r="C738" s="92"/>
      <c r="D738" s="92"/>
      <c r="E738" s="92"/>
      <c r="F738" s="92"/>
      <c r="G738" s="92"/>
      <c r="H738" s="92"/>
      <c r="I738" s="92"/>
      <c r="J738" s="92"/>
      <c r="K738" s="92"/>
      <c r="L738" s="92"/>
      <c r="M738" s="92"/>
      <c r="N738" s="92"/>
      <c r="O738" s="92"/>
      <c r="P738" s="92"/>
      <c r="Q738" s="92"/>
      <c r="R738" s="92"/>
      <c r="S738" s="92"/>
      <c r="T738" s="92"/>
      <c r="U738" s="92"/>
      <c r="V738" s="92"/>
      <c r="W738" s="92"/>
    </row>
    <row r="739" spans="1:23" s="89" customFormat="1" x14ac:dyDescent="0.2">
      <c r="A739" s="91"/>
      <c r="B739" s="93"/>
      <c r="C739" s="92"/>
      <c r="D739" s="92"/>
      <c r="E739" s="92"/>
      <c r="F739" s="92"/>
      <c r="G739" s="92"/>
      <c r="H739" s="92"/>
      <c r="I739" s="92"/>
      <c r="J739" s="92"/>
      <c r="K739" s="92"/>
      <c r="L739" s="92"/>
      <c r="M739" s="92"/>
      <c r="N739" s="92"/>
      <c r="O739" s="92"/>
      <c r="P739" s="92"/>
      <c r="Q739" s="92"/>
      <c r="R739" s="92"/>
      <c r="S739" s="92"/>
      <c r="T739" s="92"/>
      <c r="U739" s="92"/>
      <c r="V739" s="92"/>
      <c r="W739" s="92"/>
    </row>
    <row r="740" spans="1:23" s="89" customFormat="1" x14ac:dyDescent="0.2">
      <c r="A740" s="91"/>
      <c r="B740" s="93"/>
      <c r="C740" s="92"/>
      <c r="D740" s="92"/>
      <c r="E740" s="92"/>
      <c r="F740" s="92"/>
      <c r="G740" s="92"/>
      <c r="H740" s="92"/>
      <c r="I740" s="92"/>
      <c r="J740" s="92"/>
      <c r="K740" s="92"/>
      <c r="L740" s="92"/>
      <c r="M740" s="92"/>
      <c r="N740" s="92"/>
      <c r="O740" s="92"/>
      <c r="P740" s="92"/>
      <c r="Q740" s="92"/>
      <c r="R740" s="92"/>
      <c r="S740" s="92"/>
      <c r="T740" s="92"/>
      <c r="U740" s="92"/>
      <c r="V740" s="92"/>
      <c r="W740" s="92"/>
    </row>
    <row r="741" spans="1:23" s="89" customFormat="1" x14ac:dyDescent="0.2">
      <c r="A741" s="91"/>
      <c r="B741" s="93"/>
      <c r="C741" s="92"/>
      <c r="D741" s="92"/>
      <c r="E741" s="92"/>
      <c r="F741" s="92"/>
      <c r="G741" s="92"/>
      <c r="H741" s="92"/>
      <c r="I741" s="92"/>
      <c r="J741" s="92"/>
      <c r="K741" s="92"/>
      <c r="L741" s="92"/>
      <c r="M741" s="92"/>
      <c r="N741" s="92"/>
      <c r="O741" s="92"/>
      <c r="P741" s="92"/>
      <c r="Q741" s="92"/>
      <c r="R741" s="92"/>
      <c r="S741" s="92"/>
      <c r="T741" s="92"/>
      <c r="U741" s="92"/>
      <c r="V741" s="92"/>
      <c r="W741" s="92"/>
    </row>
    <row r="742" spans="1:23" s="89" customFormat="1" x14ac:dyDescent="0.2">
      <c r="A742" s="91"/>
      <c r="B742" s="93"/>
      <c r="C742" s="92"/>
      <c r="D742" s="92"/>
      <c r="E742" s="92"/>
      <c r="F742" s="92"/>
      <c r="G742" s="92"/>
      <c r="H742" s="92"/>
      <c r="I742" s="92"/>
      <c r="J742" s="92"/>
      <c r="K742" s="92"/>
      <c r="L742" s="92"/>
      <c r="M742" s="92"/>
      <c r="N742" s="92"/>
      <c r="O742" s="92"/>
      <c r="P742" s="92"/>
      <c r="Q742" s="92"/>
      <c r="R742" s="92"/>
      <c r="S742" s="92"/>
      <c r="T742" s="92"/>
      <c r="U742" s="92"/>
      <c r="V742" s="92"/>
      <c r="W742" s="92"/>
    </row>
    <row r="743" spans="1:23" s="89" customFormat="1" x14ac:dyDescent="0.2">
      <c r="A743" s="91"/>
      <c r="B743" s="93"/>
      <c r="C743" s="92"/>
      <c r="D743" s="92"/>
      <c r="E743" s="92"/>
      <c r="F743" s="92"/>
      <c r="G743" s="92"/>
      <c r="H743" s="92"/>
      <c r="I743" s="92"/>
      <c r="J743" s="92"/>
      <c r="K743" s="92"/>
      <c r="L743" s="92"/>
      <c r="M743" s="92"/>
      <c r="N743" s="92"/>
      <c r="O743" s="92"/>
      <c r="P743" s="92"/>
      <c r="Q743" s="92"/>
      <c r="R743" s="92"/>
      <c r="S743" s="92"/>
      <c r="T743" s="92"/>
      <c r="U743" s="92"/>
      <c r="V743" s="92"/>
      <c r="W743" s="92"/>
    </row>
    <row r="744" spans="1:23" s="89" customFormat="1" x14ac:dyDescent="0.2">
      <c r="A744" s="91"/>
      <c r="B744" s="93"/>
      <c r="C744" s="92"/>
      <c r="D744" s="92"/>
      <c r="E744" s="92"/>
      <c r="F744" s="92"/>
      <c r="G744" s="92"/>
      <c r="H744" s="92"/>
      <c r="I744" s="92"/>
      <c r="J744" s="92"/>
      <c r="K744" s="92"/>
      <c r="L744" s="92"/>
      <c r="M744" s="92"/>
      <c r="N744" s="92"/>
      <c r="O744" s="92"/>
      <c r="P744" s="92"/>
      <c r="Q744" s="92"/>
      <c r="R744" s="92"/>
      <c r="S744" s="92"/>
      <c r="T744" s="92"/>
      <c r="U744" s="92"/>
      <c r="V744" s="92"/>
      <c r="W744" s="92"/>
    </row>
    <row r="745" spans="1:23" s="89" customFormat="1" x14ac:dyDescent="0.2">
      <c r="A745" s="91"/>
      <c r="B745" s="93"/>
      <c r="C745" s="92"/>
      <c r="D745" s="92"/>
      <c r="E745" s="92"/>
      <c r="F745" s="92"/>
      <c r="G745" s="92"/>
      <c r="H745" s="92"/>
      <c r="I745" s="92"/>
      <c r="J745" s="92"/>
      <c r="K745" s="92"/>
      <c r="L745" s="92"/>
      <c r="M745" s="92"/>
      <c r="N745" s="92"/>
      <c r="O745" s="92"/>
      <c r="P745" s="92"/>
      <c r="Q745" s="92"/>
      <c r="R745" s="92"/>
      <c r="S745" s="92"/>
      <c r="T745" s="92"/>
      <c r="U745" s="92"/>
      <c r="V745" s="92"/>
      <c r="W745" s="92"/>
    </row>
    <row r="746" spans="1:23" s="89" customFormat="1" x14ac:dyDescent="0.2">
      <c r="A746" s="91"/>
      <c r="B746" s="93"/>
      <c r="C746" s="92"/>
      <c r="D746" s="92"/>
      <c r="E746" s="92"/>
      <c r="F746" s="92"/>
      <c r="G746" s="92"/>
      <c r="H746" s="92"/>
      <c r="I746" s="92"/>
      <c r="J746" s="92"/>
      <c r="K746" s="92"/>
      <c r="L746" s="92"/>
      <c r="M746" s="92"/>
      <c r="N746" s="92"/>
      <c r="O746" s="92"/>
      <c r="P746" s="92"/>
      <c r="Q746" s="92"/>
      <c r="R746" s="92"/>
      <c r="S746" s="92"/>
      <c r="T746" s="92"/>
      <c r="U746" s="92"/>
      <c r="V746" s="92"/>
      <c r="W746" s="92"/>
    </row>
    <row r="747" spans="1:23" s="89" customFormat="1" x14ac:dyDescent="0.2">
      <c r="A747" s="91"/>
      <c r="B747" s="93"/>
      <c r="C747" s="92"/>
      <c r="D747" s="92"/>
      <c r="E747" s="92"/>
      <c r="F747" s="92"/>
      <c r="G747" s="92"/>
      <c r="H747" s="92"/>
      <c r="I747" s="92"/>
      <c r="J747" s="92"/>
      <c r="K747" s="92"/>
      <c r="L747" s="92"/>
      <c r="M747" s="92"/>
      <c r="N747" s="92"/>
      <c r="O747" s="92"/>
      <c r="P747" s="92"/>
      <c r="Q747" s="92"/>
      <c r="R747" s="92"/>
      <c r="S747" s="92"/>
      <c r="T747" s="92"/>
      <c r="U747" s="92"/>
      <c r="V747" s="92"/>
      <c r="W747" s="92"/>
    </row>
    <row r="748" spans="1:23" s="89" customFormat="1" x14ac:dyDescent="0.2">
      <c r="A748" s="91"/>
      <c r="B748" s="93"/>
      <c r="C748" s="92"/>
      <c r="D748" s="92"/>
      <c r="E748" s="92"/>
      <c r="F748" s="92"/>
      <c r="G748" s="92"/>
      <c r="H748" s="92"/>
      <c r="I748" s="92"/>
      <c r="J748" s="92"/>
      <c r="K748" s="92"/>
      <c r="L748" s="92"/>
      <c r="M748" s="92"/>
      <c r="N748" s="92"/>
      <c r="O748" s="92"/>
      <c r="P748" s="92"/>
      <c r="Q748" s="92"/>
      <c r="R748" s="92"/>
      <c r="S748" s="92"/>
      <c r="T748" s="92"/>
      <c r="U748" s="92"/>
      <c r="V748" s="92"/>
      <c r="W748" s="92"/>
    </row>
    <row r="749" spans="1:23" s="89" customFormat="1" x14ac:dyDescent="0.2">
      <c r="A749" s="91"/>
      <c r="B749" s="93"/>
      <c r="C749" s="92"/>
      <c r="D749" s="92"/>
      <c r="E749" s="92"/>
      <c r="F749" s="92"/>
      <c r="G749" s="92"/>
      <c r="H749" s="92"/>
      <c r="I749" s="92"/>
      <c r="J749" s="92"/>
      <c r="K749" s="92"/>
      <c r="L749" s="92"/>
      <c r="M749" s="92"/>
      <c r="N749" s="92"/>
      <c r="O749" s="92"/>
      <c r="P749" s="92"/>
      <c r="Q749" s="92"/>
      <c r="R749" s="92"/>
      <c r="S749" s="92"/>
      <c r="T749" s="92"/>
      <c r="U749" s="92"/>
      <c r="V749" s="92"/>
      <c r="W749" s="92"/>
    </row>
    <row r="750" spans="1:23" s="89" customFormat="1" x14ac:dyDescent="0.2">
      <c r="A750" s="91"/>
      <c r="B750" s="93"/>
      <c r="C750" s="92"/>
      <c r="D750" s="92"/>
      <c r="E750" s="92"/>
      <c r="F750" s="92"/>
      <c r="G750" s="92"/>
      <c r="H750" s="92"/>
      <c r="I750" s="92"/>
      <c r="J750" s="92"/>
      <c r="K750" s="92"/>
      <c r="L750" s="92"/>
      <c r="M750" s="92"/>
      <c r="N750" s="92"/>
      <c r="O750" s="92"/>
      <c r="P750" s="92"/>
      <c r="Q750" s="92"/>
      <c r="R750" s="92"/>
      <c r="S750" s="92"/>
      <c r="T750" s="92"/>
      <c r="U750" s="92"/>
      <c r="V750" s="92"/>
      <c r="W750" s="92"/>
    </row>
    <row r="751" spans="1:23" s="89" customFormat="1" x14ac:dyDescent="0.2">
      <c r="A751" s="91"/>
      <c r="B751" s="93"/>
      <c r="C751" s="92"/>
      <c r="D751" s="92"/>
      <c r="E751" s="92"/>
      <c r="F751" s="92"/>
      <c r="G751" s="92"/>
      <c r="H751" s="92"/>
      <c r="I751" s="92"/>
      <c r="J751" s="92"/>
      <c r="K751" s="92"/>
      <c r="L751" s="92"/>
      <c r="M751" s="92"/>
      <c r="N751" s="92"/>
      <c r="O751" s="92"/>
      <c r="P751" s="92"/>
      <c r="Q751" s="92"/>
      <c r="R751" s="92"/>
      <c r="S751" s="92"/>
      <c r="T751" s="92"/>
      <c r="U751" s="92"/>
      <c r="V751" s="92"/>
      <c r="W751" s="92"/>
    </row>
    <row r="752" spans="1:23" s="89" customFormat="1" x14ac:dyDescent="0.2">
      <c r="A752" s="91"/>
      <c r="B752" s="93"/>
      <c r="C752" s="92"/>
      <c r="D752" s="92"/>
      <c r="E752" s="92"/>
      <c r="F752" s="92"/>
      <c r="G752" s="92"/>
      <c r="H752" s="92"/>
      <c r="I752" s="92"/>
      <c r="J752" s="92"/>
      <c r="K752" s="92"/>
      <c r="L752" s="92"/>
      <c r="M752" s="92"/>
      <c r="N752" s="92"/>
      <c r="O752" s="92"/>
      <c r="P752" s="92"/>
      <c r="Q752" s="92"/>
      <c r="R752" s="92"/>
      <c r="S752" s="92"/>
      <c r="T752" s="92"/>
      <c r="U752" s="92"/>
      <c r="V752" s="92"/>
      <c r="W752" s="92"/>
    </row>
    <row r="753" spans="1:23" s="89" customFormat="1" x14ac:dyDescent="0.2">
      <c r="A753" s="91"/>
      <c r="B753" s="93"/>
      <c r="C753" s="92"/>
      <c r="D753" s="92"/>
      <c r="E753" s="92"/>
      <c r="F753" s="92"/>
      <c r="G753" s="92"/>
      <c r="H753" s="92"/>
      <c r="I753" s="92"/>
      <c r="J753" s="92"/>
      <c r="K753" s="92"/>
      <c r="L753" s="92"/>
      <c r="M753" s="92"/>
      <c r="N753" s="92"/>
      <c r="O753" s="92"/>
      <c r="P753" s="92"/>
      <c r="Q753" s="92"/>
      <c r="R753" s="92"/>
      <c r="S753" s="92"/>
      <c r="T753" s="92"/>
      <c r="U753" s="92"/>
      <c r="V753" s="92"/>
      <c r="W753" s="92"/>
    </row>
    <row r="754" spans="1:23" s="89" customFormat="1" x14ac:dyDescent="0.2">
      <c r="A754" s="91"/>
      <c r="B754" s="93"/>
      <c r="C754" s="92"/>
      <c r="D754" s="92"/>
      <c r="E754" s="92"/>
      <c r="F754" s="92"/>
      <c r="G754" s="92"/>
      <c r="H754" s="92"/>
      <c r="I754" s="92"/>
      <c r="J754" s="92"/>
      <c r="K754" s="92"/>
      <c r="L754" s="92"/>
      <c r="M754" s="92"/>
      <c r="N754" s="92"/>
      <c r="O754" s="92"/>
      <c r="P754" s="92"/>
      <c r="Q754" s="92"/>
      <c r="R754" s="92"/>
      <c r="S754" s="92"/>
      <c r="T754" s="92"/>
      <c r="U754" s="92"/>
      <c r="V754" s="92"/>
      <c r="W754" s="92"/>
    </row>
    <row r="755" spans="1:23" s="89" customFormat="1" x14ac:dyDescent="0.2">
      <c r="A755" s="91"/>
      <c r="B755" s="93"/>
      <c r="C755" s="92"/>
      <c r="D755" s="92"/>
      <c r="E755" s="92"/>
      <c r="F755" s="92"/>
      <c r="G755" s="92"/>
      <c r="H755" s="92"/>
      <c r="I755" s="92"/>
      <c r="J755" s="92"/>
      <c r="K755" s="92"/>
      <c r="L755" s="92"/>
      <c r="M755" s="92"/>
      <c r="N755" s="92"/>
      <c r="O755" s="92"/>
      <c r="P755" s="92"/>
      <c r="Q755" s="92"/>
      <c r="R755" s="92"/>
      <c r="S755" s="92"/>
      <c r="T755" s="92"/>
      <c r="U755" s="92"/>
      <c r="V755" s="92"/>
      <c r="W755" s="92"/>
    </row>
    <row r="756" spans="1:23" s="89" customFormat="1" x14ac:dyDescent="0.2">
      <c r="A756" s="91"/>
      <c r="B756" s="93"/>
      <c r="C756" s="92"/>
      <c r="D756" s="92"/>
      <c r="E756" s="92"/>
      <c r="F756" s="92"/>
      <c r="G756" s="92"/>
      <c r="H756" s="92"/>
      <c r="I756" s="92"/>
      <c r="J756" s="92"/>
      <c r="K756" s="92"/>
      <c r="L756" s="92"/>
      <c r="M756" s="92"/>
      <c r="N756" s="92"/>
      <c r="O756" s="92"/>
      <c r="P756" s="92"/>
      <c r="Q756" s="92"/>
      <c r="R756" s="92"/>
      <c r="S756" s="92"/>
      <c r="T756" s="92"/>
      <c r="U756" s="92"/>
      <c r="V756" s="92"/>
      <c r="W756" s="92"/>
    </row>
    <row r="757" spans="1:23" s="89" customFormat="1" x14ac:dyDescent="0.2">
      <c r="A757" s="91"/>
      <c r="B757" s="93"/>
      <c r="C757" s="92"/>
      <c r="D757" s="92"/>
      <c r="E757" s="92"/>
      <c r="F757" s="92"/>
      <c r="G757" s="92"/>
      <c r="H757" s="92"/>
      <c r="I757" s="92"/>
      <c r="J757" s="92"/>
      <c r="K757" s="92"/>
      <c r="L757" s="92"/>
      <c r="M757" s="92"/>
      <c r="N757" s="92"/>
      <c r="O757" s="92"/>
      <c r="P757" s="92"/>
      <c r="Q757" s="92"/>
      <c r="R757" s="92"/>
      <c r="S757" s="92"/>
      <c r="T757" s="92"/>
      <c r="U757" s="92"/>
      <c r="V757" s="92"/>
      <c r="W757" s="92"/>
    </row>
    <row r="758" spans="1:23" s="89" customFormat="1" x14ac:dyDescent="0.2">
      <c r="A758" s="91"/>
      <c r="B758" s="93"/>
      <c r="C758" s="92"/>
      <c r="D758" s="92"/>
      <c r="E758" s="92"/>
      <c r="F758" s="92"/>
      <c r="G758" s="92"/>
      <c r="H758" s="92"/>
      <c r="I758" s="92"/>
      <c r="J758" s="92"/>
      <c r="K758" s="92"/>
      <c r="L758" s="92"/>
      <c r="M758" s="92"/>
      <c r="N758" s="92"/>
      <c r="O758" s="92"/>
      <c r="P758" s="92"/>
      <c r="Q758" s="92"/>
      <c r="R758" s="92"/>
      <c r="S758" s="92"/>
      <c r="T758" s="92"/>
      <c r="U758" s="92"/>
      <c r="V758" s="92"/>
      <c r="W758" s="92"/>
    </row>
    <row r="759" spans="1:23" s="89" customFormat="1" x14ac:dyDescent="0.2">
      <c r="A759" s="91"/>
      <c r="B759" s="93"/>
      <c r="C759" s="92"/>
      <c r="D759" s="92"/>
      <c r="E759" s="92"/>
      <c r="F759" s="92"/>
      <c r="G759" s="92"/>
      <c r="H759" s="92"/>
      <c r="I759" s="92"/>
      <c r="J759" s="92"/>
      <c r="K759" s="92"/>
      <c r="L759" s="92"/>
      <c r="M759" s="92"/>
      <c r="N759" s="92"/>
      <c r="O759" s="92"/>
      <c r="P759" s="92"/>
      <c r="Q759" s="92"/>
      <c r="R759" s="92"/>
      <c r="S759" s="92"/>
      <c r="T759" s="92"/>
      <c r="U759" s="92"/>
      <c r="V759" s="92"/>
      <c r="W759" s="92"/>
    </row>
    <row r="760" spans="1:23" s="89" customFormat="1" x14ac:dyDescent="0.2">
      <c r="A760" s="91"/>
      <c r="B760" s="93"/>
      <c r="C760" s="92"/>
      <c r="D760" s="92"/>
      <c r="E760" s="92"/>
      <c r="F760" s="92"/>
      <c r="G760" s="92"/>
      <c r="H760" s="92"/>
      <c r="I760" s="92"/>
      <c r="J760" s="92"/>
      <c r="K760" s="92"/>
      <c r="L760" s="92"/>
      <c r="M760" s="92"/>
      <c r="N760" s="92"/>
      <c r="O760" s="92"/>
      <c r="P760" s="92"/>
      <c r="Q760" s="92"/>
      <c r="R760" s="92"/>
      <c r="S760" s="92"/>
      <c r="T760" s="92"/>
      <c r="U760" s="92"/>
      <c r="V760" s="92"/>
      <c r="W760" s="92"/>
    </row>
    <row r="761" spans="1:23" s="89" customFormat="1" x14ac:dyDescent="0.2">
      <c r="A761" s="91"/>
      <c r="B761" s="93"/>
      <c r="C761" s="92"/>
      <c r="D761" s="92"/>
      <c r="E761" s="92"/>
      <c r="F761" s="92"/>
      <c r="G761" s="92"/>
      <c r="H761" s="92"/>
      <c r="I761" s="92"/>
      <c r="J761" s="92"/>
      <c r="K761" s="92"/>
      <c r="L761" s="92"/>
      <c r="M761" s="92"/>
      <c r="N761" s="92"/>
      <c r="O761" s="92"/>
      <c r="P761" s="92"/>
      <c r="Q761" s="92"/>
      <c r="R761" s="92"/>
      <c r="S761" s="92"/>
      <c r="T761" s="92"/>
      <c r="U761" s="92"/>
      <c r="V761" s="92"/>
      <c r="W761" s="92"/>
    </row>
    <row r="762" spans="1:23" s="89" customFormat="1" x14ac:dyDescent="0.2">
      <c r="A762" s="91"/>
      <c r="B762" s="93"/>
      <c r="C762" s="92"/>
      <c r="D762" s="92"/>
      <c r="E762" s="92"/>
      <c r="F762" s="92"/>
      <c r="G762" s="92"/>
      <c r="H762" s="92"/>
      <c r="I762" s="92"/>
      <c r="J762" s="92"/>
      <c r="K762" s="92"/>
      <c r="L762" s="92"/>
      <c r="M762" s="92"/>
      <c r="N762" s="92"/>
      <c r="O762" s="92"/>
      <c r="P762" s="92"/>
      <c r="Q762" s="92"/>
      <c r="R762" s="92"/>
      <c r="S762" s="92"/>
      <c r="T762" s="92"/>
      <c r="U762" s="92"/>
      <c r="V762" s="92"/>
      <c r="W762" s="92"/>
    </row>
    <row r="763" spans="1:23" s="89" customFormat="1" x14ac:dyDescent="0.2">
      <c r="A763" s="91"/>
      <c r="B763" s="93"/>
      <c r="C763" s="92"/>
      <c r="D763" s="92"/>
      <c r="E763" s="92"/>
      <c r="F763" s="92"/>
      <c r="G763" s="92"/>
      <c r="H763" s="92"/>
      <c r="I763" s="92"/>
      <c r="J763" s="92"/>
      <c r="K763" s="92"/>
      <c r="L763" s="92"/>
      <c r="M763" s="92"/>
      <c r="N763" s="92"/>
      <c r="O763" s="92"/>
      <c r="P763" s="92"/>
      <c r="Q763" s="92"/>
      <c r="R763" s="92"/>
      <c r="S763" s="92"/>
      <c r="T763" s="92"/>
      <c r="U763" s="92"/>
      <c r="V763" s="92"/>
      <c r="W763" s="92"/>
    </row>
    <row r="764" spans="1:23" s="89" customFormat="1" x14ac:dyDescent="0.2">
      <c r="A764" s="91"/>
      <c r="B764" s="93"/>
      <c r="C764" s="92"/>
      <c r="D764" s="92"/>
      <c r="E764" s="92"/>
      <c r="F764" s="92"/>
      <c r="G764" s="92"/>
      <c r="H764" s="92"/>
      <c r="I764" s="92"/>
      <c r="J764" s="92"/>
      <c r="K764" s="92"/>
      <c r="L764" s="92"/>
      <c r="M764" s="92"/>
      <c r="N764" s="92"/>
      <c r="O764" s="92"/>
      <c r="P764" s="92"/>
      <c r="Q764" s="92"/>
      <c r="R764" s="92"/>
      <c r="S764" s="92"/>
      <c r="T764" s="92"/>
      <c r="U764" s="92"/>
      <c r="V764" s="92"/>
      <c r="W764" s="92"/>
    </row>
    <row r="765" spans="1:23" s="89" customFormat="1" x14ac:dyDescent="0.2">
      <c r="A765" s="91"/>
      <c r="B765" s="93"/>
      <c r="C765" s="92"/>
      <c r="D765" s="92"/>
      <c r="E765" s="92"/>
      <c r="F765" s="92"/>
      <c r="G765" s="92"/>
      <c r="H765" s="92"/>
      <c r="I765" s="92"/>
      <c r="J765" s="92"/>
      <c r="K765" s="92"/>
      <c r="L765" s="92"/>
      <c r="M765" s="92"/>
      <c r="N765" s="92"/>
      <c r="O765" s="92"/>
      <c r="P765" s="92"/>
      <c r="Q765" s="92"/>
      <c r="R765" s="92"/>
      <c r="S765" s="92"/>
      <c r="T765" s="92"/>
      <c r="U765" s="92"/>
      <c r="V765" s="92"/>
      <c r="W765" s="92"/>
    </row>
    <row r="766" spans="1:23" s="89" customFormat="1" x14ac:dyDescent="0.2">
      <c r="A766" s="91"/>
      <c r="B766" s="93"/>
      <c r="C766" s="92"/>
      <c r="D766" s="92"/>
      <c r="E766" s="92"/>
      <c r="F766" s="92"/>
      <c r="G766" s="92"/>
      <c r="H766" s="92"/>
      <c r="I766" s="92"/>
      <c r="J766" s="92"/>
      <c r="K766" s="92"/>
      <c r="L766" s="92"/>
      <c r="M766" s="92"/>
      <c r="N766" s="92"/>
      <c r="O766" s="92"/>
      <c r="P766" s="92"/>
      <c r="Q766" s="92"/>
      <c r="R766" s="92"/>
      <c r="S766" s="92"/>
      <c r="T766" s="92"/>
      <c r="U766" s="92"/>
      <c r="V766" s="92"/>
      <c r="W766" s="92"/>
    </row>
    <row r="767" spans="1:23" s="89" customFormat="1" x14ac:dyDescent="0.2">
      <c r="A767" s="91"/>
      <c r="B767" s="93"/>
      <c r="C767" s="92"/>
      <c r="D767" s="92"/>
      <c r="E767" s="92"/>
      <c r="F767" s="92"/>
      <c r="G767" s="92"/>
      <c r="H767" s="92"/>
      <c r="I767" s="92"/>
      <c r="J767" s="92"/>
      <c r="K767" s="92"/>
      <c r="L767" s="92"/>
      <c r="M767" s="92"/>
      <c r="N767" s="92"/>
      <c r="O767" s="92"/>
      <c r="P767" s="92"/>
      <c r="Q767" s="92"/>
      <c r="R767" s="92"/>
      <c r="S767" s="92"/>
      <c r="T767" s="92"/>
      <c r="U767" s="92"/>
      <c r="V767" s="92"/>
      <c r="W767" s="92"/>
    </row>
    <row r="768" spans="1:23" s="89" customFormat="1" x14ac:dyDescent="0.2">
      <c r="A768" s="91"/>
      <c r="B768" s="93"/>
      <c r="C768" s="92"/>
      <c r="D768" s="92"/>
      <c r="E768" s="92"/>
      <c r="F768" s="92"/>
      <c r="G768" s="92"/>
      <c r="H768" s="92"/>
      <c r="I768" s="92"/>
      <c r="J768" s="92"/>
      <c r="K768" s="92"/>
      <c r="L768" s="92"/>
      <c r="M768" s="92"/>
      <c r="N768" s="92"/>
      <c r="O768" s="92"/>
      <c r="P768" s="92"/>
      <c r="Q768" s="92"/>
      <c r="R768" s="92"/>
      <c r="S768" s="92"/>
      <c r="T768" s="92"/>
      <c r="U768" s="92"/>
      <c r="V768" s="92"/>
      <c r="W768" s="92"/>
    </row>
    <row r="769" spans="1:23" s="89" customFormat="1" x14ac:dyDescent="0.2">
      <c r="A769" s="91"/>
      <c r="B769" s="93"/>
      <c r="C769" s="92"/>
      <c r="D769" s="92"/>
      <c r="E769" s="92"/>
      <c r="F769" s="92"/>
      <c r="G769" s="92"/>
      <c r="H769" s="92"/>
      <c r="I769" s="92"/>
      <c r="J769" s="92"/>
      <c r="K769" s="92"/>
      <c r="L769" s="92"/>
      <c r="M769" s="92"/>
      <c r="N769" s="92"/>
      <c r="O769" s="92"/>
      <c r="P769" s="92"/>
      <c r="Q769" s="92"/>
      <c r="R769" s="92"/>
      <c r="S769" s="92"/>
      <c r="T769" s="92"/>
      <c r="U769" s="92"/>
      <c r="V769" s="92"/>
      <c r="W769" s="92"/>
    </row>
    <row r="770" spans="1:23" s="89" customFormat="1" x14ac:dyDescent="0.2">
      <c r="A770" s="91"/>
      <c r="B770" s="93"/>
      <c r="C770" s="92"/>
      <c r="D770" s="92"/>
      <c r="E770" s="92"/>
      <c r="F770" s="92"/>
      <c r="G770" s="92"/>
      <c r="H770" s="92"/>
      <c r="I770" s="92"/>
      <c r="J770" s="92"/>
      <c r="K770" s="92"/>
      <c r="L770" s="92"/>
      <c r="M770" s="92"/>
      <c r="N770" s="92"/>
      <c r="O770" s="92"/>
      <c r="P770" s="92"/>
      <c r="Q770" s="92"/>
      <c r="R770" s="92"/>
      <c r="S770" s="92"/>
      <c r="T770" s="92"/>
      <c r="U770" s="92"/>
      <c r="V770" s="92"/>
      <c r="W770" s="92"/>
    </row>
    <row r="771" spans="1:23" s="89" customFormat="1" x14ac:dyDescent="0.2">
      <c r="A771" s="91"/>
      <c r="B771" s="93"/>
      <c r="C771" s="92"/>
      <c r="D771" s="92"/>
      <c r="E771" s="92"/>
      <c r="F771" s="92"/>
      <c r="G771" s="92"/>
      <c r="H771" s="92"/>
      <c r="I771" s="92"/>
      <c r="J771" s="92"/>
      <c r="K771" s="92"/>
      <c r="L771" s="92"/>
      <c r="M771" s="92"/>
      <c r="N771" s="92"/>
      <c r="O771" s="92"/>
      <c r="P771" s="92"/>
      <c r="Q771" s="92"/>
      <c r="R771" s="92"/>
      <c r="S771" s="92"/>
      <c r="T771" s="92"/>
      <c r="U771" s="92"/>
      <c r="V771" s="92"/>
      <c r="W771" s="92"/>
    </row>
    <row r="772" spans="1:23" s="89" customFormat="1" x14ac:dyDescent="0.2">
      <c r="A772" s="91"/>
      <c r="B772" s="93"/>
      <c r="C772" s="92"/>
      <c r="D772" s="92"/>
      <c r="E772" s="92"/>
      <c r="F772" s="92"/>
      <c r="G772" s="92"/>
      <c r="H772" s="92"/>
      <c r="I772" s="92"/>
      <c r="J772" s="92"/>
      <c r="K772" s="92"/>
      <c r="L772" s="92"/>
      <c r="M772" s="92"/>
      <c r="N772" s="92"/>
      <c r="O772" s="92"/>
      <c r="P772" s="92"/>
      <c r="Q772" s="92"/>
      <c r="R772" s="92"/>
      <c r="S772" s="92"/>
      <c r="T772" s="92"/>
      <c r="U772" s="92"/>
      <c r="V772" s="92"/>
      <c r="W772" s="92"/>
    </row>
    <row r="773" spans="1:23" s="89" customFormat="1" x14ac:dyDescent="0.2">
      <c r="A773" s="91"/>
      <c r="B773" s="93"/>
      <c r="C773" s="92"/>
      <c r="D773" s="92"/>
      <c r="E773" s="92"/>
      <c r="F773" s="92"/>
      <c r="G773" s="92"/>
      <c r="H773" s="92"/>
      <c r="I773" s="92"/>
      <c r="J773" s="92"/>
      <c r="K773" s="92"/>
      <c r="L773" s="92"/>
      <c r="M773" s="92"/>
      <c r="N773" s="92"/>
      <c r="O773" s="92"/>
      <c r="P773" s="92"/>
      <c r="Q773" s="92"/>
      <c r="R773" s="92"/>
      <c r="S773" s="92"/>
      <c r="T773" s="92"/>
      <c r="U773" s="92"/>
      <c r="V773" s="92"/>
      <c r="W773" s="92"/>
    </row>
    <row r="774" spans="1:23" s="89" customFormat="1" x14ac:dyDescent="0.2">
      <c r="A774" s="91"/>
      <c r="B774" s="93"/>
      <c r="C774" s="92"/>
      <c r="D774" s="92"/>
      <c r="E774" s="92"/>
      <c r="F774" s="92"/>
      <c r="G774" s="92"/>
      <c r="H774" s="92"/>
      <c r="I774" s="92"/>
      <c r="J774" s="92"/>
      <c r="K774" s="92"/>
      <c r="L774" s="92"/>
      <c r="M774" s="92"/>
      <c r="N774" s="92"/>
      <c r="O774" s="92"/>
      <c r="P774" s="92"/>
      <c r="Q774" s="92"/>
      <c r="R774" s="92"/>
      <c r="S774" s="92"/>
      <c r="T774" s="92"/>
      <c r="U774" s="92"/>
      <c r="V774" s="92"/>
      <c r="W774" s="92"/>
    </row>
    <row r="775" spans="1:23" s="89" customFormat="1" x14ac:dyDescent="0.2">
      <c r="A775" s="91"/>
      <c r="B775" s="93"/>
      <c r="C775" s="92"/>
      <c r="D775" s="92"/>
      <c r="E775" s="92"/>
      <c r="F775" s="92"/>
      <c r="G775" s="92"/>
      <c r="H775" s="92"/>
      <c r="I775" s="92"/>
      <c r="J775" s="92"/>
      <c r="K775" s="92"/>
      <c r="L775" s="92"/>
      <c r="M775" s="92"/>
      <c r="N775" s="92"/>
      <c r="O775" s="92"/>
      <c r="P775" s="92"/>
      <c r="Q775" s="92"/>
      <c r="R775" s="92"/>
      <c r="S775" s="92"/>
      <c r="T775" s="92"/>
      <c r="U775" s="92"/>
      <c r="V775" s="92"/>
      <c r="W775" s="92"/>
    </row>
    <row r="776" spans="1:23" s="89" customFormat="1" x14ac:dyDescent="0.2">
      <c r="A776" s="91"/>
      <c r="B776" s="93"/>
      <c r="C776" s="92"/>
      <c r="D776" s="92"/>
      <c r="E776" s="92"/>
      <c r="F776" s="92"/>
      <c r="G776" s="92"/>
      <c r="H776" s="92"/>
      <c r="I776" s="92"/>
      <c r="J776" s="92"/>
      <c r="K776" s="92"/>
      <c r="L776" s="92"/>
      <c r="M776" s="92"/>
      <c r="N776" s="92"/>
      <c r="O776" s="92"/>
      <c r="P776" s="92"/>
      <c r="Q776" s="92"/>
      <c r="R776" s="92"/>
      <c r="S776" s="92"/>
      <c r="T776" s="92"/>
      <c r="U776" s="92"/>
      <c r="V776" s="92"/>
      <c r="W776" s="92"/>
    </row>
    <row r="777" spans="1:23" s="89" customFormat="1" x14ac:dyDescent="0.2">
      <c r="A777" s="91"/>
      <c r="B777" s="93"/>
      <c r="C777" s="92"/>
      <c r="D777" s="92"/>
      <c r="E777" s="92"/>
      <c r="F777" s="92"/>
      <c r="G777" s="92"/>
      <c r="H777" s="92"/>
      <c r="I777" s="92"/>
      <c r="J777" s="92"/>
      <c r="K777" s="92"/>
      <c r="L777" s="92"/>
      <c r="M777" s="92"/>
      <c r="N777" s="92"/>
      <c r="O777" s="92"/>
      <c r="P777" s="92"/>
      <c r="Q777" s="92"/>
      <c r="R777" s="92"/>
      <c r="S777" s="92"/>
      <c r="T777" s="92"/>
      <c r="U777" s="92"/>
      <c r="V777" s="92"/>
      <c r="W777" s="92"/>
    </row>
    <row r="778" spans="1:23" s="89" customFormat="1" x14ac:dyDescent="0.2">
      <c r="A778" s="91"/>
      <c r="B778" s="93"/>
      <c r="C778" s="92"/>
      <c r="D778" s="92"/>
      <c r="E778" s="92"/>
      <c r="F778" s="92"/>
      <c r="G778" s="92"/>
      <c r="H778" s="92"/>
      <c r="I778" s="92"/>
      <c r="J778" s="92"/>
      <c r="K778" s="92"/>
      <c r="L778" s="92"/>
      <c r="M778" s="92"/>
      <c r="N778" s="92"/>
      <c r="O778" s="92"/>
      <c r="P778" s="92"/>
      <c r="Q778" s="92"/>
      <c r="R778" s="92"/>
      <c r="S778" s="92"/>
      <c r="T778" s="92"/>
      <c r="U778" s="92"/>
      <c r="V778" s="92"/>
      <c r="W778" s="92"/>
    </row>
    <row r="779" spans="1:23" s="89" customFormat="1" x14ac:dyDescent="0.2">
      <c r="A779" s="91"/>
      <c r="B779" s="93"/>
      <c r="C779" s="92"/>
      <c r="D779" s="92"/>
      <c r="E779" s="92"/>
      <c r="F779" s="92"/>
      <c r="G779" s="92"/>
      <c r="H779" s="92"/>
      <c r="I779" s="92"/>
      <c r="J779" s="92"/>
      <c r="K779" s="92"/>
      <c r="L779" s="92"/>
      <c r="M779" s="92"/>
      <c r="N779" s="92"/>
      <c r="O779" s="92"/>
      <c r="P779" s="92"/>
      <c r="Q779" s="92"/>
      <c r="R779" s="92"/>
      <c r="S779" s="92"/>
      <c r="T779" s="92"/>
      <c r="U779" s="92"/>
      <c r="V779" s="92"/>
      <c r="W779" s="92"/>
    </row>
    <row r="780" spans="1:23" s="89" customFormat="1" x14ac:dyDescent="0.2">
      <c r="A780" s="91"/>
      <c r="B780" s="93"/>
      <c r="C780" s="92"/>
      <c r="D780" s="92"/>
      <c r="E780" s="92"/>
      <c r="F780" s="92"/>
      <c r="G780" s="92"/>
      <c r="H780" s="92"/>
      <c r="I780" s="92"/>
      <c r="J780" s="92"/>
      <c r="K780" s="92"/>
      <c r="L780" s="92"/>
      <c r="M780" s="92"/>
      <c r="N780" s="92"/>
      <c r="O780" s="92"/>
      <c r="P780" s="92"/>
      <c r="Q780" s="92"/>
      <c r="R780" s="92"/>
      <c r="S780" s="92"/>
      <c r="T780" s="92"/>
      <c r="U780" s="92"/>
      <c r="V780" s="92"/>
      <c r="W780" s="92"/>
    </row>
    <row r="781" spans="1:23" s="89" customFormat="1" x14ac:dyDescent="0.2">
      <c r="A781" s="91"/>
      <c r="B781" s="93"/>
      <c r="C781" s="92"/>
      <c r="D781" s="92"/>
      <c r="E781" s="92"/>
      <c r="F781" s="92"/>
      <c r="G781" s="92"/>
      <c r="H781" s="92"/>
      <c r="I781" s="92"/>
      <c r="J781" s="92"/>
      <c r="K781" s="92"/>
      <c r="L781" s="92"/>
      <c r="M781" s="92"/>
      <c r="N781" s="92"/>
      <c r="O781" s="92"/>
      <c r="P781" s="92"/>
      <c r="Q781" s="92"/>
      <c r="R781" s="92"/>
      <c r="S781" s="92"/>
      <c r="T781" s="92"/>
      <c r="U781" s="92"/>
      <c r="V781" s="92"/>
      <c r="W781" s="92"/>
    </row>
    <row r="782" spans="1:23" s="89" customFormat="1" x14ac:dyDescent="0.2">
      <c r="A782" s="91"/>
      <c r="B782" s="93"/>
      <c r="C782" s="92"/>
      <c r="D782" s="92"/>
      <c r="E782" s="92"/>
      <c r="F782" s="92"/>
      <c r="G782" s="92"/>
      <c r="H782" s="92"/>
      <c r="I782" s="92"/>
      <c r="J782" s="92"/>
      <c r="K782" s="92"/>
      <c r="L782" s="92"/>
      <c r="M782" s="92"/>
      <c r="N782" s="92"/>
      <c r="O782" s="92"/>
      <c r="P782" s="92"/>
      <c r="Q782" s="92"/>
      <c r="R782" s="92"/>
      <c r="S782" s="92"/>
      <c r="T782" s="92"/>
      <c r="U782" s="92"/>
      <c r="V782" s="92"/>
      <c r="W782" s="92"/>
    </row>
    <row r="783" spans="1:23" s="89" customFormat="1" x14ac:dyDescent="0.2">
      <c r="A783" s="91"/>
      <c r="B783" s="93"/>
      <c r="C783" s="92"/>
      <c r="D783" s="92"/>
      <c r="E783" s="92"/>
      <c r="F783" s="92"/>
      <c r="G783" s="92"/>
      <c r="H783" s="92"/>
      <c r="I783" s="92"/>
      <c r="J783" s="92"/>
      <c r="K783" s="92"/>
      <c r="L783" s="92"/>
      <c r="M783" s="92"/>
      <c r="N783" s="92"/>
      <c r="O783" s="92"/>
      <c r="P783" s="92"/>
      <c r="Q783" s="92"/>
      <c r="R783" s="92"/>
      <c r="S783" s="92"/>
      <c r="T783" s="92"/>
      <c r="U783" s="92"/>
      <c r="V783" s="92"/>
      <c r="W783" s="92"/>
    </row>
    <row r="784" spans="1:23" s="89" customFormat="1" x14ac:dyDescent="0.2">
      <c r="A784" s="91"/>
      <c r="B784" s="93"/>
      <c r="C784" s="92"/>
      <c r="D784" s="92"/>
      <c r="E784" s="92"/>
      <c r="F784" s="92"/>
      <c r="G784" s="92"/>
      <c r="H784" s="92"/>
      <c r="I784" s="92"/>
      <c r="J784" s="92"/>
      <c r="K784" s="92"/>
      <c r="L784" s="92"/>
      <c r="M784" s="92"/>
      <c r="N784" s="92"/>
      <c r="O784" s="92"/>
      <c r="P784" s="92"/>
      <c r="Q784" s="92"/>
      <c r="R784" s="92"/>
      <c r="S784" s="92"/>
      <c r="T784" s="92"/>
      <c r="U784" s="92"/>
      <c r="V784" s="92"/>
      <c r="W784" s="92"/>
    </row>
    <row r="785" spans="1:23" s="89" customFormat="1" x14ac:dyDescent="0.2">
      <c r="A785" s="91"/>
      <c r="B785" s="93"/>
      <c r="C785" s="92"/>
      <c r="D785" s="92"/>
      <c r="E785" s="92"/>
      <c r="F785" s="92"/>
      <c r="G785" s="92"/>
      <c r="H785" s="92"/>
      <c r="I785" s="92"/>
      <c r="J785" s="92"/>
      <c r="K785" s="92"/>
      <c r="L785" s="92"/>
      <c r="M785" s="92"/>
      <c r="N785" s="92"/>
      <c r="O785" s="92"/>
      <c r="P785" s="92"/>
      <c r="Q785" s="92"/>
      <c r="R785" s="92"/>
      <c r="S785" s="92"/>
      <c r="T785" s="92"/>
      <c r="U785" s="92"/>
      <c r="V785" s="92"/>
      <c r="W785" s="92"/>
    </row>
    <row r="786" spans="1:23" s="89" customFormat="1" x14ac:dyDescent="0.2">
      <c r="A786" s="91"/>
      <c r="B786" s="93"/>
      <c r="C786" s="92"/>
      <c r="D786" s="92"/>
      <c r="E786" s="92"/>
      <c r="F786" s="92"/>
      <c r="G786" s="92"/>
      <c r="H786" s="92"/>
      <c r="I786" s="92"/>
      <c r="J786" s="92"/>
      <c r="K786" s="92"/>
      <c r="L786" s="92"/>
      <c r="M786" s="92"/>
      <c r="N786" s="92"/>
      <c r="O786" s="92"/>
      <c r="P786" s="92"/>
      <c r="Q786" s="92"/>
      <c r="R786" s="92"/>
      <c r="S786" s="92"/>
      <c r="T786" s="92"/>
      <c r="U786" s="92"/>
      <c r="V786" s="92"/>
      <c r="W786" s="92"/>
    </row>
    <row r="787" spans="1:23" s="89" customFormat="1" x14ac:dyDescent="0.2">
      <c r="A787" s="91"/>
      <c r="B787" s="93"/>
      <c r="C787" s="92"/>
      <c r="D787" s="92"/>
      <c r="E787" s="92"/>
      <c r="F787" s="92"/>
      <c r="G787" s="92"/>
      <c r="H787" s="92"/>
      <c r="I787" s="92"/>
      <c r="J787" s="92"/>
      <c r="K787" s="92"/>
      <c r="L787" s="92"/>
      <c r="M787" s="92"/>
      <c r="N787" s="92"/>
      <c r="O787" s="92"/>
      <c r="P787" s="92"/>
      <c r="Q787" s="92"/>
      <c r="R787" s="92"/>
      <c r="S787" s="92"/>
      <c r="T787" s="92"/>
      <c r="U787" s="92"/>
      <c r="V787" s="92"/>
      <c r="W787" s="92"/>
    </row>
    <row r="788" spans="1:23" s="89" customFormat="1" x14ac:dyDescent="0.2">
      <c r="A788" s="91"/>
      <c r="B788" s="93"/>
      <c r="C788" s="92"/>
      <c r="D788" s="92"/>
      <c r="E788" s="92"/>
      <c r="F788" s="92"/>
      <c r="G788" s="92"/>
      <c r="H788" s="92"/>
      <c r="I788" s="92"/>
      <c r="J788" s="92"/>
      <c r="K788" s="92"/>
      <c r="L788" s="92"/>
      <c r="M788" s="92"/>
      <c r="N788" s="92"/>
      <c r="O788" s="92"/>
      <c r="P788" s="92"/>
      <c r="Q788" s="92"/>
      <c r="R788" s="92"/>
      <c r="S788" s="92"/>
      <c r="T788" s="92"/>
      <c r="U788" s="92"/>
      <c r="V788" s="92"/>
      <c r="W788" s="92"/>
    </row>
    <row r="789" spans="1:23" s="89" customFormat="1" x14ac:dyDescent="0.2">
      <c r="A789" s="91"/>
      <c r="B789" s="93"/>
      <c r="C789" s="92"/>
      <c r="D789" s="92"/>
      <c r="E789" s="92"/>
      <c r="F789" s="92"/>
      <c r="G789" s="92"/>
      <c r="H789" s="92"/>
      <c r="I789" s="92"/>
      <c r="J789" s="92"/>
      <c r="K789" s="92"/>
      <c r="L789" s="92"/>
      <c r="M789" s="92"/>
      <c r="N789" s="92"/>
      <c r="O789" s="92"/>
      <c r="P789" s="92"/>
      <c r="Q789" s="92"/>
      <c r="R789" s="92"/>
      <c r="S789" s="92"/>
      <c r="T789" s="92"/>
      <c r="U789" s="92"/>
      <c r="V789" s="92"/>
      <c r="W789" s="92"/>
    </row>
    <row r="790" spans="1:23" s="89" customFormat="1" x14ac:dyDescent="0.2">
      <c r="A790" s="91"/>
      <c r="B790" s="93"/>
      <c r="C790" s="92"/>
      <c r="D790" s="92"/>
      <c r="E790" s="92"/>
      <c r="F790" s="92"/>
      <c r="G790" s="92"/>
      <c r="H790" s="92"/>
      <c r="I790" s="92"/>
      <c r="J790" s="92"/>
      <c r="K790" s="92"/>
      <c r="L790" s="92"/>
      <c r="M790" s="92"/>
      <c r="N790" s="92"/>
      <c r="O790" s="92"/>
      <c r="P790" s="92"/>
      <c r="Q790" s="92"/>
      <c r="R790" s="92"/>
      <c r="S790" s="92"/>
      <c r="T790" s="92"/>
      <c r="U790" s="92"/>
      <c r="V790" s="92"/>
      <c r="W790" s="92"/>
    </row>
    <row r="791" spans="1:23" s="89" customFormat="1" x14ac:dyDescent="0.2">
      <c r="A791" s="91"/>
      <c r="B791" s="93"/>
      <c r="C791" s="92"/>
      <c r="D791" s="92"/>
      <c r="E791" s="92"/>
      <c r="F791" s="92"/>
      <c r="G791" s="92"/>
      <c r="H791" s="92"/>
      <c r="I791" s="92"/>
      <c r="J791" s="92"/>
      <c r="K791" s="92"/>
      <c r="L791" s="92"/>
      <c r="M791" s="92"/>
      <c r="N791" s="92"/>
      <c r="O791" s="92"/>
      <c r="P791" s="92"/>
      <c r="Q791" s="92"/>
      <c r="R791" s="92"/>
      <c r="S791" s="92"/>
      <c r="T791" s="92"/>
      <c r="U791" s="92"/>
      <c r="V791" s="92"/>
      <c r="W791" s="92"/>
    </row>
    <row r="792" spans="1:23" s="89" customFormat="1" x14ac:dyDescent="0.2">
      <c r="A792" s="91"/>
      <c r="B792" s="93"/>
      <c r="C792" s="92"/>
      <c r="D792" s="92"/>
      <c r="E792" s="92"/>
      <c r="F792" s="92"/>
      <c r="G792" s="92"/>
      <c r="H792" s="92"/>
      <c r="I792" s="92"/>
      <c r="J792" s="92"/>
      <c r="K792" s="92"/>
      <c r="L792" s="92"/>
      <c r="M792" s="92"/>
      <c r="N792" s="92"/>
      <c r="O792" s="92"/>
      <c r="P792" s="92"/>
      <c r="Q792" s="92"/>
      <c r="R792" s="92"/>
      <c r="S792" s="92"/>
      <c r="T792" s="92"/>
      <c r="U792" s="92"/>
      <c r="V792" s="92"/>
      <c r="W792" s="92"/>
    </row>
    <row r="793" spans="1:23" s="89" customFormat="1" x14ac:dyDescent="0.2">
      <c r="A793" s="91"/>
      <c r="B793" s="93"/>
      <c r="C793" s="92"/>
      <c r="D793" s="92"/>
      <c r="E793" s="92"/>
      <c r="F793" s="92"/>
      <c r="G793" s="92"/>
      <c r="H793" s="92"/>
      <c r="I793" s="92"/>
      <c r="J793" s="92"/>
      <c r="K793" s="92"/>
      <c r="L793" s="92"/>
      <c r="M793" s="92"/>
      <c r="N793" s="92"/>
      <c r="O793" s="92"/>
      <c r="P793" s="92"/>
      <c r="Q793" s="92"/>
      <c r="R793" s="92"/>
      <c r="S793" s="92"/>
      <c r="T793" s="92"/>
      <c r="U793" s="92"/>
      <c r="V793" s="92"/>
      <c r="W793" s="92"/>
    </row>
    <row r="794" spans="1:23" s="89" customFormat="1" x14ac:dyDescent="0.2">
      <c r="A794" s="91"/>
      <c r="B794" s="93"/>
      <c r="C794" s="92"/>
      <c r="D794" s="92"/>
      <c r="E794" s="92"/>
      <c r="F794" s="92"/>
      <c r="G794" s="92"/>
      <c r="H794" s="92"/>
      <c r="I794" s="92"/>
      <c r="J794" s="92"/>
      <c r="K794" s="92"/>
      <c r="L794" s="92"/>
      <c r="M794" s="92"/>
      <c r="N794" s="92"/>
      <c r="O794" s="92"/>
      <c r="P794" s="92"/>
      <c r="Q794" s="92"/>
      <c r="R794" s="92"/>
      <c r="S794" s="92"/>
      <c r="T794" s="92"/>
      <c r="U794" s="92"/>
      <c r="V794" s="92"/>
      <c r="W794" s="92"/>
    </row>
    <row r="795" spans="1:23" s="89" customFormat="1" x14ac:dyDescent="0.2">
      <c r="A795" s="91"/>
      <c r="B795" s="93"/>
      <c r="C795" s="92"/>
      <c r="D795" s="92"/>
      <c r="E795" s="92"/>
      <c r="F795" s="92"/>
      <c r="G795" s="92"/>
      <c r="H795" s="92"/>
      <c r="I795" s="92"/>
      <c r="J795" s="92"/>
      <c r="K795" s="92"/>
      <c r="L795" s="92"/>
      <c r="M795" s="92"/>
      <c r="N795" s="92"/>
      <c r="O795" s="92"/>
      <c r="P795" s="92"/>
      <c r="Q795" s="92"/>
      <c r="R795" s="92"/>
      <c r="S795" s="92"/>
      <c r="T795" s="92"/>
      <c r="U795" s="92"/>
      <c r="V795" s="92"/>
      <c r="W795" s="92"/>
    </row>
    <row r="796" spans="1:23" s="89" customFormat="1" x14ac:dyDescent="0.2">
      <c r="A796" s="91"/>
      <c r="B796" s="93"/>
      <c r="C796" s="92"/>
      <c r="D796" s="92"/>
      <c r="E796" s="92"/>
      <c r="F796" s="92"/>
      <c r="G796" s="92"/>
      <c r="H796" s="92"/>
      <c r="I796" s="92"/>
      <c r="J796" s="92"/>
      <c r="K796" s="92"/>
      <c r="L796" s="92"/>
      <c r="M796" s="92"/>
      <c r="N796" s="92"/>
      <c r="O796" s="92"/>
      <c r="P796" s="92"/>
      <c r="Q796" s="92"/>
      <c r="R796" s="92"/>
      <c r="S796" s="92"/>
      <c r="T796" s="92"/>
      <c r="U796" s="92"/>
      <c r="V796" s="92"/>
      <c r="W796" s="92"/>
    </row>
    <row r="797" spans="1:23" s="89" customFormat="1" x14ac:dyDescent="0.2">
      <c r="A797" s="91"/>
      <c r="B797" s="93"/>
      <c r="C797" s="92"/>
      <c r="D797" s="92"/>
      <c r="E797" s="92"/>
      <c r="F797" s="92"/>
      <c r="G797" s="92"/>
      <c r="H797" s="92"/>
      <c r="I797" s="92"/>
      <c r="J797" s="92"/>
      <c r="K797" s="92"/>
      <c r="L797" s="92"/>
      <c r="M797" s="92"/>
      <c r="N797" s="92"/>
      <c r="O797" s="92"/>
      <c r="P797" s="92"/>
      <c r="Q797" s="92"/>
      <c r="R797" s="92"/>
      <c r="S797" s="92"/>
      <c r="T797" s="92"/>
      <c r="U797" s="92"/>
      <c r="V797" s="92"/>
      <c r="W797" s="92"/>
    </row>
    <row r="798" spans="1:23" s="89" customFormat="1" x14ac:dyDescent="0.2">
      <c r="A798" s="91"/>
      <c r="B798" s="93"/>
      <c r="C798" s="92"/>
      <c r="D798" s="92"/>
      <c r="E798" s="92"/>
      <c r="F798" s="92"/>
      <c r="G798" s="92"/>
      <c r="H798" s="92"/>
      <c r="I798" s="92"/>
      <c r="J798" s="92"/>
      <c r="K798" s="92"/>
      <c r="L798" s="92"/>
      <c r="M798" s="92"/>
      <c r="N798" s="92"/>
      <c r="O798" s="92"/>
      <c r="P798" s="92"/>
      <c r="Q798" s="92"/>
      <c r="R798" s="92"/>
      <c r="S798" s="92"/>
      <c r="T798" s="92"/>
      <c r="U798" s="92"/>
      <c r="V798" s="92"/>
      <c r="W798" s="92"/>
    </row>
    <row r="799" spans="1:23" s="89" customFormat="1" x14ac:dyDescent="0.2">
      <c r="A799" s="91"/>
      <c r="B799" s="93"/>
      <c r="C799" s="92"/>
      <c r="D799" s="92"/>
      <c r="E799" s="92"/>
      <c r="F799" s="92"/>
      <c r="G799" s="92"/>
      <c r="H799" s="92"/>
      <c r="I799" s="92"/>
      <c r="J799" s="92"/>
      <c r="K799" s="92"/>
      <c r="L799" s="92"/>
      <c r="M799" s="92"/>
      <c r="N799" s="92"/>
      <c r="O799" s="92"/>
      <c r="P799" s="92"/>
      <c r="Q799" s="92"/>
      <c r="R799" s="92"/>
      <c r="S799" s="92"/>
      <c r="T799" s="92"/>
      <c r="U799" s="92"/>
      <c r="V799" s="92"/>
      <c r="W799" s="92"/>
    </row>
    <row r="800" spans="1:23" s="89" customFormat="1" x14ac:dyDescent="0.2">
      <c r="A800" s="91"/>
      <c r="B800" s="93"/>
      <c r="C800" s="92"/>
      <c r="D800" s="92"/>
      <c r="E800" s="92"/>
      <c r="F800" s="92"/>
      <c r="G800" s="92"/>
      <c r="H800" s="92"/>
      <c r="I800" s="92"/>
      <c r="J800" s="92"/>
      <c r="K800" s="92"/>
      <c r="L800" s="92"/>
      <c r="M800" s="92"/>
      <c r="N800" s="92"/>
      <c r="O800" s="92"/>
      <c r="P800" s="92"/>
      <c r="Q800" s="92"/>
      <c r="R800" s="92"/>
      <c r="S800" s="92"/>
      <c r="T800" s="92"/>
      <c r="U800" s="92"/>
      <c r="V800" s="92"/>
      <c r="W800" s="92"/>
    </row>
    <row r="801" spans="1:23" s="89" customFormat="1" x14ac:dyDescent="0.2">
      <c r="A801" s="91"/>
      <c r="B801" s="93"/>
      <c r="C801" s="92"/>
      <c r="D801" s="92"/>
      <c r="E801" s="92"/>
      <c r="F801" s="92"/>
      <c r="G801" s="92"/>
      <c r="H801" s="92"/>
      <c r="I801" s="92"/>
      <c r="J801" s="92"/>
      <c r="K801" s="92"/>
      <c r="L801" s="92"/>
      <c r="M801" s="92"/>
      <c r="N801" s="92"/>
      <c r="O801" s="92"/>
      <c r="P801" s="92"/>
      <c r="Q801" s="92"/>
      <c r="R801" s="92"/>
      <c r="S801" s="92"/>
      <c r="T801" s="92"/>
      <c r="U801" s="92"/>
      <c r="V801" s="92"/>
      <c r="W801" s="92"/>
    </row>
    <row r="802" spans="1:23" s="89" customFormat="1" x14ac:dyDescent="0.2">
      <c r="A802" s="91"/>
      <c r="B802" s="93"/>
      <c r="C802" s="92"/>
      <c r="D802" s="92"/>
      <c r="E802" s="92"/>
      <c r="F802" s="92"/>
      <c r="G802" s="92"/>
      <c r="H802" s="92"/>
      <c r="I802" s="92"/>
      <c r="J802" s="92"/>
      <c r="K802" s="92"/>
      <c r="L802" s="92"/>
      <c r="M802" s="92"/>
      <c r="N802" s="92"/>
      <c r="O802" s="92"/>
      <c r="P802" s="92"/>
      <c r="Q802" s="92"/>
      <c r="R802" s="92"/>
      <c r="S802" s="92"/>
      <c r="T802" s="92"/>
      <c r="U802" s="92"/>
      <c r="V802" s="92"/>
      <c r="W802" s="92"/>
    </row>
    <row r="803" spans="1:23" s="89" customFormat="1" x14ac:dyDescent="0.2">
      <c r="A803" s="91"/>
      <c r="B803" s="93"/>
      <c r="C803" s="92"/>
      <c r="D803" s="92"/>
      <c r="E803" s="92"/>
      <c r="F803" s="92"/>
      <c r="G803" s="92"/>
      <c r="H803" s="92"/>
      <c r="I803" s="92"/>
      <c r="J803" s="92"/>
      <c r="K803" s="92"/>
      <c r="L803" s="92"/>
      <c r="M803" s="92"/>
      <c r="N803" s="92"/>
      <c r="O803" s="92"/>
      <c r="P803" s="92"/>
      <c r="Q803" s="92"/>
      <c r="R803" s="92"/>
      <c r="S803" s="92"/>
      <c r="T803" s="92"/>
      <c r="U803" s="92"/>
      <c r="V803" s="92"/>
      <c r="W803" s="92"/>
    </row>
    <row r="804" spans="1:23" s="89" customFormat="1" x14ac:dyDescent="0.2">
      <c r="A804" s="91"/>
      <c r="B804" s="93"/>
      <c r="C804" s="92"/>
      <c r="D804" s="92"/>
      <c r="E804" s="92"/>
      <c r="F804" s="92"/>
      <c r="G804" s="92"/>
      <c r="H804" s="92"/>
      <c r="I804" s="92"/>
      <c r="J804" s="92"/>
      <c r="K804" s="92"/>
      <c r="L804" s="92"/>
      <c r="M804" s="92"/>
      <c r="N804" s="92"/>
      <c r="O804" s="92"/>
      <c r="P804" s="92"/>
      <c r="Q804" s="92"/>
      <c r="R804" s="92"/>
      <c r="S804" s="92"/>
      <c r="T804" s="92"/>
      <c r="U804" s="92"/>
      <c r="V804" s="92"/>
      <c r="W804" s="92"/>
    </row>
    <row r="805" spans="1:23" s="89" customFormat="1" x14ac:dyDescent="0.2">
      <c r="A805" s="91"/>
      <c r="B805" s="93"/>
      <c r="C805" s="92"/>
      <c r="D805" s="92"/>
      <c r="E805" s="92"/>
      <c r="F805" s="92"/>
      <c r="G805" s="92"/>
      <c r="H805" s="92"/>
      <c r="I805" s="92"/>
      <c r="J805" s="92"/>
      <c r="K805" s="92"/>
      <c r="L805" s="92"/>
      <c r="M805" s="92"/>
      <c r="N805" s="92"/>
      <c r="O805" s="92"/>
      <c r="P805" s="92"/>
      <c r="Q805" s="92"/>
      <c r="R805" s="92"/>
      <c r="S805" s="92"/>
      <c r="T805" s="92"/>
      <c r="U805" s="92"/>
      <c r="V805" s="92"/>
      <c r="W805" s="92"/>
    </row>
    <row r="806" spans="1:23" s="89" customFormat="1" x14ac:dyDescent="0.2">
      <c r="A806" s="91"/>
      <c r="B806" s="93"/>
      <c r="C806" s="92"/>
      <c r="D806" s="92"/>
      <c r="E806" s="92"/>
      <c r="F806" s="92"/>
      <c r="G806" s="92"/>
      <c r="H806" s="92"/>
      <c r="I806" s="92"/>
      <c r="J806" s="92"/>
      <c r="K806" s="92"/>
      <c r="L806" s="92"/>
      <c r="M806" s="92"/>
      <c r="N806" s="92"/>
      <c r="O806" s="92"/>
      <c r="P806" s="92"/>
      <c r="Q806" s="92"/>
      <c r="R806" s="92"/>
      <c r="S806" s="92"/>
      <c r="T806" s="92"/>
      <c r="U806" s="92"/>
      <c r="V806" s="92"/>
      <c r="W806" s="92"/>
    </row>
    <row r="807" spans="1:23" s="89" customFormat="1" x14ac:dyDescent="0.2">
      <c r="A807" s="91"/>
      <c r="B807" s="93"/>
      <c r="C807" s="92"/>
      <c r="D807" s="92"/>
      <c r="E807" s="92"/>
      <c r="F807" s="92"/>
      <c r="G807" s="92"/>
      <c r="H807" s="92"/>
      <c r="I807" s="92"/>
      <c r="J807" s="92"/>
      <c r="K807" s="92"/>
      <c r="L807" s="92"/>
      <c r="M807" s="92"/>
      <c r="N807" s="92"/>
      <c r="O807" s="92"/>
      <c r="P807" s="92"/>
      <c r="Q807" s="92"/>
      <c r="R807" s="92"/>
      <c r="S807" s="92"/>
      <c r="T807" s="92"/>
      <c r="U807" s="92"/>
      <c r="V807" s="92"/>
      <c r="W807" s="92"/>
    </row>
    <row r="808" spans="1:23" s="89" customFormat="1" x14ac:dyDescent="0.2">
      <c r="A808" s="91"/>
      <c r="B808" s="93"/>
      <c r="C808" s="92"/>
      <c r="D808" s="92"/>
      <c r="E808" s="92"/>
      <c r="F808" s="92"/>
      <c r="G808" s="92"/>
      <c r="H808" s="92"/>
      <c r="I808" s="92"/>
      <c r="J808" s="92"/>
      <c r="K808" s="92"/>
      <c r="L808" s="92"/>
      <c r="M808" s="92"/>
      <c r="N808" s="92"/>
      <c r="O808" s="92"/>
      <c r="P808" s="92"/>
      <c r="Q808" s="92"/>
      <c r="R808" s="92"/>
      <c r="S808" s="92"/>
      <c r="T808" s="92"/>
      <c r="U808" s="92"/>
      <c r="V808" s="92"/>
      <c r="W808" s="92"/>
    </row>
    <row r="809" spans="1:23" s="89" customFormat="1" x14ac:dyDescent="0.2">
      <c r="A809" s="91"/>
      <c r="B809" s="93"/>
      <c r="C809" s="92"/>
      <c r="D809" s="92"/>
      <c r="E809" s="92"/>
      <c r="F809" s="92"/>
      <c r="G809" s="92"/>
      <c r="H809" s="92"/>
      <c r="I809" s="92"/>
      <c r="J809" s="92"/>
      <c r="K809" s="92"/>
      <c r="L809" s="92"/>
      <c r="M809" s="92"/>
      <c r="N809" s="92"/>
      <c r="O809" s="92"/>
      <c r="P809" s="92"/>
      <c r="Q809" s="92"/>
      <c r="R809" s="92"/>
      <c r="S809" s="92"/>
      <c r="T809" s="92"/>
      <c r="U809" s="92"/>
      <c r="V809" s="92"/>
      <c r="W809" s="92"/>
    </row>
    <row r="810" spans="1:23" s="89" customFormat="1" x14ac:dyDescent="0.2">
      <c r="A810" s="91"/>
      <c r="B810" s="93"/>
      <c r="C810" s="92"/>
      <c r="D810" s="92"/>
      <c r="E810" s="92"/>
      <c r="F810" s="92"/>
      <c r="G810" s="92"/>
      <c r="H810" s="92"/>
      <c r="I810" s="92"/>
      <c r="J810" s="92"/>
      <c r="K810" s="92"/>
      <c r="L810" s="92"/>
      <c r="M810" s="92"/>
      <c r="N810" s="92"/>
      <c r="O810" s="92"/>
      <c r="P810" s="92"/>
      <c r="Q810" s="92"/>
      <c r="R810" s="92"/>
      <c r="S810" s="92"/>
      <c r="T810" s="92"/>
      <c r="U810" s="92"/>
      <c r="V810" s="92"/>
      <c r="W810" s="92"/>
    </row>
    <row r="811" spans="1:23" s="89" customFormat="1" x14ac:dyDescent="0.2">
      <c r="A811" s="91"/>
      <c r="B811" s="93"/>
      <c r="C811" s="92"/>
      <c r="D811" s="92"/>
      <c r="E811" s="92"/>
      <c r="F811" s="92"/>
      <c r="G811" s="92"/>
      <c r="H811" s="92"/>
      <c r="I811" s="92"/>
      <c r="J811" s="92"/>
      <c r="K811" s="92"/>
      <c r="L811" s="92"/>
      <c r="M811" s="92"/>
      <c r="N811" s="92"/>
      <c r="O811" s="92"/>
      <c r="P811" s="92"/>
      <c r="Q811" s="92"/>
      <c r="R811" s="92"/>
      <c r="S811" s="92"/>
      <c r="T811" s="92"/>
      <c r="U811" s="92"/>
      <c r="V811" s="92"/>
      <c r="W811" s="92"/>
    </row>
    <row r="812" spans="1:23" s="89" customFormat="1" x14ac:dyDescent="0.2">
      <c r="A812" s="91"/>
      <c r="B812" s="93"/>
      <c r="C812" s="92"/>
      <c r="D812" s="92"/>
      <c r="E812" s="92"/>
      <c r="F812" s="92"/>
      <c r="G812" s="92"/>
      <c r="H812" s="92"/>
      <c r="I812" s="92"/>
      <c r="J812" s="92"/>
      <c r="K812" s="92"/>
      <c r="L812" s="92"/>
      <c r="M812" s="92"/>
      <c r="N812" s="92"/>
      <c r="O812" s="92"/>
      <c r="P812" s="92"/>
      <c r="Q812" s="92"/>
      <c r="R812" s="92"/>
      <c r="S812" s="92"/>
      <c r="T812" s="92"/>
      <c r="U812" s="92"/>
      <c r="V812" s="92"/>
      <c r="W812" s="92"/>
    </row>
    <row r="813" spans="1:23" s="89" customFormat="1" x14ac:dyDescent="0.2">
      <c r="A813" s="91"/>
      <c r="B813" s="93"/>
      <c r="C813" s="92"/>
      <c r="D813" s="92"/>
      <c r="E813" s="92"/>
      <c r="F813" s="92"/>
      <c r="G813" s="92"/>
      <c r="H813" s="92"/>
      <c r="I813" s="92"/>
      <c r="J813" s="92"/>
      <c r="K813" s="92"/>
      <c r="L813" s="92"/>
      <c r="M813" s="92"/>
      <c r="N813" s="92"/>
      <c r="O813" s="92"/>
      <c r="P813" s="92"/>
      <c r="Q813" s="92"/>
      <c r="R813" s="92"/>
      <c r="S813" s="92"/>
      <c r="T813" s="92"/>
      <c r="U813" s="92"/>
      <c r="V813" s="92"/>
      <c r="W813" s="92"/>
    </row>
    <row r="814" spans="1:23" s="89" customFormat="1" x14ac:dyDescent="0.2">
      <c r="A814" s="91"/>
      <c r="B814" s="93"/>
      <c r="C814" s="92"/>
      <c r="D814" s="92"/>
      <c r="E814" s="92"/>
      <c r="F814" s="92"/>
      <c r="G814" s="92"/>
      <c r="H814" s="92"/>
      <c r="I814" s="92"/>
      <c r="J814" s="92"/>
      <c r="K814" s="92"/>
      <c r="L814" s="92"/>
      <c r="M814" s="92"/>
      <c r="N814" s="92"/>
      <c r="O814" s="92"/>
      <c r="P814" s="92"/>
      <c r="Q814" s="92"/>
      <c r="R814" s="92"/>
      <c r="S814" s="92"/>
      <c r="T814" s="92"/>
      <c r="U814" s="92"/>
      <c r="V814" s="92"/>
      <c r="W814" s="92"/>
    </row>
    <row r="815" spans="1:23" s="89" customFormat="1" x14ac:dyDescent="0.2">
      <c r="A815" s="91"/>
      <c r="B815" s="93"/>
      <c r="C815" s="92"/>
      <c r="D815" s="92"/>
      <c r="E815" s="92"/>
      <c r="F815" s="92"/>
      <c r="G815" s="92"/>
      <c r="H815" s="92"/>
      <c r="I815" s="92"/>
      <c r="J815" s="92"/>
      <c r="K815" s="92"/>
      <c r="L815" s="92"/>
      <c r="M815" s="92"/>
      <c r="N815" s="92"/>
      <c r="O815" s="92"/>
      <c r="P815" s="92"/>
      <c r="Q815" s="92"/>
      <c r="R815" s="92"/>
      <c r="S815" s="92"/>
      <c r="T815" s="92"/>
      <c r="U815" s="92"/>
      <c r="V815" s="92"/>
      <c r="W815" s="92"/>
    </row>
    <row r="816" spans="1:23" s="89" customFormat="1" x14ac:dyDescent="0.2">
      <c r="A816" s="91"/>
      <c r="B816" s="93"/>
      <c r="C816" s="92"/>
      <c r="D816" s="92"/>
      <c r="E816" s="92"/>
      <c r="F816" s="92"/>
      <c r="G816" s="92"/>
      <c r="H816" s="92"/>
      <c r="I816" s="92"/>
      <c r="J816" s="92"/>
      <c r="K816" s="92"/>
      <c r="L816" s="92"/>
      <c r="M816" s="92"/>
      <c r="N816" s="92"/>
      <c r="O816" s="92"/>
      <c r="P816" s="92"/>
      <c r="Q816" s="92"/>
      <c r="R816" s="92"/>
      <c r="S816" s="92"/>
      <c r="T816" s="92"/>
      <c r="U816" s="92"/>
      <c r="V816" s="92"/>
      <c r="W816" s="92"/>
    </row>
    <row r="817" spans="1:23" s="89" customFormat="1" x14ac:dyDescent="0.2">
      <c r="A817" s="91"/>
      <c r="B817" s="93"/>
      <c r="C817" s="92"/>
      <c r="D817" s="92"/>
      <c r="E817" s="92"/>
      <c r="F817" s="92"/>
      <c r="G817" s="92"/>
      <c r="H817" s="92"/>
      <c r="I817" s="92"/>
      <c r="J817" s="92"/>
      <c r="K817" s="92"/>
      <c r="L817" s="92"/>
      <c r="M817" s="92"/>
      <c r="N817" s="92"/>
      <c r="O817" s="92"/>
      <c r="P817" s="92"/>
      <c r="Q817" s="92"/>
      <c r="R817" s="92"/>
      <c r="S817" s="92"/>
      <c r="T817" s="92"/>
      <c r="U817" s="92"/>
      <c r="V817" s="92"/>
      <c r="W817" s="92"/>
    </row>
    <row r="818" spans="1:23" s="89" customFormat="1" x14ac:dyDescent="0.2">
      <c r="A818" s="91"/>
      <c r="B818" s="93"/>
      <c r="C818" s="92"/>
      <c r="D818" s="92"/>
      <c r="E818" s="92"/>
      <c r="F818" s="92"/>
      <c r="G818" s="92"/>
      <c r="H818" s="92"/>
      <c r="I818" s="92"/>
      <c r="J818" s="92"/>
      <c r="K818" s="92"/>
      <c r="L818" s="92"/>
      <c r="M818" s="92"/>
      <c r="N818" s="92"/>
      <c r="O818" s="92"/>
      <c r="P818" s="92"/>
      <c r="Q818" s="92"/>
      <c r="R818" s="92"/>
      <c r="S818" s="92"/>
      <c r="T818" s="92"/>
      <c r="U818" s="92"/>
      <c r="V818" s="92"/>
      <c r="W818" s="92"/>
    </row>
    <row r="819" spans="1:23" s="89" customFormat="1" x14ac:dyDescent="0.2">
      <c r="A819" s="91"/>
      <c r="B819" s="93"/>
      <c r="C819" s="92"/>
      <c r="D819" s="92"/>
      <c r="E819" s="92"/>
      <c r="F819" s="92"/>
      <c r="G819" s="92"/>
      <c r="H819" s="92"/>
      <c r="I819" s="92"/>
      <c r="J819" s="92"/>
      <c r="K819" s="92"/>
      <c r="L819" s="92"/>
      <c r="M819" s="92"/>
      <c r="N819" s="92"/>
      <c r="O819" s="92"/>
      <c r="P819" s="92"/>
      <c r="Q819" s="92"/>
      <c r="R819" s="92"/>
      <c r="S819" s="92"/>
      <c r="T819" s="92"/>
      <c r="U819" s="92"/>
      <c r="V819" s="92"/>
      <c r="W819" s="92"/>
    </row>
    <row r="820" spans="1:23" s="89" customFormat="1" x14ac:dyDescent="0.2">
      <c r="A820" s="91"/>
      <c r="B820" s="93"/>
      <c r="C820" s="92"/>
      <c r="D820" s="92"/>
      <c r="E820" s="92"/>
      <c r="F820" s="92"/>
      <c r="G820" s="92"/>
      <c r="H820" s="92"/>
      <c r="I820" s="92"/>
      <c r="J820" s="92"/>
      <c r="K820" s="92"/>
      <c r="L820" s="92"/>
      <c r="M820" s="92"/>
      <c r="N820" s="92"/>
      <c r="O820" s="92"/>
      <c r="P820" s="92"/>
      <c r="Q820" s="92"/>
      <c r="R820" s="92"/>
      <c r="S820" s="92"/>
      <c r="T820" s="92"/>
      <c r="U820" s="92"/>
      <c r="V820" s="92"/>
      <c r="W820" s="92"/>
    </row>
    <row r="821" spans="1:23" s="89" customFormat="1" x14ac:dyDescent="0.2">
      <c r="A821" s="91"/>
      <c r="B821" s="93"/>
      <c r="C821" s="92"/>
      <c r="D821" s="92"/>
      <c r="E821" s="92"/>
      <c r="F821" s="92"/>
      <c r="G821" s="92"/>
      <c r="H821" s="92"/>
      <c r="I821" s="92"/>
      <c r="J821" s="92"/>
      <c r="K821" s="92"/>
      <c r="L821" s="92"/>
      <c r="M821" s="92"/>
      <c r="N821" s="92"/>
      <c r="O821" s="92"/>
      <c r="P821" s="92"/>
      <c r="Q821" s="92"/>
      <c r="R821" s="92"/>
      <c r="S821" s="92"/>
      <c r="T821" s="92"/>
      <c r="U821" s="92"/>
      <c r="V821" s="92"/>
      <c r="W821" s="92"/>
    </row>
    <row r="822" spans="1:23" s="89" customFormat="1" x14ac:dyDescent="0.2">
      <c r="A822" s="91"/>
      <c r="B822" s="93"/>
      <c r="C822" s="92"/>
      <c r="D822" s="92"/>
      <c r="E822" s="92"/>
      <c r="F822" s="92"/>
      <c r="G822" s="92"/>
      <c r="H822" s="92"/>
      <c r="I822" s="92"/>
      <c r="J822" s="92"/>
      <c r="K822" s="92"/>
      <c r="L822" s="92"/>
      <c r="M822" s="92"/>
      <c r="N822" s="92"/>
      <c r="O822" s="92"/>
      <c r="P822" s="92"/>
      <c r="Q822" s="92"/>
      <c r="R822" s="92"/>
      <c r="S822" s="92"/>
      <c r="T822" s="92"/>
      <c r="U822" s="92"/>
      <c r="V822" s="92"/>
      <c r="W822" s="92"/>
    </row>
    <row r="823" spans="1:23" s="89" customFormat="1" x14ac:dyDescent="0.2">
      <c r="A823" s="91"/>
      <c r="B823" s="93"/>
      <c r="C823" s="92"/>
      <c r="D823" s="92"/>
      <c r="E823" s="92"/>
      <c r="F823" s="92"/>
      <c r="G823" s="92"/>
      <c r="H823" s="92"/>
      <c r="I823" s="92"/>
      <c r="J823" s="92"/>
      <c r="K823" s="92"/>
      <c r="L823" s="92"/>
      <c r="M823" s="92"/>
      <c r="N823" s="92"/>
      <c r="O823" s="92"/>
      <c r="P823" s="92"/>
      <c r="Q823" s="92"/>
      <c r="R823" s="92"/>
      <c r="S823" s="92"/>
      <c r="T823" s="92"/>
      <c r="U823" s="92"/>
      <c r="V823" s="92"/>
      <c r="W823" s="92"/>
    </row>
    <row r="824" spans="1:23" s="89" customFormat="1" x14ac:dyDescent="0.2">
      <c r="A824" s="91"/>
      <c r="B824" s="93"/>
      <c r="C824" s="92"/>
      <c r="D824" s="92"/>
      <c r="E824" s="92"/>
      <c r="F824" s="92"/>
      <c r="G824" s="92"/>
      <c r="H824" s="92"/>
      <c r="I824" s="92"/>
      <c r="J824" s="92"/>
      <c r="K824" s="92"/>
      <c r="L824" s="92"/>
      <c r="M824" s="92"/>
      <c r="N824" s="92"/>
      <c r="O824" s="92"/>
      <c r="P824" s="92"/>
      <c r="Q824" s="92"/>
      <c r="R824" s="92"/>
      <c r="S824" s="92"/>
      <c r="T824" s="92"/>
      <c r="U824" s="92"/>
      <c r="V824" s="92"/>
      <c r="W824" s="92"/>
    </row>
  </sheetData>
  <protectedRanges>
    <protectedRange sqref="B47" name="Rango1_7_5_2_1_1_1_2_1_2"/>
  </protectedRanges>
  <mergeCells count="9">
    <mergeCell ref="A336:C336"/>
    <mergeCell ref="A8:A9"/>
    <mergeCell ref="W8:W9"/>
    <mergeCell ref="B8:B9"/>
    <mergeCell ref="C8:C9"/>
    <mergeCell ref="D8:D9"/>
    <mergeCell ref="E8:P8"/>
    <mergeCell ref="Q8:U8"/>
    <mergeCell ref="V8:V9"/>
  </mergeCells>
  <printOptions horizontalCentered="1" verticalCentered="1"/>
  <pageMargins left="0.55118110236220474" right="0.55118110236220474" top="1.1811023622047245" bottom="1.3779527559055118" header="0.78740157480314965" footer="0"/>
  <pageSetup paperSize="5" scale="45" orientation="landscape" useFirstPageNumber="1"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040"/>
  <sheetViews>
    <sheetView showGridLines="0" zoomScale="106" zoomScaleNormal="106" workbookViewId="0">
      <selection activeCell="C12" sqref="C12"/>
    </sheetView>
  </sheetViews>
  <sheetFormatPr baseColWidth="10" defaultColWidth="11.5703125" defaultRowHeight="12.75" x14ac:dyDescent="0.2"/>
  <cols>
    <col min="1" max="1" width="6.5703125" style="4" customWidth="1"/>
    <col min="2" max="2" width="40.85546875" style="4" customWidth="1"/>
    <col min="3" max="3" width="35.140625" style="4" customWidth="1"/>
    <col min="4" max="4" width="17.5703125" style="4" customWidth="1"/>
    <col min="5" max="5" width="15.28515625" style="4" customWidth="1"/>
    <col min="6" max="6" width="12.7109375" style="4" customWidth="1"/>
    <col min="7" max="7" width="14.42578125" style="4" customWidth="1"/>
    <col min="8" max="8" width="11" style="4" customWidth="1"/>
    <col min="9" max="9" width="18.85546875" style="4" customWidth="1"/>
    <col min="10" max="10" width="14.7109375" style="4" customWidth="1"/>
    <col min="11" max="11" width="14.28515625" style="4" customWidth="1"/>
    <col min="12" max="12" width="11" style="4" customWidth="1"/>
    <col min="13" max="13" width="11.28515625" style="4" customWidth="1"/>
    <col min="14" max="14" width="17" style="4" customWidth="1"/>
    <col min="15" max="15" width="17.140625" style="4" customWidth="1"/>
    <col min="16" max="16" width="14.42578125" style="4" customWidth="1"/>
    <col min="17" max="17" width="11.5703125" style="4"/>
    <col min="18" max="18" width="13.7109375" style="4" customWidth="1"/>
    <col min="19" max="19" width="11.5703125" style="4"/>
    <col min="20" max="20" width="13.5703125" style="4" customWidth="1"/>
    <col min="21" max="22" width="11.5703125" style="4" customWidth="1"/>
    <col min="23" max="16384" width="11.5703125" style="4"/>
  </cols>
  <sheetData>
    <row r="1" spans="1:24" x14ac:dyDescent="0.2">
      <c r="A1" s="61"/>
      <c r="B1" s="61"/>
      <c r="C1" s="61"/>
      <c r="D1" s="61"/>
      <c r="E1" s="61"/>
      <c r="F1" s="61"/>
      <c r="G1" s="61"/>
      <c r="H1" s="61"/>
      <c r="I1" s="61"/>
      <c r="J1" s="61"/>
      <c r="K1" s="61"/>
      <c r="L1" s="61"/>
      <c r="M1" s="61"/>
      <c r="N1" s="61"/>
      <c r="O1" s="61"/>
      <c r="P1" s="74"/>
    </row>
    <row r="2" spans="1:24" ht="19.5" customHeight="1" x14ac:dyDescent="0.2">
      <c r="A2" s="61"/>
      <c r="B2" s="253" t="s">
        <v>4</v>
      </c>
      <c r="C2" s="253"/>
      <c r="D2" s="253"/>
      <c r="E2" s="253"/>
      <c r="F2" s="253"/>
      <c r="G2" s="253"/>
      <c r="H2" s="253"/>
      <c r="I2" s="253"/>
      <c r="J2" s="253"/>
      <c r="K2" s="253"/>
      <c r="L2" s="253"/>
      <c r="M2" s="253"/>
      <c r="N2" s="253"/>
      <c r="O2" s="253"/>
      <c r="P2" s="74"/>
    </row>
    <row r="3" spans="1:24" x14ac:dyDescent="0.2">
      <c r="A3" s="54"/>
      <c r="B3" s="254" t="s">
        <v>5</v>
      </c>
      <c r="C3" s="254"/>
      <c r="D3" s="254"/>
      <c r="E3" s="254"/>
      <c r="F3" s="254"/>
      <c r="G3" s="254"/>
      <c r="H3" s="254"/>
      <c r="I3" s="254"/>
      <c r="J3" s="254"/>
      <c r="K3" s="254"/>
      <c r="L3" s="254"/>
      <c r="M3" s="254"/>
      <c r="N3" s="254"/>
      <c r="O3" s="254"/>
      <c r="P3" s="74"/>
    </row>
    <row r="4" spans="1:24" ht="19.5" customHeight="1" x14ac:dyDescent="0.2">
      <c r="A4" s="255" t="s">
        <v>381</v>
      </c>
      <c r="B4" s="255"/>
      <c r="C4" s="255"/>
      <c r="D4" s="255"/>
      <c r="E4" s="255"/>
      <c r="F4" s="255"/>
      <c r="G4" s="255"/>
      <c r="H4" s="255"/>
      <c r="I4" s="255"/>
      <c r="J4" s="255"/>
      <c r="K4" s="255"/>
      <c r="L4" s="255"/>
      <c r="M4" s="255"/>
      <c r="N4" s="255"/>
      <c r="O4" s="255"/>
      <c r="P4" s="74"/>
    </row>
    <row r="5" spans="1:24" x14ac:dyDescent="0.2">
      <c r="A5" s="254" t="s">
        <v>9</v>
      </c>
      <c r="B5" s="254"/>
      <c r="C5" s="254"/>
      <c r="D5" s="254"/>
      <c r="E5" s="254"/>
      <c r="F5" s="254"/>
      <c r="G5" s="254"/>
      <c r="H5" s="254"/>
      <c r="I5" s="254"/>
      <c r="J5" s="254"/>
      <c r="K5" s="254"/>
      <c r="L5" s="254"/>
      <c r="M5" s="254"/>
      <c r="N5" s="254"/>
      <c r="O5" s="254"/>
      <c r="P5" s="74"/>
    </row>
    <row r="6" spans="1:24" ht="14.25" customHeight="1" x14ac:dyDescent="0.2">
      <c r="A6" s="254" t="s">
        <v>6</v>
      </c>
      <c r="B6" s="254"/>
      <c r="C6" s="254"/>
      <c r="D6" s="254"/>
      <c r="E6" s="254"/>
      <c r="F6" s="254"/>
      <c r="G6" s="254"/>
      <c r="H6" s="254"/>
      <c r="I6" s="254"/>
      <c r="J6" s="254"/>
      <c r="K6" s="254"/>
      <c r="L6" s="254"/>
      <c r="M6" s="254"/>
      <c r="N6" s="254"/>
      <c r="O6" s="254"/>
      <c r="P6" s="74"/>
    </row>
    <row r="7" spans="1:24" ht="14.25" customHeight="1" x14ac:dyDescent="0.2">
      <c r="A7" s="256" t="s">
        <v>1051</v>
      </c>
      <c r="B7" s="256"/>
      <c r="C7" s="256"/>
      <c r="D7" s="256"/>
      <c r="E7" s="256"/>
      <c r="F7" s="256"/>
      <c r="G7" s="256"/>
      <c r="H7" s="256"/>
      <c r="I7" s="256"/>
      <c r="J7" s="256"/>
      <c r="K7" s="256"/>
      <c r="L7" s="256"/>
      <c r="M7" s="256"/>
      <c r="N7" s="256"/>
      <c r="O7" s="256"/>
      <c r="P7" s="74"/>
    </row>
    <row r="8" spans="1:24" ht="13.5" thickBot="1" x14ac:dyDescent="0.25">
      <c r="A8" s="61"/>
      <c r="B8" s="61"/>
      <c r="C8" s="61"/>
      <c r="D8" s="61"/>
      <c r="E8" s="61"/>
      <c r="F8" s="61"/>
      <c r="G8" s="61"/>
      <c r="H8" s="61"/>
      <c r="I8" s="61"/>
      <c r="J8" s="61"/>
      <c r="K8" s="61"/>
      <c r="L8" s="61"/>
      <c r="M8" s="61"/>
      <c r="N8" s="61"/>
      <c r="O8" s="61"/>
      <c r="P8" s="74"/>
    </row>
    <row r="9" spans="1:24" ht="26.25" customHeight="1" x14ac:dyDescent="0.2">
      <c r="A9" s="267" t="s">
        <v>7</v>
      </c>
      <c r="B9" s="269" t="s">
        <v>13</v>
      </c>
      <c r="C9" s="248" t="s">
        <v>14</v>
      </c>
      <c r="D9" s="269" t="s">
        <v>1000</v>
      </c>
      <c r="E9" s="264" t="s">
        <v>3</v>
      </c>
      <c r="F9" s="271"/>
      <c r="G9" s="271"/>
      <c r="H9" s="271"/>
      <c r="I9" s="272"/>
      <c r="J9" s="264" t="s">
        <v>25</v>
      </c>
      <c r="K9" s="265"/>
      <c r="L9" s="265"/>
      <c r="M9" s="265"/>
      <c r="N9" s="266"/>
      <c r="O9" s="269" t="s">
        <v>326</v>
      </c>
      <c r="P9" s="257" t="s">
        <v>959</v>
      </c>
    </row>
    <row r="10" spans="1:24" ht="57.75" customHeight="1" x14ac:dyDescent="0.2">
      <c r="A10" s="268"/>
      <c r="B10" s="270"/>
      <c r="C10" s="249"/>
      <c r="D10" s="270"/>
      <c r="E10" s="137" t="s">
        <v>164</v>
      </c>
      <c r="F10" s="137" t="s">
        <v>17</v>
      </c>
      <c r="G10" s="137" t="s">
        <v>19</v>
      </c>
      <c r="H10" s="182" t="s">
        <v>985</v>
      </c>
      <c r="I10" s="137" t="s">
        <v>8</v>
      </c>
      <c r="J10" s="50" t="s">
        <v>20</v>
      </c>
      <c r="K10" s="50" t="s">
        <v>327</v>
      </c>
      <c r="L10" s="50" t="s">
        <v>22</v>
      </c>
      <c r="M10" s="50" t="s">
        <v>152</v>
      </c>
      <c r="N10" s="137" t="s">
        <v>23</v>
      </c>
      <c r="O10" s="270"/>
      <c r="P10" s="258"/>
    </row>
    <row r="11" spans="1:24" ht="26.25" customHeight="1" x14ac:dyDescent="0.2">
      <c r="A11" s="130">
        <v>1</v>
      </c>
      <c r="B11" s="24" t="s">
        <v>382</v>
      </c>
      <c r="C11" s="24" t="s">
        <v>328</v>
      </c>
      <c r="D11" s="29">
        <v>2425</v>
      </c>
      <c r="E11" s="146">
        <v>0</v>
      </c>
      <c r="F11" s="27">
        <v>0</v>
      </c>
      <c r="G11" s="147">
        <v>0</v>
      </c>
      <c r="H11" s="147">
        <v>0</v>
      </c>
      <c r="I11" s="28">
        <f t="shared" ref="I11:I71" si="0">SUM(D11:G11)</f>
        <v>2425</v>
      </c>
      <c r="J11" s="28">
        <f t="shared" ref="J11:J73" si="1">(D11+E11+F11)*3%</f>
        <v>72.75</v>
      </c>
      <c r="K11" s="28">
        <f>D11*11%</f>
        <v>266.75</v>
      </c>
      <c r="L11" s="28">
        <v>0</v>
      </c>
      <c r="M11" s="28">
        <v>0</v>
      </c>
      <c r="N11" s="28">
        <f t="shared" ref="N11:N76" si="2">J11+K11+L11+M11</f>
        <v>339.5</v>
      </c>
      <c r="O11" s="28">
        <f t="shared" ref="O11:O42" si="3">I11-N11</f>
        <v>2085.5</v>
      </c>
      <c r="P11" s="70">
        <v>0</v>
      </c>
      <c r="Q11" s="8"/>
      <c r="R11" s="8"/>
      <c r="S11" s="8"/>
      <c r="T11" s="8"/>
      <c r="U11" s="8"/>
      <c r="V11" s="8"/>
      <c r="W11" s="9"/>
      <c r="X11" s="9"/>
    </row>
    <row r="12" spans="1:24" s="6" customFormat="1" ht="27" customHeight="1" x14ac:dyDescent="0.2">
      <c r="A12" s="130">
        <v>2</v>
      </c>
      <c r="B12" s="24" t="s">
        <v>432</v>
      </c>
      <c r="C12" s="24" t="s">
        <v>331</v>
      </c>
      <c r="D12" s="148">
        <v>1940</v>
      </c>
      <c r="E12" s="146">
        <v>0</v>
      </c>
      <c r="F12" s="27">
        <v>0</v>
      </c>
      <c r="G12" s="147">
        <v>0</v>
      </c>
      <c r="H12" s="147">
        <v>0</v>
      </c>
      <c r="I12" s="28">
        <f t="shared" si="0"/>
        <v>1940</v>
      </c>
      <c r="J12" s="28">
        <f t="shared" si="1"/>
        <v>58.2</v>
      </c>
      <c r="K12" s="28">
        <f>D12*10%</f>
        <v>194</v>
      </c>
      <c r="L12" s="28">
        <v>0</v>
      </c>
      <c r="M12" s="28">
        <v>0</v>
      </c>
      <c r="N12" s="28">
        <f t="shared" si="2"/>
        <v>252.2</v>
      </c>
      <c r="O12" s="28">
        <f t="shared" si="3"/>
        <v>1687.8</v>
      </c>
      <c r="P12" s="70">
        <v>0</v>
      </c>
      <c r="Q12" s="11"/>
      <c r="R12" s="11"/>
      <c r="S12" s="11"/>
      <c r="T12" s="11"/>
      <c r="U12" s="11"/>
      <c r="V12" s="11"/>
      <c r="W12" s="12"/>
      <c r="X12" s="12"/>
    </row>
    <row r="13" spans="1:24" s="6" customFormat="1" ht="27" customHeight="1" x14ac:dyDescent="0.2">
      <c r="A13" s="130">
        <v>3</v>
      </c>
      <c r="B13" s="24" t="s">
        <v>230</v>
      </c>
      <c r="C13" s="24" t="s">
        <v>328</v>
      </c>
      <c r="D13" s="148">
        <v>2425</v>
      </c>
      <c r="E13" s="146">
        <v>0</v>
      </c>
      <c r="F13" s="27">
        <v>0</v>
      </c>
      <c r="G13" s="147">
        <v>0</v>
      </c>
      <c r="H13" s="147">
        <v>0</v>
      </c>
      <c r="I13" s="28">
        <f t="shared" si="0"/>
        <v>2425</v>
      </c>
      <c r="J13" s="28">
        <f t="shared" si="1"/>
        <v>72.75</v>
      </c>
      <c r="K13" s="28">
        <f>D13*11%</f>
        <v>266.75</v>
      </c>
      <c r="L13" s="28">
        <v>0</v>
      </c>
      <c r="M13" s="28">
        <v>0</v>
      </c>
      <c r="N13" s="28">
        <f t="shared" si="2"/>
        <v>339.5</v>
      </c>
      <c r="O13" s="28">
        <f t="shared" si="3"/>
        <v>2085.5</v>
      </c>
      <c r="P13" s="70">
        <v>0</v>
      </c>
      <c r="Q13" s="11"/>
      <c r="R13" s="11"/>
      <c r="S13" s="11"/>
      <c r="T13" s="11"/>
      <c r="U13" s="11"/>
      <c r="V13" s="11"/>
      <c r="W13" s="12"/>
      <c r="X13" s="12"/>
    </row>
    <row r="14" spans="1:24" s="6" customFormat="1" ht="27" customHeight="1" x14ac:dyDescent="0.2">
      <c r="A14" s="130">
        <v>4</v>
      </c>
      <c r="B14" s="220" t="s">
        <v>517</v>
      </c>
      <c r="C14" s="23" t="s">
        <v>518</v>
      </c>
      <c r="D14" s="148">
        <v>2392</v>
      </c>
      <c r="E14" s="146">
        <v>1900</v>
      </c>
      <c r="F14" s="27">
        <v>0</v>
      </c>
      <c r="G14" s="147">
        <v>250</v>
      </c>
      <c r="H14" s="147">
        <v>0</v>
      </c>
      <c r="I14" s="28">
        <f t="shared" si="0"/>
        <v>4542</v>
      </c>
      <c r="J14" s="28">
        <f t="shared" si="1"/>
        <v>128.76</v>
      </c>
      <c r="K14" s="28">
        <f>(D14+E14)*12%</f>
        <v>515.04</v>
      </c>
      <c r="L14" s="28">
        <v>0</v>
      </c>
      <c r="M14" s="28">
        <v>0</v>
      </c>
      <c r="N14" s="28">
        <f t="shared" si="2"/>
        <v>643.79999999999995</v>
      </c>
      <c r="O14" s="28">
        <f t="shared" si="3"/>
        <v>3898.2</v>
      </c>
      <c r="P14" s="70">
        <v>0</v>
      </c>
      <c r="Q14" s="11"/>
      <c r="R14" s="11"/>
      <c r="S14" s="11"/>
      <c r="T14" s="11"/>
      <c r="U14" s="11"/>
      <c r="V14" s="11"/>
      <c r="W14" s="12"/>
      <c r="X14" s="12"/>
    </row>
    <row r="15" spans="1:24" s="6" customFormat="1" ht="27" customHeight="1" x14ac:dyDescent="0.2">
      <c r="A15" s="130">
        <v>5</v>
      </c>
      <c r="B15" s="24" t="s">
        <v>383</v>
      </c>
      <c r="C15" s="24" t="s">
        <v>288</v>
      </c>
      <c r="D15" s="28">
        <v>2249</v>
      </c>
      <c r="E15" s="28">
        <v>1000</v>
      </c>
      <c r="F15" s="27">
        <v>0</v>
      </c>
      <c r="G15" s="147">
        <v>250</v>
      </c>
      <c r="H15" s="147">
        <v>0</v>
      </c>
      <c r="I15" s="28">
        <f t="shared" si="0"/>
        <v>3499</v>
      </c>
      <c r="J15" s="28">
        <f t="shared" si="1"/>
        <v>97.47</v>
      </c>
      <c r="K15" s="28">
        <f>(D15+E15)*11%</f>
        <v>357.39</v>
      </c>
      <c r="L15" s="28">
        <v>0</v>
      </c>
      <c r="M15" s="28">
        <v>0</v>
      </c>
      <c r="N15" s="28">
        <f t="shared" si="2"/>
        <v>454.86</v>
      </c>
      <c r="O15" s="28">
        <f t="shared" si="3"/>
        <v>3044.14</v>
      </c>
      <c r="P15" s="70">
        <v>0</v>
      </c>
      <c r="Q15" s="11"/>
      <c r="R15" s="11"/>
      <c r="S15" s="11"/>
      <c r="T15" s="11"/>
      <c r="U15" s="11"/>
      <c r="V15" s="11"/>
      <c r="W15" s="12"/>
      <c r="X15" s="12"/>
    </row>
    <row r="16" spans="1:24" s="6" customFormat="1" ht="27" customHeight="1" x14ac:dyDescent="0.2">
      <c r="A16" s="130">
        <v>6</v>
      </c>
      <c r="B16" s="25" t="s">
        <v>46</v>
      </c>
      <c r="C16" s="24" t="s">
        <v>288</v>
      </c>
      <c r="D16" s="27">
        <v>2249</v>
      </c>
      <c r="E16" s="27">
        <v>1000</v>
      </c>
      <c r="F16" s="27">
        <v>0</v>
      </c>
      <c r="G16" s="27">
        <v>250</v>
      </c>
      <c r="H16" s="147">
        <v>0</v>
      </c>
      <c r="I16" s="28">
        <f t="shared" si="0"/>
        <v>3499</v>
      </c>
      <c r="J16" s="28">
        <f t="shared" si="1"/>
        <v>97.47</v>
      </c>
      <c r="K16" s="28">
        <f>(D16+E16)*11%</f>
        <v>357.39</v>
      </c>
      <c r="L16" s="28">
        <v>0</v>
      </c>
      <c r="M16" s="28">
        <v>0</v>
      </c>
      <c r="N16" s="28">
        <f t="shared" si="2"/>
        <v>454.86</v>
      </c>
      <c r="O16" s="28">
        <f t="shared" si="3"/>
        <v>3044.14</v>
      </c>
      <c r="P16" s="70">
        <v>0</v>
      </c>
      <c r="Q16" s="11"/>
      <c r="R16" s="11"/>
      <c r="S16" s="11"/>
      <c r="T16" s="11"/>
      <c r="U16" s="11"/>
      <c r="V16" s="11"/>
      <c r="W16" s="12"/>
      <c r="X16" s="12"/>
    </row>
    <row r="17" spans="1:24" s="6" customFormat="1" ht="27" customHeight="1" x14ac:dyDescent="0.2">
      <c r="A17" s="130">
        <v>7</v>
      </c>
      <c r="B17" s="24" t="s">
        <v>329</v>
      </c>
      <c r="C17" s="24" t="s">
        <v>331</v>
      </c>
      <c r="D17" s="148">
        <v>1940</v>
      </c>
      <c r="E17" s="146">
        <v>0</v>
      </c>
      <c r="F17" s="27">
        <v>0</v>
      </c>
      <c r="G17" s="147">
        <v>0</v>
      </c>
      <c r="H17" s="147">
        <v>0</v>
      </c>
      <c r="I17" s="28">
        <f t="shared" si="0"/>
        <v>1940</v>
      </c>
      <c r="J17" s="28">
        <f t="shared" si="1"/>
        <v>58.2</v>
      </c>
      <c r="K17" s="28">
        <f>D17*10%</f>
        <v>194</v>
      </c>
      <c r="L17" s="28">
        <v>0</v>
      </c>
      <c r="M17" s="28">
        <v>0</v>
      </c>
      <c r="N17" s="28">
        <f t="shared" si="2"/>
        <v>252.2</v>
      </c>
      <c r="O17" s="28">
        <f t="shared" si="3"/>
        <v>1687.8</v>
      </c>
      <c r="P17" s="70">
        <v>0</v>
      </c>
      <c r="Q17" s="11"/>
      <c r="R17" s="11"/>
      <c r="S17" s="11"/>
      <c r="T17" s="11"/>
      <c r="U17" s="11"/>
      <c r="V17" s="11"/>
      <c r="W17" s="12"/>
      <c r="X17" s="12"/>
    </row>
    <row r="18" spans="1:24" s="6" customFormat="1" ht="27" customHeight="1" x14ac:dyDescent="0.2">
      <c r="A18" s="130">
        <v>8</v>
      </c>
      <c r="B18" s="24" t="s">
        <v>146</v>
      </c>
      <c r="C18" s="24" t="s">
        <v>494</v>
      </c>
      <c r="D18" s="148">
        <v>2375</v>
      </c>
      <c r="E18" s="29">
        <v>1000</v>
      </c>
      <c r="F18" s="27">
        <v>0</v>
      </c>
      <c r="G18" s="147">
        <v>250</v>
      </c>
      <c r="H18" s="147">
        <v>0</v>
      </c>
      <c r="I18" s="28">
        <f t="shared" si="0"/>
        <v>3625</v>
      </c>
      <c r="J18" s="28">
        <f t="shared" si="1"/>
        <v>101.25</v>
      </c>
      <c r="K18" s="28">
        <f>(D18+E18)*11%</f>
        <v>371.25</v>
      </c>
      <c r="L18" s="28">
        <v>0</v>
      </c>
      <c r="M18" s="28">
        <v>0</v>
      </c>
      <c r="N18" s="28">
        <f t="shared" si="2"/>
        <v>472.5</v>
      </c>
      <c r="O18" s="28">
        <f t="shared" si="3"/>
        <v>3152.5</v>
      </c>
      <c r="P18" s="70">
        <v>1156</v>
      </c>
      <c r="Q18" s="11"/>
      <c r="R18" s="11"/>
      <c r="S18" s="11"/>
      <c r="T18" s="11"/>
      <c r="U18" s="11"/>
      <c r="V18" s="11"/>
      <c r="W18" s="12"/>
      <c r="X18" s="12"/>
    </row>
    <row r="19" spans="1:24" s="6" customFormat="1" ht="27" customHeight="1" x14ac:dyDescent="0.2">
      <c r="A19" s="130">
        <v>9</v>
      </c>
      <c r="B19" s="22" t="s">
        <v>384</v>
      </c>
      <c r="C19" s="22" t="s">
        <v>492</v>
      </c>
      <c r="D19" s="29">
        <v>2760</v>
      </c>
      <c r="E19" s="146">
        <v>1000</v>
      </c>
      <c r="F19" s="27">
        <v>0</v>
      </c>
      <c r="G19" s="147">
        <v>250</v>
      </c>
      <c r="H19" s="147">
        <v>0</v>
      </c>
      <c r="I19" s="28">
        <f t="shared" si="0"/>
        <v>4010</v>
      </c>
      <c r="J19" s="28">
        <f t="shared" si="1"/>
        <v>112.8</v>
      </c>
      <c r="K19" s="28">
        <f>(D19+E19)*11%</f>
        <v>413.6</v>
      </c>
      <c r="L19" s="28">
        <v>0</v>
      </c>
      <c r="M19" s="28">
        <v>0</v>
      </c>
      <c r="N19" s="28">
        <f t="shared" si="2"/>
        <v>526.4</v>
      </c>
      <c r="O19" s="28">
        <f t="shared" si="3"/>
        <v>3483.6</v>
      </c>
      <c r="P19" s="70">
        <v>0</v>
      </c>
      <c r="Q19" s="11"/>
      <c r="R19" s="11"/>
      <c r="S19" s="11"/>
      <c r="T19" s="11"/>
      <c r="U19" s="11"/>
      <c r="V19" s="11"/>
      <c r="W19" s="12"/>
      <c r="X19" s="12"/>
    </row>
    <row r="20" spans="1:24" s="6" customFormat="1" ht="27" customHeight="1" x14ac:dyDescent="0.2">
      <c r="A20" s="130">
        <v>10</v>
      </c>
      <c r="B20" s="24" t="s">
        <v>330</v>
      </c>
      <c r="C20" s="24" t="s">
        <v>331</v>
      </c>
      <c r="D20" s="148">
        <v>1940</v>
      </c>
      <c r="E20" s="146">
        <v>0</v>
      </c>
      <c r="F20" s="27">
        <v>0</v>
      </c>
      <c r="G20" s="147">
        <v>0</v>
      </c>
      <c r="H20" s="147">
        <v>0</v>
      </c>
      <c r="I20" s="28">
        <f t="shared" si="0"/>
        <v>1940</v>
      </c>
      <c r="J20" s="28">
        <f t="shared" si="1"/>
        <v>58.2</v>
      </c>
      <c r="K20" s="28">
        <f>D20*10%</f>
        <v>194</v>
      </c>
      <c r="L20" s="28">
        <v>0</v>
      </c>
      <c r="M20" s="28">
        <v>0</v>
      </c>
      <c r="N20" s="28">
        <f t="shared" si="2"/>
        <v>252.2</v>
      </c>
      <c r="O20" s="28">
        <f t="shared" si="3"/>
        <v>1687.8</v>
      </c>
      <c r="P20" s="70">
        <v>0</v>
      </c>
      <c r="Q20" s="11"/>
      <c r="R20" s="11"/>
      <c r="S20" s="11"/>
      <c r="T20" s="11"/>
      <c r="U20" s="11"/>
      <c r="V20" s="11"/>
      <c r="W20" s="12"/>
      <c r="X20" s="12"/>
    </row>
    <row r="21" spans="1:24" s="6" customFormat="1" ht="27" customHeight="1" x14ac:dyDescent="0.2">
      <c r="A21" s="130">
        <v>11</v>
      </c>
      <c r="B21" s="32" t="s">
        <v>468</v>
      </c>
      <c r="C21" s="26" t="s">
        <v>157</v>
      </c>
      <c r="D21" s="149">
        <v>6759</v>
      </c>
      <c r="E21" s="150">
        <f>4000+4000</f>
        <v>8000</v>
      </c>
      <c r="F21" s="151">
        <v>375</v>
      </c>
      <c r="G21" s="152">
        <v>250</v>
      </c>
      <c r="H21" s="147">
        <v>0</v>
      </c>
      <c r="I21" s="28">
        <f t="shared" si="0"/>
        <v>15384</v>
      </c>
      <c r="J21" s="28">
        <f t="shared" si="1"/>
        <v>454.02</v>
      </c>
      <c r="K21" s="28">
        <f>(D21+E21+F21)*15%</f>
        <v>2270.1</v>
      </c>
      <c r="L21" s="28">
        <v>433.83</v>
      </c>
      <c r="M21" s="28">
        <v>203.4</v>
      </c>
      <c r="N21" s="28">
        <f t="shared" si="2"/>
        <v>3361.35</v>
      </c>
      <c r="O21" s="28">
        <f t="shared" si="3"/>
        <v>12022.65</v>
      </c>
      <c r="P21" s="70">
        <v>0</v>
      </c>
      <c r="Q21" s="11"/>
      <c r="R21" s="11"/>
      <c r="S21" s="11"/>
      <c r="T21" s="11"/>
      <c r="U21" s="11"/>
      <c r="V21" s="11"/>
      <c r="W21" s="12"/>
      <c r="X21" s="12"/>
    </row>
    <row r="22" spans="1:24" s="6" customFormat="1" ht="27" customHeight="1" x14ac:dyDescent="0.2">
      <c r="A22" s="130">
        <v>12</v>
      </c>
      <c r="B22" s="30" t="s">
        <v>463</v>
      </c>
      <c r="C22" s="24" t="s">
        <v>111</v>
      </c>
      <c r="D22" s="153">
        <v>1902</v>
      </c>
      <c r="E22" s="146">
        <v>1000</v>
      </c>
      <c r="F22" s="27">
        <v>0</v>
      </c>
      <c r="G22" s="147">
        <v>250</v>
      </c>
      <c r="H22" s="147">
        <v>0</v>
      </c>
      <c r="I22" s="28">
        <f t="shared" si="0"/>
        <v>3152</v>
      </c>
      <c r="J22" s="28">
        <f t="shared" si="1"/>
        <v>87.06</v>
      </c>
      <c r="K22" s="28">
        <v>319.22000000000003</v>
      </c>
      <c r="L22" s="28">
        <v>0</v>
      </c>
      <c r="M22" s="28">
        <v>39</v>
      </c>
      <c r="N22" s="28">
        <f t="shared" si="2"/>
        <v>445.28</v>
      </c>
      <c r="O22" s="28">
        <f t="shared" si="3"/>
        <v>2706.72</v>
      </c>
      <c r="P22" s="70">
        <v>0</v>
      </c>
      <c r="Q22" s="11"/>
      <c r="R22" s="11"/>
      <c r="S22" s="11"/>
      <c r="T22" s="11"/>
      <c r="U22" s="11"/>
      <c r="V22" s="11"/>
      <c r="W22" s="12"/>
      <c r="X22" s="12"/>
    </row>
    <row r="23" spans="1:24" s="6" customFormat="1" ht="27" customHeight="1" x14ac:dyDescent="0.2">
      <c r="A23" s="130">
        <v>13</v>
      </c>
      <c r="B23" s="24" t="s">
        <v>96</v>
      </c>
      <c r="C23" s="24" t="s">
        <v>328</v>
      </c>
      <c r="D23" s="148">
        <v>2425</v>
      </c>
      <c r="E23" s="146">
        <v>0</v>
      </c>
      <c r="F23" s="27">
        <v>0</v>
      </c>
      <c r="G23" s="147">
        <v>0</v>
      </c>
      <c r="H23" s="147">
        <v>0</v>
      </c>
      <c r="I23" s="28">
        <f t="shared" si="0"/>
        <v>2425</v>
      </c>
      <c r="J23" s="28">
        <f t="shared" si="1"/>
        <v>72.75</v>
      </c>
      <c r="K23" s="28">
        <f>D23*11%</f>
        <v>266.75</v>
      </c>
      <c r="L23" s="28">
        <v>0</v>
      </c>
      <c r="M23" s="28">
        <v>0</v>
      </c>
      <c r="N23" s="28">
        <f t="shared" si="2"/>
        <v>339.5</v>
      </c>
      <c r="O23" s="28">
        <f t="shared" si="3"/>
        <v>2085.5</v>
      </c>
      <c r="P23" s="70">
        <v>0</v>
      </c>
      <c r="Q23" s="11"/>
      <c r="R23" s="11"/>
      <c r="S23" s="11"/>
      <c r="T23" s="11"/>
      <c r="U23" s="11"/>
      <c r="V23" s="11"/>
      <c r="W23" s="12"/>
      <c r="X23" s="12"/>
    </row>
    <row r="24" spans="1:24" s="6" customFormat="1" ht="27" customHeight="1" x14ac:dyDescent="0.2">
      <c r="A24" s="130">
        <v>14</v>
      </c>
      <c r="B24" s="24" t="s">
        <v>105</v>
      </c>
      <c r="C24" s="24" t="s">
        <v>331</v>
      </c>
      <c r="D24" s="29">
        <v>1940</v>
      </c>
      <c r="E24" s="146">
        <v>0</v>
      </c>
      <c r="F24" s="27">
        <v>0</v>
      </c>
      <c r="G24" s="147">
        <v>0</v>
      </c>
      <c r="H24" s="147">
        <v>0</v>
      </c>
      <c r="I24" s="28">
        <f t="shared" si="0"/>
        <v>1940</v>
      </c>
      <c r="J24" s="28">
        <f t="shared" si="1"/>
        <v>58.2</v>
      </c>
      <c r="K24" s="28">
        <f>D24*10%</f>
        <v>194</v>
      </c>
      <c r="L24" s="28">
        <v>0</v>
      </c>
      <c r="M24" s="28">
        <v>0</v>
      </c>
      <c r="N24" s="28">
        <f t="shared" si="2"/>
        <v>252.2</v>
      </c>
      <c r="O24" s="28">
        <f t="shared" si="3"/>
        <v>1687.8</v>
      </c>
      <c r="P24" s="70">
        <v>0</v>
      </c>
      <c r="Q24" s="11"/>
      <c r="R24" s="11"/>
      <c r="S24" s="11"/>
      <c r="T24" s="11"/>
      <c r="U24" s="11"/>
      <c r="V24" s="11"/>
      <c r="W24" s="12"/>
      <c r="X24" s="12"/>
    </row>
    <row r="25" spans="1:24" s="6" customFormat="1" ht="27" customHeight="1" x14ac:dyDescent="0.2">
      <c r="A25" s="130">
        <v>15</v>
      </c>
      <c r="B25" s="24" t="s">
        <v>228</v>
      </c>
      <c r="C25" s="24" t="s">
        <v>328</v>
      </c>
      <c r="D25" s="148">
        <v>2425</v>
      </c>
      <c r="E25" s="146">
        <v>0</v>
      </c>
      <c r="F25" s="27">
        <v>0</v>
      </c>
      <c r="G25" s="147">
        <v>0</v>
      </c>
      <c r="H25" s="147">
        <v>0</v>
      </c>
      <c r="I25" s="28">
        <f t="shared" si="0"/>
        <v>2425</v>
      </c>
      <c r="J25" s="28">
        <f t="shared" si="1"/>
        <v>72.75</v>
      </c>
      <c r="K25" s="28">
        <f>D25*11%</f>
        <v>266.75</v>
      </c>
      <c r="L25" s="28">
        <v>0</v>
      </c>
      <c r="M25" s="28">
        <v>0</v>
      </c>
      <c r="N25" s="28">
        <f t="shared" si="2"/>
        <v>339.5</v>
      </c>
      <c r="O25" s="28">
        <f t="shared" si="3"/>
        <v>2085.5</v>
      </c>
      <c r="P25" s="70">
        <v>0</v>
      </c>
      <c r="Q25" s="11"/>
      <c r="R25" s="11"/>
      <c r="S25" s="11"/>
      <c r="T25" s="11"/>
      <c r="U25" s="11"/>
      <c r="V25" s="11"/>
      <c r="W25" s="12"/>
      <c r="X25" s="12"/>
    </row>
    <row r="26" spans="1:24" s="6" customFormat="1" ht="27" customHeight="1" x14ac:dyDescent="0.2">
      <c r="A26" s="130">
        <v>16</v>
      </c>
      <c r="B26" s="32" t="s">
        <v>287</v>
      </c>
      <c r="C26" s="24" t="s">
        <v>322</v>
      </c>
      <c r="D26" s="154">
        <v>5835</v>
      </c>
      <c r="E26" s="29">
        <v>3000</v>
      </c>
      <c r="F26" s="27">
        <v>0</v>
      </c>
      <c r="G26" s="147">
        <v>250</v>
      </c>
      <c r="H26" s="147">
        <v>0</v>
      </c>
      <c r="I26" s="28">
        <f t="shared" si="0"/>
        <v>9085</v>
      </c>
      <c r="J26" s="28">
        <f t="shared" si="1"/>
        <v>265.05</v>
      </c>
      <c r="K26" s="28">
        <f>(D26+E26)*14%</f>
        <v>1236.9000000000001</v>
      </c>
      <c r="L26" s="28">
        <v>195.55</v>
      </c>
      <c r="M26" s="28">
        <v>123.78</v>
      </c>
      <c r="N26" s="28">
        <f t="shared" si="2"/>
        <v>1821.28</v>
      </c>
      <c r="O26" s="28">
        <f t="shared" si="3"/>
        <v>7263.72</v>
      </c>
      <c r="P26" s="70">
        <f>740.75</f>
        <v>740.75</v>
      </c>
      <c r="Q26" s="11"/>
      <c r="R26" s="11"/>
      <c r="S26" s="11"/>
      <c r="T26" s="11"/>
      <c r="U26" s="11"/>
      <c r="V26" s="11"/>
      <c r="W26" s="12"/>
      <c r="X26" s="12"/>
    </row>
    <row r="27" spans="1:24" s="6" customFormat="1" ht="27" customHeight="1" x14ac:dyDescent="0.2">
      <c r="A27" s="130">
        <v>17</v>
      </c>
      <c r="B27" s="34" t="s">
        <v>39</v>
      </c>
      <c r="C27" s="26" t="s">
        <v>506</v>
      </c>
      <c r="D27" s="27">
        <v>5373</v>
      </c>
      <c r="E27" s="27">
        <v>3000</v>
      </c>
      <c r="F27" s="27">
        <v>0</v>
      </c>
      <c r="G27" s="27">
        <v>250</v>
      </c>
      <c r="H27" s="147">
        <v>0</v>
      </c>
      <c r="I27" s="28">
        <f t="shared" si="0"/>
        <v>8623</v>
      </c>
      <c r="J27" s="28">
        <f t="shared" si="1"/>
        <v>251.19</v>
      </c>
      <c r="K27" s="28">
        <f>(D27+E27)*14%</f>
        <v>1172.22</v>
      </c>
      <c r="L27" s="28">
        <v>160.81</v>
      </c>
      <c r="M27" s="28">
        <v>112.53</v>
      </c>
      <c r="N27" s="28">
        <f t="shared" si="2"/>
        <v>1696.75</v>
      </c>
      <c r="O27" s="28">
        <f t="shared" si="3"/>
        <v>6926.25</v>
      </c>
      <c r="P27" s="70">
        <v>0</v>
      </c>
      <c r="Q27" s="11"/>
      <c r="R27" s="11"/>
      <c r="S27" s="11"/>
      <c r="T27" s="11"/>
      <c r="U27" s="11"/>
      <c r="V27" s="11"/>
      <c r="W27" s="12"/>
      <c r="X27" s="12"/>
    </row>
    <row r="28" spans="1:24" s="6" customFormat="1" ht="27" customHeight="1" x14ac:dyDescent="0.2">
      <c r="A28" s="130">
        <v>18</v>
      </c>
      <c r="B28" s="22" t="s">
        <v>86</v>
      </c>
      <c r="C28" s="22" t="s">
        <v>107</v>
      </c>
      <c r="D28" s="29">
        <v>2760</v>
      </c>
      <c r="E28" s="146">
        <v>1000</v>
      </c>
      <c r="F28" s="27">
        <v>0</v>
      </c>
      <c r="G28" s="147">
        <v>250</v>
      </c>
      <c r="H28" s="147">
        <v>0</v>
      </c>
      <c r="I28" s="28">
        <f t="shared" si="0"/>
        <v>4010</v>
      </c>
      <c r="J28" s="28">
        <f t="shared" si="1"/>
        <v>112.8</v>
      </c>
      <c r="K28" s="28">
        <f>(D28+E28)*11%</f>
        <v>413.6</v>
      </c>
      <c r="L28" s="28">
        <v>0</v>
      </c>
      <c r="M28" s="28">
        <v>0</v>
      </c>
      <c r="N28" s="28">
        <f t="shared" si="2"/>
        <v>526.4</v>
      </c>
      <c r="O28" s="28">
        <f t="shared" si="3"/>
        <v>3483.6</v>
      </c>
      <c r="P28" s="70">
        <v>0</v>
      </c>
      <c r="Q28" s="11"/>
      <c r="R28" s="11"/>
      <c r="S28" s="11"/>
      <c r="T28" s="11"/>
      <c r="U28" s="11"/>
      <c r="V28" s="11"/>
      <c r="W28" s="12"/>
      <c r="X28" s="12"/>
    </row>
    <row r="29" spans="1:24" s="6" customFormat="1" ht="27" customHeight="1" x14ac:dyDescent="0.2">
      <c r="A29" s="130">
        <v>19</v>
      </c>
      <c r="B29" s="221" t="s">
        <v>479</v>
      </c>
      <c r="C29" s="24" t="s">
        <v>1002</v>
      </c>
      <c r="D29" s="222">
        <v>5835</v>
      </c>
      <c r="E29" s="146">
        <v>3000</v>
      </c>
      <c r="F29" s="27">
        <v>0</v>
      </c>
      <c r="G29" s="147">
        <v>250</v>
      </c>
      <c r="H29" s="147">
        <v>0</v>
      </c>
      <c r="I29" s="28">
        <f t="shared" si="0"/>
        <v>9085</v>
      </c>
      <c r="J29" s="28">
        <f t="shared" si="1"/>
        <v>265.05</v>
      </c>
      <c r="K29" s="28">
        <f>(D29+E29)*14%</f>
        <v>1236.9000000000001</v>
      </c>
      <c r="L29" s="28">
        <v>179.99</v>
      </c>
      <c r="M29" s="28">
        <v>118.74</v>
      </c>
      <c r="N29" s="28">
        <f>J29+K29+L29+M29</f>
        <v>1800.68</v>
      </c>
      <c r="O29" s="28">
        <f>I29-N29</f>
        <v>7284.32</v>
      </c>
      <c r="P29" s="70">
        <f>1422</f>
        <v>1422</v>
      </c>
      <c r="Q29" s="11"/>
      <c r="R29" s="11"/>
      <c r="S29" s="11"/>
      <c r="T29" s="11"/>
      <c r="U29" s="11"/>
      <c r="V29" s="11"/>
      <c r="W29" s="12"/>
      <c r="X29" s="12"/>
    </row>
    <row r="30" spans="1:24" s="6" customFormat="1" ht="27" customHeight="1" x14ac:dyDescent="0.2">
      <c r="A30" s="130">
        <v>20</v>
      </c>
      <c r="B30" s="24" t="s">
        <v>433</v>
      </c>
      <c r="C30" s="33" t="s">
        <v>496</v>
      </c>
      <c r="D30" s="148">
        <v>2328</v>
      </c>
      <c r="E30" s="146">
        <v>0</v>
      </c>
      <c r="F30" s="27">
        <v>0</v>
      </c>
      <c r="G30" s="147">
        <v>0</v>
      </c>
      <c r="H30" s="147">
        <v>0</v>
      </c>
      <c r="I30" s="28">
        <f t="shared" si="0"/>
        <v>2328</v>
      </c>
      <c r="J30" s="28">
        <f t="shared" si="1"/>
        <v>69.84</v>
      </c>
      <c r="K30" s="28">
        <f>D30*11%</f>
        <v>256.08</v>
      </c>
      <c r="L30" s="28">
        <v>0</v>
      </c>
      <c r="M30" s="28">
        <v>0</v>
      </c>
      <c r="N30" s="28">
        <f t="shared" si="2"/>
        <v>325.92</v>
      </c>
      <c r="O30" s="28">
        <f t="shared" si="3"/>
        <v>2002.08</v>
      </c>
      <c r="P30" s="70">
        <v>0</v>
      </c>
      <c r="Q30" s="11"/>
      <c r="R30" s="11"/>
      <c r="S30" s="11"/>
      <c r="T30" s="11"/>
      <c r="U30" s="11"/>
      <c r="V30" s="11"/>
      <c r="W30" s="12"/>
      <c r="X30" s="12"/>
    </row>
    <row r="31" spans="1:24" s="6" customFormat="1" ht="27" customHeight="1" x14ac:dyDescent="0.2">
      <c r="A31" s="130">
        <v>21</v>
      </c>
      <c r="B31" s="30" t="s">
        <v>1015</v>
      </c>
      <c r="C31" s="23" t="s">
        <v>157</v>
      </c>
      <c r="D31" s="169">
        <v>6759</v>
      </c>
      <c r="E31" s="146">
        <v>4000</v>
      </c>
      <c r="F31" s="27">
        <v>375</v>
      </c>
      <c r="G31" s="147">
        <v>250</v>
      </c>
      <c r="H31" s="147">
        <v>0</v>
      </c>
      <c r="I31" s="28">
        <f t="shared" si="0"/>
        <v>11384</v>
      </c>
      <c r="J31" s="28">
        <f t="shared" si="1"/>
        <v>334.02</v>
      </c>
      <c r="K31" s="28">
        <f>(D31+E31+F31)*15%</f>
        <v>1670.1</v>
      </c>
      <c r="L31" s="28">
        <v>269.83</v>
      </c>
      <c r="M31" s="28">
        <v>149.63999999999999</v>
      </c>
      <c r="N31" s="28">
        <f>J31+K31+L31+M31</f>
        <v>2423.59</v>
      </c>
      <c r="O31" s="28">
        <f t="shared" si="3"/>
        <v>8960.41</v>
      </c>
      <c r="P31" s="70">
        <v>0</v>
      </c>
      <c r="Q31" s="11"/>
      <c r="R31" s="11"/>
      <c r="S31" s="11"/>
      <c r="T31" s="11"/>
      <c r="U31" s="11"/>
      <c r="V31" s="11"/>
      <c r="W31" s="12"/>
      <c r="X31" s="12"/>
    </row>
    <row r="32" spans="1:24" s="6" customFormat="1" ht="27" customHeight="1" x14ac:dyDescent="0.2">
      <c r="A32" s="130">
        <v>22</v>
      </c>
      <c r="B32" s="22" t="s">
        <v>332</v>
      </c>
      <c r="C32" s="24" t="s">
        <v>346</v>
      </c>
      <c r="D32" s="29">
        <v>2037</v>
      </c>
      <c r="E32" s="146">
        <v>0</v>
      </c>
      <c r="F32" s="27">
        <v>0</v>
      </c>
      <c r="G32" s="147">
        <v>0</v>
      </c>
      <c r="H32" s="147">
        <v>0</v>
      </c>
      <c r="I32" s="28">
        <f t="shared" si="0"/>
        <v>2037</v>
      </c>
      <c r="J32" s="28">
        <f t="shared" si="1"/>
        <v>61.11</v>
      </c>
      <c r="K32" s="28">
        <f>D32*11%</f>
        <v>224.07</v>
      </c>
      <c r="L32" s="28">
        <v>0</v>
      </c>
      <c r="M32" s="28">
        <v>0</v>
      </c>
      <c r="N32" s="28">
        <f t="shared" si="2"/>
        <v>285.18</v>
      </c>
      <c r="O32" s="28">
        <f t="shared" si="3"/>
        <v>1751.82</v>
      </c>
      <c r="P32" s="70">
        <v>0</v>
      </c>
      <c r="Q32" s="11"/>
      <c r="R32" s="11"/>
      <c r="S32" s="11"/>
      <c r="T32" s="11"/>
      <c r="U32" s="11"/>
      <c r="V32" s="11"/>
      <c r="W32" s="12"/>
      <c r="X32" s="12"/>
    </row>
    <row r="33" spans="1:24" s="6" customFormat="1" ht="27" customHeight="1" x14ac:dyDescent="0.2">
      <c r="A33" s="130">
        <v>23</v>
      </c>
      <c r="B33" s="24" t="s">
        <v>333</v>
      </c>
      <c r="C33" s="24" t="s">
        <v>331</v>
      </c>
      <c r="D33" s="148">
        <v>1940</v>
      </c>
      <c r="E33" s="146">
        <v>0</v>
      </c>
      <c r="F33" s="27">
        <v>0</v>
      </c>
      <c r="G33" s="147">
        <v>0</v>
      </c>
      <c r="H33" s="147">
        <v>0</v>
      </c>
      <c r="I33" s="28">
        <f t="shared" si="0"/>
        <v>1940</v>
      </c>
      <c r="J33" s="28">
        <f t="shared" si="1"/>
        <v>58.2</v>
      </c>
      <c r="K33" s="28">
        <f>D33*10%</f>
        <v>194</v>
      </c>
      <c r="L33" s="28">
        <v>0</v>
      </c>
      <c r="M33" s="28">
        <v>0</v>
      </c>
      <c r="N33" s="28">
        <f t="shared" si="2"/>
        <v>252.2</v>
      </c>
      <c r="O33" s="28">
        <f t="shared" si="3"/>
        <v>1687.8</v>
      </c>
      <c r="P33" s="70">
        <v>0</v>
      </c>
      <c r="Q33" s="11"/>
      <c r="R33" s="11"/>
      <c r="S33" s="11"/>
      <c r="T33" s="11"/>
      <c r="U33" s="11"/>
      <c r="V33" s="11"/>
      <c r="W33" s="12"/>
      <c r="X33" s="12"/>
    </row>
    <row r="34" spans="1:24" s="6" customFormat="1" ht="27" customHeight="1" x14ac:dyDescent="0.2">
      <c r="A34" s="130">
        <v>24</v>
      </c>
      <c r="B34" s="25" t="s">
        <v>33</v>
      </c>
      <c r="C34" s="26" t="s">
        <v>508</v>
      </c>
      <c r="D34" s="27">
        <v>2375</v>
      </c>
      <c r="E34" s="27">
        <f>2000</f>
        <v>2000</v>
      </c>
      <c r="F34" s="27">
        <v>0</v>
      </c>
      <c r="G34" s="27">
        <v>250</v>
      </c>
      <c r="H34" s="147">
        <v>0</v>
      </c>
      <c r="I34" s="28">
        <f t="shared" si="0"/>
        <v>4625</v>
      </c>
      <c r="J34" s="28">
        <f t="shared" si="1"/>
        <v>131.25</v>
      </c>
      <c r="K34" s="28">
        <f>(D34+E34)*11%</f>
        <v>481.25</v>
      </c>
      <c r="L34" s="28">
        <v>0</v>
      </c>
      <c r="M34" s="28">
        <v>45.36</v>
      </c>
      <c r="N34" s="28">
        <f t="shared" si="2"/>
        <v>657.86</v>
      </c>
      <c r="O34" s="28">
        <f t="shared" si="3"/>
        <v>3967.14</v>
      </c>
      <c r="P34" s="70">
        <v>0</v>
      </c>
      <c r="Q34" s="11"/>
      <c r="R34" s="11"/>
      <c r="S34" s="11"/>
      <c r="T34" s="11"/>
      <c r="U34" s="11"/>
      <c r="V34" s="11"/>
      <c r="W34" s="12"/>
      <c r="X34" s="12"/>
    </row>
    <row r="35" spans="1:24" s="6" customFormat="1" ht="27" customHeight="1" x14ac:dyDescent="0.2">
      <c r="A35" s="130">
        <v>25</v>
      </c>
      <c r="B35" s="32" t="s">
        <v>252</v>
      </c>
      <c r="C35" s="24" t="s">
        <v>499</v>
      </c>
      <c r="D35" s="155">
        <v>2234</v>
      </c>
      <c r="E35" s="156">
        <v>1900</v>
      </c>
      <c r="F35" s="27">
        <v>0</v>
      </c>
      <c r="G35" s="27">
        <v>250</v>
      </c>
      <c r="H35" s="147">
        <v>0</v>
      </c>
      <c r="I35" s="28">
        <f t="shared" si="0"/>
        <v>4384</v>
      </c>
      <c r="J35" s="28">
        <f t="shared" si="1"/>
        <v>124.02</v>
      </c>
      <c r="K35" s="28">
        <f>(D35+E35+F35)*12%</f>
        <v>496.08</v>
      </c>
      <c r="L35" s="28">
        <v>0</v>
      </c>
      <c r="M35" s="28">
        <v>55.56</v>
      </c>
      <c r="N35" s="28">
        <f t="shared" si="2"/>
        <v>675.66</v>
      </c>
      <c r="O35" s="28">
        <f t="shared" si="3"/>
        <v>3708.34</v>
      </c>
      <c r="P35" s="70">
        <v>0</v>
      </c>
      <c r="Q35" s="11"/>
      <c r="R35" s="11"/>
      <c r="S35" s="11"/>
      <c r="T35" s="11"/>
      <c r="U35" s="11"/>
      <c r="V35" s="11"/>
      <c r="W35" s="12"/>
      <c r="X35" s="12"/>
    </row>
    <row r="36" spans="1:24" s="6" customFormat="1" ht="27" customHeight="1" x14ac:dyDescent="0.2">
      <c r="A36" s="130">
        <v>26</v>
      </c>
      <c r="B36" s="25" t="s">
        <v>334</v>
      </c>
      <c r="C36" s="26" t="s">
        <v>489</v>
      </c>
      <c r="D36" s="27">
        <v>3241</v>
      </c>
      <c r="E36" s="27">
        <v>1000</v>
      </c>
      <c r="F36" s="27">
        <v>0</v>
      </c>
      <c r="G36" s="27">
        <v>250</v>
      </c>
      <c r="H36" s="147">
        <v>0</v>
      </c>
      <c r="I36" s="28">
        <f t="shared" si="0"/>
        <v>4491</v>
      </c>
      <c r="J36" s="28">
        <f t="shared" si="1"/>
        <v>127.23</v>
      </c>
      <c r="K36" s="28">
        <f>(D36+E36)*12%</f>
        <v>508.92</v>
      </c>
      <c r="L36" s="28">
        <v>0</v>
      </c>
      <c r="M36" s="28">
        <v>0</v>
      </c>
      <c r="N36" s="28">
        <f t="shared" si="2"/>
        <v>636.15</v>
      </c>
      <c r="O36" s="28">
        <f t="shared" si="3"/>
        <v>3854.85</v>
      </c>
      <c r="P36" s="70">
        <v>0</v>
      </c>
      <c r="Q36" s="11"/>
      <c r="R36" s="11"/>
      <c r="S36" s="11"/>
      <c r="T36" s="11"/>
      <c r="U36" s="11"/>
      <c r="V36" s="11"/>
      <c r="W36" s="12"/>
      <c r="X36" s="12"/>
    </row>
    <row r="37" spans="1:24" s="6" customFormat="1" ht="27" customHeight="1" x14ac:dyDescent="0.2">
      <c r="A37" s="130">
        <v>27</v>
      </c>
      <c r="B37" s="24" t="s">
        <v>72</v>
      </c>
      <c r="C37" s="24" t="s">
        <v>113</v>
      </c>
      <c r="D37" s="29">
        <v>1668</v>
      </c>
      <c r="E37" s="29">
        <v>1000</v>
      </c>
      <c r="F37" s="27">
        <v>0</v>
      </c>
      <c r="G37" s="147">
        <v>250</v>
      </c>
      <c r="H37" s="147">
        <v>0</v>
      </c>
      <c r="I37" s="28">
        <f t="shared" si="0"/>
        <v>2918</v>
      </c>
      <c r="J37" s="28">
        <f t="shared" si="1"/>
        <v>80.040000000000006</v>
      </c>
      <c r="K37" s="28">
        <f>(D37+E37)*11%</f>
        <v>293.48</v>
      </c>
      <c r="L37" s="28">
        <v>0</v>
      </c>
      <c r="M37" s="28">
        <v>0</v>
      </c>
      <c r="N37" s="28">
        <f t="shared" si="2"/>
        <v>373.52</v>
      </c>
      <c r="O37" s="28">
        <f t="shared" si="3"/>
        <v>2544.48</v>
      </c>
      <c r="P37" s="70">
        <v>0</v>
      </c>
      <c r="Q37" s="11"/>
      <c r="R37" s="11"/>
      <c r="S37" s="11"/>
      <c r="T37" s="11"/>
      <c r="U37" s="11"/>
      <c r="V37" s="11"/>
      <c r="W37" s="12"/>
      <c r="X37" s="12"/>
    </row>
    <row r="38" spans="1:24" s="6" customFormat="1" ht="27" customHeight="1" x14ac:dyDescent="0.2">
      <c r="A38" s="130">
        <v>28</v>
      </c>
      <c r="B38" s="24" t="s">
        <v>385</v>
      </c>
      <c r="C38" s="24" t="s">
        <v>328</v>
      </c>
      <c r="D38" s="148">
        <v>2425</v>
      </c>
      <c r="E38" s="146">
        <v>2000</v>
      </c>
      <c r="F38" s="27">
        <v>0</v>
      </c>
      <c r="G38" s="147">
        <v>0</v>
      </c>
      <c r="H38" s="147">
        <v>0</v>
      </c>
      <c r="I38" s="28">
        <f t="shared" si="0"/>
        <v>4425</v>
      </c>
      <c r="J38" s="28">
        <f t="shared" si="1"/>
        <v>132.75</v>
      </c>
      <c r="K38" s="28">
        <f>D38*11%</f>
        <v>266.75</v>
      </c>
      <c r="L38" s="28">
        <v>0</v>
      </c>
      <c r="M38" s="28">
        <v>0</v>
      </c>
      <c r="N38" s="28">
        <f t="shared" si="2"/>
        <v>399.5</v>
      </c>
      <c r="O38" s="28">
        <f t="shared" si="3"/>
        <v>4025.5</v>
      </c>
      <c r="P38" s="70">
        <v>0</v>
      </c>
      <c r="Q38" s="11"/>
      <c r="R38" s="11"/>
      <c r="S38" s="11"/>
      <c r="T38" s="11"/>
      <c r="U38" s="11"/>
      <c r="V38" s="11"/>
      <c r="W38" s="12"/>
      <c r="X38" s="12"/>
    </row>
    <row r="39" spans="1:24" s="6" customFormat="1" ht="27" customHeight="1" x14ac:dyDescent="0.2">
      <c r="A39" s="130">
        <v>29</v>
      </c>
      <c r="B39" s="24" t="s">
        <v>184</v>
      </c>
      <c r="C39" s="24" t="s">
        <v>289</v>
      </c>
      <c r="D39" s="29">
        <v>1831</v>
      </c>
      <c r="E39" s="146">
        <v>1000</v>
      </c>
      <c r="F39" s="27">
        <v>0</v>
      </c>
      <c r="G39" s="147">
        <v>250</v>
      </c>
      <c r="H39" s="147">
        <v>0</v>
      </c>
      <c r="I39" s="28">
        <f t="shared" si="0"/>
        <v>3081</v>
      </c>
      <c r="J39" s="28">
        <f t="shared" si="1"/>
        <v>84.93</v>
      </c>
      <c r="K39" s="28">
        <f>(D39+E39)*11%</f>
        <v>311.41000000000003</v>
      </c>
      <c r="L39" s="28">
        <v>0</v>
      </c>
      <c r="M39" s="28">
        <v>0</v>
      </c>
      <c r="N39" s="28">
        <f t="shared" si="2"/>
        <v>396.34</v>
      </c>
      <c r="O39" s="28">
        <f t="shared" si="3"/>
        <v>2684.66</v>
      </c>
      <c r="P39" s="70">
        <v>0</v>
      </c>
      <c r="Q39" s="11"/>
      <c r="R39" s="11"/>
      <c r="S39" s="11"/>
      <c r="T39" s="11"/>
      <c r="U39" s="11"/>
      <c r="V39" s="11"/>
      <c r="W39" s="12"/>
      <c r="X39" s="12"/>
    </row>
    <row r="40" spans="1:24" s="6" customFormat="1" ht="27" customHeight="1" x14ac:dyDescent="0.2">
      <c r="A40" s="130">
        <v>30</v>
      </c>
      <c r="B40" s="24" t="s">
        <v>335</v>
      </c>
      <c r="C40" s="33" t="s">
        <v>496</v>
      </c>
      <c r="D40" s="148">
        <v>2328</v>
      </c>
      <c r="E40" s="146">
        <v>0</v>
      </c>
      <c r="F40" s="27">
        <v>0</v>
      </c>
      <c r="G40" s="147">
        <v>0</v>
      </c>
      <c r="H40" s="147">
        <v>0</v>
      </c>
      <c r="I40" s="28">
        <f t="shared" si="0"/>
        <v>2328</v>
      </c>
      <c r="J40" s="28">
        <f t="shared" si="1"/>
        <v>69.84</v>
      </c>
      <c r="K40" s="28">
        <f>D40*11%</f>
        <v>256.08</v>
      </c>
      <c r="L40" s="28">
        <v>0</v>
      </c>
      <c r="M40" s="28">
        <v>0</v>
      </c>
      <c r="N40" s="28">
        <f t="shared" si="2"/>
        <v>325.92</v>
      </c>
      <c r="O40" s="28">
        <f t="shared" si="3"/>
        <v>2002.08</v>
      </c>
      <c r="P40" s="70">
        <v>0</v>
      </c>
      <c r="Q40" s="11"/>
      <c r="R40" s="11"/>
      <c r="S40" s="11"/>
      <c r="T40" s="11"/>
      <c r="U40" s="11"/>
      <c r="V40" s="11"/>
      <c r="W40" s="12"/>
      <c r="X40" s="12"/>
    </row>
    <row r="41" spans="1:24" s="6" customFormat="1" ht="27" customHeight="1" x14ac:dyDescent="0.2">
      <c r="A41" s="130">
        <v>31</v>
      </c>
      <c r="B41" s="25" t="s">
        <v>253</v>
      </c>
      <c r="C41" s="26" t="s">
        <v>487</v>
      </c>
      <c r="D41" s="27">
        <v>3081</v>
      </c>
      <c r="E41" s="27">
        <v>1000</v>
      </c>
      <c r="F41" s="27">
        <v>0</v>
      </c>
      <c r="G41" s="27">
        <v>250</v>
      </c>
      <c r="H41" s="147">
        <v>0</v>
      </c>
      <c r="I41" s="28">
        <f t="shared" si="0"/>
        <v>4331</v>
      </c>
      <c r="J41" s="28">
        <f t="shared" si="1"/>
        <v>122.43</v>
      </c>
      <c r="K41" s="28">
        <f>(D41+E41+F41)*12%</f>
        <v>489.72</v>
      </c>
      <c r="L41" s="28">
        <v>0</v>
      </c>
      <c r="M41" s="28">
        <v>0</v>
      </c>
      <c r="N41" s="28">
        <f t="shared" si="2"/>
        <v>612.15</v>
      </c>
      <c r="O41" s="28">
        <f t="shared" si="3"/>
        <v>3718.85</v>
      </c>
      <c r="P41" s="70">
        <v>0</v>
      </c>
      <c r="Q41" s="11"/>
      <c r="R41" s="11"/>
      <c r="S41" s="11"/>
      <c r="T41" s="11"/>
      <c r="U41" s="11"/>
      <c r="V41" s="11"/>
      <c r="W41" s="12"/>
      <c r="X41" s="12"/>
    </row>
    <row r="42" spans="1:24" s="6" customFormat="1" ht="27" customHeight="1" x14ac:dyDescent="0.2">
      <c r="A42" s="130">
        <v>32</v>
      </c>
      <c r="B42" s="24" t="s">
        <v>254</v>
      </c>
      <c r="C42" s="24" t="s">
        <v>471</v>
      </c>
      <c r="D42" s="29">
        <v>3241</v>
      </c>
      <c r="E42" s="29">
        <v>1000</v>
      </c>
      <c r="F42" s="147">
        <v>0</v>
      </c>
      <c r="G42" s="147">
        <v>250</v>
      </c>
      <c r="H42" s="147">
        <v>0</v>
      </c>
      <c r="I42" s="28">
        <f t="shared" si="0"/>
        <v>4491</v>
      </c>
      <c r="J42" s="28">
        <f t="shared" si="1"/>
        <v>127.23</v>
      </c>
      <c r="K42" s="28">
        <f>(D42+E42+F42)*12%</f>
        <v>508.92</v>
      </c>
      <c r="L42" s="28">
        <v>0</v>
      </c>
      <c r="M42" s="28">
        <v>0</v>
      </c>
      <c r="N42" s="28">
        <f t="shared" si="2"/>
        <v>636.15</v>
      </c>
      <c r="O42" s="28">
        <f t="shared" si="3"/>
        <v>3854.85</v>
      </c>
      <c r="P42" s="70">
        <v>1366</v>
      </c>
      <c r="Q42" s="11"/>
      <c r="R42" s="11"/>
      <c r="S42" s="11"/>
      <c r="T42" s="11"/>
      <c r="U42" s="11"/>
      <c r="V42" s="11"/>
      <c r="W42" s="12"/>
      <c r="X42" s="12"/>
    </row>
    <row r="43" spans="1:24" s="6" customFormat="1" ht="27" customHeight="1" x14ac:dyDescent="0.2">
      <c r="A43" s="130">
        <v>33</v>
      </c>
      <c r="B43" s="24" t="s">
        <v>255</v>
      </c>
      <c r="C43" s="24" t="s">
        <v>113</v>
      </c>
      <c r="D43" s="29">
        <v>1668</v>
      </c>
      <c r="E43" s="29">
        <v>1000</v>
      </c>
      <c r="F43" s="27">
        <v>0</v>
      </c>
      <c r="G43" s="147">
        <v>250</v>
      </c>
      <c r="H43" s="147">
        <v>0</v>
      </c>
      <c r="I43" s="28">
        <f t="shared" si="0"/>
        <v>2918</v>
      </c>
      <c r="J43" s="28">
        <f t="shared" si="1"/>
        <v>80.040000000000006</v>
      </c>
      <c r="K43" s="28">
        <f>(D43+E43)*11%</f>
        <v>293.48</v>
      </c>
      <c r="L43" s="28">
        <v>0</v>
      </c>
      <c r="M43" s="28">
        <v>0</v>
      </c>
      <c r="N43" s="28">
        <f t="shared" si="2"/>
        <v>373.52</v>
      </c>
      <c r="O43" s="28">
        <f t="shared" ref="O43:O75" si="4">I43-N43</f>
        <v>2544.48</v>
      </c>
      <c r="P43" s="70">
        <v>0</v>
      </c>
      <c r="Q43" s="11"/>
      <c r="R43" s="11"/>
      <c r="S43" s="11"/>
      <c r="T43" s="11"/>
      <c r="U43" s="11"/>
      <c r="V43" s="11"/>
      <c r="W43" s="12"/>
      <c r="X43" s="12"/>
    </row>
    <row r="44" spans="1:24" s="6" customFormat="1" ht="27" customHeight="1" x14ac:dyDescent="0.2">
      <c r="A44" s="130">
        <v>34</v>
      </c>
      <c r="B44" s="23" t="s">
        <v>114</v>
      </c>
      <c r="C44" s="24" t="s">
        <v>346</v>
      </c>
      <c r="D44" s="29">
        <v>2037</v>
      </c>
      <c r="E44" s="146">
        <v>0</v>
      </c>
      <c r="F44" s="27">
        <v>0</v>
      </c>
      <c r="G44" s="147">
        <v>0</v>
      </c>
      <c r="H44" s="147">
        <v>0</v>
      </c>
      <c r="I44" s="28">
        <f t="shared" si="0"/>
        <v>2037</v>
      </c>
      <c r="J44" s="28">
        <f t="shared" si="1"/>
        <v>61.11</v>
      </c>
      <c r="K44" s="28">
        <f>D44*11%</f>
        <v>224.07</v>
      </c>
      <c r="L44" s="28">
        <v>0</v>
      </c>
      <c r="M44" s="28">
        <v>0</v>
      </c>
      <c r="N44" s="28">
        <f t="shared" si="2"/>
        <v>285.18</v>
      </c>
      <c r="O44" s="28">
        <f t="shared" si="4"/>
        <v>1751.82</v>
      </c>
      <c r="P44" s="70">
        <v>0</v>
      </c>
      <c r="Q44" s="11"/>
      <c r="R44" s="11"/>
      <c r="S44" s="11"/>
      <c r="T44" s="11"/>
      <c r="U44" s="11"/>
      <c r="V44" s="11"/>
      <c r="W44" s="12"/>
      <c r="X44" s="12"/>
    </row>
    <row r="45" spans="1:24" s="6" customFormat="1" ht="27" customHeight="1" x14ac:dyDescent="0.2">
      <c r="A45" s="130">
        <v>35</v>
      </c>
      <c r="B45" s="223" t="s">
        <v>1003</v>
      </c>
      <c r="C45" s="24" t="s">
        <v>495</v>
      </c>
      <c r="D45" s="224">
        <v>2392</v>
      </c>
      <c r="E45" s="146">
        <v>1900</v>
      </c>
      <c r="F45" s="27">
        <v>0</v>
      </c>
      <c r="G45" s="147">
        <v>250</v>
      </c>
      <c r="H45" s="147">
        <v>0</v>
      </c>
      <c r="I45" s="28">
        <f t="shared" si="0"/>
        <v>4542</v>
      </c>
      <c r="J45" s="28">
        <f t="shared" si="1"/>
        <v>128.76</v>
      </c>
      <c r="K45" s="28">
        <f>(D45+E45+F45)*12%</f>
        <v>515.04</v>
      </c>
      <c r="L45" s="28">
        <v>0</v>
      </c>
      <c r="M45" s="28">
        <v>0</v>
      </c>
      <c r="N45" s="28">
        <f t="shared" si="2"/>
        <v>643.79999999999995</v>
      </c>
      <c r="O45" s="28">
        <f t="shared" si="4"/>
        <v>3898.2</v>
      </c>
      <c r="P45" s="70">
        <v>500</v>
      </c>
      <c r="Q45" s="11"/>
      <c r="R45" s="11"/>
      <c r="S45" s="11"/>
      <c r="T45" s="11"/>
      <c r="U45" s="11"/>
      <c r="V45" s="11"/>
      <c r="W45" s="12"/>
      <c r="X45" s="12"/>
    </row>
    <row r="46" spans="1:24" s="6" customFormat="1" ht="27" customHeight="1" x14ac:dyDescent="0.2">
      <c r="A46" s="130">
        <v>36</v>
      </c>
      <c r="B46" s="23" t="s">
        <v>236</v>
      </c>
      <c r="C46" s="33" t="s">
        <v>115</v>
      </c>
      <c r="D46" s="29">
        <v>1902</v>
      </c>
      <c r="E46" s="146">
        <v>1000</v>
      </c>
      <c r="F46" s="27">
        <v>0</v>
      </c>
      <c r="G46" s="147">
        <v>250</v>
      </c>
      <c r="H46" s="147">
        <v>0</v>
      </c>
      <c r="I46" s="28">
        <f t="shared" si="0"/>
        <v>3152</v>
      </c>
      <c r="J46" s="28">
        <f t="shared" si="1"/>
        <v>87.06</v>
      </c>
      <c r="K46" s="28">
        <f>(D46+E46)*11%</f>
        <v>319.22000000000003</v>
      </c>
      <c r="L46" s="28">
        <v>0</v>
      </c>
      <c r="M46" s="28">
        <v>0</v>
      </c>
      <c r="N46" s="28">
        <f t="shared" si="2"/>
        <v>406.28</v>
      </c>
      <c r="O46" s="28">
        <f t="shared" si="4"/>
        <v>2745.72</v>
      </c>
      <c r="P46" s="70">
        <f>393</f>
        <v>393</v>
      </c>
      <c r="Q46" s="11"/>
      <c r="R46" s="11"/>
      <c r="S46" s="11"/>
      <c r="T46" s="11"/>
      <c r="U46" s="11"/>
      <c r="V46" s="11"/>
      <c r="W46" s="12"/>
      <c r="X46" s="12"/>
    </row>
    <row r="47" spans="1:24" s="6" customFormat="1" ht="27" customHeight="1" x14ac:dyDescent="0.2">
      <c r="A47" s="130">
        <v>37</v>
      </c>
      <c r="B47" s="24" t="s">
        <v>386</v>
      </c>
      <c r="C47" s="24" t="s">
        <v>328</v>
      </c>
      <c r="D47" s="29">
        <v>2425</v>
      </c>
      <c r="E47" s="146">
        <v>0</v>
      </c>
      <c r="F47" s="27">
        <v>0</v>
      </c>
      <c r="G47" s="147">
        <v>0</v>
      </c>
      <c r="H47" s="147">
        <v>0</v>
      </c>
      <c r="I47" s="28">
        <f t="shared" si="0"/>
        <v>2425</v>
      </c>
      <c r="J47" s="28">
        <f t="shared" si="1"/>
        <v>72.75</v>
      </c>
      <c r="K47" s="28">
        <f>D47*11%</f>
        <v>266.75</v>
      </c>
      <c r="L47" s="28">
        <v>0</v>
      </c>
      <c r="M47" s="28">
        <v>0</v>
      </c>
      <c r="N47" s="28">
        <f t="shared" si="2"/>
        <v>339.5</v>
      </c>
      <c r="O47" s="28">
        <f t="shared" si="4"/>
        <v>2085.5</v>
      </c>
      <c r="P47" s="70">
        <v>0</v>
      </c>
      <c r="Q47" s="12"/>
      <c r="R47" s="12"/>
      <c r="S47" s="12"/>
      <c r="T47" s="12"/>
      <c r="U47" s="12"/>
      <c r="V47" s="12"/>
      <c r="W47" s="12"/>
      <c r="X47" s="12"/>
    </row>
    <row r="48" spans="1:24" s="6" customFormat="1" ht="27" customHeight="1" x14ac:dyDescent="0.2">
      <c r="A48" s="130">
        <v>38</v>
      </c>
      <c r="B48" s="24" t="s">
        <v>185</v>
      </c>
      <c r="C48" s="24" t="s">
        <v>331</v>
      </c>
      <c r="D48" s="29">
        <v>1940</v>
      </c>
      <c r="E48" s="146">
        <v>0</v>
      </c>
      <c r="F48" s="27">
        <v>0</v>
      </c>
      <c r="G48" s="147">
        <v>250</v>
      </c>
      <c r="H48" s="147">
        <v>0</v>
      </c>
      <c r="I48" s="28">
        <f t="shared" si="0"/>
        <v>2190</v>
      </c>
      <c r="J48" s="28">
        <f t="shared" si="1"/>
        <v>58.2</v>
      </c>
      <c r="K48" s="28">
        <f>D48*10%</f>
        <v>194</v>
      </c>
      <c r="L48" s="28">
        <v>0</v>
      </c>
      <c r="M48" s="28">
        <v>0</v>
      </c>
      <c r="N48" s="28">
        <f t="shared" si="2"/>
        <v>252.2</v>
      </c>
      <c r="O48" s="28">
        <f t="shared" si="4"/>
        <v>1937.8</v>
      </c>
      <c r="P48" s="70">
        <v>0</v>
      </c>
      <c r="Q48" s="12"/>
      <c r="R48" s="12"/>
      <c r="S48" s="12"/>
      <c r="T48" s="12"/>
      <c r="U48" s="12"/>
      <c r="V48" s="12"/>
      <c r="W48" s="12"/>
      <c r="X48" s="12"/>
    </row>
    <row r="49" spans="1:24" s="6" customFormat="1" ht="27" customHeight="1" x14ac:dyDescent="0.2">
      <c r="A49" s="130">
        <v>39</v>
      </c>
      <c r="B49" s="24" t="s">
        <v>256</v>
      </c>
      <c r="C49" s="24" t="s">
        <v>111</v>
      </c>
      <c r="D49" s="29">
        <v>1902</v>
      </c>
      <c r="E49" s="29">
        <v>1000</v>
      </c>
      <c r="F49" s="27">
        <v>0</v>
      </c>
      <c r="G49" s="147">
        <v>250</v>
      </c>
      <c r="H49" s="147">
        <v>0</v>
      </c>
      <c r="I49" s="28">
        <f t="shared" si="0"/>
        <v>3152</v>
      </c>
      <c r="J49" s="28">
        <f t="shared" si="1"/>
        <v>87.06</v>
      </c>
      <c r="K49" s="28">
        <f>(D49+E49)*11%</f>
        <v>319.22000000000003</v>
      </c>
      <c r="L49" s="28">
        <v>0</v>
      </c>
      <c r="M49" s="28">
        <v>0</v>
      </c>
      <c r="N49" s="28">
        <f t="shared" si="2"/>
        <v>406.28</v>
      </c>
      <c r="O49" s="28">
        <f t="shared" si="4"/>
        <v>2745.72</v>
      </c>
      <c r="P49" s="70">
        <v>0</v>
      </c>
      <c r="Q49" s="12"/>
      <c r="R49" s="12"/>
      <c r="S49" s="12"/>
      <c r="T49" s="12"/>
      <c r="U49" s="12"/>
      <c r="V49" s="12"/>
      <c r="W49" s="12"/>
      <c r="X49" s="12"/>
    </row>
    <row r="50" spans="1:24" s="6" customFormat="1" ht="27" customHeight="1" x14ac:dyDescent="0.2">
      <c r="A50" s="130">
        <v>40</v>
      </c>
      <c r="B50" s="33" t="s">
        <v>52</v>
      </c>
      <c r="C50" s="24" t="s">
        <v>336</v>
      </c>
      <c r="D50" s="28">
        <v>3081</v>
      </c>
      <c r="E50" s="28">
        <v>1000</v>
      </c>
      <c r="F50" s="27">
        <v>0</v>
      </c>
      <c r="G50" s="147">
        <v>250</v>
      </c>
      <c r="H50" s="147">
        <v>0</v>
      </c>
      <c r="I50" s="28">
        <f t="shared" si="0"/>
        <v>4331</v>
      </c>
      <c r="J50" s="28">
        <f t="shared" si="1"/>
        <v>122.43</v>
      </c>
      <c r="K50" s="28">
        <f>(D50+E50)*12%</f>
        <v>489.72</v>
      </c>
      <c r="L50" s="28">
        <v>0</v>
      </c>
      <c r="M50" s="28">
        <v>0</v>
      </c>
      <c r="N50" s="28">
        <f t="shared" si="2"/>
        <v>612.15</v>
      </c>
      <c r="O50" s="28">
        <f t="shared" si="4"/>
        <v>3718.85</v>
      </c>
      <c r="P50" s="70">
        <v>0</v>
      </c>
      <c r="Q50" s="12"/>
      <c r="R50" s="12"/>
      <c r="S50" s="12"/>
      <c r="T50" s="12"/>
      <c r="U50" s="12"/>
      <c r="V50" s="12"/>
      <c r="W50" s="12"/>
      <c r="X50" s="12"/>
    </row>
    <row r="51" spans="1:24" s="6" customFormat="1" ht="27" customHeight="1" x14ac:dyDescent="0.2">
      <c r="A51" s="130">
        <v>41</v>
      </c>
      <c r="B51" s="24" t="s">
        <v>387</v>
      </c>
      <c r="C51" s="24" t="s">
        <v>328</v>
      </c>
      <c r="D51" s="29">
        <v>2425</v>
      </c>
      <c r="E51" s="146">
        <v>0</v>
      </c>
      <c r="F51" s="27">
        <v>0</v>
      </c>
      <c r="G51" s="147">
        <v>0</v>
      </c>
      <c r="H51" s="147">
        <v>0</v>
      </c>
      <c r="I51" s="28">
        <f t="shared" si="0"/>
        <v>2425</v>
      </c>
      <c r="J51" s="28">
        <f t="shared" si="1"/>
        <v>72.75</v>
      </c>
      <c r="K51" s="28">
        <f>D51*11%</f>
        <v>266.75</v>
      </c>
      <c r="L51" s="28">
        <v>0</v>
      </c>
      <c r="M51" s="28">
        <v>0</v>
      </c>
      <c r="N51" s="28">
        <f t="shared" si="2"/>
        <v>339.5</v>
      </c>
      <c r="O51" s="28">
        <f t="shared" si="4"/>
        <v>2085.5</v>
      </c>
      <c r="P51" s="70">
        <f>630</f>
        <v>630</v>
      </c>
      <c r="Q51" s="12"/>
      <c r="R51" s="12"/>
      <c r="S51" s="12"/>
      <c r="T51" s="120"/>
      <c r="U51" s="12"/>
      <c r="V51" s="12"/>
      <c r="W51" s="12"/>
      <c r="X51" s="12"/>
    </row>
    <row r="52" spans="1:24" s="6" customFormat="1" ht="27" customHeight="1" x14ac:dyDescent="0.2">
      <c r="A52" s="130">
        <v>42</v>
      </c>
      <c r="B52" s="24" t="s">
        <v>434</v>
      </c>
      <c r="C52" s="24" t="s">
        <v>331</v>
      </c>
      <c r="D52" s="148">
        <v>1940</v>
      </c>
      <c r="E52" s="146">
        <v>0</v>
      </c>
      <c r="F52" s="27">
        <v>0</v>
      </c>
      <c r="G52" s="147">
        <v>0</v>
      </c>
      <c r="H52" s="147">
        <v>0</v>
      </c>
      <c r="I52" s="28">
        <f t="shared" si="0"/>
        <v>1940</v>
      </c>
      <c r="J52" s="28">
        <f t="shared" si="1"/>
        <v>58.2</v>
      </c>
      <c r="K52" s="28">
        <f>D52*10%</f>
        <v>194</v>
      </c>
      <c r="L52" s="28">
        <v>0</v>
      </c>
      <c r="M52" s="28">
        <v>0</v>
      </c>
      <c r="N52" s="28">
        <f t="shared" si="2"/>
        <v>252.2</v>
      </c>
      <c r="O52" s="28">
        <f t="shared" si="4"/>
        <v>1687.8</v>
      </c>
      <c r="P52" s="70">
        <v>0</v>
      </c>
      <c r="Q52" s="12"/>
      <c r="R52" s="12"/>
      <c r="S52" s="12"/>
      <c r="T52" s="12"/>
      <c r="U52" s="12"/>
      <c r="V52" s="12"/>
      <c r="W52" s="12"/>
      <c r="X52" s="12"/>
    </row>
    <row r="53" spans="1:24" s="6" customFormat="1" ht="27" customHeight="1" x14ac:dyDescent="0.2">
      <c r="A53" s="130">
        <v>43</v>
      </c>
      <c r="B53" s="223" t="s">
        <v>1001</v>
      </c>
      <c r="C53" s="24" t="s">
        <v>109</v>
      </c>
      <c r="D53" s="146">
        <v>5095</v>
      </c>
      <c r="E53" s="146">
        <v>1800</v>
      </c>
      <c r="F53" s="27">
        <v>0</v>
      </c>
      <c r="G53" s="166">
        <v>250</v>
      </c>
      <c r="H53" s="147">
        <v>0</v>
      </c>
      <c r="I53" s="28">
        <f>SUM(D53:G53)</f>
        <v>7145</v>
      </c>
      <c r="J53" s="28">
        <f>(D53+E53+F53)*3%</f>
        <v>206.85</v>
      </c>
      <c r="K53" s="43">
        <f>(D53+E53)*13%</f>
        <v>896.35</v>
      </c>
      <c r="L53" s="28">
        <v>102.92</v>
      </c>
      <c r="M53" s="28">
        <v>92.67</v>
      </c>
      <c r="N53" s="28">
        <f>J53+K53+L53+M53</f>
        <v>1298.79</v>
      </c>
      <c r="O53" s="43">
        <f t="shared" si="4"/>
        <v>5846.21</v>
      </c>
      <c r="P53" s="70">
        <v>0</v>
      </c>
      <c r="Q53" s="12"/>
      <c r="R53" s="12"/>
      <c r="S53" s="12"/>
      <c r="T53" s="12"/>
      <c r="U53" s="12"/>
      <c r="V53" s="12"/>
      <c r="W53" s="12"/>
      <c r="X53" s="12"/>
    </row>
    <row r="54" spans="1:24" s="6" customFormat="1" ht="27" customHeight="1" x14ac:dyDescent="0.2">
      <c r="A54" s="130">
        <v>44</v>
      </c>
      <c r="B54" s="24" t="s">
        <v>227</v>
      </c>
      <c r="C54" s="24" t="s">
        <v>58</v>
      </c>
      <c r="D54" s="148">
        <v>1668</v>
      </c>
      <c r="E54" s="29">
        <v>1000</v>
      </c>
      <c r="F54" s="27">
        <v>0</v>
      </c>
      <c r="G54" s="147">
        <v>250</v>
      </c>
      <c r="H54" s="147">
        <v>0</v>
      </c>
      <c r="I54" s="28">
        <f t="shared" si="0"/>
        <v>2918</v>
      </c>
      <c r="J54" s="28">
        <f t="shared" si="1"/>
        <v>80.040000000000006</v>
      </c>
      <c r="K54" s="28">
        <f>(D54+E54)*11%</f>
        <v>293.48</v>
      </c>
      <c r="L54" s="28">
        <v>0</v>
      </c>
      <c r="M54" s="28">
        <v>0</v>
      </c>
      <c r="N54" s="28">
        <f t="shared" si="2"/>
        <v>373.52</v>
      </c>
      <c r="O54" s="28">
        <f t="shared" si="4"/>
        <v>2544.48</v>
      </c>
      <c r="P54" s="70">
        <v>0</v>
      </c>
      <c r="Q54" s="12"/>
      <c r="R54" s="12"/>
      <c r="S54" s="12"/>
      <c r="T54" s="12"/>
      <c r="U54" s="12"/>
      <c r="V54" s="12"/>
      <c r="W54" s="12"/>
      <c r="X54" s="12"/>
    </row>
    <row r="55" spans="1:24" s="6" customFormat="1" ht="27" customHeight="1" x14ac:dyDescent="0.2">
      <c r="A55" s="130">
        <v>45</v>
      </c>
      <c r="B55" s="24" t="s">
        <v>290</v>
      </c>
      <c r="C55" s="24" t="s">
        <v>111</v>
      </c>
      <c r="D55" s="28">
        <v>1902</v>
      </c>
      <c r="E55" s="28">
        <v>1000</v>
      </c>
      <c r="F55" s="27">
        <v>0</v>
      </c>
      <c r="G55" s="147">
        <v>250</v>
      </c>
      <c r="H55" s="147">
        <v>0</v>
      </c>
      <c r="I55" s="28">
        <f t="shared" si="0"/>
        <v>3152</v>
      </c>
      <c r="J55" s="28">
        <f t="shared" si="1"/>
        <v>87.06</v>
      </c>
      <c r="K55" s="28">
        <f>(D55+E55)*11%</f>
        <v>319.22000000000003</v>
      </c>
      <c r="L55" s="28">
        <v>0</v>
      </c>
      <c r="M55" s="28">
        <v>0</v>
      </c>
      <c r="N55" s="28">
        <f t="shared" si="2"/>
        <v>406.28</v>
      </c>
      <c r="O55" s="28">
        <f t="shared" si="4"/>
        <v>2745.72</v>
      </c>
      <c r="P55" s="70">
        <v>0</v>
      </c>
      <c r="Q55" s="12"/>
      <c r="R55" s="12"/>
      <c r="S55" s="12"/>
      <c r="T55" s="12"/>
      <c r="U55" s="12"/>
      <c r="V55" s="12"/>
      <c r="W55" s="12"/>
      <c r="X55" s="12"/>
    </row>
    <row r="56" spans="1:24" s="6" customFormat="1" ht="27" customHeight="1" x14ac:dyDescent="0.2">
      <c r="A56" s="130">
        <v>46</v>
      </c>
      <c r="B56" s="24" t="s">
        <v>388</v>
      </c>
      <c r="C56" s="35" t="s">
        <v>337</v>
      </c>
      <c r="D56" s="157">
        <v>2134</v>
      </c>
      <c r="E56" s="146">
        <v>0</v>
      </c>
      <c r="F56" s="27">
        <v>0</v>
      </c>
      <c r="G56" s="147">
        <v>0</v>
      </c>
      <c r="H56" s="147">
        <v>0</v>
      </c>
      <c r="I56" s="28">
        <f t="shared" si="0"/>
        <v>2134</v>
      </c>
      <c r="J56" s="28">
        <f t="shared" si="1"/>
        <v>64.02</v>
      </c>
      <c r="K56" s="28">
        <f>D56*11%</f>
        <v>234.74</v>
      </c>
      <c r="L56" s="28">
        <v>0</v>
      </c>
      <c r="M56" s="28">
        <v>0</v>
      </c>
      <c r="N56" s="28">
        <f t="shared" si="2"/>
        <v>298.76</v>
      </c>
      <c r="O56" s="28">
        <f t="shared" si="4"/>
        <v>1835.24</v>
      </c>
      <c r="P56" s="70">
        <v>0</v>
      </c>
      <c r="Q56" s="12"/>
      <c r="R56" s="12"/>
      <c r="S56" s="12"/>
      <c r="T56" s="12"/>
      <c r="U56" s="12"/>
      <c r="V56" s="12"/>
      <c r="W56" s="12"/>
      <c r="X56" s="12"/>
    </row>
    <row r="57" spans="1:24" s="6" customFormat="1" ht="27" customHeight="1" x14ac:dyDescent="0.2">
      <c r="A57" s="130">
        <v>47</v>
      </c>
      <c r="B57" s="25" t="s">
        <v>36</v>
      </c>
      <c r="C57" s="26" t="s">
        <v>110</v>
      </c>
      <c r="D57" s="27">
        <v>2920</v>
      </c>
      <c r="E57" s="27">
        <v>1000</v>
      </c>
      <c r="F57" s="27">
        <v>0</v>
      </c>
      <c r="G57" s="27">
        <v>250</v>
      </c>
      <c r="H57" s="147">
        <v>0</v>
      </c>
      <c r="I57" s="28">
        <f t="shared" si="0"/>
        <v>4170</v>
      </c>
      <c r="J57" s="28">
        <f t="shared" si="1"/>
        <v>117.6</v>
      </c>
      <c r="K57" s="28">
        <f>(D57+E57)*11%</f>
        <v>431.2</v>
      </c>
      <c r="L57" s="28">
        <v>0</v>
      </c>
      <c r="M57" s="28">
        <v>52.68</v>
      </c>
      <c r="N57" s="28">
        <f t="shared" si="2"/>
        <v>601.48</v>
      </c>
      <c r="O57" s="28">
        <f t="shared" si="4"/>
        <v>3568.52</v>
      </c>
      <c r="P57" s="70">
        <v>0</v>
      </c>
      <c r="Q57" s="12"/>
      <c r="R57" s="12"/>
      <c r="S57" s="12"/>
      <c r="T57" s="12"/>
      <c r="U57" s="12"/>
      <c r="V57" s="12"/>
      <c r="W57" s="12"/>
      <c r="X57" s="12"/>
    </row>
    <row r="58" spans="1:24" s="6" customFormat="1" ht="27" customHeight="1" x14ac:dyDescent="0.2">
      <c r="A58" s="130">
        <v>48</v>
      </c>
      <c r="B58" s="24" t="s">
        <v>435</v>
      </c>
      <c r="C58" s="22" t="s">
        <v>484</v>
      </c>
      <c r="D58" s="29">
        <v>2920</v>
      </c>
      <c r="E58" s="29">
        <v>1000</v>
      </c>
      <c r="F58" s="27">
        <v>0</v>
      </c>
      <c r="G58" s="147">
        <v>250</v>
      </c>
      <c r="H58" s="147">
        <v>0</v>
      </c>
      <c r="I58" s="28">
        <f t="shared" si="0"/>
        <v>4170</v>
      </c>
      <c r="J58" s="28">
        <f t="shared" si="1"/>
        <v>117.6</v>
      </c>
      <c r="K58" s="28">
        <f>(D58+E58)*11%</f>
        <v>431.2</v>
      </c>
      <c r="L58" s="28">
        <v>0</v>
      </c>
      <c r="M58" s="28">
        <v>52.68</v>
      </c>
      <c r="N58" s="28">
        <f t="shared" si="2"/>
        <v>601.48</v>
      </c>
      <c r="O58" s="28">
        <f t="shared" si="4"/>
        <v>3568.52</v>
      </c>
      <c r="P58" s="70">
        <v>0</v>
      </c>
      <c r="Q58" s="12"/>
      <c r="R58" s="12"/>
      <c r="S58" s="12"/>
      <c r="T58" s="12"/>
      <c r="U58" s="12"/>
      <c r="V58" s="12"/>
      <c r="W58" s="12"/>
      <c r="X58" s="12"/>
    </row>
    <row r="59" spans="1:24" s="6" customFormat="1" ht="27" customHeight="1" x14ac:dyDescent="0.2">
      <c r="A59" s="130">
        <v>49</v>
      </c>
      <c r="B59" s="24" t="s">
        <v>389</v>
      </c>
      <c r="C59" s="24" t="s">
        <v>328</v>
      </c>
      <c r="D59" s="157">
        <v>2425</v>
      </c>
      <c r="E59" s="146">
        <v>0</v>
      </c>
      <c r="F59" s="27">
        <v>0</v>
      </c>
      <c r="G59" s="147">
        <v>0</v>
      </c>
      <c r="H59" s="147">
        <v>0</v>
      </c>
      <c r="I59" s="28">
        <f t="shared" si="0"/>
        <v>2425</v>
      </c>
      <c r="J59" s="28">
        <f t="shared" si="1"/>
        <v>72.75</v>
      </c>
      <c r="K59" s="28">
        <f>D59*11%</f>
        <v>266.75</v>
      </c>
      <c r="L59" s="28">
        <v>0</v>
      </c>
      <c r="M59" s="28">
        <v>0</v>
      </c>
      <c r="N59" s="28">
        <f t="shared" si="2"/>
        <v>339.5</v>
      </c>
      <c r="O59" s="28">
        <f t="shared" si="4"/>
        <v>2085.5</v>
      </c>
      <c r="P59" s="70">
        <v>0</v>
      </c>
      <c r="Q59" s="12"/>
      <c r="R59" s="12"/>
      <c r="S59" s="12"/>
      <c r="T59" s="12"/>
      <c r="U59" s="12"/>
      <c r="V59" s="12"/>
      <c r="W59" s="12"/>
      <c r="X59" s="12"/>
    </row>
    <row r="60" spans="1:24" s="6" customFormat="1" ht="27" customHeight="1" x14ac:dyDescent="0.2">
      <c r="A60" s="130">
        <v>50</v>
      </c>
      <c r="B60" s="47" t="s">
        <v>485</v>
      </c>
      <c r="C60" s="24" t="s">
        <v>112</v>
      </c>
      <c r="D60" s="27">
        <v>2920</v>
      </c>
      <c r="E60" s="27">
        <v>1000</v>
      </c>
      <c r="F60" s="27">
        <v>0</v>
      </c>
      <c r="G60" s="27">
        <v>250</v>
      </c>
      <c r="H60" s="147">
        <v>0</v>
      </c>
      <c r="I60" s="28">
        <f t="shared" si="0"/>
        <v>4170</v>
      </c>
      <c r="J60" s="28">
        <f t="shared" si="1"/>
        <v>117.6</v>
      </c>
      <c r="K60" s="27">
        <v>431.2</v>
      </c>
      <c r="L60" s="27">
        <v>0</v>
      </c>
      <c r="M60" s="27">
        <v>52.68</v>
      </c>
      <c r="N60" s="27">
        <f>SUM(J60:M60)</f>
        <v>601.48</v>
      </c>
      <c r="O60" s="28">
        <f t="shared" si="4"/>
        <v>3568.52</v>
      </c>
      <c r="P60" s="70">
        <f>900</f>
        <v>900</v>
      </c>
      <c r="Q60" s="12"/>
      <c r="R60" s="12"/>
      <c r="S60" s="12"/>
      <c r="T60" s="12"/>
      <c r="U60" s="12"/>
      <c r="V60" s="12"/>
      <c r="W60" s="12"/>
      <c r="X60" s="12"/>
    </row>
    <row r="61" spans="1:24" s="6" customFormat="1" ht="27" customHeight="1" x14ac:dyDescent="0.2">
      <c r="A61" s="130">
        <v>51</v>
      </c>
      <c r="B61" s="24" t="s">
        <v>390</v>
      </c>
      <c r="C61" s="24" t="s">
        <v>331</v>
      </c>
      <c r="D61" s="148">
        <v>1940</v>
      </c>
      <c r="E61" s="146">
        <v>0</v>
      </c>
      <c r="F61" s="27">
        <v>0</v>
      </c>
      <c r="G61" s="147">
        <v>0</v>
      </c>
      <c r="H61" s="147">
        <v>0</v>
      </c>
      <c r="I61" s="28">
        <f t="shared" si="0"/>
        <v>1940</v>
      </c>
      <c r="J61" s="28">
        <f t="shared" si="1"/>
        <v>58.2</v>
      </c>
      <c r="K61" s="28">
        <f>D61*10%</f>
        <v>194</v>
      </c>
      <c r="L61" s="28">
        <v>0</v>
      </c>
      <c r="M61" s="28">
        <v>0</v>
      </c>
      <c r="N61" s="28">
        <f t="shared" si="2"/>
        <v>252.2</v>
      </c>
      <c r="O61" s="28">
        <f t="shared" si="4"/>
        <v>1687.8</v>
      </c>
      <c r="P61" s="70">
        <v>0</v>
      </c>
      <c r="Q61" s="12"/>
      <c r="R61" s="12"/>
      <c r="S61" s="12"/>
      <c r="T61" s="12"/>
      <c r="U61" s="12"/>
      <c r="V61" s="12"/>
      <c r="W61" s="12"/>
      <c r="X61" s="12"/>
    </row>
    <row r="62" spans="1:24" s="6" customFormat="1" ht="27" customHeight="1" x14ac:dyDescent="0.2">
      <c r="A62" s="130">
        <v>52</v>
      </c>
      <c r="B62" s="24" t="s">
        <v>338</v>
      </c>
      <c r="C62" s="24" t="s">
        <v>331</v>
      </c>
      <c r="D62" s="29">
        <v>1940</v>
      </c>
      <c r="E62" s="146">
        <v>0</v>
      </c>
      <c r="F62" s="27">
        <v>0</v>
      </c>
      <c r="G62" s="147">
        <v>0</v>
      </c>
      <c r="H62" s="147">
        <v>0</v>
      </c>
      <c r="I62" s="28">
        <f t="shared" si="0"/>
        <v>1940</v>
      </c>
      <c r="J62" s="28">
        <f t="shared" si="1"/>
        <v>58.2</v>
      </c>
      <c r="K62" s="28">
        <f>D62*10%</f>
        <v>194</v>
      </c>
      <c r="L62" s="28">
        <v>0</v>
      </c>
      <c r="M62" s="28">
        <v>0</v>
      </c>
      <c r="N62" s="28">
        <f t="shared" si="2"/>
        <v>252.2</v>
      </c>
      <c r="O62" s="28">
        <f t="shared" si="4"/>
        <v>1687.8</v>
      </c>
      <c r="P62" s="70">
        <v>0</v>
      </c>
      <c r="Q62" s="12"/>
      <c r="R62" s="12"/>
      <c r="S62" s="12"/>
      <c r="T62" s="12"/>
      <c r="U62" s="12"/>
      <c r="V62" s="12"/>
      <c r="W62" s="12"/>
      <c r="X62" s="12"/>
    </row>
    <row r="63" spans="1:24" s="6" customFormat="1" ht="27" customHeight="1" x14ac:dyDescent="0.2">
      <c r="A63" s="130">
        <v>53</v>
      </c>
      <c r="B63" s="24" t="s">
        <v>257</v>
      </c>
      <c r="C63" s="24" t="s">
        <v>328</v>
      </c>
      <c r="D63" s="148">
        <v>2425</v>
      </c>
      <c r="E63" s="146">
        <v>0</v>
      </c>
      <c r="F63" s="27">
        <v>0</v>
      </c>
      <c r="G63" s="147">
        <v>0</v>
      </c>
      <c r="H63" s="147">
        <v>0</v>
      </c>
      <c r="I63" s="28">
        <f t="shared" si="0"/>
        <v>2425</v>
      </c>
      <c r="J63" s="28">
        <f t="shared" si="1"/>
        <v>72.75</v>
      </c>
      <c r="K63" s="28">
        <f>D63*11%</f>
        <v>266.75</v>
      </c>
      <c r="L63" s="28">
        <v>0</v>
      </c>
      <c r="M63" s="28">
        <v>0</v>
      </c>
      <c r="N63" s="28">
        <f t="shared" si="2"/>
        <v>339.5</v>
      </c>
      <c r="O63" s="28">
        <f t="shared" si="4"/>
        <v>2085.5</v>
      </c>
      <c r="P63" s="70">
        <v>0</v>
      </c>
      <c r="Q63" s="12"/>
      <c r="R63" s="12"/>
      <c r="S63" s="12"/>
      <c r="T63" s="12"/>
      <c r="U63" s="12"/>
      <c r="V63" s="12"/>
      <c r="W63" s="12"/>
      <c r="X63" s="12"/>
    </row>
    <row r="64" spans="1:24" s="6" customFormat="1" ht="27" customHeight="1" x14ac:dyDescent="0.2">
      <c r="A64" s="130">
        <v>54</v>
      </c>
      <c r="B64" s="24" t="s">
        <v>339</v>
      </c>
      <c r="C64" s="24" t="s">
        <v>331</v>
      </c>
      <c r="D64" s="148">
        <v>1940</v>
      </c>
      <c r="E64" s="146">
        <v>0</v>
      </c>
      <c r="F64" s="27">
        <v>0</v>
      </c>
      <c r="G64" s="147">
        <v>0</v>
      </c>
      <c r="H64" s="147">
        <v>0</v>
      </c>
      <c r="I64" s="28">
        <f t="shared" si="0"/>
        <v>1940</v>
      </c>
      <c r="J64" s="28">
        <f t="shared" si="1"/>
        <v>58.2</v>
      </c>
      <c r="K64" s="28">
        <f>D64*10%</f>
        <v>194</v>
      </c>
      <c r="L64" s="28">
        <v>0</v>
      </c>
      <c r="M64" s="28">
        <v>0</v>
      </c>
      <c r="N64" s="28">
        <f t="shared" si="2"/>
        <v>252.2</v>
      </c>
      <c r="O64" s="28">
        <f t="shared" si="4"/>
        <v>1687.8</v>
      </c>
      <c r="P64" s="70">
        <v>0</v>
      </c>
      <c r="Q64" s="12"/>
      <c r="R64" s="12"/>
      <c r="S64" s="12"/>
      <c r="T64" s="12"/>
      <c r="U64" s="12"/>
      <c r="V64" s="12"/>
      <c r="W64" s="12"/>
      <c r="X64" s="12"/>
    </row>
    <row r="65" spans="1:24" s="6" customFormat="1" ht="27" customHeight="1" x14ac:dyDescent="0.2">
      <c r="A65" s="130">
        <v>55</v>
      </c>
      <c r="B65" s="194" t="s">
        <v>1038</v>
      </c>
      <c r="C65" s="24" t="s">
        <v>115</v>
      </c>
      <c r="D65" s="148">
        <v>1902</v>
      </c>
      <c r="E65" s="146">
        <v>1000</v>
      </c>
      <c r="F65" s="27">
        <v>0</v>
      </c>
      <c r="G65" s="147">
        <v>250</v>
      </c>
      <c r="H65" s="147">
        <v>0</v>
      </c>
      <c r="I65" s="28">
        <f t="shared" si="0"/>
        <v>3152</v>
      </c>
      <c r="J65" s="28">
        <f t="shared" si="1"/>
        <v>87.06</v>
      </c>
      <c r="K65" s="28">
        <f>(D65+E65)*11%</f>
        <v>319.22000000000003</v>
      </c>
      <c r="L65" s="28">
        <v>0</v>
      </c>
      <c r="M65" s="28">
        <v>0</v>
      </c>
      <c r="N65" s="28">
        <f t="shared" si="2"/>
        <v>406.28</v>
      </c>
      <c r="O65" s="28">
        <f t="shared" si="4"/>
        <v>2745.72</v>
      </c>
      <c r="P65" s="70">
        <v>0</v>
      </c>
      <c r="Q65" s="12"/>
      <c r="R65" s="12"/>
      <c r="S65" s="12"/>
      <c r="T65" s="12"/>
      <c r="U65" s="12"/>
      <c r="V65" s="12"/>
      <c r="W65" s="12"/>
      <c r="X65" s="12"/>
    </row>
    <row r="66" spans="1:24" s="6" customFormat="1" ht="27" customHeight="1" x14ac:dyDescent="0.2">
      <c r="A66" s="130">
        <v>56</v>
      </c>
      <c r="B66" s="22" t="s">
        <v>250</v>
      </c>
      <c r="C66" s="24" t="s">
        <v>328</v>
      </c>
      <c r="D66" s="29">
        <v>2425</v>
      </c>
      <c r="E66" s="146">
        <v>0</v>
      </c>
      <c r="F66" s="27">
        <v>0</v>
      </c>
      <c r="G66" s="147">
        <v>0</v>
      </c>
      <c r="H66" s="147">
        <v>0</v>
      </c>
      <c r="I66" s="28">
        <f t="shared" si="0"/>
        <v>2425</v>
      </c>
      <c r="J66" s="28">
        <f t="shared" si="1"/>
        <v>72.75</v>
      </c>
      <c r="K66" s="28">
        <f>D66*11%</f>
        <v>266.75</v>
      </c>
      <c r="L66" s="28">
        <v>0</v>
      </c>
      <c r="M66" s="28">
        <v>0</v>
      </c>
      <c r="N66" s="28">
        <f t="shared" si="2"/>
        <v>339.5</v>
      </c>
      <c r="O66" s="28">
        <f t="shared" si="4"/>
        <v>2085.5</v>
      </c>
      <c r="P66" s="70">
        <v>0</v>
      </c>
      <c r="Q66" s="12"/>
      <c r="R66" s="12"/>
      <c r="S66" s="12"/>
      <c r="T66" s="12"/>
      <c r="U66" s="12"/>
      <c r="V66" s="12"/>
      <c r="W66" s="12"/>
      <c r="X66" s="12"/>
    </row>
    <row r="67" spans="1:24" s="6" customFormat="1" ht="27" customHeight="1" x14ac:dyDescent="0.2">
      <c r="A67" s="130">
        <v>57</v>
      </c>
      <c r="B67" s="33" t="s">
        <v>74</v>
      </c>
      <c r="C67" s="24" t="s">
        <v>111</v>
      </c>
      <c r="D67" s="29">
        <v>1902</v>
      </c>
      <c r="E67" s="29">
        <v>1000</v>
      </c>
      <c r="F67" s="27">
        <v>0</v>
      </c>
      <c r="G67" s="147">
        <v>250</v>
      </c>
      <c r="H67" s="147">
        <v>0</v>
      </c>
      <c r="I67" s="28">
        <f t="shared" si="0"/>
        <v>3152</v>
      </c>
      <c r="J67" s="28">
        <f t="shared" si="1"/>
        <v>87.06</v>
      </c>
      <c r="K67" s="28">
        <f>(D67+E67)*11%</f>
        <v>319.22000000000003</v>
      </c>
      <c r="L67" s="28">
        <v>0</v>
      </c>
      <c r="M67" s="28">
        <v>0</v>
      </c>
      <c r="N67" s="28">
        <f t="shared" si="2"/>
        <v>406.28</v>
      </c>
      <c r="O67" s="28">
        <f t="shared" si="4"/>
        <v>2745.72</v>
      </c>
      <c r="P67" s="70">
        <v>0</v>
      </c>
      <c r="Q67" s="12"/>
      <c r="R67" s="12"/>
      <c r="S67" s="12"/>
      <c r="T67" s="12"/>
      <c r="U67" s="12"/>
      <c r="V67" s="12"/>
      <c r="W67" s="12"/>
      <c r="X67" s="12"/>
    </row>
    <row r="68" spans="1:24" s="6" customFormat="1" ht="27" customHeight="1" x14ac:dyDescent="0.2">
      <c r="A68" s="130">
        <v>58</v>
      </c>
      <c r="B68" s="22" t="s">
        <v>258</v>
      </c>
      <c r="C68" s="24" t="s">
        <v>336</v>
      </c>
      <c r="D68" s="29">
        <v>3081</v>
      </c>
      <c r="E68" s="146">
        <v>1000</v>
      </c>
      <c r="F68" s="27">
        <v>0</v>
      </c>
      <c r="G68" s="147">
        <v>250</v>
      </c>
      <c r="H68" s="147">
        <v>0</v>
      </c>
      <c r="I68" s="28">
        <f t="shared" si="0"/>
        <v>4331</v>
      </c>
      <c r="J68" s="28">
        <f t="shared" si="1"/>
        <v>122.43</v>
      </c>
      <c r="K68" s="28">
        <f>(D68+E68)*12%</f>
        <v>489.72</v>
      </c>
      <c r="L68" s="28">
        <v>0</v>
      </c>
      <c r="M68" s="28">
        <v>0</v>
      </c>
      <c r="N68" s="28">
        <f t="shared" si="2"/>
        <v>612.15</v>
      </c>
      <c r="O68" s="28">
        <f t="shared" si="4"/>
        <v>3718.85</v>
      </c>
      <c r="P68" s="70">
        <v>0</v>
      </c>
      <c r="Q68" s="12"/>
      <c r="R68" s="12"/>
      <c r="S68" s="12"/>
      <c r="T68" s="12"/>
      <c r="U68" s="12"/>
      <c r="V68" s="12"/>
      <c r="W68" s="12"/>
      <c r="X68" s="12"/>
    </row>
    <row r="69" spans="1:24" s="6" customFormat="1" ht="27" customHeight="1" x14ac:dyDescent="0.2">
      <c r="A69" s="130">
        <v>59</v>
      </c>
      <c r="B69" s="37" t="s">
        <v>259</v>
      </c>
      <c r="C69" s="24" t="s">
        <v>471</v>
      </c>
      <c r="D69" s="27">
        <v>3241</v>
      </c>
      <c r="E69" s="27">
        <v>1000</v>
      </c>
      <c r="F69" s="27">
        <v>0</v>
      </c>
      <c r="G69" s="27">
        <v>250</v>
      </c>
      <c r="H69" s="147">
        <v>0</v>
      </c>
      <c r="I69" s="28">
        <f t="shared" si="0"/>
        <v>4491</v>
      </c>
      <c r="J69" s="28">
        <f t="shared" si="1"/>
        <v>127.23</v>
      </c>
      <c r="K69" s="28">
        <f>(D69+E69)*12%</f>
        <v>508.92</v>
      </c>
      <c r="L69" s="27">
        <v>0</v>
      </c>
      <c r="M69" s="27">
        <v>0</v>
      </c>
      <c r="N69" s="27">
        <f>SUM(J69:M69)</f>
        <v>636.15</v>
      </c>
      <c r="O69" s="28">
        <f t="shared" si="4"/>
        <v>3854.85</v>
      </c>
      <c r="P69" s="70">
        <v>0</v>
      </c>
      <c r="Q69" s="12"/>
      <c r="R69" s="12"/>
      <c r="S69" s="12"/>
      <c r="T69" s="12"/>
      <c r="U69" s="12"/>
      <c r="V69" s="12"/>
      <c r="W69" s="12"/>
      <c r="X69" s="12"/>
    </row>
    <row r="70" spans="1:24" s="6" customFormat="1" ht="27" customHeight="1" x14ac:dyDescent="0.2">
      <c r="A70" s="130">
        <v>60</v>
      </c>
      <c r="B70" s="24" t="s">
        <v>391</v>
      </c>
      <c r="C70" s="24" t="s">
        <v>331</v>
      </c>
      <c r="D70" s="148">
        <v>1940</v>
      </c>
      <c r="E70" s="146">
        <v>0</v>
      </c>
      <c r="F70" s="27">
        <v>0</v>
      </c>
      <c r="G70" s="147">
        <v>0</v>
      </c>
      <c r="H70" s="147">
        <v>0</v>
      </c>
      <c r="I70" s="28">
        <f t="shared" si="0"/>
        <v>1940</v>
      </c>
      <c r="J70" s="28">
        <f t="shared" si="1"/>
        <v>58.2</v>
      </c>
      <c r="K70" s="28">
        <f>D70*10%</f>
        <v>194</v>
      </c>
      <c r="L70" s="28">
        <v>0</v>
      </c>
      <c r="M70" s="28">
        <v>0</v>
      </c>
      <c r="N70" s="28">
        <f t="shared" si="2"/>
        <v>252.2</v>
      </c>
      <c r="O70" s="28">
        <f t="shared" si="4"/>
        <v>1687.8</v>
      </c>
      <c r="P70" s="70">
        <v>0</v>
      </c>
      <c r="Q70" s="12"/>
      <c r="R70" s="12"/>
      <c r="S70" s="12"/>
      <c r="T70" s="12"/>
      <c r="U70" s="12"/>
      <c r="V70" s="12"/>
      <c r="W70" s="12"/>
      <c r="X70" s="12"/>
    </row>
    <row r="71" spans="1:24" s="6" customFormat="1" ht="27" customHeight="1" x14ac:dyDescent="0.2">
      <c r="A71" s="130">
        <v>61</v>
      </c>
      <c r="B71" s="38" t="s">
        <v>430</v>
      </c>
      <c r="C71" s="24" t="s">
        <v>58</v>
      </c>
      <c r="D71" s="157">
        <v>1668</v>
      </c>
      <c r="E71" s="146">
        <v>1000</v>
      </c>
      <c r="F71" s="27">
        <v>0</v>
      </c>
      <c r="G71" s="147">
        <v>250</v>
      </c>
      <c r="H71" s="147">
        <v>0</v>
      </c>
      <c r="I71" s="28">
        <f t="shared" si="0"/>
        <v>2918</v>
      </c>
      <c r="J71" s="28">
        <f t="shared" si="1"/>
        <v>80.040000000000006</v>
      </c>
      <c r="K71" s="28">
        <f>(D71+E71)*11%</f>
        <v>293.48</v>
      </c>
      <c r="L71" s="28">
        <v>0</v>
      </c>
      <c r="M71" s="28">
        <v>0</v>
      </c>
      <c r="N71" s="28">
        <f t="shared" si="2"/>
        <v>373.52</v>
      </c>
      <c r="O71" s="28">
        <f t="shared" si="4"/>
        <v>2544.48</v>
      </c>
      <c r="P71" s="70">
        <v>0</v>
      </c>
      <c r="Q71" s="12"/>
      <c r="R71" s="12"/>
      <c r="S71" s="12"/>
      <c r="T71" s="12"/>
      <c r="U71" s="12"/>
      <c r="V71" s="12"/>
      <c r="W71" s="12"/>
      <c r="X71" s="12"/>
    </row>
    <row r="72" spans="1:24" s="5" customFormat="1" ht="27" customHeight="1" x14ac:dyDescent="0.2">
      <c r="A72" s="130">
        <v>62</v>
      </c>
      <c r="B72" s="24" t="s">
        <v>99</v>
      </c>
      <c r="C72" s="24" t="s">
        <v>331</v>
      </c>
      <c r="D72" s="148">
        <v>1940</v>
      </c>
      <c r="E72" s="146">
        <v>2000</v>
      </c>
      <c r="F72" s="27">
        <v>0</v>
      </c>
      <c r="G72" s="147">
        <v>0</v>
      </c>
      <c r="H72" s="147">
        <v>0</v>
      </c>
      <c r="I72" s="28">
        <f t="shared" ref="I72:I134" si="5">SUM(D72:G72)</f>
        <v>3940</v>
      </c>
      <c r="J72" s="28">
        <f t="shared" si="1"/>
        <v>118.2</v>
      </c>
      <c r="K72" s="28">
        <f>D72*10%</f>
        <v>194</v>
      </c>
      <c r="L72" s="28">
        <v>0</v>
      </c>
      <c r="M72" s="28">
        <v>0</v>
      </c>
      <c r="N72" s="28">
        <f t="shared" si="2"/>
        <v>312.2</v>
      </c>
      <c r="O72" s="28">
        <f t="shared" si="4"/>
        <v>3627.8</v>
      </c>
      <c r="P72" s="70">
        <v>0</v>
      </c>
      <c r="Q72" s="13"/>
      <c r="R72" s="13"/>
      <c r="S72" s="13"/>
      <c r="T72" s="13"/>
      <c r="U72" s="13"/>
      <c r="V72" s="13"/>
      <c r="W72" s="12"/>
      <c r="X72" s="13"/>
    </row>
    <row r="73" spans="1:24" s="6" customFormat="1" ht="27" customHeight="1" x14ac:dyDescent="0.2">
      <c r="A73" s="130">
        <v>63</v>
      </c>
      <c r="B73" s="38" t="s">
        <v>139</v>
      </c>
      <c r="C73" s="24" t="s">
        <v>471</v>
      </c>
      <c r="D73" s="154">
        <v>3241</v>
      </c>
      <c r="E73" s="29">
        <v>1000</v>
      </c>
      <c r="F73" s="27">
        <v>0</v>
      </c>
      <c r="G73" s="147">
        <v>250</v>
      </c>
      <c r="H73" s="147">
        <v>0</v>
      </c>
      <c r="I73" s="28">
        <f t="shared" si="5"/>
        <v>4491</v>
      </c>
      <c r="J73" s="28">
        <f t="shared" si="1"/>
        <v>127.23</v>
      </c>
      <c r="K73" s="28">
        <f>(D73+E73)*12%</f>
        <v>508.92</v>
      </c>
      <c r="L73" s="28">
        <v>0</v>
      </c>
      <c r="M73" s="28">
        <v>57</v>
      </c>
      <c r="N73" s="28">
        <f t="shared" si="2"/>
        <v>693.15</v>
      </c>
      <c r="O73" s="28">
        <f t="shared" si="4"/>
        <v>3797.85</v>
      </c>
      <c r="P73" s="70">
        <v>0</v>
      </c>
      <c r="Q73" s="12"/>
      <c r="R73" s="12"/>
      <c r="S73" s="12"/>
      <c r="T73" s="12"/>
      <c r="U73" s="12"/>
      <c r="V73" s="12"/>
      <c r="W73" s="12"/>
      <c r="X73" s="12"/>
    </row>
    <row r="74" spans="1:24" s="6" customFormat="1" ht="27" customHeight="1" x14ac:dyDescent="0.2">
      <c r="A74" s="130">
        <v>64</v>
      </c>
      <c r="B74" s="24" t="s">
        <v>83</v>
      </c>
      <c r="C74" s="24" t="s">
        <v>331</v>
      </c>
      <c r="D74" s="148">
        <v>1940</v>
      </c>
      <c r="E74" s="146">
        <v>0</v>
      </c>
      <c r="F74" s="27">
        <v>0</v>
      </c>
      <c r="G74" s="147">
        <v>0</v>
      </c>
      <c r="H74" s="147">
        <v>0</v>
      </c>
      <c r="I74" s="28">
        <f t="shared" si="5"/>
        <v>1940</v>
      </c>
      <c r="J74" s="28">
        <f t="shared" ref="J74:J136" si="6">(D74+E74+F74)*3%</f>
        <v>58.2</v>
      </c>
      <c r="K74" s="28">
        <f>D74*10%</f>
        <v>194</v>
      </c>
      <c r="L74" s="28">
        <v>0</v>
      </c>
      <c r="M74" s="28">
        <v>0</v>
      </c>
      <c r="N74" s="28">
        <f t="shared" si="2"/>
        <v>252.2</v>
      </c>
      <c r="O74" s="28">
        <f t="shared" si="4"/>
        <v>1687.8</v>
      </c>
      <c r="P74" s="70">
        <v>0</v>
      </c>
      <c r="Q74" s="12"/>
      <c r="R74" s="12"/>
      <c r="S74" s="12"/>
      <c r="T74" s="12"/>
      <c r="U74" s="12"/>
      <c r="V74" s="12"/>
      <c r="W74" s="12"/>
      <c r="X74" s="12"/>
    </row>
    <row r="75" spans="1:24" s="6" customFormat="1" ht="27" customHeight="1" x14ac:dyDescent="0.2">
      <c r="A75" s="130">
        <v>65</v>
      </c>
      <c r="B75" s="33" t="s">
        <v>50</v>
      </c>
      <c r="C75" s="26" t="s">
        <v>110</v>
      </c>
      <c r="D75" s="29">
        <v>2920</v>
      </c>
      <c r="E75" s="146">
        <v>1000</v>
      </c>
      <c r="F75" s="27">
        <v>0</v>
      </c>
      <c r="G75" s="146">
        <v>250</v>
      </c>
      <c r="H75" s="147">
        <v>0</v>
      </c>
      <c r="I75" s="28">
        <f t="shared" si="5"/>
        <v>4170</v>
      </c>
      <c r="J75" s="28">
        <f t="shared" si="6"/>
        <v>117.6</v>
      </c>
      <c r="K75" s="28">
        <f>(D75+E75)*11%</f>
        <v>431.2</v>
      </c>
      <c r="L75" s="28">
        <v>0</v>
      </c>
      <c r="M75" s="28">
        <v>52.68</v>
      </c>
      <c r="N75" s="28">
        <f t="shared" si="2"/>
        <v>601.48</v>
      </c>
      <c r="O75" s="28">
        <f t="shared" si="4"/>
        <v>3568.52</v>
      </c>
      <c r="P75" s="70">
        <v>0</v>
      </c>
      <c r="Q75" s="12"/>
      <c r="R75" s="12"/>
      <c r="S75" s="12"/>
      <c r="T75" s="12"/>
      <c r="U75" s="12"/>
      <c r="V75" s="12"/>
      <c r="W75" s="12"/>
      <c r="X75" s="12"/>
    </row>
    <row r="76" spans="1:24" s="6" customFormat="1" ht="27" customHeight="1" x14ac:dyDescent="0.2">
      <c r="A76" s="130">
        <v>66</v>
      </c>
      <c r="B76" s="36" t="s">
        <v>77</v>
      </c>
      <c r="C76" s="24" t="s">
        <v>328</v>
      </c>
      <c r="D76" s="158">
        <v>2425</v>
      </c>
      <c r="E76" s="146">
        <v>0</v>
      </c>
      <c r="F76" s="27">
        <v>0</v>
      </c>
      <c r="G76" s="147">
        <v>0</v>
      </c>
      <c r="H76" s="147">
        <v>0</v>
      </c>
      <c r="I76" s="28">
        <f t="shared" si="5"/>
        <v>2425</v>
      </c>
      <c r="J76" s="28">
        <f t="shared" si="6"/>
        <v>72.75</v>
      </c>
      <c r="K76" s="28">
        <f>(D76+E76)*11%</f>
        <v>266.75</v>
      </c>
      <c r="L76" s="28">
        <v>0</v>
      </c>
      <c r="M76" s="28">
        <v>0</v>
      </c>
      <c r="N76" s="28">
        <f t="shared" si="2"/>
        <v>339.5</v>
      </c>
      <c r="O76" s="28">
        <f t="shared" ref="O76:O83" si="7">I76-N76</f>
        <v>2085.5</v>
      </c>
      <c r="P76" s="70">
        <v>0</v>
      </c>
      <c r="Q76" s="12"/>
      <c r="R76" s="12"/>
      <c r="S76" s="12"/>
      <c r="T76" s="12"/>
      <c r="U76" s="12"/>
      <c r="V76" s="12"/>
      <c r="W76" s="12"/>
      <c r="X76" s="12"/>
    </row>
    <row r="77" spans="1:24" s="6" customFormat="1" ht="27" customHeight="1" x14ac:dyDescent="0.2">
      <c r="A77" s="130">
        <v>67</v>
      </c>
      <c r="B77" s="24" t="s">
        <v>340</v>
      </c>
      <c r="C77" s="24" t="s">
        <v>331</v>
      </c>
      <c r="D77" s="148">
        <v>1940</v>
      </c>
      <c r="E77" s="146">
        <v>0</v>
      </c>
      <c r="F77" s="27">
        <v>0</v>
      </c>
      <c r="G77" s="147">
        <v>0</v>
      </c>
      <c r="H77" s="147">
        <v>0</v>
      </c>
      <c r="I77" s="28">
        <f t="shared" si="5"/>
        <v>1940</v>
      </c>
      <c r="J77" s="28">
        <f t="shared" si="6"/>
        <v>58.2</v>
      </c>
      <c r="K77" s="28">
        <f>D77*10%</f>
        <v>194</v>
      </c>
      <c r="L77" s="28">
        <v>0</v>
      </c>
      <c r="M77" s="28">
        <v>0</v>
      </c>
      <c r="N77" s="28">
        <f t="shared" ref="N77:N138" si="8">J77+K77+L77+M77</f>
        <v>252.2</v>
      </c>
      <c r="O77" s="28">
        <f t="shared" si="7"/>
        <v>1687.8</v>
      </c>
      <c r="P77" s="70">
        <v>0</v>
      </c>
      <c r="Q77" s="12"/>
      <c r="R77" s="12"/>
      <c r="S77" s="12"/>
      <c r="T77" s="12"/>
      <c r="U77" s="12"/>
      <c r="V77" s="12"/>
      <c r="W77" s="12"/>
      <c r="X77" s="12"/>
    </row>
    <row r="78" spans="1:24" s="6" customFormat="1" ht="27" customHeight="1" x14ac:dyDescent="0.2">
      <c r="A78" s="130">
        <v>68</v>
      </c>
      <c r="B78" s="22" t="s">
        <v>85</v>
      </c>
      <c r="C78" s="24" t="s">
        <v>328</v>
      </c>
      <c r="D78" s="29">
        <v>2425</v>
      </c>
      <c r="E78" s="146">
        <v>0</v>
      </c>
      <c r="F78" s="27">
        <v>0</v>
      </c>
      <c r="G78" s="147">
        <v>0</v>
      </c>
      <c r="H78" s="147">
        <v>0</v>
      </c>
      <c r="I78" s="28">
        <f t="shared" si="5"/>
        <v>2425</v>
      </c>
      <c r="J78" s="28">
        <f t="shared" si="6"/>
        <v>72.75</v>
      </c>
      <c r="K78" s="28">
        <f>D78*11%</f>
        <v>266.75</v>
      </c>
      <c r="L78" s="28">
        <v>0</v>
      </c>
      <c r="M78" s="28">
        <v>0</v>
      </c>
      <c r="N78" s="28">
        <f t="shared" si="8"/>
        <v>339.5</v>
      </c>
      <c r="O78" s="28">
        <f t="shared" si="7"/>
        <v>2085.5</v>
      </c>
      <c r="P78" s="70">
        <v>0</v>
      </c>
      <c r="Q78" s="12"/>
      <c r="R78" s="12"/>
      <c r="S78" s="12"/>
      <c r="T78" s="12"/>
      <c r="U78" s="12"/>
      <c r="V78" s="12"/>
      <c r="W78" s="12"/>
      <c r="X78" s="12"/>
    </row>
    <row r="79" spans="1:24" s="6" customFormat="1" ht="27" customHeight="1" x14ac:dyDescent="0.2">
      <c r="A79" s="130">
        <v>69</v>
      </c>
      <c r="B79" s="24" t="s">
        <v>186</v>
      </c>
      <c r="C79" s="24" t="s">
        <v>499</v>
      </c>
      <c r="D79" s="29">
        <v>2234</v>
      </c>
      <c r="E79" s="146">
        <v>1900</v>
      </c>
      <c r="F79" s="27">
        <v>0</v>
      </c>
      <c r="G79" s="147">
        <v>250</v>
      </c>
      <c r="H79" s="147">
        <v>0</v>
      </c>
      <c r="I79" s="28">
        <f t="shared" si="5"/>
        <v>4384</v>
      </c>
      <c r="J79" s="28">
        <f t="shared" si="6"/>
        <v>124.02</v>
      </c>
      <c r="K79" s="28">
        <f>(D79+E79)*12%</f>
        <v>496.08</v>
      </c>
      <c r="L79" s="28">
        <v>0</v>
      </c>
      <c r="M79" s="28">
        <v>0</v>
      </c>
      <c r="N79" s="28">
        <f t="shared" si="8"/>
        <v>620.1</v>
      </c>
      <c r="O79" s="28">
        <f t="shared" si="7"/>
        <v>3763.9</v>
      </c>
      <c r="P79" s="70">
        <v>0</v>
      </c>
      <c r="Q79" s="12"/>
      <c r="R79" s="12"/>
      <c r="S79" s="12"/>
      <c r="T79" s="12"/>
      <c r="U79" s="12"/>
      <c r="V79" s="12"/>
      <c r="W79" s="12"/>
      <c r="X79" s="12"/>
    </row>
    <row r="80" spans="1:24" s="6" customFormat="1" ht="27" customHeight="1" x14ac:dyDescent="0.2">
      <c r="A80" s="130">
        <v>70</v>
      </c>
      <c r="B80" s="24" t="s">
        <v>79</v>
      </c>
      <c r="C80" s="33" t="s">
        <v>496</v>
      </c>
      <c r="D80" s="148">
        <v>2328</v>
      </c>
      <c r="E80" s="146">
        <v>0</v>
      </c>
      <c r="F80" s="27">
        <v>0</v>
      </c>
      <c r="G80" s="147">
        <v>0</v>
      </c>
      <c r="H80" s="147">
        <v>0</v>
      </c>
      <c r="I80" s="28">
        <f t="shared" si="5"/>
        <v>2328</v>
      </c>
      <c r="J80" s="28">
        <f t="shared" si="6"/>
        <v>69.84</v>
      </c>
      <c r="K80" s="28">
        <f>D80*11%</f>
        <v>256.08</v>
      </c>
      <c r="L80" s="28">
        <v>0</v>
      </c>
      <c r="M80" s="28">
        <v>0</v>
      </c>
      <c r="N80" s="28">
        <f t="shared" si="8"/>
        <v>325.92</v>
      </c>
      <c r="O80" s="28">
        <f t="shared" si="7"/>
        <v>2002.08</v>
      </c>
      <c r="P80" s="70">
        <v>0</v>
      </c>
      <c r="Q80" s="12"/>
      <c r="R80" s="12"/>
      <c r="S80" s="12"/>
      <c r="T80" s="12"/>
      <c r="U80" s="12"/>
      <c r="V80" s="12"/>
      <c r="W80" s="12"/>
      <c r="X80" s="12"/>
    </row>
    <row r="81" spans="1:24" s="6" customFormat="1" ht="27" customHeight="1" x14ac:dyDescent="0.2">
      <c r="A81" s="130">
        <v>71</v>
      </c>
      <c r="B81" s="33" t="s">
        <v>55</v>
      </c>
      <c r="C81" s="24" t="s">
        <v>336</v>
      </c>
      <c r="D81" s="28">
        <v>3081</v>
      </c>
      <c r="E81" s="28">
        <v>1000</v>
      </c>
      <c r="F81" s="27">
        <v>0</v>
      </c>
      <c r="G81" s="147">
        <v>250</v>
      </c>
      <c r="H81" s="147">
        <v>0</v>
      </c>
      <c r="I81" s="28">
        <f t="shared" si="5"/>
        <v>4331</v>
      </c>
      <c r="J81" s="28">
        <f t="shared" si="6"/>
        <v>122.43</v>
      </c>
      <c r="K81" s="28">
        <f>(D81+E81)*12%</f>
        <v>489.72</v>
      </c>
      <c r="L81" s="28">
        <v>0</v>
      </c>
      <c r="M81" s="28">
        <v>52.68</v>
      </c>
      <c r="N81" s="28">
        <f t="shared" si="8"/>
        <v>664.83</v>
      </c>
      <c r="O81" s="28">
        <f t="shared" si="7"/>
        <v>3666.17</v>
      </c>
      <c r="P81" s="70">
        <f>843</f>
        <v>843</v>
      </c>
      <c r="Q81" s="12"/>
      <c r="R81" s="12"/>
      <c r="S81" s="12"/>
      <c r="T81" s="12"/>
      <c r="U81" s="12"/>
      <c r="V81" s="12"/>
      <c r="W81" s="12"/>
      <c r="X81" s="12"/>
    </row>
    <row r="82" spans="1:24" s="6" customFormat="1" ht="27" customHeight="1" x14ac:dyDescent="0.2">
      <c r="A82" s="130">
        <v>72</v>
      </c>
      <c r="B82" s="225" t="s">
        <v>1053</v>
      </c>
      <c r="C82" s="24" t="s">
        <v>109</v>
      </c>
      <c r="D82" s="27">
        <v>5095</v>
      </c>
      <c r="E82" s="27">
        <v>1800</v>
      </c>
      <c r="F82" s="27">
        <v>0</v>
      </c>
      <c r="G82" s="27">
        <v>250</v>
      </c>
      <c r="H82" s="147">
        <v>0</v>
      </c>
      <c r="I82" s="28">
        <f t="shared" si="5"/>
        <v>7145</v>
      </c>
      <c r="J82" s="28">
        <f t="shared" si="6"/>
        <v>206.85</v>
      </c>
      <c r="K82" s="28">
        <f>(D82+E82)*13%</f>
        <v>896.35</v>
      </c>
      <c r="L82" s="28">
        <v>102.92</v>
      </c>
      <c r="M82" s="28">
        <v>92.67</v>
      </c>
      <c r="N82" s="28">
        <f t="shared" si="8"/>
        <v>1298.79</v>
      </c>
      <c r="O82" s="28">
        <f t="shared" si="7"/>
        <v>5846.21</v>
      </c>
      <c r="P82" s="70">
        <v>0</v>
      </c>
      <c r="Q82" s="12"/>
      <c r="R82" s="12"/>
      <c r="S82" s="12"/>
      <c r="T82" s="12"/>
      <c r="U82" s="12"/>
      <c r="V82" s="12"/>
      <c r="W82" s="12"/>
      <c r="X82" s="12"/>
    </row>
    <row r="83" spans="1:24" s="6" customFormat="1" ht="27" customHeight="1" x14ac:dyDescent="0.2">
      <c r="A83" s="130">
        <v>73</v>
      </c>
      <c r="B83" s="24" t="s">
        <v>187</v>
      </c>
      <c r="C83" s="24" t="s">
        <v>331</v>
      </c>
      <c r="D83" s="29">
        <v>1940</v>
      </c>
      <c r="E83" s="146">
        <v>0</v>
      </c>
      <c r="F83" s="27">
        <v>0</v>
      </c>
      <c r="G83" s="147">
        <v>0</v>
      </c>
      <c r="H83" s="147">
        <v>0</v>
      </c>
      <c r="I83" s="28">
        <f t="shared" si="5"/>
        <v>1940</v>
      </c>
      <c r="J83" s="28">
        <f t="shared" si="6"/>
        <v>58.2</v>
      </c>
      <c r="K83" s="28">
        <f>D83*10%</f>
        <v>194</v>
      </c>
      <c r="L83" s="28">
        <v>0</v>
      </c>
      <c r="M83" s="28">
        <v>0</v>
      </c>
      <c r="N83" s="28">
        <f t="shared" si="8"/>
        <v>252.2</v>
      </c>
      <c r="O83" s="28">
        <f t="shared" si="7"/>
        <v>1687.8</v>
      </c>
      <c r="P83" s="70">
        <v>0</v>
      </c>
      <c r="Q83" s="12"/>
      <c r="R83" s="12"/>
      <c r="S83" s="12"/>
      <c r="T83" s="12"/>
      <c r="U83" s="12"/>
      <c r="V83" s="12"/>
      <c r="W83" s="12"/>
      <c r="X83" s="12"/>
    </row>
    <row r="84" spans="1:24" s="6" customFormat="1" ht="27" customHeight="1" x14ac:dyDescent="0.2">
      <c r="A84" s="130">
        <v>74</v>
      </c>
      <c r="B84" s="22" t="s">
        <v>972</v>
      </c>
      <c r="C84" s="23" t="s">
        <v>973</v>
      </c>
      <c r="D84" s="169">
        <v>2920</v>
      </c>
      <c r="E84" s="146">
        <v>1000</v>
      </c>
      <c r="F84" s="27">
        <v>0</v>
      </c>
      <c r="G84" s="147">
        <v>250</v>
      </c>
      <c r="H84" s="147">
        <v>0</v>
      </c>
      <c r="I84" s="28">
        <f>SUM(D84:G84)</f>
        <v>4170</v>
      </c>
      <c r="J84" s="28">
        <f t="shared" si="6"/>
        <v>117.6</v>
      </c>
      <c r="K84" s="28">
        <f>(D84+E84)*11%</f>
        <v>431.2</v>
      </c>
      <c r="L84" s="28"/>
      <c r="M84" s="28"/>
      <c r="N84" s="28"/>
      <c r="O84" s="28"/>
      <c r="P84" s="70">
        <v>0</v>
      </c>
      <c r="Q84" s="12"/>
      <c r="R84" s="12"/>
      <c r="S84" s="12"/>
      <c r="T84" s="12"/>
      <c r="U84" s="12"/>
      <c r="V84" s="12"/>
      <c r="W84" s="12"/>
      <c r="X84" s="12"/>
    </row>
    <row r="85" spans="1:24" s="6" customFormat="1" ht="27" customHeight="1" x14ac:dyDescent="0.2">
      <c r="A85" s="130">
        <v>75</v>
      </c>
      <c r="B85" s="23" t="s">
        <v>341</v>
      </c>
      <c r="C85" s="24" t="s">
        <v>336</v>
      </c>
      <c r="D85" s="155">
        <v>3081</v>
      </c>
      <c r="E85" s="156">
        <v>1000</v>
      </c>
      <c r="F85" s="27">
        <v>0</v>
      </c>
      <c r="G85" s="147">
        <v>250</v>
      </c>
      <c r="H85" s="147">
        <v>0</v>
      </c>
      <c r="I85" s="28">
        <f t="shared" si="5"/>
        <v>4331</v>
      </c>
      <c r="J85" s="28">
        <f t="shared" si="6"/>
        <v>122.43</v>
      </c>
      <c r="K85" s="28">
        <f>(D85+E85)*11%</f>
        <v>448.91</v>
      </c>
      <c r="L85" s="28">
        <v>0</v>
      </c>
      <c r="M85" s="28">
        <v>0</v>
      </c>
      <c r="N85" s="28">
        <f t="shared" si="8"/>
        <v>571.34</v>
      </c>
      <c r="O85" s="28">
        <f t="shared" ref="O85:O120" si="9">I85-N85</f>
        <v>3759.66</v>
      </c>
      <c r="P85" s="70">
        <v>0</v>
      </c>
      <c r="Q85" s="12"/>
      <c r="R85" s="12"/>
      <c r="S85" s="12"/>
      <c r="T85" s="12"/>
      <c r="U85" s="12"/>
      <c r="V85" s="12"/>
      <c r="W85" s="12"/>
      <c r="X85" s="12"/>
    </row>
    <row r="86" spans="1:24" s="6" customFormat="1" ht="27" customHeight="1" x14ac:dyDescent="0.2">
      <c r="A86" s="130">
        <v>76</v>
      </c>
      <c r="B86" s="22" t="s">
        <v>88</v>
      </c>
      <c r="C86" s="26" t="s">
        <v>502</v>
      </c>
      <c r="D86" s="29">
        <v>2076</v>
      </c>
      <c r="E86" s="146">
        <v>1000</v>
      </c>
      <c r="F86" s="27">
        <v>0</v>
      </c>
      <c r="G86" s="147">
        <v>250</v>
      </c>
      <c r="H86" s="147">
        <v>0</v>
      </c>
      <c r="I86" s="28">
        <f t="shared" si="5"/>
        <v>3326</v>
      </c>
      <c r="J86" s="28">
        <f t="shared" si="6"/>
        <v>92.28</v>
      </c>
      <c r="K86" s="28">
        <f>(D86+E86)*11%</f>
        <v>338.36</v>
      </c>
      <c r="L86" s="28">
        <v>0</v>
      </c>
      <c r="M86" s="28">
        <v>0</v>
      </c>
      <c r="N86" s="28">
        <f t="shared" si="8"/>
        <v>430.64</v>
      </c>
      <c r="O86" s="28">
        <f t="shared" si="9"/>
        <v>2895.36</v>
      </c>
      <c r="P86" s="70">
        <f>379</f>
        <v>379</v>
      </c>
      <c r="Q86" s="12"/>
      <c r="R86" s="12"/>
      <c r="S86" s="12"/>
      <c r="T86" s="12"/>
      <c r="U86" s="12"/>
      <c r="V86" s="12"/>
      <c r="W86" s="12"/>
      <c r="X86" s="12"/>
    </row>
    <row r="87" spans="1:24" s="6" customFormat="1" ht="27" customHeight="1" x14ac:dyDescent="0.2">
      <c r="A87" s="130">
        <v>77</v>
      </c>
      <c r="B87" s="24" t="s">
        <v>436</v>
      </c>
      <c r="C87" s="24" t="s">
        <v>331</v>
      </c>
      <c r="D87" s="148">
        <v>1940</v>
      </c>
      <c r="E87" s="146">
        <v>0</v>
      </c>
      <c r="F87" s="27">
        <v>0</v>
      </c>
      <c r="G87" s="147">
        <v>0</v>
      </c>
      <c r="H87" s="147">
        <v>0</v>
      </c>
      <c r="I87" s="28">
        <f t="shared" si="5"/>
        <v>1940</v>
      </c>
      <c r="J87" s="28">
        <f t="shared" si="6"/>
        <v>58.2</v>
      </c>
      <c r="K87" s="28">
        <f>D87*10%</f>
        <v>194</v>
      </c>
      <c r="L87" s="28">
        <v>0</v>
      </c>
      <c r="M87" s="28">
        <v>0</v>
      </c>
      <c r="N87" s="28">
        <f t="shared" si="8"/>
        <v>252.2</v>
      </c>
      <c r="O87" s="28">
        <f t="shared" si="9"/>
        <v>1687.8</v>
      </c>
      <c r="P87" s="70">
        <v>0</v>
      </c>
      <c r="Q87" s="12"/>
      <c r="R87" s="12"/>
      <c r="S87" s="12"/>
      <c r="T87" s="12"/>
      <c r="U87" s="12"/>
      <c r="V87" s="12"/>
      <c r="W87" s="12"/>
      <c r="X87" s="12"/>
    </row>
    <row r="88" spans="1:24" s="6" customFormat="1" ht="27" customHeight="1" x14ac:dyDescent="0.2">
      <c r="A88" s="130">
        <v>78</v>
      </c>
      <c r="B88" s="24" t="s">
        <v>260</v>
      </c>
      <c r="C88" s="24" t="s">
        <v>331</v>
      </c>
      <c r="D88" s="29">
        <v>1940</v>
      </c>
      <c r="E88" s="146">
        <v>0</v>
      </c>
      <c r="F88" s="27">
        <v>0</v>
      </c>
      <c r="G88" s="147">
        <v>0</v>
      </c>
      <c r="H88" s="147">
        <v>0</v>
      </c>
      <c r="I88" s="28">
        <f t="shared" si="5"/>
        <v>1940</v>
      </c>
      <c r="J88" s="28">
        <f t="shared" si="6"/>
        <v>58.2</v>
      </c>
      <c r="K88" s="28">
        <f>D88*10%</f>
        <v>194</v>
      </c>
      <c r="L88" s="28">
        <v>0</v>
      </c>
      <c r="M88" s="28">
        <v>0</v>
      </c>
      <c r="N88" s="28">
        <f t="shared" si="8"/>
        <v>252.2</v>
      </c>
      <c r="O88" s="28">
        <f t="shared" si="9"/>
        <v>1687.8</v>
      </c>
      <c r="P88" s="70">
        <v>0</v>
      </c>
      <c r="Q88" s="12"/>
      <c r="R88" s="12"/>
      <c r="S88" s="12"/>
      <c r="T88" s="12"/>
      <c r="U88" s="12"/>
      <c r="V88" s="12"/>
      <c r="W88" s="12"/>
      <c r="X88" s="12"/>
    </row>
    <row r="89" spans="1:24" s="6" customFormat="1" ht="27" customHeight="1" x14ac:dyDescent="0.2">
      <c r="A89" s="130">
        <v>79</v>
      </c>
      <c r="B89" s="22" t="s">
        <v>162</v>
      </c>
      <c r="C89" s="24" t="s">
        <v>331</v>
      </c>
      <c r="D89" s="29">
        <v>1940</v>
      </c>
      <c r="E89" s="146">
        <v>0</v>
      </c>
      <c r="F89" s="27">
        <v>0</v>
      </c>
      <c r="G89" s="147">
        <v>0</v>
      </c>
      <c r="H89" s="147">
        <v>0</v>
      </c>
      <c r="I89" s="28">
        <f t="shared" si="5"/>
        <v>1940</v>
      </c>
      <c r="J89" s="28">
        <f t="shared" si="6"/>
        <v>58.2</v>
      </c>
      <c r="K89" s="28">
        <f>D89*10%</f>
        <v>194</v>
      </c>
      <c r="L89" s="28">
        <v>0</v>
      </c>
      <c r="M89" s="28">
        <v>0</v>
      </c>
      <c r="N89" s="28">
        <f t="shared" si="8"/>
        <v>252.2</v>
      </c>
      <c r="O89" s="28">
        <f t="shared" si="9"/>
        <v>1687.8</v>
      </c>
      <c r="P89" s="70">
        <v>0</v>
      </c>
      <c r="Q89" s="12"/>
      <c r="R89" s="12"/>
      <c r="S89" s="12"/>
      <c r="T89" s="12"/>
      <c r="U89" s="12"/>
      <c r="V89" s="12"/>
      <c r="W89" s="12"/>
      <c r="X89" s="12"/>
    </row>
    <row r="90" spans="1:24" s="6" customFormat="1" ht="27" customHeight="1" x14ac:dyDescent="0.2">
      <c r="A90" s="130">
        <v>80</v>
      </c>
      <c r="B90" s="24" t="s">
        <v>392</v>
      </c>
      <c r="C90" s="24" t="s">
        <v>113</v>
      </c>
      <c r="D90" s="29">
        <v>1668</v>
      </c>
      <c r="E90" s="146">
        <v>1000</v>
      </c>
      <c r="F90" s="27">
        <v>0</v>
      </c>
      <c r="G90" s="147">
        <v>250</v>
      </c>
      <c r="H90" s="147">
        <v>0</v>
      </c>
      <c r="I90" s="28">
        <f t="shared" si="5"/>
        <v>2918</v>
      </c>
      <c r="J90" s="28">
        <f t="shared" si="6"/>
        <v>80.040000000000006</v>
      </c>
      <c r="K90" s="28">
        <f>(D90+E90)*11%</f>
        <v>293.48</v>
      </c>
      <c r="L90" s="28">
        <v>0</v>
      </c>
      <c r="M90" s="28">
        <v>0</v>
      </c>
      <c r="N90" s="28">
        <f t="shared" si="8"/>
        <v>373.52</v>
      </c>
      <c r="O90" s="28">
        <f t="shared" si="9"/>
        <v>2544.48</v>
      </c>
      <c r="P90" s="70">
        <v>0</v>
      </c>
      <c r="Q90" s="12"/>
      <c r="R90" s="12"/>
      <c r="S90" s="12"/>
      <c r="T90" s="12"/>
      <c r="U90" s="12"/>
      <c r="V90" s="12"/>
      <c r="W90" s="12"/>
      <c r="X90" s="12"/>
    </row>
    <row r="91" spans="1:24" s="6" customFormat="1" ht="27" customHeight="1" x14ac:dyDescent="0.2">
      <c r="A91" s="130">
        <v>81</v>
      </c>
      <c r="B91" s="24" t="s">
        <v>291</v>
      </c>
      <c r="C91" s="33" t="s">
        <v>496</v>
      </c>
      <c r="D91" s="148">
        <v>2328</v>
      </c>
      <c r="E91" s="146">
        <v>0</v>
      </c>
      <c r="F91" s="27">
        <v>0</v>
      </c>
      <c r="G91" s="147">
        <v>0</v>
      </c>
      <c r="H91" s="147">
        <v>0</v>
      </c>
      <c r="I91" s="28">
        <f t="shared" si="5"/>
        <v>2328</v>
      </c>
      <c r="J91" s="28">
        <f t="shared" si="6"/>
        <v>69.84</v>
      </c>
      <c r="K91" s="28">
        <f>D91*11%</f>
        <v>256.08</v>
      </c>
      <c r="L91" s="28">
        <v>0</v>
      </c>
      <c r="M91" s="28">
        <v>0</v>
      </c>
      <c r="N91" s="28">
        <f t="shared" si="8"/>
        <v>325.92</v>
      </c>
      <c r="O91" s="28">
        <f t="shared" si="9"/>
        <v>2002.08</v>
      </c>
      <c r="P91" s="70">
        <v>0</v>
      </c>
      <c r="Q91" s="12"/>
      <c r="R91" s="12"/>
      <c r="S91" s="12"/>
      <c r="T91" s="12"/>
      <c r="U91" s="12"/>
      <c r="V91" s="12"/>
      <c r="W91" s="12"/>
      <c r="X91" s="12"/>
    </row>
    <row r="92" spans="1:24" s="6" customFormat="1" ht="27" customHeight="1" x14ac:dyDescent="0.2">
      <c r="A92" s="130">
        <v>82</v>
      </c>
      <c r="B92" s="24" t="s">
        <v>261</v>
      </c>
      <c r="C92" s="24" t="s">
        <v>328</v>
      </c>
      <c r="D92" s="148">
        <v>2425</v>
      </c>
      <c r="E92" s="146">
        <v>0</v>
      </c>
      <c r="F92" s="27">
        <v>0</v>
      </c>
      <c r="G92" s="147">
        <v>0</v>
      </c>
      <c r="H92" s="147">
        <v>0</v>
      </c>
      <c r="I92" s="28">
        <f t="shared" si="5"/>
        <v>2425</v>
      </c>
      <c r="J92" s="28">
        <f t="shared" si="6"/>
        <v>72.75</v>
      </c>
      <c r="K92" s="28">
        <f>D92*11%</f>
        <v>266.75</v>
      </c>
      <c r="L92" s="28">
        <v>0</v>
      </c>
      <c r="M92" s="28">
        <v>0</v>
      </c>
      <c r="N92" s="28">
        <f t="shared" si="8"/>
        <v>339.5</v>
      </c>
      <c r="O92" s="28">
        <f t="shared" si="9"/>
        <v>2085.5</v>
      </c>
      <c r="P92" s="70">
        <v>0</v>
      </c>
      <c r="Q92" s="12"/>
      <c r="R92" s="12"/>
      <c r="S92" s="12"/>
      <c r="T92" s="12"/>
      <c r="U92" s="12"/>
      <c r="V92" s="12"/>
      <c r="W92" s="12"/>
      <c r="X92" s="12"/>
    </row>
    <row r="93" spans="1:24" s="6" customFormat="1" ht="27" customHeight="1" x14ac:dyDescent="0.2">
      <c r="A93" s="130">
        <v>83</v>
      </c>
      <c r="B93" s="24" t="s">
        <v>262</v>
      </c>
      <c r="C93" s="24" t="s">
        <v>331</v>
      </c>
      <c r="D93" s="29">
        <v>1940</v>
      </c>
      <c r="E93" s="146">
        <v>0</v>
      </c>
      <c r="F93" s="27">
        <v>0</v>
      </c>
      <c r="G93" s="147">
        <v>0</v>
      </c>
      <c r="H93" s="147">
        <v>0</v>
      </c>
      <c r="I93" s="28">
        <f t="shared" si="5"/>
        <v>1940</v>
      </c>
      <c r="J93" s="28">
        <f t="shared" si="6"/>
        <v>58.2</v>
      </c>
      <c r="K93" s="28">
        <f>D93*10%</f>
        <v>194</v>
      </c>
      <c r="L93" s="28">
        <v>0</v>
      </c>
      <c r="M93" s="28">
        <v>0</v>
      </c>
      <c r="N93" s="28">
        <f t="shared" si="8"/>
        <v>252.2</v>
      </c>
      <c r="O93" s="28">
        <f t="shared" si="9"/>
        <v>1687.8</v>
      </c>
      <c r="P93" s="70">
        <v>0</v>
      </c>
      <c r="Q93" s="12"/>
      <c r="R93" s="12"/>
      <c r="S93" s="12"/>
      <c r="T93" s="12"/>
      <c r="U93" s="12"/>
      <c r="V93" s="12"/>
      <c r="W93" s="12"/>
      <c r="X93" s="12"/>
    </row>
    <row r="94" spans="1:24" s="6" customFormat="1" ht="27" customHeight="1" x14ac:dyDescent="0.2">
      <c r="A94" s="130">
        <v>84</v>
      </c>
      <c r="B94" s="25" t="s">
        <v>393</v>
      </c>
      <c r="C94" s="26" t="s">
        <v>155</v>
      </c>
      <c r="D94" s="27">
        <v>2920</v>
      </c>
      <c r="E94" s="27">
        <v>1000</v>
      </c>
      <c r="F94" s="27">
        <v>0</v>
      </c>
      <c r="G94" s="27">
        <v>250</v>
      </c>
      <c r="H94" s="147">
        <v>0</v>
      </c>
      <c r="I94" s="28">
        <f t="shared" si="5"/>
        <v>4170</v>
      </c>
      <c r="J94" s="28">
        <f t="shared" si="6"/>
        <v>117.6</v>
      </c>
      <c r="K94" s="28">
        <f>(D94+E94)*11%</f>
        <v>431.2</v>
      </c>
      <c r="L94" s="28">
        <v>131.99</v>
      </c>
      <c r="M94" s="28">
        <v>101.97</v>
      </c>
      <c r="N94" s="28">
        <f t="shared" si="8"/>
        <v>782.76</v>
      </c>
      <c r="O94" s="28">
        <f t="shared" si="9"/>
        <v>3387.24</v>
      </c>
      <c r="P94" s="70">
        <v>0</v>
      </c>
      <c r="Q94" s="12"/>
      <c r="R94" s="12"/>
      <c r="S94" s="12"/>
      <c r="T94" s="12"/>
      <c r="U94" s="12"/>
      <c r="V94" s="12"/>
      <c r="W94" s="12"/>
      <c r="X94" s="12"/>
    </row>
    <row r="95" spans="1:24" s="6" customFormat="1" ht="27" customHeight="1" x14ac:dyDescent="0.2">
      <c r="A95" s="130">
        <v>85</v>
      </c>
      <c r="B95" s="24" t="s">
        <v>82</v>
      </c>
      <c r="C95" s="24" t="s">
        <v>328</v>
      </c>
      <c r="D95" s="148">
        <v>2425</v>
      </c>
      <c r="E95" s="146">
        <v>0</v>
      </c>
      <c r="F95" s="27">
        <v>0</v>
      </c>
      <c r="G95" s="147">
        <v>0</v>
      </c>
      <c r="H95" s="147">
        <v>0</v>
      </c>
      <c r="I95" s="28">
        <f t="shared" si="5"/>
        <v>2425</v>
      </c>
      <c r="J95" s="28">
        <f t="shared" si="6"/>
        <v>72.75</v>
      </c>
      <c r="K95" s="28">
        <f>D95*11%</f>
        <v>266.75</v>
      </c>
      <c r="L95" s="28">
        <v>0</v>
      </c>
      <c r="M95" s="28">
        <v>0</v>
      </c>
      <c r="N95" s="28">
        <f t="shared" si="8"/>
        <v>339.5</v>
      </c>
      <c r="O95" s="28">
        <f t="shared" si="9"/>
        <v>2085.5</v>
      </c>
      <c r="P95" s="70">
        <v>0</v>
      </c>
      <c r="Q95" s="12"/>
      <c r="R95" s="12"/>
      <c r="S95" s="12"/>
      <c r="T95" s="12"/>
      <c r="U95" s="12"/>
      <c r="V95" s="12"/>
      <c r="W95" s="12"/>
      <c r="X95" s="12"/>
    </row>
    <row r="96" spans="1:24" s="6" customFormat="1" ht="27" customHeight="1" x14ac:dyDescent="0.2">
      <c r="A96" s="130">
        <v>86</v>
      </c>
      <c r="B96" s="39" t="s">
        <v>292</v>
      </c>
      <c r="C96" s="26" t="s">
        <v>394</v>
      </c>
      <c r="D96" s="27">
        <v>5787</v>
      </c>
      <c r="E96" s="27">
        <v>1800</v>
      </c>
      <c r="F96" s="27">
        <v>0</v>
      </c>
      <c r="G96" s="27">
        <v>250</v>
      </c>
      <c r="H96" s="147">
        <v>0</v>
      </c>
      <c r="I96" s="28">
        <f t="shared" si="5"/>
        <v>7837</v>
      </c>
      <c r="J96" s="28">
        <f t="shared" si="6"/>
        <v>227.61</v>
      </c>
      <c r="K96" s="28">
        <f>(D96+E96)*13%</f>
        <v>986.31</v>
      </c>
      <c r="L96" s="28">
        <v>131.99</v>
      </c>
      <c r="M96" s="28">
        <v>101.97</v>
      </c>
      <c r="N96" s="28">
        <f t="shared" si="8"/>
        <v>1447.88</v>
      </c>
      <c r="O96" s="28">
        <f t="shared" si="9"/>
        <v>6389.12</v>
      </c>
      <c r="P96" s="70">
        <v>0</v>
      </c>
      <c r="Q96" s="12"/>
      <c r="R96" s="12"/>
      <c r="S96" s="12"/>
      <c r="T96" s="12"/>
      <c r="U96" s="12"/>
      <c r="V96" s="12"/>
      <c r="W96" s="12"/>
      <c r="X96" s="12"/>
    </row>
    <row r="97" spans="1:24" s="6" customFormat="1" ht="25.5" x14ac:dyDescent="0.2">
      <c r="A97" s="130">
        <v>87</v>
      </c>
      <c r="B97" s="159" t="s">
        <v>145</v>
      </c>
      <c r="C97" s="24" t="s">
        <v>288</v>
      </c>
      <c r="D97" s="160">
        <v>2249</v>
      </c>
      <c r="E97" s="146">
        <v>1000</v>
      </c>
      <c r="F97" s="27">
        <v>0</v>
      </c>
      <c r="G97" s="147">
        <v>250</v>
      </c>
      <c r="H97" s="147">
        <v>0</v>
      </c>
      <c r="I97" s="28">
        <f t="shared" si="5"/>
        <v>3499</v>
      </c>
      <c r="J97" s="28">
        <f t="shared" si="6"/>
        <v>97.47</v>
      </c>
      <c r="K97" s="28">
        <f>(D97+E97)*11%</f>
        <v>357.39</v>
      </c>
      <c r="L97" s="28">
        <v>0</v>
      </c>
      <c r="M97" s="28">
        <v>0</v>
      </c>
      <c r="N97" s="28">
        <f t="shared" si="8"/>
        <v>454.86</v>
      </c>
      <c r="O97" s="28">
        <f t="shared" si="9"/>
        <v>3044.14</v>
      </c>
      <c r="P97" s="70">
        <v>0</v>
      </c>
      <c r="Q97" s="12"/>
      <c r="R97" s="12"/>
      <c r="S97" s="12"/>
      <c r="T97" s="12"/>
      <c r="U97" s="12"/>
      <c r="V97" s="12"/>
      <c r="W97" s="12"/>
      <c r="X97" s="12"/>
    </row>
    <row r="98" spans="1:24" s="6" customFormat="1" ht="25.5" x14ac:dyDescent="0.2">
      <c r="A98" s="130">
        <v>88</v>
      </c>
      <c r="B98" s="24" t="s">
        <v>102</v>
      </c>
      <c r="C98" s="24" t="s">
        <v>328</v>
      </c>
      <c r="D98" s="148">
        <v>2425</v>
      </c>
      <c r="E98" s="146">
        <v>0</v>
      </c>
      <c r="F98" s="27">
        <v>0</v>
      </c>
      <c r="G98" s="147">
        <v>0</v>
      </c>
      <c r="H98" s="147">
        <v>0</v>
      </c>
      <c r="I98" s="28">
        <f t="shared" si="5"/>
        <v>2425</v>
      </c>
      <c r="J98" s="28">
        <f t="shared" si="6"/>
        <v>72.75</v>
      </c>
      <c r="K98" s="28">
        <f>D98*11%</f>
        <v>266.75</v>
      </c>
      <c r="L98" s="28">
        <v>0</v>
      </c>
      <c r="M98" s="28">
        <v>0</v>
      </c>
      <c r="N98" s="28">
        <f t="shared" si="8"/>
        <v>339.5</v>
      </c>
      <c r="O98" s="28">
        <f t="shared" si="9"/>
        <v>2085.5</v>
      </c>
      <c r="P98" s="70">
        <v>0</v>
      </c>
      <c r="Q98" s="12"/>
      <c r="R98" s="12"/>
      <c r="S98" s="12"/>
      <c r="T98" s="12"/>
      <c r="U98" s="12"/>
      <c r="V98" s="12"/>
      <c r="W98" s="12"/>
      <c r="X98" s="12"/>
    </row>
    <row r="99" spans="1:24" s="6" customFormat="1" ht="25.5" x14ac:dyDescent="0.2">
      <c r="A99" s="130">
        <v>89</v>
      </c>
      <c r="B99" s="24" t="s">
        <v>263</v>
      </c>
      <c r="C99" s="24" t="s">
        <v>336</v>
      </c>
      <c r="D99" s="29">
        <v>3081</v>
      </c>
      <c r="E99" s="29">
        <v>1000</v>
      </c>
      <c r="F99" s="27">
        <v>0</v>
      </c>
      <c r="G99" s="147">
        <v>250</v>
      </c>
      <c r="H99" s="147">
        <v>0</v>
      </c>
      <c r="I99" s="28">
        <f t="shared" si="5"/>
        <v>4331</v>
      </c>
      <c r="J99" s="28">
        <f t="shared" si="6"/>
        <v>122.43</v>
      </c>
      <c r="K99" s="28">
        <f>(D99+E99)*12%</f>
        <v>489.72</v>
      </c>
      <c r="L99" s="28">
        <v>0</v>
      </c>
      <c r="M99" s="28">
        <v>52.68</v>
      </c>
      <c r="N99" s="28">
        <f t="shared" si="8"/>
        <v>664.83</v>
      </c>
      <c r="O99" s="28">
        <f t="shared" si="9"/>
        <v>3666.17</v>
      </c>
      <c r="P99" s="70">
        <f>865</f>
        <v>865</v>
      </c>
      <c r="Q99" s="12"/>
      <c r="R99" s="12"/>
      <c r="S99" s="12"/>
      <c r="T99" s="12"/>
      <c r="U99" s="12"/>
      <c r="V99" s="12"/>
      <c r="W99" s="12"/>
      <c r="X99" s="12"/>
    </row>
    <row r="100" spans="1:24" s="6" customFormat="1" ht="25.5" x14ac:dyDescent="0.2">
      <c r="A100" s="130">
        <v>90</v>
      </c>
      <c r="B100" s="24" t="s">
        <v>293</v>
      </c>
      <c r="C100" s="33" t="s">
        <v>496</v>
      </c>
      <c r="D100" s="148">
        <v>2328</v>
      </c>
      <c r="E100" s="146">
        <v>0</v>
      </c>
      <c r="F100" s="27">
        <v>0</v>
      </c>
      <c r="G100" s="147">
        <v>0</v>
      </c>
      <c r="H100" s="147">
        <v>0</v>
      </c>
      <c r="I100" s="28">
        <f t="shared" si="5"/>
        <v>2328</v>
      </c>
      <c r="J100" s="28">
        <f t="shared" si="6"/>
        <v>69.84</v>
      </c>
      <c r="K100" s="28">
        <f>D100*11%</f>
        <v>256.08</v>
      </c>
      <c r="L100" s="28">
        <v>0</v>
      </c>
      <c r="M100" s="28">
        <v>0</v>
      </c>
      <c r="N100" s="28">
        <f t="shared" si="8"/>
        <v>325.92</v>
      </c>
      <c r="O100" s="28">
        <f t="shared" si="9"/>
        <v>2002.08</v>
      </c>
      <c r="P100" s="70">
        <v>0</v>
      </c>
      <c r="Q100" s="12"/>
      <c r="R100" s="12"/>
      <c r="S100" s="12"/>
      <c r="T100" s="12"/>
      <c r="U100" s="12"/>
      <c r="V100" s="12"/>
      <c r="W100" s="12"/>
      <c r="X100" s="12"/>
    </row>
    <row r="101" spans="1:24" s="6" customFormat="1" ht="25.5" x14ac:dyDescent="0.2">
      <c r="A101" s="130">
        <v>91</v>
      </c>
      <c r="B101" s="24" t="s">
        <v>342</v>
      </c>
      <c r="C101" s="26" t="s">
        <v>157</v>
      </c>
      <c r="D101" s="27">
        <v>0</v>
      </c>
      <c r="E101" s="27">
        <v>0</v>
      </c>
      <c r="F101" s="27">
        <v>0</v>
      </c>
      <c r="G101" s="27">
        <v>0</v>
      </c>
      <c r="H101" s="147">
        <v>0</v>
      </c>
      <c r="I101" s="28">
        <f t="shared" si="5"/>
        <v>0</v>
      </c>
      <c r="J101" s="28">
        <f t="shared" si="6"/>
        <v>0</v>
      </c>
      <c r="K101" s="28">
        <f>(D101+E101)*15%</f>
        <v>0</v>
      </c>
      <c r="L101" s="28">
        <v>0</v>
      </c>
      <c r="M101" s="28">
        <v>0</v>
      </c>
      <c r="N101" s="28">
        <f t="shared" si="8"/>
        <v>0</v>
      </c>
      <c r="O101" s="28">
        <f t="shared" si="9"/>
        <v>0</v>
      </c>
      <c r="P101" s="70">
        <v>0</v>
      </c>
      <c r="Q101" s="12"/>
      <c r="R101" s="12"/>
      <c r="S101" s="12"/>
      <c r="T101" s="12"/>
      <c r="U101" s="12"/>
      <c r="V101" s="12"/>
      <c r="W101" s="12"/>
      <c r="X101" s="12"/>
    </row>
    <row r="102" spans="1:24" s="6" customFormat="1" ht="25.5" x14ac:dyDescent="0.2">
      <c r="A102" s="130">
        <v>92</v>
      </c>
      <c r="B102" s="25" t="s">
        <v>43</v>
      </c>
      <c r="C102" s="24" t="s">
        <v>112</v>
      </c>
      <c r="D102" s="27">
        <v>2920</v>
      </c>
      <c r="E102" s="27">
        <v>1000</v>
      </c>
      <c r="F102" s="27">
        <v>0</v>
      </c>
      <c r="G102" s="27">
        <v>250</v>
      </c>
      <c r="H102" s="147">
        <v>0</v>
      </c>
      <c r="I102" s="28">
        <f t="shared" si="5"/>
        <v>4170</v>
      </c>
      <c r="J102" s="28">
        <f t="shared" si="6"/>
        <v>117.6</v>
      </c>
      <c r="K102" s="28">
        <f>(D102+E102)*11%</f>
        <v>431.2</v>
      </c>
      <c r="L102" s="28">
        <v>0</v>
      </c>
      <c r="M102" s="28">
        <v>52.68</v>
      </c>
      <c r="N102" s="28">
        <f t="shared" si="8"/>
        <v>601.48</v>
      </c>
      <c r="O102" s="28">
        <f t="shared" si="9"/>
        <v>3568.52</v>
      </c>
      <c r="P102" s="70">
        <v>0</v>
      </c>
      <c r="Q102" s="12"/>
      <c r="R102" s="12"/>
      <c r="S102" s="12"/>
      <c r="T102" s="12"/>
      <c r="U102" s="12"/>
      <c r="V102" s="12"/>
      <c r="W102" s="12"/>
      <c r="X102" s="12"/>
    </row>
    <row r="103" spans="1:24" s="6" customFormat="1" ht="25.5" x14ac:dyDescent="0.2">
      <c r="A103" s="130">
        <v>93</v>
      </c>
      <c r="B103" s="25" t="s">
        <v>42</v>
      </c>
      <c r="C103" s="24" t="s">
        <v>289</v>
      </c>
      <c r="D103" s="27">
        <v>1831</v>
      </c>
      <c r="E103" s="27">
        <v>1000</v>
      </c>
      <c r="F103" s="27">
        <v>0</v>
      </c>
      <c r="G103" s="27">
        <v>250</v>
      </c>
      <c r="H103" s="147">
        <v>0</v>
      </c>
      <c r="I103" s="28">
        <f t="shared" si="5"/>
        <v>3081</v>
      </c>
      <c r="J103" s="28">
        <f t="shared" si="6"/>
        <v>84.93</v>
      </c>
      <c r="K103" s="28">
        <f>(D103+E103)*11%</f>
        <v>311.41000000000003</v>
      </c>
      <c r="L103" s="28">
        <v>0</v>
      </c>
      <c r="M103" s="28">
        <v>38.049999999999997</v>
      </c>
      <c r="N103" s="28">
        <f t="shared" si="8"/>
        <v>434.39</v>
      </c>
      <c r="O103" s="28">
        <f t="shared" si="9"/>
        <v>2646.61</v>
      </c>
      <c r="P103" s="70">
        <v>0</v>
      </c>
      <c r="Q103" s="12"/>
      <c r="R103" s="12"/>
      <c r="S103" s="12"/>
      <c r="T103" s="12"/>
      <c r="U103" s="12"/>
      <c r="V103" s="12"/>
      <c r="W103" s="12"/>
      <c r="X103" s="12"/>
    </row>
    <row r="104" spans="1:24" s="6" customFormat="1" ht="25.5" x14ac:dyDescent="0.2">
      <c r="A104" s="130">
        <v>94</v>
      </c>
      <c r="B104" s="24" t="s">
        <v>395</v>
      </c>
      <c r="C104" s="24" t="s">
        <v>331</v>
      </c>
      <c r="D104" s="148">
        <v>1940</v>
      </c>
      <c r="E104" s="146">
        <v>0</v>
      </c>
      <c r="F104" s="27">
        <v>0</v>
      </c>
      <c r="G104" s="147">
        <v>0</v>
      </c>
      <c r="H104" s="147">
        <v>0</v>
      </c>
      <c r="I104" s="28">
        <f t="shared" si="5"/>
        <v>1940</v>
      </c>
      <c r="J104" s="28">
        <f t="shared" si="6"/>
        <v>58.2</v>
      </c>
      <c r="K104" s="28">
        <f>D104*10%</f>
        <v>194</v>
      </c>
      <c r="L104" s="28">
        <v>0</v>
      </c>
      <c r="M104" s="28">
        <v>0</v>
      </c>
      <c r="N104" s="28">
        <f t="shared" si="8"/>
        <v>252.2</v>
      </c>
      <c r="O104" s="28">
        <f t="shared" si="9"/>
        <v>1687.8</v>
      </c>
      <c r="P104" s="70">
        <v>0</v>
      </c>
      <c r="Q104" s="12"/>
      <c r="R104" s="12"/>
      <c r="S104" s="12"/>
      <c r="T104" s="12"/>
      <c r="U104" s="12"/>
      <c r="V104" s="12"/>
      <c r="W104" s="12"/>
      <c r="X104" s="12"/>
    </row>
    <row r="105" spans="1:24" s="6" customFormat="1" ht="25.5" x14ac:dyDescent="0.2">
      <c r="A105" s="130">
        <v>95</v>
      </c>
      <c r="B105" s="22" t="s">
        <v>343</v>
      </c>
      <c r="C105" s="24" t="s">
        <v>336</v>
      </c>
      <c r="D105" s="161">
        <v>3081</v>
      </c>
      <c r="E105" s="156">
        <v>1000</v>
      </c>
      <c r="F105" s="27">
        <v>0</v>
      </c>
      <c r="G105" s="147">
        <v>250</v>
      </c>
      <c r="H105" s="147">
        <v>0</v>
      </c>
      <c r="I105" s="28">
        <f t="shared" si="5"/>
        <v>4331</v>
      </c>
      <c r="J105" s="28">
        <f t="shared" si="6"/>
        <v>122.43</v>
      </c>
      <c r="K105" s="28">
        <f>(D105+E105)*12%</f>
        <v>489.72</v>
      </c>
      <c r="L105" s="28">
        <v>0</v>
      </c>
      <c r="M105" s="28">
        <v>0</v>
      </c>
      <c r="N105" s="28">
        <f t="shared" si="8"/>
        <v>612.15</v>
      </c>
      <c r="O105" s="28">
        <f t="shared" si="9"/>
        <v>3718.85</v>
      </c>
      <c r="P105" s="70">
        <f>637</f>
        <v>637</v>
      </c>
      <c r="Q105" s="12"/>
      <c r="R105" s="12"/>
      <c r="S105" s="12"/>
      <c r="T105" s="12"/>
      <c r="U105" s="12"/>
      <c r="V105" s="12"/>
      <c r="W105" s="12"/>
      <c r="X105" s="12"/>
    </row>
    <row r="106" spans="1:24" s="6" customFormat="1" ht="25.5" x14ac:dyDescent="0.2">
      <c r="A106" s="130">
        <v>96</v>
      </c>
      <c r="B106" s="24" t="s">
        <v>294</v>
      </c>
      <c r="C106" s="24" t="s">
        <v>331</v>
      </c>
      <c r="D106" s="148">
        <v>1940</v>
      </c>
      <c r="E106" s="146">
        <v>0</v>
      </c>
      <c r="F106" s="27">
        <v>0</v>
      </c>
      <c r="G106" s="147">
        <v>0</v>
      </c>
      <c r="H106" s="147">
        <v>0</v>
      </c>
      <c r="I106" s="28">
        <f t="shared" si="5"/>
        <v>1940</v>
      </c>
      <c r="J106" s="28">
        <f t="shared" si="6"/>
        <v>58.2</v>
      </c>
      <c r="K106" s="28">
        <f>D106*10%</f>
        <v>194</v>
      </c>
      <c r="L106" s="28">
        <v>0</v>
      </c>
      <c r="M106" s="28">
        <v>0</v>
      </c>
      <c r="N106" s="28">
        <f t="shared" si="8"/>
        <v>252.2</v>
      </c>
      <c r="O106" s="28">
        <f t="shared" si="9"/>
        <v>1687.8</v>
      </c>
      <c r="P106" s="70">
        <v>0</v>
      </c>
      <c r="Q106" s="12"/>
      <c r="R106" s="12"/>
      <c r="S106" s="12"/>
      <c r="T106" s="12"/>
      <c r="U106" s="12"/>
      <c r="V106" s="12"/>
      <c r="W106" s="12"/>
      <c r="X106" s="12"/>
    </row>
    <row r="107" spans="1:24" s="6" customFormat="1" ht="25.5" x14ac:dyDescent="0.2">
      <c r="A107" s="130">
        <v>97</v>
      </c>
      <c r="B107" s="22" t="s">
        <v>396</v>
      </c>
      <c r="C107" s="22" t="s">
        <v>492</v>
      </c>
      <c r="D107" s="29">
        <v>2760</v>
      </c>
      <c r="E107" s="146">
        <v>1000</v>
      </c>
      <c r="F107" s="27">
        <v>0</v>
      </c>
      <c r="G107" s="147">
        <v>250</v>
      </c>
      <c r="H107" s="147">
        <v>0</v>
      </c>
      <c r="I107" s="28">
        <f t="shared" si="5"/>
        <v>4010</v>
      </c>
      <c r="J107" s="28">
        <f t="shared" si="6"/>
        <v>112.8</v>
      </c>
      <c r="K107" s="28">
        <f>(D107+E107)*11%</f>
        <v>413.6</v>
      </c>
      <c r="L107" s="28">
        <v>0</v>
      </c>
      <c r="M107" s="28">
        <v>0</v>
      </c>
      <c r="N107" s="28">
        <f t="shared" si="8"/>
        <v>526.4</v>
      </c>
      <c r="O107" s="28">
        <f t="shared" si="9"/>
        <v>3483.6</v>
      </c>
      <c r="P107" s="70">
        <v>0</v>
      </c>
      <c r="Q107" s="12"/>
      <c r="R107" s="12"/>
      <c r="S107" s="12"/>
      <c r="T107" s="12"/>
      <c r="U107" s="12"/>
      <c r="V107" s="12"/>
      <c r="W107" s="12"/>
      <c r="X107" s="12"/>
    </row>
    <row r="108" spans="1:24" s="6" customFormat="1" ht="25.5" x14ac:dyDescent="0.2">
      <c r="A108" s="130">
        <v>98</v>
      </c>
      <c r="B108" s="31" t="s">
        <v>397</v>
      </c>
      <c r="C108" s="24" t="s">
        <v>201</v>
      </c>
      <c r="D108" s="27">
        <v>5095</v>
      </c>
      <c r="E108" s="27">
        <v>1800</v>
      </c>
      <c r="F108" s="27">
        <v>0</v>
      </c>
      <c r="G108" s="27">
        <v>250</v>
      </c>
      <c r="H108" s="147">
        <v>0</v>
      </c>
      <c r="I108" s="28">
        <f t="shared" si="5"/>
        <v>7145</v>
      </c>
      <c r="J108" s="28">
        <f t="shared" si="6"/>
        <v>206.85</v>
      </c>
      <c r="K108" s="28">
        <f>(D108+E108)*13%</f>
        <v>896.35</v>
      </c>
      <c r="L108" s="28">
        <v>102.92</v>
      </c>
      <c r="M108" s="28">
        <v>92.67</v>
      </c>
      <c r="N108" s="28">
        <f t="shared" si="8"/>
        <v>1298.79</v>
      </c>
      <c r="O108" s="28">
        <f t="shared" si="9"/>
        <v>5846.21</v>
      </c>
      <c r="P108" s="70">
        <v>0</v>
      </c>
      <c r="Q108" s="12"/>
      <c r="R108" s="12"/>
      <c r="S108" s="12"/>
      <c r="T108" s="12"/>
      <c r="U108" s="12"/>
      <c r="V108" s="12"/>
      <c r="W108" s="12"/>
      <c r="X108" s="12"/>
    </row>
    <row r="109" spans="1:24" s="6" customFormat="1" x14ac:dyDescent="0.2">
      <c r="A109" s="130">
        <v>99</v>
      </c>
      <c r="B109" s="38" t="s">
        <v>927</v>
      </c>
      <c r="C109" s="23" t="s">
        <v>30</v>
      </c>
      <c r="D109" s="27">
        <v>1902</v>
      </c>
      <c r="E109" s="27">
        <v>1000</v>
      </c>
      <c r="F109" s="27">
        <v>0</v>
      </c>
      <c r="G109" s="27">
        <v>250</v>
      </c>
      <c r="H109" s="147">
        <v>0</v>
      </c>
      <c r="I109" s="28">
        <f t="shared" si="5"/>
        <v>3152</v>
      </c>
      <c r="J109" s="28">
        <f t="shared" si="6"/>
        <v>87.06</v>
      </c>
      <c r="K109" s="28">
        <f>(D109+E109)*11%</f>
        <v>319.22000000000003</v>
      </c>
      <c r="L109" s="28">
        <v>0</v>
      </c>
      <c r="M109" s="28">
        <v>0</v>
      </c>
      <c r="N109" s="28">
        <f t="shared" si="8"/>
        <v>406.28</v>
      </c>
      <c r="O109" s="28">
        <f t="shared" si="9"/>
        <v>2745.72</v>
      </c>
      <c r="P109" s="70">
        <v>0</v>
      </c>
      <c r="Q109" s="12"/>
      <c r="R109" s="12"/>
      <c r="S109" s="12"/>
      <c r="T109" s="12"/>
      <c r="U109" s="12"/>
      <c r="V109" s="12"/>
      <c r="W109" s="12"/>
      <c r="X109" s="12"/>
    </row>
    <row r="110" spans="1:24" s="6" customFormat="1" ht="25.5" x14ac:dyDescent="0.2">
      <c r="A110" s="130">
        <v>100</v>
      </c>
      <c r="B110" s="24" t="s">
        <v>344</v>
      </c>
      <c r="C110" s="24" t="s">
        <v>331</v>
      </c>
      <c r="D110" s="148">
        <v>1940</v>
      </c>
      <c r="E110" s="146">
        <v>0</v>
      </c>
      <c r="F110" s="27">
        <v>0</v>
      </c>
      <c r="G110" s="147">
        <v>0</v>
      </c>
      <c r="H110" s="147">
        <v>0</v>
      </c>
      <c r="I110" s="28">
        <f t="shared" si="5"/>
        <v>1940</v>
      </c>
      <c r="J110" s="28">
        <f t="shared" si="6"/>
        <v>58.2</v>
      </c>
      <c r="K110" s="28">
        <f>D110*10%</f>
        <v>194</v>
      </c>
      <c r="L110" s="28">
        <v>0</v>
      </c>
      <c r="M110" s="28">
        <v>0</v>
      </c>
      <c r="N110" s="28">
        <f t="shared" si="8"/>
        <v>252.2</v>
      </c>
      <c r="O110" s="28">
        <f t="shared" si="9"/>
        <v>1687.8</v>
      </c>
      <c r="P110" s="70">
        <v>0</v>
      </c>
      <c r="Q110" s="12"/>
      <c r="R110" s="12"/>
      <c r="S110" s="12"/>
      <c r="T110" s="12"/>
      <c r="U110" s="12"/>
      <c r="V110" s="12"/>
      <c r="W110" s="12"/>
      <c r="X110" s="12"/>
    </row>
    <row r="111" spans="1:24" s="6" customFormat="1" ht="25.5" x14ac:dyDescent="0.2">
      <c r="A111" s="130">
        <v>101</v>
      </c>
      <c r="B111" s="24" t="s">
        <v>398</v>
      </c>
      <c r="C111" s="24" t="s">
        <v>328</v>
      </c>
      <c r="D111" s="148">
        <v>2425</v>
      </c>
      <c r="E111" s="146">
        <v>0</v>
      </c>
      <c r="F111" s="27">
        <v>0</v>
      </c>
      <c r="G111" s="147">
        <v>0</v>
      </c>
      <c r="H111" s="147">
        <v>0</v>
      </c>
      <c r="I111" s="28">
        <f t="shared" si="5"/>
        <v>2425</v>
      </c>
      <c r="J111" s="28">
        <f t="shared" si="6"/>
        <v>72.75</v>
      </c>
      <c r="K111" s="28">
        <f>D111*11%</f>
        <v>266.75</v>
      </c>
      <c r="L111" s="28">
        <v>0</v>
      </c>
      <c r="M111" s="28">
        <v>0</v>
      </c>
      <c r="N111" s="28">
        <f t="shared" si="8"/>
        <v>339.5</v>
      </c>
      <c r="O111" s="28">
        <f t="shared" si="9"/>
        <v>2085.5</v>
      </c>
      <c r="P111" s="70">
        <v>0</v>
      </c>
      <c r="Q111" s="12"/>
      <c r="R111" s="12"/>
      <c r="S111" s="12"/>
      <c r="T111" s="12"/>
      <c r="U111" s="12"/>
      <c r="V111" s="12"/>
      <c r="W111" s="12"/>
      <c r="X111" s="12"/>
    </row>
    <row r="112" spans="1:24" s="6" customFormat="1" ht="25.5" x14ac:dyDescent="0.2">
      <c r="A112" s="130">
        <v>102</v>
      </c>
      <c r="B112" s="24" t="s">
        <v>63</v>
      </c>
      <c r="C112" s="24" t="s">
        <v>288</v>
      </c>
      <c r="D112" s="29">
        <v>2249</v>
      </c>
      <c r="E112" s="29">
        <v>1000</v>
      </c>
      <c r="F112" s="27">
        <v>0</v>
      </c>
      <c r="G112" s="147">
        <v>250</v>
      </c>
      <c r="H112" s="147">
        <v>0</v>
      </c>
      <c r="I112" s="28">
        <f t="shared" si="5"/>
        <v>3499</v>
      </c>
      <c r="J112" s="28">
        <f t="shared" si="6"/>
        <v>97.47</v>
      </c>
      <c r="K112" s="28">
        <f>(D112+E112)*11%</f>
        <v>357.39</v>
      </c>
      <c r="L112" s="28">
        <v>0</v>
      </c>
      <c r="M112" s="28">
        <v>0</v>
      </c>
      <c r="N112" s="28">
        <f t="shared" si="8"/>
        <v>454.86</v>
      </c>
      <c r="O112" s="28">
        <f t="shared" si="9"/>
        <v>3044.14</v>
      </c>
      <c r="P112" s="70">
        <v>0</v>
      </c>
      <c r="Q112" s="12"/>
      <c r="R112" s="12"/>
      <c r="S112" s="12"/>
      <c r="T112" s="12"/>
      <c r="U112" s="12"/>
      <c r="V112" s="12"/>
      <c r="W112" s="12"/>
      <c r="X112" s="12"/>
    </row>
    <row r="113" spans="1:24" s="6" customFormat="1" ht="25.5" x14ac:dyDescent="0.2">
      <c r="A113" s="130">
        <v>103</v>
      </c>
      <c r="B113" s="33" t="s">
        <v>399</v>
      </c>
      <c r="C113" s="24" t="s">
        <v>112</v>
      </c>
      <c r="D113" s="28">
        <v>2920</v>
      </c>
      <c r="E113" s="28">
        <v>1000</v>
      </c>
      <c r="F113" s="27">
        <v>0</v>
      </c>
      <c r="G113" s="147">
        <v>250</v>
      </c>
      <c r="H113" s="147">
        <v>0</v>
      </c>
      <c r="I113" s="28">
        <f t="shared" si="5"/>
        <v>4170</v>
      </c>
      <c r="J113" s="28">
        <f t="shared" si="6"/>
        <v>117.6</v>
      </c>
      <c r="K113" s="28">
        <f>(D113+E113)*11%</f>
        <v>431.2</v>
      </c>
      <c r="L113" s="28">
        <v>0</v>
      </c>
      <c r="M113" s="28">
        <v>0</v>
      </c>
      <c r="N113" s="28">
        <f t="shared" si="8"/>
        <v>548.79999999999995</v>
      </c>
      <c r="O113" s="28">
        <f t="shared" si="9"/>
        <v>3621.2</v>
      </c>
      <c r="P113" s="70">
        <v>0</v>
      </c>
      <c r="Q113" s="12"/>
      <c r="R113" s="12"/>
      <c r="S113" s="12"/>
      <c r="T113" s="12"/>
      <c r="U113" s="12"/>
      <c r="V113" s="12"/>
      <c r="W113" s="12"/>
      <c r="X113" s="12"/>
    </row>
    <row r="114" spans="1:24" s="6" customFormat="1" ht="25.5" x14ac:dyDescent="0.2">
      <c r="A114" s="130">
        <v>104</v>
      </c>
      <c r="B114" s="24" t="s">
        <v>264</v>
      </c>
      <c r="C114" s="24" t="s">
        <v>328</v>
      </c>
      <c r="D114" s="148">
        <v>2425</v>
      </c>
      <c r="E114" s="29">
        <v>0</v>
      </c>
      <c r="F114" s="27">
        <v>0</v>
      </c>
      <c r="G114" s="147">
        <v>0</v>
      </c>
      <c r="H114" s="147">
        <v>0</v>
      </c>
      <c r="I114" s="28">
        <f t="shared" si="5"/>
        <v>2425</v>
      </c>
      <c r="J114" s="28">
        <f t="shared" si="6"/>
        <v>72.75</v>
      </c>
      <c r="K114" s="28">
        <f>(D114+E114)*11%</f>
        <v>266.75</v>
      </c>
      <c r="L114" s="28">
        <v>0</v>
      </c>
      <c r="M114" s="28">
        <v>0</v>
      </c>
      <c r="N114" s="28">
        <f t="shared" si="8"/>
        <v>339.5</v>
      </c>
      <c r="O114" s="28">
        <f t="shared" si="9"/>
        <v>2085.5</v>
      </c>
      <c r="P114" s="70">
        <v>0</v>
      </c>
      <c r="Q114" s="12"/>
      <c r="R114" s="12"/>
      <c r="S114" s="12"/>
      <c r="T114" s="12"/>
      <c r="U114" s="12"/>
      <c r="V114" s="12"/>
      <c r="W114" s="12"/>
      <c r="X114" s="12"/>
    </row>
    <row r="115" spans="1:24" s="6" customFormat="1" ht="25.5" x14ac:dyDescent="0.2">
      <c r="A115" s="130">
        <v>105</v>
      </c>
      <c r="B115" s="24" t="s">
        <v>265</v>
      </c>
      <c r="C115" s="24" t="s">
        <v>331</v>
      </c>
      <c r="D115" s="148">
        <v>1940</v>
      </c>
      <c r="E115" s="29">
        <v>0</v>
      </c>
      <c r="F115" s="27">
        <v>0</v>
      </c>
      <c r="G115" s="147">
        <v>0</v>
      </c>
      <c r="H115" s="147">
        <v>0</v>
      </c>
      <c r="I115" s="28">
        <f t="shared" si="5"/>
        <v>1940</v>
      </c>
      <c r="J115" s="28">
        <f t="shared" si="6"/>
        <v>58.2</v>
      </c>
      <c r="K115" s="28">
        <f>D115*10%</f>
        <v>194</v>
      </c>
      <c r="L115" s="28">
        <v>0</v>
      </c>
      <c r="M115" s="28">
        <v>0</v>
      </c>
      <c r="N115" s="28">
        <f t="shared" si="8"/>
        <v>252.2</v>
      </c>
      <c r="O115" s="28">
        <f t="shared" si="9"/>
        <v>1687.8</v>
      </c>
      <c r="P115" s="70">
        <v>0</v>
      </c>
      <c r="Q115" s="12"/>
      <c r="R115" s="12"/>
      <c r="S115" s="12"/>
      <c r="T115" s="12"/>
      <c r="U115" s="12"/>
      <c r="V115" s="12"/>
      <c r="W115" s="12"/>
      <c r="X115" s="12"/>
    </row>
    <row r="116" spans="1:24" s="6" customFormat="1" ht="25.5" x14ac:dyDescent="0.2">
      <c r="A116" s="130">
        <v>106</v>
      </c>
      <c r="B116" s="24" t="s">
        <v>400</v>
      </c>
      <c r="C116" s="24" t="s">
        <v>328</v>
      </c>
      <c r="D116" s="148">
        <v>2425</v>
      </c>
      <c r="E116" s="29">
        <v>0</v>
      </c>
      <c r="F116" s="27">
        <v>0</v>
      </c>
      <c r="G116" s="147">
        <v>0</v>
      </c>
      <c r="H116" s="147">
        <v>0</v>
      </c>
      <c r="I116" s="28">
        <f t="shared" si="5"/>
        <v>2425</v>
      </c>
      <c r="J116" s="28">
        <f t="shared" si="6"/>
        <v>72.75</v>
      </c>
      <c r="K116" s="28">
        <f>D116*11%</f>
        <v>266.75</v>
      </c>
      <c r="L116" s="28">
        <v>0</v>
      </c>
      <c r="M116" s="28">
        <v>0</v>
      </c>
      <c r="N116" s="28">
        <f t="shared" si="8"/>
        <v>339.5</v>
      </c>
      <c r="O116" s="28">
        <f t="shared" si="9"/>
        <v>2085.5</v>
      </c>
      <c r="P116" s="70">
        <v>0</v>
      </c>
      <c r="Q116" s="12"/>
      <c r="R116" s="12"/>
      <c r="S116" s="12"/>
      <c r="T116" s="12"/>
      <c r="U116" s="12"/>
      <c r="V116" s="12"/>
      <c r="W116" s="12"/>
      <c r="X116" s="12"/>
    </row>
    <row r="117" spans="1:24" s="6" customFormat="1" ht="25.5" x14ac:dyDescent="0.2">
      <c r="A117" s="130">
        <v>107</v>
      </c>
      <c r="B117" s="24" t="s">
        <v>266</v>
      </c>
      <c r="C117" s="24" t="s">
        <v>331</v>
      </c>
      <c r="D117" s="148">
        <v>1940</v>
      </c>
      <c r="E117" s="29">
        <v>0</v>
      </c>
      <c r="F117" s="27">
        <v>0</v>
      </c>
      <c r="G117" s="147">
        <v>0</v>
      </c>
      <c r="H117" s="147">
        <v>0</v>
      </c>
      <c r="I117" s="28">
        <f t="shared" si="5"/>
        <v>1940</v>
      </c>
      <c r="J117" s="28">
        <f t="shared" si="6"/>
        <v>58.2</v>
      </c>
      <c r="K117" s="28">
        <f>D117*10%</f>
        <v>194</v>
      </c>
      <c r="L117" s="28">
        <v>0</v>
      </c>
      <c r="M117" s="28">
        <v>0</v>
      </c>
      <c r="N117" s="28">
        <f t="shared" si="8"/>
        <v>252.2</v>
      </c>
      <c r="O117" s="28">
        <f t="shared" si="9"/>
        <v>1687.8</v>
      </c>
      <c r="P117" s="70">
        <v>0</v>
      </c>
      <c r="Q117" s="12"/>
      <c r="R117" s="12"/>
      <c r="S117" s="12"/>
      <c r="T117" s="12"/>
      <c r="U117" s="12"/>
      <c r="V117" s="12"/>
      <c r="W117" s="12"/>
      <c r="X117" s="12"/>
    </row>
    <row r="118" spans="1:24" s="6" customFormat="1" ht="25.5" x14ac:dyDescent="0.2">
      <c r="A118" s="130">
        <v>108</v>
      </c>
      <c r="B118" s="24" t="s">
        <v>285</v>
      </c>
      <c r="C118" s="24" t="s">
        <v>328</v>
      </c>
      <c r="D118" s="148">
        <v>2425</v>
      </c>
      <c r="E118" s="29">
        <v>0</v>
      </c>
      <c r="F118" s="27">
        <v>0</v>
      </c>
      <c r="G118" s="147">
        <v>0</v>
      </c>
      <c r="H118" s="147">
        <v>0</v>
      </c>
      <c r="I118" s="28">
        <f t="shared" si="5"/>
        <v>2425</v>
      </c>
      <c r="J118" s="28">
        <f t="shared" si="6"/>
        <v>72.75</v>
      </c>
      <c r="K118" s="28">
        <f>D118*11%</f>
        <v>266.75</v>
      </c>
      <c r="L118" s="28">
        <v>0</v>
      </c>
      <c r="M118" s="28">
        <v>0</v>
      </c>
      <c r="N118" s="28">
        <f t="shared" si="8"/>
        <v>339.5</v>
      </c>
      <c r="O118" s="28">
        <f t="shared" si="9"/>
        <v>2085.5</v>
      </c>
      <c r="P118" s="70">
        <v>0</v>
      </c>
      <c r="Q118" s="12"/>
      <c r="R118" s="12"/>
      <c r="S118" s="12"/>
      <c r="T118" s="12"/>
      <c r="U118" s="12"/>
      <c r="V118" s="12"/>
      <c r="W118" s="12"/>
      <c r="X118" s="12"/>
    </row>
    <row r="119" spans="1:24" s="6" customFormat="1" ht="25.5" x14ac:dyDescent="0.2">
      <c r="A119" s="130">
        <v>109</v>
      </c>
      <c r="B119" s="24" t="s">
        <v>295</v>
      </c>
      <c r="C119" s="24" t="s">
        <v>331</v>
      </c>
      <c r="D119" s="148">
        <v>1940</v>
      </c>
      <c r="E119" s="29">
        <v>0</v>
      </c>
      <c r="F119" s="27">
        <v>0</v>
      </c>
      <c r="G119" s="147">
        <v>0</v>
      </c>
      <c r="H119" s="147">
        <v>0</v>
      </c>
      <c r="I119" s="28">
        <f t="shared" si="5"/>
        <v>1940</v>
      </c>
      <c r="J119" s="28">
        <f t="shared" si="6"/>
        <v>58.2</v>
      </c>
      <c r="K119" s="28">
        <f>D119*10%</f>
        <v>194</v>
      </c>
      <c r="L119" s="28">
        <v>0</v>
      </c>
      <c r="M119" s="28">
        <v>0</v>
      </c>
      <c r="N119" s="28">
        <f t="shared" si="8"/>
        <v>252.2</v>
      </c>
      <c r="O119" s="28">
        <f t="shared" si="9"/>
        <v>1687.8</v>
      </c>
      <c r="P119" s="70">
        <v>0</v>
      </c>
      <c r="Q119" s="12"/>
      <c r="R119" s="12"/>
      <c r="S119" s="12"/>
      <c r="T119" s="12"/>
      <c r="U119" s="12"/>
      <c r="V119" s="12"/>
      <c r="W119" s="12"/>
      <c r="X119" s="12"/>
    </row>
    <row r="120" spans="1:24" s="6" customFormat="1" ht="25.5" x14ac:dyDescent="0.2">
      <c r="A120" s="130">
        <v>110</v>
      </c>
      <c r="B120" s="33" t="s">
        <v>2</v>
      </c>
      <c r="C120" s="33" t="s">
        <v>115</v>
      </c>
      <c r="D120" s="28">
        <v>1902</v>
      </c>
      <c r="E120" s="28">
        <v>1000</v>
      </c>
      <c r="F120" s="27">
        <v>0</v>
      </c>
      <c r="G120" s="147">
        <v>250</v>
      </c>
      <c r="H120" s="147">
        <v>0</v>
      </c>
      <c r="I120" s="28">
        <f t="shared" si="5"/>
        <v>3152</v>
      </c>
      <c r="J120" s="28">
        <f t="shared" si="6"/>
        <v>87.06</v>
      </c>
      <c r="K120" s="28">
        <f>(D120+E120)*11%</f>
        <v>319.22000000000003</v>
      </c>
      <c r="L120" s="28">
        <v>0</v>
      </c>
      <c r="M120" s="28">
        <v>0</v>
      </c>
      <c r="N120" s="28">
        <f t="shared" si="8"/>
        <v>406.28</v>
      </c>
      <c r="O120" s="28">
        <f t="shared" si="9"/>
        <v>2745.72</v>
      </c>
      <c r="P120" s="70">
        <f>585+598</f>
        <v>1183</v>
      </c>
      <c r="Q120" s="12"/>
      <c r="R120" s="12"/>
      <c r="S120" s="12"/>
      <c r="T120" s="12"/>
      <c r="U120" s="12"/>
      <c r="V120" s="12"/>
      <c r="W120" s="12"/>
      <c r="X120" s="12"/>
    </row>
    <row r="121" spans="1:24" s="6" customFormat="1" x14ac:dyDescent="0.2">
      <c r="A121" s="130">
        <v>111</v>
      </c>
      <c r="B121" s="24" t="s">
        <v>73</v>
      </c>
      <c r="C121" s="24" t="s">
        <v>111</v>
      </c>
      <c r="D121" s="29">
        <v>1902</v>
      </c>
      <c r="E121" s="29">
        <v>1000</v>
      </c>
      <c r="F121" s="27">
        <v>0</v>
      </c>
      <c r="G121" s="147">
        <v>250</v>
      </c>
      <c r="H121" s="147">
        <v>0</v>
      </c>
      <c r="I121" s="28">
        <f t="shared" si="5"/>
        <v>3152</v>
      </c>
      <c r="J121" s="28">
        <f t="shared" si="6"/>
        <v>87.06</v>
      </c>
      <c r="K121" s="28">
        <f>(D121+E121)*11%</f>
        <v>319.22000000000003</v>
      </c>
      <c r="L121" s="28">
        <v>0</v>
      </c>
      <c r="M121" s="28">
        <v>0</v>
      </c>
      <c r="N121" s="28">
        <f t="shared" si="8"/>
        <v>406.28</v>
      </c>
      <c r="O121" s="28">
        <f>SUM(D121:M121)</f>
        <v>6710.28</v>
      </c>
      <c r="P121" s="70">
        <v>0</v>
      </c>
      <c r="Q121" s="12"/>
      <c r="R121" s="12"/>
      <c r="S121" s="12"/>
      <c r="T121" s="12"/>
      <c r="U121" s="12"/>
      <c r="V121" s="12"/>
      <c r="W121" s="12"/>
      <c r="X121" s="12"/>
    </row>
    <row r="122" spans="1:24" s="6" customFormat="1" ht="25.5" x14ac:dyDescent="0.2">
      <c r="A122" s="130">
        <v>112</v>
      </c>
      <c r="B122" s="24" t="s">
        <v>446</v>
      </c>
      <c r="C122" s="24" t="s">
        <v>328</v>
      </c>
      <c r="D122" s="29">
        <v>2425</v>
      </c>
      <c r="E122" s="29">
        <v>0</v>
      </c>
      <c r="F122" s="27">
        <v>0</v>
      </c>
      <c r="G122" s="147">
        <v>0</v>
      </c>
      <c r="H122" s="147">
        <v>0</v>
      </c>
      <c r="I122" s="28">
        <f t="shared" si="5"/>
        <v>2425</v>
      </c>
      <c r="J122" s="28">
        <f t="shared" si="6"/>
        <v>72.75</v>
      </c>
      <c r="K122" s="28">
        <f>D122*11%</f>
        <v>266.75</v>
      </c>
      <c r="L122" s="28">
        <v>0</v>
      </c>
      <c r="M122" s="28">
        <v>0</v>
      </c>
      <c r="N122" s="28">
        <f t="shared" si="8"/>
        <v>339.5</v>
      </c>
      <c r="O122" s="28">
        <f>SUM(D122:M122)</f>
        <v>5189.5</v>
      </c>
      <c r="P122" s="70">
        <v>0</v>
      </c>
      <c r="Q122" s="12"/>
      <c r="R122" s="12"/>
      <c r="S122" s="12"/>
      <c r="T122" s="12"/>
      <c r="U122" s="12"/>
      <c r="V122" s="12"/>
      <c r="W122" s="12"/>
      <c r="X122" s="12"/>
    </row>
    <row r="123" spans="1:24" s="6" customFormat="1" ht="25.5" x14ac:dyDescent="0.2">
      <c r="A123" s="130">
        <v>113</v>
      </c>
      <c r="B123" s="25" t="s">
        <v>401</v>
      </c>
      <c r="C123" s="26" t="s">
        <v>296</v>
      </c>
      <c r="D123" s="27">
        <v>2375</v>
      </c>
      <c r="E123" s="27">
        <v>1000</v>
      </c>
      <c r="F123" s="27">
        <v>0</v>
      </c>
      <c r="G123" s="27">
        <v>250</v>
      </c>
      <c r="H123" s="147">
        <v>0</v>
      </c>
      <c r="I123" s="28">
        <f t="shared" si="5"/>
        <v>3625</v>
      </c>
      <c r="J123" s="28">
        <f t="shared" si="6"/>
        <v>101.25</v>
      </c>
      <c r="K123" s="28">
        <f>(D123+E123)*11%</f>
        <v>371.25</v>
      </c>
      <c r="L123" s="28">
        <v>0</v>
      </c>
      <c r="M123" s="28">
        <v>45.36</v>
      </c>
      <c r="N123" s="28">
        <f t="shared" si="8"/>
        <v>517.86</v>
      </c>
      <c r="O123" s="28">
        <f t="shared" ref="O123:O153" si="10">I123-N123</f>
        <v>3107.14</v>
      </c>
      <c r="P123" s="70">
        <v>0</v>
      </c>
      <c r="Q123" s="12"/>
      <c r="R123" s="12"/>
      <c r="S123" s="12"/>
      <c r="T123" s="12"/>
      <c r="U123" s="12"/>
      <c r="V123" s="12"/>
      <c r="W123" s="12"/>
      <c r="X123" s="12"/>
    </row>
    <row r="124" spans="1:24" s="6" customFormat="1" ht="25.5" x14ac:dyDescent="0.2">
      <c r="A124" s="130">
        <v>114</v>
      </c>
      <c r="B124" s="24" t="s">
        <v>345</v>
      </c>
      <c r="C124" s="24" t="s">
        <v>498</v>
      </c>
      <c r="D124" s="27">
        <v>3241</v>
      </c>
      <c r="E124" s="27">
        <v>1000</v>
      </c>
      <c r="F124" s="27">
        <v>0</v>
      </c>
      <c r="G124" s="27">
        <v>250</v>
      </c>
      <c r="H124" s="147">
        <v>0</v>
      </c>
      <c r="I124" s="28">
        <f t="shared" si="5"/>
        <v>4491</v>
      </c>
      <c r="J124" s="28">
        <f t="shared" si="6"/>
        <v>127.23</v>
      </c>
      <c r="K124" s="28">
        <f>(D124+E124)*12%</f>
        <v>508.92</v>
      </c>
      <c r="L124" s="28">
        <v>0</v>
      </c>
      <c r="M124" s="28">
        <v>45.36</v>
      </c>
      <c r="N124" s="28">
        <f t="shared" si="8"/>
        <v>681.51</v>
      </c>
      <c r="O124" s="28">
        <f t="shared" si="10"/>
        <v>3809.49</v>
      </c>
      <c r="P124" s="70">
        <v>0</v>
      </c>
      <c r="Q124" s="12"/>
      <c r="R124" s="12"/>
      <c r="S124" s="12"/>
      <c r="T124" s="12"/>
      <c r="U124" s="12"/>
      <c r="V124" s="12"/>
      <c r="W124" s="12"/>
      <c r="X124" s="12"/>
    </row>
    <row r="125" spans="1:24" s="6" customFormat="1" ht="25.5" x14ac:dyDescent="0.2">
      <c r="A125" s="130">
        <v>115</v>
      </c>
      <c r="B125" s="24" t="s">
        <v>76</v>
      </c>
      <c r="C125" s="24" t="s">
        <v>328</v>
      </c>
      <c r="D125" s="157">
        <v>2425</v>
      </c>
      <c r="E125" s="29">
        <v>0</v>
      </c>
      <c r="F125" s="27">
        <v>0</v>
      </c>
      <c r="G125" s="147">
        <v>0</v>
      </c>
      <c r="H125" s="147">
        <v>0</v>
      </c>
      <c r="I125" s="28">
        <f t="shared" si="5"/>
        <v>2425</v>
      </c>
      <c r="J125" s="28">
        <f t="shared" si="6"/>
        <v>72.75</v>
      </c>
      <c r="K125" s="28">
        <f>D125*11%</f>
        <v>266.75</v>
      </c>
      <c r="L125" s="28">
        <v>0</v>
      </c>
      <c r="M125" s="28">
        <v>0</v>
      </c>
      <c r="N125" s="28">
        <f t="shared" si="8"/>
        <v>339.5</v>
      </c>
      <c r="O125" s="28">
        <f t="shared" si="10"/>
        <v>2085.5</v>
      </c>
      <c r="P125" s="70">
        <v>0</v>
      </c>
      <c r="Q125" s="12"/>
      <c r="R125" s="12"/>
      <c r="S125" s="12"/>
      <c r="T125" s="12"/>
      <c r="U125" s="12"/>
      <c r="V125" s="12"/>
      <c r="W125" s="12"/>
      <c r="X125" s="12"/>
    </row>
    <row r="126" spans="1:24" s="6" customFormat="1" ht="25.5" x14ac:dyDescent="0.2">
      <c r="A126" s="130">
        <v>116</v>
      </c>
      <c r="B126" s="31" t="s">
        <v>267</v>
      </c>
      <c r="C126" s="26" t="s">
        <v>156</v>
      </c>
      <c r="D126" s="27">
        <v>2920</v>
      </c>
      <c r="E126" s="27">
        <v>1000</v>
      </c>
      <c r="F126" s="27">
        <v>0</v>
      </c>
      <c r="G126" s="27">
        <v>250</v>
      </c>
      <c r="H126" s="147">
        <v>0</v>
      </c>
      <c r="I126" s="28">
        <f t="shared" si="5"/>
        <v>4170</v>
      </c>
      <c r="J126" s="28">
        <f t="shared" si="6"/>
        <v>117.6</v>
      </c>
      <c r="K126" s="28">
        <f>(D126+E126)*11%</f>
        <v>431.2</v>
      </c>
      <c r="L126" s="28">
        <v>0</v>
      </c>
      <c r="M126" s="28">
        <v>52.68</v>
      </c>
      <c r="N126" s="28">
        <f t="shared" si="8"/>
        <v>601.48</v>
      </c>
      <c r="O126" s="28">
        <f t="shared" si="10"/>
        <v>3568.52</v>
      </c>
      <c r="P126" s="70">
        <v>0</v>
      </c>
      <c r="Q126" s="12"/>
      <c r="R126" s="12"/>
      <c r="S126" s="12"/>
      <c r="T126" s="12"/>
      <c r="U126" s="12"/>
      <c r="V126" s="12"/>
      <c r="W126" s="12"/>
      <c r="X126" s="12"/>
    </row>
    <row r="127" spans="1:24" s="6" customFormat="1" ht="25.5" x14ac:dyDescent="0.2">
      <c r="A127" s="130">
        <v>117</v>
      </c>
      <c r="B127" s="24" t="s">
        <v>75</v>
      </c>
      <c r="C127" s="24" t="s">
        <v>328</v>
      </c>
      <c r="D127" s="157">
        <v>2425</v>
      </c>
      <c r="E127" s="29">
        <v>0</v>
      </c>
      <c r="F127" s="27">
        <v>0</v>
      </c>
      <c r="G127" s="147">
        <v>0</v>
      </c>
      <c r="H127" s="147">
        <v>0</v>
      </c>
      <c r="I127" s="28">
        <f t="shared" si="5"/>
        <v>2425</v>
      </c>
      <c r="J127" s="28">
        <f t="shared" si="6"/>
        <v>72.75</v>
      </c>
      <c r="K127" s="28">
        <f>D127*11%</f>
        <v>266.75</v>
      </c>
      <c r="L127" s="28">
        <v>0</v>
      </c>
      <c r="M127" s="28">
        <v>0</v>
      </c>
      <c r="N127" s="28">
        <f t="shared" si="8"/>
        <v>339.5</v>
      </c>
      <c r="O127" s="28">
        <f t="shared" si="10"/>
        <v>2085.5</v>
      </c>
      <c r="P127" s="70">
        <v>0</v>
      </c>
      <c r="Q127" s="12"/>
      <c r="R127" s="12"/>
      <c r="S127" s="12"/>
      <c r="T127" s="12"/>
      <c r="U127" s="12"/>
      <c r="V127" s="12"/>
      <c r="W127" s="12"/>
      <c r="X127" s="12"/>
    </row>
    <row r="128" spans="1:24" s="6" customFormat="1" x14ac:dyDescent="0.2">
      <c r="A128" s="130">
        <v>118</v>
      </c>
      <c r="B128" s="36" t="s">
        <v>268</v>
      </c>
      <c r="C128" s="24" t="s">
        <v>58</v>
      </c>
      <c r="D128" s="29">
        <v>1668</v>
      </c>
      <c r="E128" s="146">
        <v>1000</v>
      </c>
      <c r="F128" s="27">
        <v>0</v>
      </c>
      <c r="G128" s="147">
        <v>250</v>
      </c>
      <c r="H128" s="147">
        <v>0</v>
      </c>
      <c r="I128" s="28">
        <f t="shared" si="5"/>
        <v>2918</v>
      </c>
      <c r="J128" s="28">
        <f t="shared" si="6"/>
        <v>80.040000000000006</v>
      </c>
      <c r="K128" s="28">
        <v>293.48</v>
      </c>
      <c r="L128" s="28">
        <v>0</v>
      </c>
      <c r="M128" s="28">
        <v>0</v>
      </c>
      <c r="N128" s="28">
        <f t="shared" si="8"/>
        <v>373.52</v>
      </c>
      <c r="O128" s="28">
        <f t="shared" si="10"/>
        <v>2544.48</v>
      </c>
      <c r="P128" s="70">
        <v>0</v>
      </c>
      <c r="Q128" s="12"/>
      <c r="R128" s="12"/>
      <c r="S128" s="12"/>
      <c r="T128" s="12"/>
      <c r="U128" s="12"/>
      <c r="V128" s="12"/>
      <c r="W128" s="12"/>
      <c r="X128" s="12"/>
    </row>
    <row r="129" spans="1:24" s="6" customFormat="1" ht="25.5" x14ac:dyDescent="0.2">
      <c r="A129" s="130">
        <v>119</v>
      </c>
      <c r="B129" s="162" t="s">
        <v>460</v>
      </c>
      <c r="C129" s="24" t="s">
        <v>328</v>
      </c>
      <c r="D129" s="153">
        <v>2425</v>
      </c>
      <c r="E129" s="29">
        <v>0</v>
      </c>
      <c r="F129" s="27">
        <v>0</v>
      </c>
      <c r="G129" s="147">
        <v>0</v>
      </c>
      <c r="H129" s="147">
        <v>0</v>
      </c>
      <c r="I129" s="28">
        <f t="shared" si="5"/>
        <v>2425</v>
      </c>
      <c r="J129" s="28">
        <f t="shared" si="6"/>
        <v>72.75</v>
      </c>
      <c r="K129" s="28">
        <v>266.75</v>
      </c>
      <c r="L129" s="28">
        <v>0</v>
      </c>
      <c r="M129" s="28">
        <v>0</v>
      </c>
      <c r="N129" s="28">
        <f t="shared" si="8"/>
        <v>339.5</v>
      </c>
      <c r="O129" s="28">
        <f t="shared" si="10"/>
        <v>2085.5</v>
      </c>
      <c r="P129" s="70">
        <v>0</v>
      </c>
      <c r="Q129" s="12"/>
      <c r="R129" s="12"/>
      <c r="S129" s="12"/>
      <c r="T129" s="12"/>
      <c r="U129" s="12"/>
      <c r="V129" s="12"/>
      <c r="W129" s="12"/>
      <c r="X129" s="12"/>
    </row>
    <row r="130" spans="1:24" s="6" customFormat="1" ht="25.5" x14ac:dyDescent="0.2">
      <c r="A130" s="130">
        <v>120</v>
      </c>
      <c r="B130" s="25" t="s">
        <v>243</v>
      </c>
      <c r="C130" s="26" t="s">
        <v>157</v>
      </c>
      <c r="D130" s="27">
        <v>6759</v>
      </c>
      <c r="E130" s="27">
        <v>4000</v>
      </c>
      <c r="F130" s="27">
        <v>0</v>
      </c>
      <c r="G130" s="27">
        <v>250</v>
      </c>
      <c r="H130" s="147">
        <v>0</v>
      </c>
      <c r="I130" s="28">
        <f t="shared" si="5"/>
        <v>11009</v>
      </c>
      <c r="J130" s="28">
        <f t="shared" si="6"/>
        <v>322.77</v>
      </c>
      <c r="K130" s="28">
        <f>(D130+E130)*15%</f>
        <v>1613.85</v>
      </c>
      <c r="L130" s="28">
        <v>254.45</v>
      </c>
      <c r="M130" s="28">
        <v>144.6</v>
      </c>
      <c r="N130" s="28">
        <f t="shared" si="8"/>
        <v>2335.67</v>
      </c>
      <c r="O130" s="28">
        <f t="shared" si="10"/>
        <v>8673.33</v>
      </c>
      <c r="P130" s="70">
        <v>0</v>
      </c>
      <c r="Q130" s="12"/>
      <c r="R130" s="12"/>
      <c r="S130" s="12"/>
      <c r="T130" s="12"/>
      <c r="U130" s="12"/>
      <c r="V130" s="12"/>
      <c r="W130" s="12"/>
      <c r="X130" s="12"/>
    </row>
    <row r="131" spans="1:24" s="6" customFormat="1" ht="25.5" x14ac:dyDescent="0.2">
      <c r="A131" s="130">
        <v>121</v>
      </c>
      <c r="B131" s="36" t="s">
        <v>147</v>
      </c>
      <c r="C131" s="33" t="s">
        <v>115</v>
      </c>
      <c r="D131" s="29">
        <v>1902</v>
      </c>
      <c r="E131" s="146">
        <v>1000</v>
      </c>
      <c r="F131" s="27">
        <v>0</v>
      </c>
      <c r="G131" s="147">
        <v>250</v>
      </c>
      <c r="H131" s="147">
        <v>0</v>
      </c>
      <c r="I131" s="28">
        <f t="shared" si="5"/>
        <v>3152</v>
      </c>
      <c r="J131" s="28">
        <f t="shared" si="6"/>
        <v>87.06</v>
      </c>
      <c r="K131" s="28">
        <f>(D131+E131)*11%</f>
        <v>319.22000000000003</v>
      </c>
      <c r="L131" s="28">
        <v>0</v>
      </c>
      <c r="M131" s="28">
        <v>0</v>
      </c>
      <c r="N131" s="28">
        <f t="shared" si="8"/>
        <v>406.28</v>
      </c>
      <c r="O131" s="28">
        <f t="shared" si="10"/>
        <v>2745.72</v>
      </c>
      <c r="P131" s="70">
        <f>1190</f>
        <v>1190</v>
      </c>
      <c r="Q131" s="12"/>
      <c r="R131" s="12"/>
      <c r="S131" s="12"/>
      <c r="T131" s="12"/>
      <c r="U131" s="12"/>
      <c r="V131" s="12"/>
      <c r="W131" s="12"/>
      <c r="X131" s="12"/>
    </row>
    <row r="132" spans="1:24" s="6" customFormat="1" ht="25.5" x14ac:dyDescent="0.2">
      <c r="A132" s="130">
        <v>122</v>
      </c>
      <c r="B132" s="36" t="s">
        <v>447</v>
      </c>
      <c r="C132" s="24" t="s">
        <v>448</v>
      </c>
      <c r="D132" s="29">
        <v>1746</v>
      </c>
      <c r="E132" s="29">
        <v>0</v>
      </c>
      <c r="F132" s="27">
        <v>0</v>
      </c>
      <c r="G132" s="147">
        <v>0</v>
      </c>
      <c r="H132" s="147">
        <v>0</v>
      </c>
      <c r="I132" s="28">
        <f t="shared" si="5"/>
        <v>1746</v>
      </c>
      <c r="J132" s="28">
        <f t="shared" si="6"/>
        <v>52.38</v>
      </c>
      <c r="K132" s="28">
        <f>D132*10%</f>
        <v>174.6</v>
      </c>
      <c r="L132" s="28">
        <v>0</v>
      </c>
      <c r="M132" s="28">
        <v>0</v>
      </c>
      <c r="N132" s="28">
        <f t="shared" si="8"/>
        <v>226.98</v>
      </c>
      <c r="O132" s="28">
        <f t="shared" si="10"/>
        <v>1519.02</v>
      </c>
      <c r="P132" s="70">
        <v>0</v>
      </c>
      <c r="Q132" s="12"/>
      <c r="R132" s="12"/>
      <c r="S132" s="12"/>
      <c r="T132" s="12"/>
      <c r="U132" s="12"/>
      <c r="V132" s="12"/>
      <c r="W132" s="12"/>
      <c r="X132" s="12"/>
    </row>
    <row r="133" spans="1:24" s="6" customFormat="1" ht="25.5" x14ac:dyDescent="0.2">
      <c r="A133" s="130">
        <v>123</v>
      </c>
      <c r="B133" s="24" t="s">
        <v>78</v>
      </c>
      <c r="C133" s="24" t="s">
        <v>346</v>
      </c>
      <c r="D133" s="157">
        <v>2037</v>
      </c>
      <c r="E133" s="29">
        <v>0</v>
      </c>
      <c r="F133" s="27">
        <v>0</v>
      </c>
      <c r="G133" s="147">
        <v>0</v>
      </c>
      <c r="H133" s="147">
        <v>0</v>
      </c>
      <c r="I133" s="28">
        <f t="shared" si="5"/>
        <v>2037</v>
      </c>
      <c r="J133" s="28">
        <f t="shared" si="6"/>
        <v>61.11</v>
      </c>
      <c r="K133" s="28">
        <f>D133*11%</f>
        <v>224.07</v>
      </c>
      <c r="L133" s="28">
        <v>0</v>
      </c>
      <c r="M133" s="28">
        <v>0</v>
      </c>
      <c r="N133" s="28">
        <f t="shared" si="8"/>
        <v>285.18</v>
      </c>
      <c r="O133" s="28">
        <f t="shared" si="10"/>
        <v>1751.82</v>
      </c>
      <c r="P133" s="70">
        <v>0</v>
      </c>
      <c r="Q133" s="12"/>
      <c r="R133" s="12"/>
      <c r="S133" s="12"/>
      <c r="T133" s="12"/>
      <c r="U133" s="12"/>
      <c r="V133" s="12"/>
      <c r="W133" s="12"/>
      <c r="X133" s="12"/>
    </row>
    <row r="134" spans="1:24" s="6" customFormat="1" x14ac:dyDescent="0.2">
      <c r="A134" s="130">
        <v>124</v>
      </c>
      <c r="B134" s="24" t="s">
        <v>402</v>
      </c>
      <c r="C134" s="24" t="s">
        <v>111</v>
      </c>
      <c r="D134" s="29">
        <v>1902</v>
      </c>
      <c r="E134" s="29">
        <v>1000</v>
      </c>
      <c r="F134" s="27">
        <v>0</v>
      </c>
      <c r="G134" s="147">
        <v>250</v>
      </c>
      <c r="H134" s="147">
        <v>0</v>
      </c>
      <c r="I134" s="28">
        <f t="shared" si="5"/>
        <v>3152</v>
      </c>
      <c r="J134" s="28">
        <f t="shared" si="6"/>
        <v>87.06</v>
      </c>
      <c r="K134" s="28">
        <f>(D134+E134)*11%</f>
        <v>319.22000000000003</v>
      </c>
      <c r="L134" s="28">
        <v>0</v>
      </c>
      <c r="M134" s="28">
        <v>0</v>
      </c>
      <c r="N134" s="28">
        <f t="shared" si="8"/>
        <v>406.28</v>
      </c>
      <c r="O134" s="28">
        <f t="shared" si="10"/>
        <v>2745.72</v>
      </c>
      <c r="P134" s="70">
        <v>0</v>
      </c>
      <c r="Q134" s="12"/>
      <c r="R134" s="12"/>
      <c r="S134" s="12"/>
      <c r="T134" s="12"/>
      <c r="U134" s="12"/>
      <c r="V134" s="12"/>
      <c r="W134" s="12"/>
      <c r="X134" s="12"/>
    </row>
    <row r="135" spans="1:24" s="6" customFormat="1" ht="25.5" x14ac:dyDescent="0.2">
      <c r="A135" s="130">
        <v>125</v>
      </c>
      <c r="B135" s="24" t="s">
        <v>297</v>
      </c>
      <c r="C135" s="24" t="s">
        <v>108</v>
      </c>
      <c r="D135" s="29">
        <v>6249</v>
      </c>
      <c r="E135" s="29">
        <v>1800</v>
      </c>
      <c r="F135" s="27">
        <v>0</v>
      </c>
      <c r="G135" s="147">
        <v>250</v>
      </c>
      <c r="H135" s="147">
        <v>0</v>
      </c>
      <c r="I135" s="28">
        <f t="shared" ref="I135:I196" si="11">SUM(D135:G135)</f>
        <v>8299</v>
      </c>
      <c r="J135" s="28">
        <f t="shared" si="6"/>
        <v>241.47</v>
      </c>
      <c r="K135" s="28">
        <f>(D135+E135)*14%</f>
        <v>1126.8599999999999</v>
      </c>
      <c r="L135" s="28">
        <v>147.37</v>
      </c>
      <c r="M135" s="28">
        <v>108.18</v>
      </c>
      <c r="N135" s="28">
        <f t="shared" si="8"/>
        <v>1623.88</v>
      </c>
      <c r="O135" s="28">
        <f t="shared" si="10"/>
        <v>6675.12</v>
      </c>
      <c r="P135" s="70">
        <v>0</v>
      </c>
      <c r="Q135" s="12"/>
      <c r="R135" s="12"/>
      <c r="S135" s="12"/>
      <c r="T135" s="12"/>
      <c r="U135" s="12"/>
      <c r="V135" s="12"/>
      <c r="W135" s="12"/>
      <c r="X135" s="12"/>
    </row>
    <row r="136" spans="1:24" s="6" customFormat="1" ht="25.5" x14ac:dyDescent="0.2">
      <c r="A136" s="130">
        <v>126</v>
      </c>
      <c r="B136" s="22" t="s">
        <v>269</v>
      </c>
      <c r="C136" s="24" t="s">
        <v>336</v>
      </c>
      <c r="D136" s="28">
        <v>3081</v>
      </c>
      <c r="E136" s="29">
        <v>1000</v>
      </c>
      <c r="F136" s="27">
        <v>0</v>
      </c>
      <c r="G136" s="147">
        <v>250</v>
      </c>
      <c r="H136" s="147">
        <v>0</v>
      </c>
      <c r="I136" s="28">
        <f t="shared" si="11"/>
        <v>4331</v>
      </c>
      <c r="J136" s="28">
        <f t="shared" si="6"/>
        <v>122.43</v>
      </c>
      <c r="K136" s="28">
        <f>(D136+E136)*12%</f>
        <v>489.72</v>
      </c>
      <c r="L136" s="28">
        <v>0</v>
      </c>
      <c r="M136" s="28">
        <v>40.06</v>
      </c>
      <c r="N136" s="28">
        <f t="shared" si="8"/>
        <v>652.21</v>
      </c>
      <c r="O136" s="28">
        <f t="shared" si="10"/>
        <v>3678.79</v>
      </c>
      <c r="P136" s="70">
        <v>0</v>
      </c>
      <c r="Q136" s="12"/>
      <c r="R136" s="12"/>
      <c r="S136" s="12"/>
      <c r="T136" s="12"/>
      <c r="U136" s="12"/>
      <c r="V136" s="12"/>
      <c r="W136" s="12"/>
      <c r="X136" s="12"/>
    </row>
    <row r="137" spans="1:24" s="6" customFormat="1" ht="25.5" x14ac:dyDescent="0.2">
      <c r="A137" s="130">
        <v>127</v>
      </c>
      <c r="B137" s="37" t="s">
        <v>450</v>
      </c>
      <c r="C137" s="24" t="s">
        <v>336</v>
      </c>
      <c r="D137" s="28">
        <v>3081</v>
      </c>
      <c r="E137" s="29">
        <v>1000</v>
      </c>
      <c r="F137" s="27">
        <v>0</v>
      </c>
      <c r="G137" s="147">
        <v>250</v>
      </c>
      <c r="H137" s="147">
        <v>0</v>
      </c>
      <c r="I137" s="28">
        <f t="shared" si="11"/>
        <v>4331</v>
      </c>
      <c r="J137" s="28">
        <f t="shared" ref="J137:J198" si="12">(D137+E137+F137)*3%</f>
        <v>122.43</v>
      </c>
      <c r="K137" s="28">
        <f>(D137+E137)*12%</f>
        <v>489.72</v>
      </c>
      <c r="L137" s="27">
        <v>0</v>
      </c>
      <c r="M137" s="27">
        <v>0</v>
      </c>
      <c r="N137" s="27">
        <f>SUM(J137:M137)</f>
        <v>612.15</v>
      </c>
      <c r="O137" s="28">
        <f t="shared" si="10"/>
        <v>3718.85</v>
      </c>
      <c r="P137" s="70">
        <v>0</v>
      </c>
      <c r="Q137" s="12"/>
      <c r="R137" s="12"/>
      <c r="S137" s="12"/>
      <c r="T137" s="12"/>
      <c r="U137" s="12"/>
      <c r="V137" s="12"/>
      <c r="W137" s="12"/>
      <c r="X137" s="12"/>
    </row>
    <row r="138" spans="1:24" s="6" customFormat="1" ht="25.5" x14ac:dyDescent="0.2">
      <c r="A138" s="130">
        <v>128</v>
      </c>
      <c r="B138" s="32" t="s">
        <v>456</v>
      </c>
      <c r="C138" s="24" t="s">
        <v>328</v>
      </c>
      <c r="D138" s="29">
        <v>2425</v>
      </c>
      <c r="E138" s="29">
        <v>0</v>
      </c>
      <c r="F138" s="27">
        <v>0</v>
      </c>
      <c r="G138" s="147">
        <v>0</v>
      </c>
      <c r="H138" s="147">
        <v>0</v>
      </c>
      <c r="I138" s="28">
        <f t="shared" si="11"/>
        <v>2425</v>
      </c>
      <c r="J138" s="28">
        <f t="shared" si="12"/>
        <v>72.75</v>
      </c>
      <c r="K138" s="28">
        <f>D138*11%</f>
        <v>266.75</v>
      </c>
      <c r="L138" s="28">
        <v>0</v>
      </c>
      <c r="M138" s="28">
        <v>0</v>
      </c>
      <c r="N138" s="28">
        <f t="shared" si="8"/>
        <v>339.5</v>
      </c>
      <c r="O138" s="28">
        <f t="shared" si="10"/>
        <v>2085.5</v>
      </c>
      <c r="P138" s="70">
        <v>0</v>
      </c>
      <c r="Q138" s="12"/>
      <c r="R138" s="12"/>
      <c r="S138" s="12"/>
      <c r="T138" s="12"/>
      <c r="U138" s="12"/>
      <c r="V138" s="12"/>
      <c r="W138" s="12"/>
      <c r="X138" s="12"/>
    </row>
    <row r="139" spans="1:24" s="6" customFormat="1" ht="25.5" x14ac:dyDescent="0.2">
      <c r="A139" s="130">
        <v>129</v>
      </c>
      <c r="B139" s="24" t="s">
        <v>347</v>
      </c>
      <c r="C139" s="24" t="s">
        <v>331</v>
      </c>
      <c r="D139" s="148">
        <v>1940</v>
      </c>
      <c r="E139" s="29">
        <v>0</v>
      </c>
      <c r="F139" s="27">
        <v>0</v>
      </c>
      <c r="G139" s="147">
        <v>0</v>
      </c>
      <c r="H139" s="147">
        <v>0</v>
      </c>
      <c r="I139" s="28">
        <f t="shared" si="11"/>
        <v>1940</v>
      </c>
      <c r="J139" s="28">
        <f t="shared" si="12"/>
        <v>58.2</v>
      </c>
      <c r="K139" s="28">
        <f>D139*11%</f>
        <v>213.4</v>
      </c>
      <c r="L139" s="28">
        <v>0</v>
      </c>
      <c r="M139" s="28">
        <v>0</v>
      </c>
      <c r="N139" s="28">
        <f t="shared" ref="N139:N203" si="13">J139+K139+L139+M139</f>
        <v>271.60000000000002</v>
      </c>
      <c r="O139" s="28">
        <f t="shared" si="10"/>
        <v>1668.4</v>
      </c>
      <c r="P139" s="70">
        <v>0</v>
      </c>
      <c r="Q139" s="12"/>
      <c r="R139" s="12"/>
      <c r="S139" s="12"/>
      <c r="T139" s="12"/>
      <c r="U139" s="12"/>
      <c r="V139" s="12"/>
      <c r="W139" s="12"/>
      <c r="X139" s="12"/>
    </row>
    <row r="140" spans="1:24" s="6" customFormat="1" ht="25.5" x14ac:dyDescent="0.2">
      <c r="A140" s="130">
        <v>130</v>
      </c>
      <c r="B140" s="24" t="s">
        <v>181</v>
      </c>
      <c r="C140" s="26" t="s">
        <v>110</v>
      </c>
      <c r="D140" s="29">
        <v>2920</v>
      </c>
      <c r="E140" s="29">
        <v>1000</v>
      </c>
      <c r="F140" s="27">
        <v>0</v>
      </c>
      <c r="G140" s="147">
        <v>250</v>
      </c>
      <c r="H140" s="147">
        <v>0</v>
      </c>
      <c r="I140" s="28">
        <f t="shared" si="11"/>
        <v>4170</v>
      </c>
      <c r="J140" s="28">
        <f t="shared" si="12"/>
        <v>117.6</v>
      </c>
      <c r="K140" s="28">
        <f>(D140+E140)*11%</f>
        <v>431.2</v>
      </c>
      <c r="L140" s="28">
        <v>0</v>
      </c>
      <c r="M140" s="28">
        <v>52.68</v>
      </c>
      <c r="N140" s="28">
        <f t="shared" si="13"/>
        <v>601.48</v>
      </c>
      <c r="O140" s="28">
        <f t="shared" si="10"/>
        <v>3568.52</v>
      </c>
      <c r="P140" s="70">
        <v>0</v>
      </c>
      <c r="Q140" s="12"/>
      <c r="R140" s="12"/>
      <c r="S140" s="12"/>
      <c r="T140" s="12"/>
      <c r="U140" s="12"/>
      <c r="V140" s="12"/>
      <c r="W140" s="12"/>
      <c r="X140" s="12"/>
    </row>
    <row r="141" spans="1:24" s="6" customFormat="1" ht="25.5" x14ac:dyDescent="0.2">
      <c r="A141" s="130">
        <v>131</v>
      </c>
      <c r="B141" s="25" t="s">
        <v>403</v>
      </c>
      <c r="C141" s="24" t="s">
        <v>499</v>
      </c>
      <c r="D141" s="27">
        <v>2234</v>
      </c>
      <c r="E141" s="27">
        <v>1900</v>
      </c>
      <c r="F141" s="27">
        <v>0</v>
      </c>
      <c r="G141" s="27">
        <v>250</v>
      </c>
      <c r="H141" s="147">
        <v>0</v>
      </c>
      <c r="I141" s="28">
        <f t="shared" si="11"/>
        <v>4384</v>
      </c>
      <c r="J141" s="28">
        <f t="shared" si="12"/>
        <v>124.02</v>
      </c>
      <c r="K141" s="28">
        <f>(D141+E141)*12%</f>
        <v>496.08</v>
      </c>
      <c r="L141" s="28">
        <v>0</v>
      </c>
      <c r="M141" s="28">
        <v>55.56</v>
      </c>
      <c r="N141" s="28">
        <f t="shared" si="13"/>
        <v>675.66</v>
      </c>
      <c r="O141" s="28">
        <f t="shared" si="10"/>
        <v>3708.34</v>
      </c>
      <c r="P141" s="70">
        <v>0</v>
      </c>
      <c r="Q141" s="12"/>
      <c r="R141" s="12"/>
      <c r="S141" s="12"/>
      <c r="T141" s="12"/>
      <c r="U141" s="12"/>
      <c r="V141" s="12"/>
      <c r="W141" s="12"/>
      <c r="X141" s="12"/>
    </row>
    <row r="142" spans="1:24" s="6" customFormat="1" ht="25.5" x14ac:dyDescent="0.2">
      <c r="A142" s="130">
        <v>132</v>
      </c>
      <c r="B142" s="24" t="s">
        <v>188</v>
      </c>
      <c r="C142" s="24" t="s">
        <v>331</v>
      </c>
      <c r="D142" s="29">
        <v>1940</v>
      </c>
      <c r="E142" s="29">
        <v>0</v>
      </c>
      <c r="F142" s="27">
        <v>0</v>
      </c>
      <c r="G142" s="147">
        <v>0</v>
      </c>
      <c r="H142" s="147">
        <v>0</v>
      </c>
      <c r="I142" s="28">
        <f t="shared" si="11"/>
        <v>1940</v>
      </c>
      <c r="J142" s="28">
        <f t="shared" si="12"/>
        <v>58.2</v>
      </c>
      <c r="K142" s="28">
        <f>D142*11%</f>
        <v>213.4</v>
      </c>
      <c r="L142" s="28">
        <v>0</v>
      </c>
      <c r="M142" s="28">
        <v>0</v>
      </c>
      <c r="N142" s="28">
        <f t="shared" si="13"/>
        <v>271.60000000000002</v>
      </c>
      <c r="O142" s="28">
        <f t="shared" si="10"/>
        <v>1668.4</v>
      </c>
      <c r="P142" s="70">
        <v>0</v>
      </c>
      <c r="Q142" s="12"/>
      <c r="R142" s="12"/>
      <c r="S142" s="12"/>
      <c r="T142" s="12"/>
      <c r="U142" s="12"/>
      <c r="V142" s="12"/>
      <c r="W142" s="12"/>
      <c r="X142" s="12"/>
    </row>
    <row r="143" spans="1:24" s="6" customFormat="1" ht="25.5" x14ac:dyDescent="0.2">
      <c r="A143" s="130">
        <v>133</v>
      </c>
      <c r="B143" s="24" t="s">
        <v>404</v>
      </c>
      <c r="C143" s="24" t="s">
        <v>328</v>
      </c>
      <c r="D143" s="148">
        <v>2425</v>
      </c>
      <c r="E143" s="29">
        <v>0</v>
      </c>
      <c r="F143" s="27">
        <v>0</v>
      </c>
      <c r="G143" s="147">
        <v>0</v>
      </c>
      <c r="H143" s="147">
        <v>0</v>
      </c>
      <c r="I143" s="28">
        <f t="shared" si="11"/>
        <v>2425</v>
      </c>
      <c r="J143" s="28">
        <f t="shared" si="12"/>
        <v>72.75</v>
      </c>
      <c r="K143" s="28">
        <f>D143*11%</f>
        <v>266.75</v>
      </c>
      <c r="L143" s="28">
        <v>0</v>
      </c>
      <c r="M143" s="28">
        <v>0</v>
      </c>
      <c r="N143" s="28">
        <f t="shared" si="13"/>
        <v>339.5</v>
      </c>
      <c r="O143" s="28">
        <f t="shared" si="10"/>
        <v>2085.5</v>
      </c>
      <c r="P143" s="70">
        <v>0</v>
      </c>
      <c r="Q143" s="12"/>
      <c r="R143" s="12"/>
      <c r="S143" s="12"/>
      <c r="T143" s="12"/>
      <c r="U143" s="12"/>
      <c r="V143" s="12"/>
      <c r="W143" s="12"/>
      <c r="X143" s="12"/>
    </row>
    <row r="144" spans="1:24" s="6" customFormat="1" ht="25.5" x14ac:dyDescent="0.2">
      <c r="A144" s="130">
        <v>134</v>
      </c>
      <c r="B144" s="24" t="s">
        <v>189</v>
      </c>
      <c r="C144" s="24" t="s">
        <v>331</v>
      </c>
      <c r="D144" s="29">
        <v>1940</v>
      </c>
      <c r="E144" s="29">
        <v>0</v>
      </c>
      <c r="F144" s="27">
        <v>0</v>
      </c>
      <c r="G144" s="147">
        <v>0</v>
      </c>
      <c r="H144" s="147">
        <v>0</v>
      </c>
      <c r="I144" s="28">
        <f t="shared" si="11"/>
        <v>1940</v>
      </c>
      <c r="J144" s="28">
        <f t="shared" si="12"/>
        <v>58.2</v>
      </c>
      <c r="K144" s="28">
        <f>D144*11%</f>
        <v>213.4</v>
      </c>
      <c r="L144" s="28">
        <v>0</v>
      </c>
      <c r="M144" s="28">
        <v>0</v>
      </c>
      <c r="N144" s="28">
        <f t="shared" si="13"/>
        <v>271.60000000000002</v>
      </c>
      <c r="O144" s="28">
        <f t="shared" si="10"/>
        <v>1668.4</v>
      </c>
      <c r="P144" s="70">
        <v>0</v>
      </c>
      <c r="Q144" s="12"/>
      <c r="R144" s="12"/>
      <c r="S144" s="12"/>
      <c r="T144" s="12"/>
      <c r="U144" s="12"/>
      <c r="V144" s="12"/>
      <c r="W144" s="12"/>
      <c r="X144" s="12"/>
    </row>
    <row r="145" spans="1:24" s="6" customFormat="1" x14ac:dyDescent="0.2">
      <c r="A145" s="130">
        <v>135</v>
      </c>
      <c r="B145" s="24" t="s">
        <v>405</v>
      </c>
      <c r="C145" s="24" t="s">
        <v>111</v>
      </c>
      <c r="D145" s="29">
        <v>1902</v>
      </c>
      <c r="E145" s="29">
        <v>1000</v>
      </c>
      <c r="F145" s="27">
        <v>0</v>
      </c>
      <c r="G145" s="147">
        <v>250</v>
      </c>
      <c r="H145" s="147">
        <v>0</v>
      </c>
      <c r="I145" s="28">
        <f t="shared" si="11"/>
        <v>3152</v>
      </c>
      <c r="J145" s="28">
        <f t="shared" si="12"/>
        <v>87.06</v>
      </c>
      <c r="K145" s="28">
        <f>(D145+E145)*11%</f>
        <v>319.22000000000003</v>
      </c>
      <c r="L145" s="29">
        <v>0</v>
      </c>
      <c r="M145" s="29">
        <v>0</v>
      </c>
      <c r="N145" s="28">
        <f t="shared" si="13"/>
        <v>406.28</v>
      </c>
      <c r="O145" s="28">
        <f t="shared" si="10"/>
        <v>2745.72</v>
      </c>
      <c r="P145" s="70">
        <v>0</v>
      </c>
      <c r="Q145" s="12"/>
      <c r="R145" s="12"/>
      <c r="S145" s="12"/>
      <c r="T145" s="12"/>
      <c r="U145" s="12"/>
      <c r="V145" s="12"/>
      <c r="W145" s="12"/>
      <c r="X145" s="12"/>
    </row>
    <row r="146" spans="1:24" s="6" customFormat="1" ht="25.5" x14ac:dyDescent="0.2">
      <c r="A146" s="130">
        <v>136</v>
      </c>
      <c r="B146" s="41" t="s">
        <v>270</v>
      </c>
      <c r="C146" s="24" t="s">
        <v>331</v>
      </c>
      <c r="D146" s="148">
        <v>1940</v>
      </c>
      <c r="E146" s="29">
        <v>0</v>
      </c>
      <c r="F146" s="27">
        <v>0</v>
      </c>
      <c r="G146" s="147">
        <v>0</v>
      </c>
      <c r="H146" s="147">
        <v>0</v>
      </c>
      <c r="I146" s="28">
        <f t="shared" si="11"/>
        <v>1940</v>
      </c>
      <c r="J146" s="28">
        <f t="shared" si="12"/>
        <v>58.2</v>
      </c>
      <c r="K146" s="28">
        <f>D146*10%</f>
        <v>194</v>
      </c>
      <c r="L146" s="28">
        <v>0</v>
      </c>
      <c r="M146" s="28">
        <v>0</v>
      </c>
      <c r="N146" s="28">
        <f t="shared" si="13"/>
        <v>252.2</v>
      </c>
      <c r="O146" s="28">
        <f t="shared" si="10"/>
        <v>1687.8</v>
      </c>
      <c r="P146" s="70">
        <v>0</v>
      </c>
      <c r="Q146" s="12"/>
      <c r="R146" s="12"/>
      <c r="S146" s="12"/>
      <c r="T146" s="12"/>
      <c r="U146" s="12"/>
      <c r="V146" s="12"/>
      <c r="W146" s="12"/>
      <c r="X146" s="12"/>
    </row>
    <row r="147" spans="1:24" s="6" customFormat="1" ht="25.5" x14ac:dyDescent="0.2">
      <c r="A147" s="130">
        <v>137</v>
      </c>
      <c r="B147" s="41" t="s">
        <v>148</v>
      </c>
      <c r="C147" s="24" t="s">
        <v>288</v>
      </c>
      <c r="D147" s="148">
        <v>2249</v>
      </c>
      <c r="E147" s="29">
        <v>1000</v>
      </c>
      <c r="F147" s="27">
        <v>0</v>
      </c>
      <c r="G147" s="147">
        <v>250</v>
      </c>
      <c r="H147" s="147">
        <v>0</v>
      </c>
      <c r="I147" s="28">
        <f t="shared" si="11"/>
        <v>3499</v>
      </c>
      <c r="J147" s="28">
        <f t="shared" si="12"/>
        <v>97.47</v>
      </c>
      <c r="K147" s="28">
        <f>(D147+E147)*11%</f>
        <v>357.39</v>
      </c>
      <c r="L147" s="29">
        <v>0</v>
      </c>
      <c r="M147" s="29">
        <v>0</v>
      </c>
      <c r="N147" s="28">
        <f t="shared" si="13"/>
        <v>454.86</v>
      </c>
      <c r="O147" s="28">
        <f t="shared" si="10"/>
        <v>3044.14</v>
      </c>
      <c r="P147" s="70">
        <v>0</v>
      </c>
      <c r="Q147" s="12"/>
      <c r="R147" s="12"/>
      <c r="S147" s="12"/>
      <c r="T147" s="12"/>
      <c r="U147" s="12"/>
      <c r="V147" s="12"/>
      <c r="W147" s="12"/>
      <c r="X147" s="12"/>
    </row>
    <row r="148" spans="1:24" s="6" customFormat="1" ht="25.5" x14ac:dyDescent="0.2">
      <c r="A148" s="130">
        <v>138</v>
      </c>
      <c r="B148" s="30" t="s">
        <v>130</v>
      </c>
      <c r="C148" s="24" t="s">
        <v>503</v>
      </c>
      <c r="D148" s="157">
        <v>1668</v>
      </c>
      <c r="E148" s="146">
        <v>1000</v>
      </c>
      <c r="F148" s="27">
        <v>0</v>
      </c>
      <c r="G148" s="147">
        <v>250</v>
      </c>
      <c r="H148" s="147">
        <v>0</v>
      </c>
      <c r="I148" s="28">
        <f t="shared" si="11"/>
        <v>2918</v>
      </c>
      <c r="J148" s="28">
        <f t="shared" si="12"/>
        <v>80.040000000000006</v>
      </c>
      <c r="K148" s="28">
        <f>(D148+E148)*11%</f>
        <v>293.48</v>
      </c>
      <c r="L148" s="28">
        <v>0</v>
      </c>
      <c r="M148" s="28">
        <v>0</v>
      </c>
      <c r="N148" s="28">
        <f t="shared" si="13"/>
        <v>373.52</v>
      </c>
      <c r="O148" s="28">
        <f t="shared" si="10"/>
        <v>2544.48</v>
      </c>
      <c r="P148" s="70">
        <v>0</v>
      </c>
      <c r="Q148" s="12"/>
      <c r="R148" s="12"/>
      <c r="S148" s="12"/>
      <c r="T148" s="12"/>
      <c r="U148" s="12"/>
      <c r="V148" s="12"/>
      <c r="W148" s="12"/>
      <c r="X148" s="12"/>
    </row>
    <row r="149" spans="1:24" s="6" customFormat="1" ht="25.5" x14ac:dyDescent="0.2">
      <c r="A149" s="130">
        <v>139</v>
      </c>
      <c r="B149" s="25" t="s">
        <v>32</v>
      </c>
      <c r="C149" s="24" t="s">
        <v>494</v>
      </c>
      <c r="D149" s="27">
        <v>2375</v>
      </c>
      <c r="E149" s="27">
        <v>1000</v>
      </c>
      <c r="F149" s="27">
        <v>0</v>
      </c>
      <c r="G149" s="27">
        <v>250</v>
      </c>
      <c r="H149" s="147">
        <v>0</v>
      </c>
      <c r="I149" s="28">
        <f t="shared" si="11"/>
        <v>3625</v>
      </c>
      <c r="J149" s="28">
        <f t="shared" si="12"/>
        <v>101.25</v>
      </c>
      <c r="K149" s="28">
        <f>(D149+E149)*11%</f>
        <v>371.25</v>
      </c>
      <c r="L149" s="29">
        <v>0</v>
      </c>
      <c r="M149" s="29">
        <v>0</v>
      </c>
      <c r="N149" s="28">
        <f t="shared" si="13"/>
        <v>472.5</v>
      </c>
      <c r="O149" s="28">
        <f t="shared" si="10"/>
        <v>3152.5</v>
      </c>
      <c r="P149" s="70">
        <v>0</v>
      </c>
      <c r="Q149" s="12"/>
      <c r="R149" s="12"/>
      <c r="S149" s="12"/>
      <c r="T149" s="12"/>
      <c r="U149" s="12"/>
      <c r="V149" s="12"/>
      <c r="W149" s="12"/>
      <c r="X149" s="12"/>
    </row>
    <row r="150" spans="1:24" s="6" customFormat="1" x14ac:dyDescent="0.2">
      <c r="A150" s="130">
        <v>140</v>
      </c>
      <c r="B150" s="32" t="s">
        <v>929</v>
      </c>
      <c r="C150" s="23" t="s">
        <v>930</v>
      </c>
      <c r="D150" s="27">
        <v>2920</v>
      </c>
      <c r="E150" s="27">
        <v>1000</v>
      </c>
      <c r="F150" s="27">
        <v>0</v>
      </c>
      <c r="G150" s="27">
        <v>250</v>
      </c>
      <c r="H150" s="147">
        <v>0</v>
      </c>
      <c r="I150" s="28">
        <f t="shared" si="11"/>
        <v>4170</v>
      </c>
      <c r="J150" s="28">
        <f t="shared" si="12"/>
        <v>117.6</v>
      </c>
      <c r="K150" s="28">
        <f>(D150+E150)*11%</f>
        <v>431.2</v>
      </c>
      <c r="L150" s="29">
        <v>0</v>
      </c>
      <c r="M150" s="29">
        <v>52.68</v>
      </c>
      <c r="N150" s="28">
        <f t="shared" si="13"/>
        <v>601.48</v>
      </c>
      <c r="O150" s="28">
        <f t="shared" si="10"/>
        <v>3568.52</v>
      </c>
      <c r="P150" s="70">
        <v>0</v>
      </c>
      <c r="Q150" s="12"/>
      <c r="R150" s="12"/>
      <c r="S150" s="12"/>
      <c r="T150" s="12"/>
      <c r="U150" s="12"/>
      <c r="V150" s="12"/>
      <c r="W150" s="12"/>
      <c r="X150" s="12"/>
    </row>
    <row r="151" spans="1:24" s="6" customFormat="1" ht="25.5" x14ac:dyDescent="0.2">
      <c r="A151" s="130">
        <v>141</v>
      </c>
      <c r="B151" s="24" t="s">
        <v>298</v>
      </c>
      <c r="C151" s="24" t="s">
        <v>331</v>
      </c>
      <c r="D151" s="148">
        <v>1940</v>
      </c>
      <c r="E151" s="29">
        <v>0</v>
      </c>
      <c r="F151" s="27">
        <v>0</v>
      </c>
      <c r="G151" s="147">
        <v>0</v>
      </c>
      <c r="H151" s="147">
        <v>0</v>
      </c>
      <c r="I151" s="28">
        <f t="shared" si="11"/>
        <v>1940</v>
      </c>
      <c r="J151" s="28">
        <f t="shared" si="12"/>
        <v>58.2</v>
      </c>
      <c r="K151" s="28">
        <f>D151*10%</f>
        <v>194</v>
      </c>
      <c r="L151" s="28">
        <v>0</v>
      </c>
      <c r="M151" s="28">
        <v>0</v>
      </c>
      <c r="N151" s="28">
        <f t="shared" si="13"/>
        <v>252.2</v>
      </c>
      <c r="O151" s="28">
        <f t="shared" si="10"/>
        <v>1687.8</v>
      </c>
      <c r="P151" s="70">
        <v>0</v>
      </c>
      <c r="Q151" s="12"/>
      <c r="R151" s="12"/>
      <c r="S151" s="12"/>
      <c r="T151" s="12"/>
      <c r="U151" s="12"/>
      <c r="V151" s="12"/>
      <c r="W151" s="12"/>
      <c r="X151" s="12"/>
    </row>
    <row r="152" spans="1:24" s="6" customFormat="1" ht="25.5" x14ac:dyDescent="0.2">
      <c r="A152" s="130">
        <v>142</v>
      </c>
      <c r="B152" s="24" t="s">
        <v>516</v>
      </c>
      <c r="C152" s="24" t="s">
        <v>331</v>
      </c>
      <c r="D152" s="148">
        <v>1940</v>
      </c>
      <c r="E152" s="29">
        <v>0</v>
      </c>
      <c r="F152" s="27">
        <v>0</v>
      </c>
      <c r="G152" s="147">
        <v>0</v>
      </c>
      <c r="H152" s="147">
        <v>0</v>
      </c>
      <c r="I152" s="28">
        <f t="shared" si="11"/>
        <v>1940</v>
      </c>
      <c r="J152" s="28">
        <f t="shared" si="12"/>
        <v>58.2</v>
      </c>
      <c r="K152" s="28">
        <f>D152*10%</f>
        <v>194</v>
      </c>
      <c r="L152" s="28">
        <v>0</v>
      </c>
      <c r="M152" s="28">
        <v>0</v>
      </c>
      <c r="N152" s="28">
        <f t="shared" si="13"/>
        <v>252.2</v>
      </c>
      <c r="O152" s="28">
        <f t="shared" si="10"/>
        <v>1687.8</v>
      </c>
      <c r="P152" s="70">
        <v>0</v>
      </c>
      <c r="Q152" s="12"/>
      <c r="R152" s="12"/>
      <c r="S152" s="12"/>
      <c r="T152" s="12"/>
      <c r="U152" s="12"/>
      <c r="V152" s="12"/>
      <c r="W152" s="12"/>
      <c r="X152" s="12"/>
    </row>
    <row r="153" spans="1:24" s="6" customFormat="1" ht="25.5" x14ac:dyDescent="0.2">
      <c r="A153" s="130">
        <v>143</v>
      </c>
      <c r="B153" s="24" t="s">
        <v>406</v>
      </c>
      <c r="C153" s="33" t="s">
        <v>496</v>
      </c>
      <c r="D153" s="148">
        <v>2328</v>
      </c>
      <c r="E153" s="29">
        <v>0</v>
      </c>
      <c r="F153" s="27">
        <v>0</v>
      </c>
      <c r="G153" s="147">
        <v>0</v>
      </c>
      <c r="H153" s="147">
        <v>0</v>
      </c>
      <c r="I153" s="28">
        <f t="shared" si="11"/>
        <v>2328</v>
      </c>
      <c r="J153" s="28">
        <f t="shared" si="12"/>
        <v>69.84</v>
      </c>
      <c r="K153" s="28">
        <f>D153*11%</f>
        <v>256.08</v>
      </c>
      <c r="L153" s="28">
        <v>0</v>
      </c>
      <c r="M153" s="28">
        <v>0</v>
      </c>
      <c r="N153" s="28">
        <f t="shared" si="13"/>
        <v>325.92</v>
      </c>
      <c r="O153" s="28">
        <f t="shared" si="10"/>
        <v>2002.08</v>
      </c>
      <c r="P153" s="70">
        <v>0</v>
      </c>
      <c r="Q153" s="12"/>
      <c r="R153" s="12"/>
      <c r="S153" s="12"/>
      <c r="T153" s="12"/>
      <c r="U153" s="12"/>
      <c r="V153" s="12"/>
      <c r="W153" s="12"/>
      <c r="X153" s="12"/>
    </row>
    <row r="154" spans="1:24" s="6" customFormat="1" ht="25.5" x14ac:dyDescent="0.2">
      <c r="A154" s="130">
        <v>144</v>
      </c>
      <c r="B154" s="41" t="s">
        <v>444</v>
      </c>
      <c r="C154" s="24" t="s">
        <v>289</v>
      </c>
      <c r="D154" s="148">
        <v>1831</v>
      </c>
      <c r="E154" s="29">
        <v>1000</v>
      </c>
      <c r="F154" s="27">
        <v>0</v>
      </c>
      <c r="G154" s="147">
        <v>250</v>
      </c>
      <c r="H154" s="147">
        <v>0</v>
      </c>
      <c r="I154" s="28">
        <f t="shared" si="11"/>
        <v>3081</v>
      </c>
      <c r="J154" s="28">
        <f t="shared" si="12"/>
        <v>84.93</v>
      </c>
      <c r="K154" s="28">
        <v>311.41000000000003</v>
      </c>
      <c r="L154" s="29">
        <v>0</v>
      </c>
      <c r="M154" s="29">
        <v>0</v>
      </c>
      <c r="N154" s="28">
        <f t="shared" si="13"/>
        <v>396.34</v>
      </c>
      <c r="O154" s="28">
        <f t="shared" ref="O154:O186" si="14">I154-N154</f>
        <v>2684.66</v>
      </c>
      <c r="P154" s="70">
        <v>0</v>
      </c>
      <c r="Q154" s="12"/>
      <c r="R154" s="12"/>
      <c r="S154" s="12"/>
      <c r="T154" s="12"/>
      <c r="U154" s="12"/>
      <c r="V154" s="12"/>
      <c r="W154" s="12"/>
      <c r="X154" s="12"/>
    </row>
    <row r="155" spans="1:24" s="6" customFormat="1" ht="25.5" x14ac:dyDescent="0.2">
      <c r="A155" s="130">
        <v>145</v>
      </c>
      <c r="B155" s="22" t="s">
        <v>165</v>
      </c>
      <c r="C155" s="24" t="s">
        <v>346</v>
      </c>
      <c r="D155" s="29">
        <v>2037</v>
      </c>
      <c r="E155" s="29">
        <v>0</v>
      </c>
      <c r="F155" s="27">
        <v>0</v>
      </c>
      <c r="G155" s="147">
        <v>0</v>
      </c>
      <c r="H155" s="147">
        <v>0</v>
      </c>
      <c r="I155" s="28">
        <f t="shared" si="11"/>
        <v>2037</v>
      </c>
      <c r="J155" s="28">
        <f t="shared" si="12"/>
        <v>61.11</v>
      </c>
      <c r="K155" s="28">
        <f>D155*11%</f>
        <v>224.07</v>
      </c>
      <c r="L155" s="28">
        <v>0</v>
      </c>
      <c r="M155" s="28">
        <v>0</v>
      </c>
      <c r="N155" s="28">
        <f t="shared" si="13"/>
        <v>285.18</v>
      </c>
      <c r="O155" s="28">
        <f t="shared" si="14"/>
        <v>1751.82</v>
      </c>
      <c r="P155" s="70">
        <v>0</v>
      </c>
      <c r="Q155" s="12"/>
      <c r="R155" s="12"/>
      <c r="S155" s="12"/>
      <c r="T155" s="12"/>
      <c r="U155" s="12"/>
      <c r="V155" s="12"/>
      <c r="W155" s="12"/>
      <c r="X155" s="12"/>
    </row>
    <row r="156" spans="1:24" s="6" customFormat="1" ht="25.5" x14ac:dyDescent="0.2">
      <c r="A156" s="130">
        <v>146</v>
      </c>
      <c r="B156" s="24" t="s">
        <v>271</v>
      </c>
      <c r="C156" s="24" t="s">
        <v>328</v>
      </c>
      <c r="D156" s="148">
        <v>2425</v>
      </c>
      <c r="E156" s="29">
        <v>0</v>
      </c>
      <c r="F156" s="27">
        <v>0</v>
      </c>
      <c r="G156" s="147">
        <v>0</v>
      </c>
      <c r="H156" s="147">
        <v>0</v>
      </c>
      <c r="I156" s="28">
        <f t="shared" si="11"/>
        <v>2425</v>
      </c>
      <c r="J156" s="28">
        <f t="shared" si="12"/>
        <v>72.75</v>
      </c>
      <c r="K156" s="28">
        <f>D156*11%</f>
        <v>266.75</v>
      </c>
      <c r="L156" s="28">
        <v>0</v>
      </c>
      <c r="M156" s="28">
        <v>0</v>
      </c>
      <c r="N156" s="28">
        <f t="shared" si="13"/>
        <v>339.5</v>
      </c>
      <c r="O156" s="28">
        <f t="shared" si="14"/>
        <v>2085.5</v>
      </c>
      <c r="P156" s="70">
        <v>0</v>
      </c>
      <c r="Q156" s="12"/>
      <c r="R156" s="12"/>
      <c r="S156" s="12"/>
      <c r="T156" s="12"/>
      <c r="U156" s="12"/>
      <c r="V156" s="12"/>
      <c r="W156" s="12"/>
      <c r="X156" s="12"/>
    </row>
    <row r="157" spans="1:24" s="6" customFormat="1" ht="25.5" x14ac:dyDescent="0.2">
      <c r="A157" s="130">
        <v>147</v>
      </c>
      <c r="B157" s="42" t="s">
        <v>44</v>
      </c>
      <c r="C157" s="26" t="s">
        <v>487</v>
      </c>
      <c r="D157" s="27">
        <v>3081</v>
      </c>
      <c r="E157" s="27">
        <v>1000</v>
      </c>
      <c r="F157" s="27">
        <v>0</v>
      </c>
      <c r="G157" s="27">
        <v>250</v>
      </c>
      <c r="H157" s="147">
        <v>0</v>
      </c>
      <c r="I157" s="28">
        <f t="shared" si="11"/>
        <v>4331</v>
      </c>
      <c r="J157" s="28">
        <f t="shared" si="12"/>
        <v>122.43</v>
      </c>
      <c r="K157" s="28">
        <f>(D157+E157)*12%</f>
        <v>489.72</v>
      </c>
      <c r="L157" s="28">
        <v>0</v>
      </c>
      <c r="M157" s="28">
        <v>0</v>
      </c>
      <c r="N157" s="28">
        <f t="shared" si="13"/>
        <v>612.15</v>
      </c>
      <c r="O157" s="28">
        <f t="shared" si="14"/>
        <v>3718.85</v>
      </c>
      <c r="P157" s="70">
        <v>0</v>
      </c>
      <c r="Q157" s="12"/>
      <c r="R157" s="12"/>
      <c r="S157" s="12"/>
      <c r="T157" s="12"/>
      <c r="U157" s="12"/>
      <c r="V157" s="12"/>
      <c r="W157" s="12"/>
      <c r="X157" s="12"/>
    </row>
    <row r="158" spans="1:24" s="6" customFormat="1" ht="25.5" x14ac:dyDescent="0.2">
      <c r="A158" s="130">
        <v>148</v>
      </c>
      <c r="B158" s="33" t="s">
        <v>513</v>
      </c>
      <c r="C158" s="26" t="s">
        <v>157</v>
      </c>
      <c r="D158" s="27">
        <v>6759</v>
      </c>
      <c r="E158" s="27">
        <v>4000</v>
      </c>
      <c r="F158" s="27">
        <v>0</v>
      </c>
      <c r="G158" s="27">
        <v>250</v>
      </c>
      <c r="H158" s="147">
        <v>0</v>
      </c>
      <c r="I158" s="28">
        <f t="shared" si="11"/>
        <v>11009</v>
      </c>
      <c r="J158" s="28">
        <f t="shared" si="12"/>
        <v>322.77</v>
      </c>
      <c r="K158" s="28">
        <f>(D158+E158)*15%</f>
        <v>1613.85</v>
      </c>
      <c r="L158" s="28">
        <v>254.45</v>
      </c>
      <c r="M158" s="28">
        <v>144.6</v>
      </c>
      <c r="N158" s="28">
        <f t="shared" si="13"/>
        <v>2335.67</v>
      </c>
      <c r="O158" s="28">
        <f t="shared" si="14"/>
        <v>8673.33</v>
      </c>
      <c r="P158" s="70">
        <v>0</v>
      </c>
      <c r="Q158" s="12"/>
      <c r="R158" s="12"/>
      <c r="S158" s="12"/>
      <c r="T158" s="12"/>
      <c r="U158" s="12"/>
      <c r="V158" s="12"/>
      <c r="W158" s="12"/>
      <c r="X158" s="12"/>
    </row>
    <row r="159" spans="1:24" s="6" customFormat="1" ht="25.5" x14ac:dyDescent="0.2">
      <c r="A159" s="130">
        <v>149</v>
      </c>
      <c r="B159" s="22" t="s">
        <v>325</v>
      </c>
      <c r="C159" s="24" t="s">
        <v>500</v>
      </c>
      <c r="D159" s="163">
        <v>5787</v>
      </c>
      <c r="E159" s="146">
        <v>1800</v>
      </c>
      <c r="F159" s="27">
        <v>0</v>
      </c>
      <c r="G159" s="147">
        <v>250</v>
      </c>
      <c r="H159" s="147">
        <v>0</v>
      </c>
      <c r="I159" s="28">
        <f t="shared" si="11"/>
        <v>7837</v>
      </c>
      <c r="J159" s="28">
        <f t="shared" si="12"/>
        <v>227.61</v>
      </c>
      <c r="K159" s="28">
        <f>(D159+E159+F159)*13%</f>
        <v>986.31</v>
      </c>
      <c r="L159" s="28">
        <v>131.99</v>
      </c>
      <c r="M159" s="28">
        <v>101.97</v>
      </c>
      <c r="N159" s="28">
        <f t="shared" si="13"/>
        <v>1447.88</v>
      </c>
      <c r="O159" s="28">
        <f t="shared" si="14"/>
        <v>6389.12</v>
      </c>
      <c r="P159" s="70">
        <v>0</v>
      </c>
      <c r="Q159" s="12"/>
      <c r="R159" s="12"/>
      <c r="S159" s="12"/>
      <c r="T159" s="12"/>
      <c r="U159" s="12"/>
      <c r="V159" s="12"/>
      <c r="W159" s="12"/>
      <c r="X159" s="12"/>
    </row>
    <row r="160" spans="1:24" s="6" customFormat="1" ht="25.5" x14ac:dyDescent="0.2">
      <c r="A160" s="130">
        <v>150</v>
      </c>
      <c r="B160" s="24" t="s">
        <v>97</v>
      </c>
      <c r="C160" s="24" t="s">
        <v>328</v>
      </c>
      <c r="D160" s="148">
        <v>2425</v>
      </c>
      <c r="E160" s="29">
        <v>0</v>
      </c>
      <c r="F160" s="27">
        <v>0</v>
      </c>
      <c r="G160" s="147">
        <v>0</v>
      </c>
      <c r="H160" s="147">
        <v>0</v>
      </c>
      <c r="I160" s="28">
        <f t="shared" si="11"/>
        <v>2425</v>
      </c>
      <c r="J160" s="28">
        <f t="shared" si="12"/>
        <v>72.75</v>
      </c>
      <c r="K160" s="28">
        <f>D160*11%</f>
        <v>266.75</v>
      </c>
      <c r="L160" s="28">
        <v>0</v>
      </c>
      <c r="M160" s="28">
        <v>0</v>
      </c>
      <c r="N160" s="28">
        <f t="shared" si="13"/>
        <v>339.5</v>
      </c>
      <c r="O160" s="28">
        <f t="shared" si="14"/>
        <v>2085.5</v>
      </c>
      <c r="P160" s="70">
        <v>0</v>
      </c>
      <c r="Q160" s="12"/>
      <c r="R160" s="12"/>
      <c r="S160" s="12"/>
      <c r="T160" s="12"/>
      <c r="U160" s="12"/>
      <c r="V160" s="12"/>
      <c r="W160" s="12"/>
      <c r="X160" s="12"/>
    </row>
    <row r="161" spans="1:24" s="6" customFormat="1" ht="25.5" x14ac:dyDescent="0.2">
      <c r="A161" s="130">
        <v>151</v>
      </c>
      <c r="B161" s="24" t="s">
        <v>57</v>
      </c>
      <c r="C161" s="24" t="s">
        <v>336</v>
      </c>
      <c r="D161" s="28">
        <v>3081</v>
      </c>
      <c r="E161" s="28">
        <v>1000</v>
      </c>
      <c r="F161" s="27">
        <v>0</v>
      </c>
      <c r="G161" s="147">
        <v>250</v>
      </c>
      <c r="H161" s="147">
        <v>0</v>
      </c>
      <c r="I161" s="28">
        <f t="shared" si="11"/>
        <v>4331</v>
      </c>
      <c r="J161" s="28">
        <f t="shared" si="12"/>
        <v>122.43</v>
      </c>
      <c r="K161" s="28">
        <f>(D161+E161)*12%</f>
        <v>489.72</v>
      </c>
      <c r="L161" s="28">
        <v>0</v>
      </c>
      <c r="M161" s="28">
        <v>0</v>
      </c>
      <c r="N161" s="28">
        <f t="shared" si="13"/>
        <v>612.15</v>
      </c>
      <c r="O161" s="28">
        <f t="shared" si="14"/>
        <v>3718.85</v>
      </c>
      <c r="P161" s="70">
        <v>0</v>
      </c>
      <c r="Q161" s="12"/>
      <c r="R161" s="12"/>
      <c r="S161" s="12"/>
      <c r="T161" s="12"/>
      <c r="U161" s="12"/>
      <c r="V161" s="12"/>
      <c r="W161" s="12"/>
      <c r="X161" s="12"/>
    </row>
    <row r="162" spans="1:24" s="6" customFormat="1" ht="25.5" x14ac:dyDescent="0.2">
      <c r="A162" s="130">
        <v>152</v>
      </c>
      <c r="B162" s="23" t="s">
        <v>457</v>
      </c>
      <c r="C162" s="24" t="s">
        <v>336</v>
      </c>
      <c r="D162" s="29">
        <v>3081</v>
      </c>
      <c r="E162" s="146">
        <v>1000</v>
      </c>
      <c r="F162" s="27">
        <v>0</v>
      </c>
      <c r="G162" s="147">
        <v>250</v>
      </c>
      <c r="H162" s="147">
        <v>0</v>
      </c>
      <c r="I162" s="28">
        <f t="shared" si="11"/>
        <v>4331</v>
      </c>
      <c r="J162" s="28">
        <f t="shared" si="12"/>
        <v>122.43</v>
      </c>
      <c r="K162" s="28">
        <f>(D162+E162)*12%</f>
        <v>489.72</v>
      </c>
      <c r="L162" s="28">
        <v>0</v>
      </c>
      <c r="M162" s="28">
        <v>0</v>
      </c>
      <c r="N162" s="28">
        <f t="shared" si="13"/>
        <v>612.15</v>
      </c>
      <c r="O162" s="28">
        <f t="shared" si="14"/>
        <v>3718.85</v>
      </c>
      <c r="P162" s="70">
        <v>0</v>
      </c>
      <c r="Q162" s="12"/>
      <c r="R162" s="12"/>
      <c r="S162" s="12"/>
      <c r="T162" s="12"/>
      <c r="U162" s="12"/>
      <c r="V162" s="12"/>
      <c r="W162" s="12"/>
      <c r="X162" s="12"/>
    </row>
    <row r="163" spans="1:24" s="6" customFormat="1" ht="25.5" x14ac:dyDescent="0.2">
      <c r="A163" s="130">
        <v>153</v>
      </c>
      <c r="B163" s="24" t="s">
        <v>978</v>
      </c>
      <c r="C163" s="24" t="s">
        <v>331</v>
      </c>
      <c r="D163" s="148">
        <v>1940</v>
      </c>
      <c r="E163" s="29">
        <v>0</v>
      </c>
      <c r="F163" s="27">
        <v>0</v>
      </c>
      <c r="G163" s="147">
        <v>0</v>
      </c>
      <c r="H163" s="147">
        <v>0</v>
      </c>
      <c r="I163" s="28">
        <f t="shared" si="11"/>
        <v>1940</v>
      </c>
      <c r="J163" s="28">
        <f t="shared" si="12"/>
        <v>58.2</v>
      </c>
      <c r="K163" s="28">
        <f>D163*10%</f>
        <v>194</v>
      </c>
      <c r="L163" s="28">
        <v>0</v>
      </c>
      <c r="M163" s="28">
        <v>0</v>
      </c>
      <c r="N163" s="28">
        <f t="shared" si="13"/>
        <v>252.2</v>
      </c>
      <c r="O163" s="28">
        <f t="shared" si="14"/>
        <v>1687.8</v>
      </c>
      <c r="P163" s="70">
        <v>0</v>
      </c>
      <c r="Q163" s="12"/>
      <c r="R163" s="12"/>
      <c r="S163" s="12"/>
      <c r="T163" s="12"/>
      <c r="U163" s="12"/>
      <c r="V163" s="12"/>
      <c r="W163" s="12"/>
      <c r="X163" s="12"/>
    </row>
    <row r="164" spans="1:24" s="6" customFormat="1" ht="25.5" x14ac:dyDescent="0.2">
      <c r="A164" s="130">
        <v>154</v>
      </c>
      <c r="B164" s="225" t="s">
        <v>1061</v>
      </c>
      <c r="C164" s="24" t="s">
        <v>487</v>
      </c>
      <c r="D164" s="148">
        <v>3081</v>
      </c>
      <c r="E164" s="29">
        <v>1000</v>
      </c>
      <c r="F164" s="27">
        <v>0</v>
      </c>
      <c r="G164" s="147">
        <v>250</v>
      </c>
      <c r="H164" s="147"/>
      <c r="I164" s="28">
        <f t="shared" si="11"/>
        <v>4331</v>
      </c>
      <c r="J164" s="28">
        <f t="shared" si="12"/>
        <v>122.43</v>
      </c>
      <c r="K164" s="28">
        <f>(D164+E164)*12%</f>
        <v>489.72</v>
      </c>
      <c r="L164" s="28">
        <v>0</v>
      </c>
      <c r="M164" s="28">
        <v>0</v>
      </c>
      <c r="N164" s="28">
        <f t="shared" si="13"/>
        <v>612.15</v>
      </c>
      <c r="O164" s="28">
        <f t="shared" si="14"/>
        <v>3718.85</v>
      </c>
      <c r="P164" s="70">
        <v>0</v>
      </c>
      <c r="Q164" s="12"/>
      <c r="R164" s="12"/>
      <c r="S164" s="12"/>
      <c r="T164" s="12"/>
      <c r="U164" s="12"/>
      <c r="V164" s="12"/>
      <c r="W164" s="12"/>
      <c r="X164" s="12"/>
    </row>
    <row r="165" spans="1:24" s="6" customFormat="1" ht="25.5" x14ac:dyDescent="0.2">
      <c r="A165" s="130">
        <v>155</v>
      </c>
      <c r="B165" s="25" t="s">
        <v>407</v>
      </c>
      <c r="C165" s="26" t="s">
        <v>296</v>
      </c>
      <c r="D165" s="27">
        <v>2375</v>
      </c>
      <c r="E165" s="27">
        <v>1000</v>
      </c>
      <c r="F165" s="27">
        <v>0</v>
      </c>
      <c r="G165" s="27">
        <v>250</v>
      </c>
      <c r="H165" s="147">
        <v>0</v>
      </c>
      <c r="I165" s="28">
        <f t="shared" si="11"/>
        <v>3625</v>
      </c>
      <c r="J165" s="28">
        <f t="shared" si="12"/>
        <v>101.25</v>
      </c>
      <c r="K165" s="28">
        <f>(D165+E165)*11%</f>
        <v>371.25</v>
      </c>
      <c r="L165" s="28">
        <v>0</v>
      </c>
      <c r="M165" s="28">
        <v>45.36</v>
      </c>
      <c r="N165" s="28">
        <f t="shared" si="13"/>
        <v>517.86</v>
      </c>
      <c r="O165" s="28">
        <f t="shared" si="14"/>
        <v>3107.14</v>
      </c>
      <c r="P165" s="70">
        <v>0</v>
      </c>
      <c r="Q165" s="12"/>
      <c r="R165" s="12"/>
      <c r="S165" s="12"/>
      <c r="T165" s="12"/>
      <c r="U165" s="12"/>
      <c r="V165" s="12"/>
      <c r="W165" s="12"/>
      <c r="X165" s="12"/>
    </row>
    <row r="166" spans="1:24" s="6" customFormat="1" x14ac:dyDescent="0.2">
      <c r="A166" s="130">
        <v>156</v>
      </c>
      <c r="B166" s="24" t="s">
        <v>408</v>
      </c>
      <c r="C166" s="24" t="s">
        <v>113</v>
      </c>
      <c r="D166" s="29">
        <v>1668</v>
      </c>
      <c r="E166" s="29">
        <v>1000</v>
      </c>
      <c r="F166" s="27">
        <v>0</v>
      </c>
      <c r="G166" s="147">
        <v>250</v>
      </c>
      <c r="H166" s="147">
        <v>0</v>
      </c>
      <c r="I166" s="28">
        <f t="shared" si="11"/>
        <v>2918</v>
      </c>
      <c r="J166" s="28">
        <f t="shared" si="12"/>
        <v>80.040000000000006</v>
      </c>
      <c r="K166" s="28">
        <f>(D166+E166)*11%</f>
        <v>293.48</v>
      </c>
      <c r="L166" s="28">
        <v>0</v>
      </c>
      <c r="M166" s="28">
        <v>0</v>
      </c>
      <c r="N166" s="28">
        <f t="shared" si="13"/>
        <v>373.52</v>
      </c>
      <c r="O166" s="28">
        <f t="shared" si="14"/>
        <v>2544.48</v>
      </c>
      <c r="P166" s="70">
        <v>0</v>
      </c>
      <c r="Q166" s="12"/>
      <c r="R166" s="12"/>
      <c r="S166" s="12"/>
      <c r="T166" s="12"/>
      <c r="U166" s="12"/>
      <c r="V166" s="12"/>
      <c r="W166" s="12"/>
      <c r="X166" s="12"/>
    </row>
    <row r="167" spans="1:24" s="6" customFormat="1" ht="25.5" x14ac:dyDescent="0.2">
      <c r="A167" s="130">
        <v>157</v>
      </c>
      <c r="B167" s="39" t="s">
        <v>272</v>
      </c>
      <c r="C167" s="26" t="s">
        <v>409</v>
      </c>
      <c r="D167" s="27">
        <v>5787</v>
      </c>
      <c r="E167" s="27">
        <v>1800</v>
      </c>
      <c r="F167" s="27">
        <v>0</v>
      </c>
      <c r="G167" s="27">
        <v>250</v>
      </c>
      <c r="H167" s="147">
        <v>0</v>
      </c>
      <c r="I167" s="28">
        <f t="shared" si="11"/>
        <v>7837</v>
      </c>
      <c r="J167" s="28">
        <f t="shared" si="12"/>
        <v>227.61</v>
      </c>
      <c r="K167" s="28">
        <f>(D167+E167)*12%</f>
        <v>910.44</v>
      </c>
      <c r="L167" s="28">
        <v>131.99</v>
      </c>
      <c r="M167" s="28">
        <v>101.97</v>
      </c>
      <c r="N167" s="28">
        <f t="shared" si="13"/>
        <v>1372.01</v>
      </c>
      <c r="O167" s="28">
        <f t="shared" si="14"/>
        <v>6464.99</v>
      </c>
      <c r="P167" s="70">
        <f>741</f>
        <v>741</v>
      </c>
      <c r="Q167" s="12"/>
      <c r="R167" s="12"/>
      <c r="S167" s="12"/>
      <c r="T167" s="12"/>
      <c r="U167" s="12"/>
      <c r="V167" s="12"/>
      <c r="W167" s="12"/>
      <c r="X167" s="12"/>
    </row>
    <row r="168" spans="1:24" s="6" customFormat="1" ht="25.5" x14ac:dyDescent="0.2">
      <c r="A168" s="130">
        <v>158</v>
      </c>
      <c r="B168" s="24" t="s">
        <v>149</v>
      </c>
      <c r="C168" s="24" t="s">
        <v>346</v>
      </c>
      <c r="D168" s="157">
        <v>2037</v>
      </c>
      <c r="E168" s="29">
        <v>0</v>
      </c>
      <c r="F168" s="27">
        <v>0</v>
      </c>
      <c r="G168" s="147">
        <v>0</v>
      </c>
      <c r="H168" s="147">
        <v>0</v>
      </c>
      <c r="I168" s="28">
        <f t="shared" si="11"/>
        <v>2037</v>
      </c>
      <c r="J168" s="28">
        <f t="shared" si="12"/>
        <v>61.11</v>
      </c>
      <c r="K168" s="28">
        <f>D168*11%</f>
        <v>224.07</v>
      </c>
      <c r="L168" s="28">
        <v>0</v>
      </c>
      <c r="M168" s="28">
        <v>0</v>
      </c>
      <c r="N168" s="28">
        <f t="shared" si="13"/>
        <v>285.18</v>
      </c>
      <c r="O168" s="28">
        <f t="shared" si="14"/>
        <v>1751.82</v>
      </c>
      <c r="P168" s="70">
        <v>0</v>
      </c>
      <c r="Q168" s="12"/>
      <c r="R168" s="12"/>
      <c r="S168" s="12"/>
      <c r="T168" s="12"/>
      <c r="U168" s="12"/>
      <c r="V168" s="12"/>
      <c r="W168" s="12"/>
      <c r="X168" s="12"/>
    </row>
    <row r="169" spans="1:24" s="6" customFormat="1" ht="25.5" x14ac:dyDescent="0.2">
      <c r="A169" s="130">
        <v>159</v>
      </c>
      <c r="B169" s="32" t="s">
        <v>246</v>
      </c>
      <c r="C169" s="24" t="s">
        <v>471</v>
      </c>
      <c r="D169" s="153">
        <v>3241</v>
      </c>
      <c r="E169" s="146">
        <v>1000</v>
      </c>
      <c r="F169" s="27">
        <v>0</v>
      </c>
      <c r="G169" s="147">
        <v>250</v>
      </c>
      <c r="H169" s="147">
        <v>0</v>
      </c>
      <c r="I169" s="28">
        <f t="shared" si="11"/>
        <v>4491</v>
      </c>
      <c r="J169" s="28">
        <f t="shared" si="12"/>
        <v>127.23</v>
      </c>
      <c r="K169" s="28">
        <f>(D169+E169+F169)*12%</f>
        <v>508.92</v>
      </c>
      <c r="L169" s="28">
        <v>0</v>
      </c>
      <c r="M169" s="28">
        <v>57</v>
      </c>
      <c r="N169" s="28">
        <f t="shared" si="13"/>
        <v>693.15</v>
      </c>
      <c r="O169" s="28">
        <f t="shared" si="14"/>
        <v>3797.85</v>
      </c>
      <c r="P169" s="70">
        <f>908</f>
        <v>908</v>
      </c>
      <c r="Q169" s="12"/>
      <c r="R169" s="12"/>
      <c r="S169" s="12"/>
      <c r="T169" s="12"/>
      <c r="U169" s="12"/>
      <c r="V169" s="12"/>
      <c r="W169" s="12"/>
      <c r="X169" s="12"/>
    </row>
    <row r="170" spans="1:24" s="6" customFormat="1" ht="25.5" x14ac:dyDescent="0.2">
      <c r="A170" s="130">
        <v>160</v>
      </c>
      <c r="B170" s="32" t="s">
        <v>410</v>
      </c>
      <c r="C170" s="26" t="s">
        <v>487</v>
      </c>
      <c r="D170" s="178">
        <v>3081</v>
      </c>
      <c r="E170" s="29">
        <v>1000</v>
      </c>
      <c r="F170" s="27">
        <v>0</v>
      </c>
      <c r="G170" s="147">
        <v>250</v>
      </c>
      <c r="H170" s="147">
        <v>0</v>
      </c>
      <c r="I170" s="28">
        <f t="shared" si="11"/>
        <v>4331</v>
      </c>
      <c r="J170" s="28">
        <f t="shared" si="12"/>
        <v>122.43</v>
      </c>
      <c r="K170" s="28">
        <f>(D170+E170)*12%</f>
        <v>489.72</v>
      </c>
      <c r="L170" s="28">
        <v>0</v>
      </c>
      <c r="M170" s="28">
        <v>54.85</v>
      </c>
      <c r="N170" s="28">
        <f t="shared" si="13"/>
        <v>667</v>
      </c>
      <c r="O170" s="28">
        <f t="shared" si="14"/>
        <v>3664</v>
      </c>
      <c r="P170" s="70">
        <v>0</v>
      </c>
      <c r="Q170" s="12"/>
      <c r="R170" s="12"/>
      <c r="S170" s="12"/>
      <c r="T170" s="12"/>
      <c r="U170" s="12"/>
      <c r="V170" s="12"/>
      <c r="W170" s="12"/>
      <c r="X170" s="12"/>
    </row>
    <row r="171" spans="1:24" s="6" customFormat="1" ht="25.5" x14ac:dyDescent="0.2">
      <c r="A171" s="130">
        <v>161</v>
      </c>
      <c r="B171" s="226" t="s">
        <v>1009</v>
      </c>
      <c r="C171" s="23" t="s">
        <v>110</v>
      </c>
      <c r="D171" s="222">
        <v>2920</v>
      </c>
      <c r="E171" s="29">
        <v>1000</v>
      </c>
      <c r="F171" s="27">
        <v>0</v>
      </c>
      <c r="G171" s="147">
        <v>250</v>
      </c>
      <c r="H171" s="147">
        <v>0</v>
      </c>
      <c r="I171" s="28">
        <f t="shared" si="11"/>
        <v>4170</v>
      </c>
      <c r="J171" s="28">
        <f t="shared" si="12"/>
        <v>117.6</v>
      </c>
      <c r="K171" s="28">
        <f>(D171+E171)*11%</f>
        <v>431.2</v>
      </c>
      <c r="L171" s="28">
        <v>0</v>
      </c>
      <c r="M171" s="28">
        <v>52.68</v>
      </c>
      <c r="N171" s="28">
        <f t="shared" si="13"/>
        <v>601.48</v>
      </c>
      <c r="O171" s="28">
        <f t="shared" si="14"/>
        <v>3568.52</v>
      </c>
      <c r="P171" s="70">
        <v>0</v>
      </c>
      <c r="Q171" s="12"/>
      <c r="R171" s="12"/>
      <c r="S171" s="12"/>
      <c r="T171" s="12"/>
      <c r="U171" s="12"/>
      <c r="V171" s="12"/>
      <c r="W171" s="12"/>
      <c r="X171" s="12"/>
    </row>
    <row r="172" spans="1:24" s="6" customFormat="1" ht="25.5" x14ac:dyDescent="0.2">
      <c r="A172" s="130">
        <v>162</v>
      </c>
      <c r="B172" s="24" t="s">
        <v>299</v>
      </c>
      <c r="C172" s="24" t="s">
        <v>328</v>
      </c>
      <c r="D172" s="148">
        <v>2425</v>
      </c>
      <c r="E172" s="29">
        <v>0</v>
      </c>
      <c r="F172" s="27">
        <v>0</v>
      </c>
      <c r="G172" s="147">
        <v>0</v>
      </c>
      <c r="H172" s="147">
        <v>0</v>
      </c>
      <c r="I172" s="28">
        <f t="shared" si="11"/>
        <v>2425</v>
      </c>
      <c r="J172" s="28">
        <f t="shared" si="12"/>
        <v>72.75</v>
      </c>
      <c r="K172" s="28">
        <f>D172*11%</f>
        <v>266.75</v>
      </c>
      <c r="L172" s="28">
        <v>0</v>
      </c>
      <c r="M172" s="28">
        <v>0</v>
      </c>
      <c r="N172" s="28">
        <f t="shared" si="13"/>
        <v>339.5</v>
      </c>
      <c r="O172" s="28">
        <f t="shared" si="14"/>
        <v>2085.5</v>
      </c>
      <c r="P172" s="70">
        <v>0</v>
      </c>
      <c r="Q172" s="12"/>
      <c r="R172" s="12"/>
      <c r="S172" s="12"/>
      <c r="T172" s="12"/>
      <c r="U172" s="12"/>
      <c r="V172" s="12"/>
      <c r="W172" s="12"/>
      <c r="X172" s="12"/>
    </row>
    <row r="173" spans="1:24" s="6" customFormat="1" ht="25.5" x14ac:dyDescent="0.2">
      <c r="A173" s="130">
        <v>163</v>
      </c>
      <c r="B173" s="24" t="s">
        <v>101</v>
      </c>
      <c r="C173" s="24" t="s">
        <v>331</v>
      </c>
      <c r="D173" s="148">
        <v>1940</v>
      </c>
      <c r="E173" s="29">
        <v>0</v>
      </c>
      <c r="F173" s="27">
        <v>0</v>
      </c>
      <c r="G173" s="147">
        <v>0</v>
      </c>
      <c r="H173" s="147">
        <v>0</v>
      </c>
      <c r="I173" s="28">
        <f t="shared" si="11"/>
        <v>1940</v>
      </c>
      <c r="J173" s="28">
        <f t="shared" si="12"/>
        <v>58.2</v>
      </c>
      <c r="K173" s="28">
        <f>D173*10%</f>
        <v>194</v>
      </c>
      <c r="L173" s="28">
        <v>0</v>
      </c>
      <c r="M173" s="28">
        <v>0</v>
      </c>
      <c r="N173" s="28">
        <f t="shared" si="13"/>
        <v>252.2</v>
      </c>
      <c r="O173" s="28">
        <f t="shared" si="14"/>
        <v>1687.8</v>
      </c>
      <c r="P173" s="70">
        <v>0</v>
      </c>
      <c r="Q173" s="12"/>
      <c r="R173" s="12"/>
      <c r="S173" s="12"/>
      <c r="T173" s="12"/>
      <c r="U173" s="12"/>
      <c r="V173" s="12"/>
      <c r="W173" s="12"/>
      <c r="X173" s="12"/>
    </row>
    <row r="174" spans="1:24" s="6" customFormat="1" ht="25.5" x14ac:dyDescent="0.2">
      <c r="A174" s="130">
        <v>164</v>
      </c>
      <c r="B174" s="31" t="s">
        <v>235</v>
      </c>
      <c r="C174" s="24" t="s">
        <v>498</v>
      </c>
      <c r="D174" s="27">
        <v>3241</v>
      </c>
      <c r="E174" s="27">
        <v>1000</v>
      </c>
      <c r="F174" s="27">
        <v>0</v>
      </c>
      <c r="G174" s="27">
        <v>250</v>
      </c>
      <c r="H174" s="147">
        <v>0</v>
      </c>
      <c r="I174" s="28">
        <f t="shared" si="11"/>
        <v>4491</v>
      </c>
      <c r="J174" s="28">
        <f t="shared" si="12"/>
        <v>127.23</v>
      </c>
      <c r="K174" s="28">
        <f>(D174+E174)*12%</f>
        <v>508.92</v>
      </c>
      <c r="L174" s="28">
        <v>0</v>
      </c>
      <c r="M174" s="28">
        <v>0</v>
      </c>
      <c r="N174" s="28">
        <f t="shared" si="13"/>
        <v>636.15</v>
      </c>
      <c r="O174" s="28">
        <f t="shared" si="14"/>
        <v>3854.85</v>
      </c>
      <c r="P174" s="70">
        <v>1050</v>
      </c>
      <c r="Q174" s="12"/>
      <c r="R174" s="12"/>
      <c r="S174" s="12"/>
      <c r="T174" s="12"/>
      <c r="U174" s="12"/>
      <c r="V174" s="12"/>
      <c r="W174" s="12"/>
      <c r="X174" s="12"/>
    </row>
    <row r="175" spans="1:24" s="6" customFormat="1" x14ac:dyDescent="0.2">
      <c r="A175" s="130">
        <v>165</v>
      </c>
      <c r="B175" s="24" t="s">
        <v>411</v>
      </c>
      <c r="C175" s="24" t="s">
        <v>111</v>
      </c>
      <c r="D175" s="29">
        <v>1902</v>
      </c>
      <c r="E175" s="29">
        <v>1000</v>
      </c>
      <c r="F175" s="27">
        <v>0</v>
      </c>
      <c r="G175" s="147">
        <v>250</v>
      </c>
      <c r="H175" s="147">
        <v>0</v>
      </c>
      <c r="I175" s="28">
        <f t="shared" si="11"/>
        <v>3152</v>
      </c>
      <c r="J175" s="28">
        <f t="shared" si="12"/>
        <v>87.06</v>
      </c>
      <c r="K175" s="28">
        <f>(D175+E175)*11%</f>
        <v>319.22000000000003</v>
      </c>
      <c r="L175" s="28">
        <v>0</v>
      </c>
      <c r="M175" s="28">
        <v>0</v>
      </c>
      <c r="N175" s="28">
        <f t="shared" si="13"/>
        <v>406.28</v>
      </c>
      <c r="O175" s="28">
        <f t="shared" si="14"/>
        <v>2745.72</v>
      </c>
      <c r="P175" s="70">
        <v>0</v>
      </c>
      <c r="Q175" s="12"/>
      <c r="R175" s="12"/>
      <c r="S175" s="12"/>
      <c r="T175" s="12"/>
      <c r="U175" s="12"/>
      <c r="V175" s="12"/>
      <c r="W175" s="12"/>
      <c r="X175" s="12"/>
    </row>
    <row r="176" spans="1:24" s="6" customFormat="1" ht="25.5" x14ac:dyDescent="0.2">
      <c r="A176" s="130">
        <v>166</v>
      </c>
      <c r="B176" s="24" t="s">
        <v>348</v>
      </c>
      <c r="C176" s="24" t="s">
        <v>331</v>
      </c>
      <c r="D176" s="29">
        <v>1940</v>
      </c>
      <c r="E176" s="29">
        <v>0</v>
      </c>
      <c r="F176" s="27">
        <v>0</v>
      </c>
      <c r="G176" s="147">
        <v>0</v>
      </c>
      <c r="H176" s="147">
        <v>0</v>
      </c>
      <c r="I176" s="28">
        <f t="shared" si="11"/>
        <v>1940</v>
      </c>
      <c r="J176" s="28">
        <f t="shared" si="12"/>
        <v>58.2</v>
      </c>
      <c r="K176" s="28">
        <f>D176*10%</f>
        <v>194</v>
      </c>
      <c r="L176" s="28">
        <v>0</v>
      </c>
      <c r="M176" s="28">
        <v>0</v>
      </c>
      <c r="N176" s="28">
        <f t="shared" si="13"/>
        <v>252.2</v>
      </c>
      <c r="O176" s="28">
        <f t="shared" si="14"/>
        <v>1687.8</v>
      </c>
      <c r="P176" s="70">
        <v>0</v>
      </c>
      <c r="Q176" s="12"/>
      <c r="R176" s="12"/>
      <c r="S176" s="12"/>
      <c r="T176" s="12"/>
      <c r="U176" s="12"/>
      <c r="V176" s="12"/>
      <c r="W176" s="12"/>
      <c r="X176" s="12"/>
    </row>
    <row r="177" spans="1:24" s="6" customFormat="1" x14ac:dyDescent="0.2">
      <c r="A177" s="130">
        <v>167</v>
      </c>
      <c r="B177" s="24" t="s">
        <v>300</v>
      </c>
      <c r="C177" s="24" t="s">
        <v>111</v>
      </c>
      <c r="D177" s="29">
        <v>1902</v>
      </c>
      <c r="E177" s="29">
        <v>1000</v>
      </c>
      <c r="F177" s="27">
        <v>0</v>
      </c>
      <c r="G177" s="147">
        <v>250</v>
      </c>
      <c r="H177" s="147">
        <v>0</v>
      </c>
      <c r="I177" s="28">
        <f t="shared" si="11"/>
        <v>3152</v>
      </c>
      <c r="J177" s="28">
        <f t="shared" si="12"/>
        <v>87.06</v>
      </c>
      <c r="K177" s="28">
        <f>(D177+E177)*11%</f>
        <v>319.22000000000003</v>
      </c>
      <c r="L177" s="28">
        <v>0</v>
      </c>
      <c r="M177" s="28">
        <v>0</v>
      </c>
      <c r="N177" s="28">
        <f t="shared" si="13"/>
        <v>406.28</v>
      </c>
      <c r="O177" s="28">
        <f t="shared" si="14"/>
        <v>2745.72</v>
      </c>
      <c r="P177" s="70">
        <v>0</v>
      </c>
      <c r="Q177" s="12"/>
      <c r="R177" s="12"/>
      <c r="S177" s="12"/>
      <c r="T177" s="12"/>
      <c r="U177" s="12"/>
      <c r="V177" s="12"/>
      <c r="W177" s="12"/>
      <c r="X177" s="12"/>
    </row>
    <row r="178" spans="1:24" s="6" customFormat="1" ht="25.5" x14ac:dyDescent="0.2">
      <c r="A178" s="130">
        <v>168</v>
      </c>
      <c r="B178" s="24" t="s">
        <v>273</v>
      </c>
      <c r="C178" s="24" t="s">
        <v>506</v>
      </c>
      <c r="D178" s="29">
        <v>5373</v>
      </c>
      <c r="E178" s="29">
        <v>3000</v>
      </c>
      <c r="F178" s="27">
        <v>0</v>
      </c>
      <c r="G178" s="147">
        <v>250</v>
      </c>
      <c r="H178" s="147">
        <v>0</v>
      </c>
      <c r="I178" s="28">
        <f t="shared" si="11"/>
        <v>8623</v>
      </c>
      <c r="J178" s="28">
        <f t="shared" si="12"/>
        <v>251.19</v>
      </c>
      <c r="K178" s="28">
        <f>(D178+E178)*14%</f>
        <v>1172.22</v>
      </c>
      <c r="L178" s="28">
        <v>160.81</v>
      </c>
      <c r="M178" s="28">
        <v>112.53</v>
      </c>
      <c r="N178" s="28">
        <f t="shared" si="13"/>
        <v>1696.75</v>
      </c>
      <c r="O178" s="28">
        <f t="shared" si="14"/>
        <v>6926.25</v>
      </c>
      <c r="P178" s="70">
        <v>0</v>
      </c>
      <c r="Q178" s="12"/>
      <c r="R178" s="12"/>
      <c r="S178" s="12"/>
      <c r="T178" s="12"/>
      <c r="U178" s="12"/>
      <c r="V178" s="12"/>
      <c r="W178" s="12"/>
      <c r="X178" s="12"/>
    </row>
    <row r="179" spans="1:24" s="6" customFormat="1" ht="25.5" x14ac:dyDescent="0.2">
      <c r="A179" s="130">
        <v>169</v>
      </c>
      <c r="B179" s="23" t="s">
        <v>84</v>
      </c>
      <c r="C179" s="24" t="s">
        <v>328</v>
      </c>
      <c r="D179" s="29">
        <v>2425</v>
      </c>
      <c r="E179" s="29">
        <v>0</v>
      </c>
      <c r="F179" s="27">
        <v>0</v>
      </c>
      <c r="G179" s="147">
        <v>0</v>
      </c>
      <c r="H179" s="147">
        <v>0</v>
      </c>
      <c r="I179" s="28">
        <f t="shared" si="11"/>
        <v>2425</v>
      </c>
      <c r="J179" s="28">
        <f t="shared" si="12"/>
        <v>72.75</v>
      </c>
      <c r="K179" s="28">
        <f>D179*11%</f>
        <v>266.75</v>
      </c>
      <c r="L179" s="28">
        <v>0</v>
      </c>
      <c r="M179" s="28">
        <v>0</v>
      </c>
      <c r="N179" s="28">
        <f t="shared" si="13"/>
        <v>339.5</v>
      </c>
      <c r="O179" s="28">
        <f t="shared" si="14"/>
        <v>2085.5</v>
      </c>
      <c r="P179" s="70">
        <v>0</v>
      </c>
      <c r="Q179" s="12"/>
      <c r="R179" s="12"/>
      <c r="S179" s="12"/>
      <c r="T179" s="12"/>
      <c r="U179" s="12"/>
      <c r="V179" s="12"/>
      <c r="W179" s="12"/>
      <c r="X179" s="12"/>
    </row>
    <row r="180" spans="1:24" s="6" customFormat="1" ht="25.5" x14ac:dyDescent="0.2">
      <c r="A180" s="130">
        <v>170</v>
      </c>
      <c r="B180" s="24" t="s">
        <v>445</v>
      </c>
      <c r="C180" s="24" t="s">
        <v>331</v>
      </c>
      <c r="D180" s="29">
        <v>1940</v>
      </c>
      <c r="E180" s="29">
        <f>2000</f>
        <v>2000</v>
      </c>
      <c r="F180" s="27">
        <v>0</v>
      </c>
      <c r="G180" s="147">
        <v>250</v>
      </c>
      <c r="H180" s="147">
        <v>0</v>
      </c>
      <c r="I180" s="28">
        <f t="shared" si="11"/>
        <v>4190</v>
      </c>
      <c r="J180" s="28">
        <f t="shared" si="12"/>
        <v>118.2</v>
      </c>
      <c r="K180" s="28">
        <f>(D180+E180)*11%</f>
        <v>433.4</v>
      </c>
      <c r="L180" s="28">
        <v>0</v>
      </c>
      <c r="M180" s="28">
        <v>0</v>
      </c>
      <c r="N180" s="28">
        <f t="shared" si="13"/>
        <v>551.6</v>
      </c>
      <c r="O180" s="28">
        <f t="shared" si="14"/>
        <v>3638.4</v>
      </c>
      <c r="P180" s="70">
        <v>0</v>
      </c>
      <c r="Q180" s="12"/>
      <c r="R180" s="12"/>
      <c r="S180" s="12"/>
      <c r="T180" s="12"/>
      <c r="U180" s="12"/>
      <c r="V180" s="12"/>
      <c r="W180" s="12"/>
      <c r="X180" s="12"/>
    </row>
    <row r="181" spans="1:24" s="6" customFormat="1" ht="25.5" x14ac:dyDescent="0.2">
      <c r="A181" s="130">
        <v>171</v>
      </c>
      <c r="B181" s="25" t="s">
        <v>45</v>
      </c>
      <c r="C181" s="24" t="s">
        <v>471</v>
      </c>
      <c r="D181" s="27">
        <v>3241</v>
      </c>
      <c r="E181" s="27">
        <v>1000</v>
      </c>
      <c r="F181" s="27">
        <v>0</v>
      </c>
      <c r="G181" s="27">
        <v>250</v>
      </c>
      <c r="H181" s="147">
        <v>0</v>
      </c>
      <c r="I181" s="28">
        <f t="shared" si="11"/>
        <v>4491</v>
      </c>
      <c r="J181" s="28">
        <f t="shared" si="12"/>
        <v>127.23</v>
      </c>
      <c r="K181" s="28">
        <v>508.92</v>
      </c>
      <c r="L181" s="27">
        <v>0</v>
      </c>
      <c r="M181" s="27">
        <v>57</v>
      </c>
      <c r="N181" s="27">
        <f>SUM(J181:M181)</f>
        <v>693.15</v>
      </c>
      <c r="O181" s="28">
        <f t="shared" si="14"/>
        <v>3797.85</v>
      </c>
      <c r="P181" s="70">
        <v>0</v>
      </c>
      <c r="Q181" s="12"/>
      <c r="R181" s="12"/>
      <c r="S181" s="12"/>
      <c r="T181" s="12"/>
      <c r="U181" s="12"/>
      <c r="V181" s="12"/>
      <c r="W181" s="12"/>
      <c r="X181" s="12"/>
    </row>
    <row r="182" spans="1:24" s="6" customFormat="1" ht="25.5" x14ac:dyDescent="0.2">
      <c r="A182" s="130">
        <v>172</v>
      </c>
      <c r="B182" s="24" t="s">
        <v>459</v>
      </c>
      <c r="C182" s="26" t="s">
        <v>154</v>
      </c>
      <c r="D182" s="27">
        <v>2920</v>
      </c>
      <c r="E182" s="164">
        <v>1000</v>
      </c>
      <c r="F182" s="146">
        <v>0</v>
      </c>
      <c r="G182" s="146">
        <v>250</v>
      </c>
      <c r="H182" s="147">
        <v>0</v>
      </c>
      <c r="I182" s="28">
        <f t="shared" si="11"/>
        <v>4170</v>
      </c>
      <c r="J182" s="28">
        <f t="shared" si="12"/>
        <v>117.6</v>
      </c>
      <c r="K182" s="28">
        <f>(D182+E182)*11%</f>
        <v>431.2</v>
      </c>
      <c r="L182" s="28">
        <v>0</v>
      </c>
      <c r="M182" s="28">
        <v>0</v>
      </c>
      <c r="N182" s="28">
        <f t="shared" si="13"/>
        <v>548.79999999999995</v>
      </c>
      <c r="O182" s="28">
        <f t="shared" si="14"/>
        <v>3621.2</v>
      </c>
      <c r="P182" s="70">
        <v>0</v>
      </c>
      <c r="Q182" s="12"/>
      <c r="R182" s="12"/>
      <c r="S182" s="12"/>
      <c r="T182" s="12"/>
      <c r="U182" s="12"/>
      <c r="V182" s="12"/>
      <c r="W182" s="12"/>
      <c r="X182" s="12"/>
    </row>
    <row r="183" spans="1:24" s="6" customFormat="1" ht="25.5" x14ac:dyDescent="0.2">
      <c r="A183" s="130">
        <v>173</v>
      </c>
      <c r="B183" s="24" t="s">
        <v>182</v>
      </c>
      <c r="C183" s="26" t="s">
        <v>487</v>
      </c>
      <c r="D183" s="29">
        <v>3081</v>
      </c>
      <c r="E183" s="29">
        <v>1000</v>
      </c>
      <c r="F183" s="27">
        <v>0</v>
      </c>
      <c r="G183" s="147">
        <v>250</v>
      </c>
      <c r="H183" s="147">
        <v>0</v>
      </c>
      <c r="I183" s="28">
        <f t="shared" si="11"/>
        <v>4331</v>
      </c>
      <c r="J183" s="28">
        <f t="shared" si="12"/>
        <v>122.43</v>
      </c>
      <c r="K183" s="28">
        <f>(D183+E183)*12%</f>
        <v>489.72</v>
      </c>
      <c r="L183" s="28">
        <v>0</v>
      </c>
      <c r="M183" s="28">
        <v>54.85</v>
      </c>
      <c r="N183" s="28">
        <f t="shared" si="13"/>
        <v>667</v>
      </c>
      <c r="O183" s="28">
        <f t="shared" si="14"/>
        <v>3664</v>
      </c>
      <c r="P183" s="70">
        <f>942</f>
        <v>942</v>
      </c>
      <c r="Q183" s="12"/>
      <c r="R183" s="12"/>
      <c r="S183" s="12"/>
      <c r="T183" s="12"/>
      <c r="U183" s="12"/>
      <c r="V183" s="12"/>
      <c r="W183" s="12"/>
      <c r="X183" s="12"/>
    </row>
    <row r="184" spans="1:24" s="6" customFormat="1" ht="25.5" x14ac:dyDescent="0.2">
      <c r="A184" s="130">
        <v>174</v>
      </c>
      <c r="B184" s="31" t="s">
        <v>301</v>
      </c>
      <c r="C184" s="26" t="s">
        <v>507</v>
      </c>
      <c r="D184" s="27">
        <v>2631</v>
      </c>
      <c r="E184" s="27">
        <v>1000</v>
      </c>
      <c r="F184" s="27">
        <v>0</v>
      </c>
      <c r="G184" s="27">
        <v>250</v>
      </c>
      <c r="H184" s="147">
        <v>0</v>
      </c>
      <c r="I184" s="28">
        <f t="shared" si="11"/>
        <v>3881</v>
      </c>
      <c r="J184" s="28">
        <f t="shared" si="12"/>
        <v>108.93</v>
      </c>
      <c r="K184" s="28">
        <f>(D184+E184)*11%</f>
        <v>399.41</v>
      </c>
      <c r="L184" s="28">
        <v>0</v>
      </c>
      <c r="M184" s="28">
        <v>48.8</v>
      </c>
      <c r="N184" s="28">
        <f t="shared" si="13"/>
        <v>557.14</v>
      </c>
      <c r="O184" s="28">
        <f t="shared" si="14"/>
        <v>3323.86</v>
      </c>
      <c r="P184" s="70">
        <v>0</v>
      </c>
      <c r="Q184" s="12"/>
      <c r="R184" s="12"/>
      <c r="S184" s="12"/>
      <c r="T184" s="12"/>
      <c r="U184" s="12"/>
      <c r="V184" s="12"/>
      <c r="W184" s="12"/>
      <c r="X184" s="12"/>
    </row>
    <row r="185" spans="1:24" s="6" customFormat="1" ht="25.5" x14ac:dyDescent="0.2">
      <c r="A185" s="130">
        <v>175</v>
      </c>
      <c r="B185" s="25" t="s">
        <v>412</v>
      </c>
      <c r="C185" s="26" t="s">
        <v>505</v>
      </c>
      <c r="D185" s="27">
        <v>3241</v>
      </c>
      <c r="E185" s="27">
        <v>1000</v>
      </c>
      <c r="F185" s="27">
        <v>0</v>
      </c>
      <c r="G185" s="27">
        <v>250</v>
      </c>
      <c r="H185" s="147">
        <v>0</v>
      </c>
      <c r="I185" s="28">
        <f t="shared" si="11"/>
        <v>4491</v>
      </c>
      <c r="J185" s="28">
        <f t="shared" si="12"/>
        <v>127.23</v>
      </c>
      <c r="K185" s="28">
        <f>(D185+E185)*12%</f>
        <v>508.92</v>
      </c>
      <c r="L185" s="28">
        <v>0</v>
      </c>
      <c r="M185" s="28">
        <v>0</v>
      </c>
      <c r="N185" s="28">
        <f t="shared" si="13"/>
        <v>636.15</v>
      </c>
      <c r="O185" s="28">
        <f t="shared" si="14"/>
        <v>3854.85</v>
      </c>
      <c r="P185" s="70">
        <v>0</v>
      </c>
      <c r="Q185" s="12"/>
      <c r="R185" s="12"/>
      <c r="S185" s="12"/>
      <c r="T185" s="12"/>
      <c r="U185" s="12"/>
      <c r="V185" s="12"/>
      <c r="W185" s="12"/>
      <c r="X185" s="12"/>
    </row>
    <row r="186" spans="1:24" s="6" customFormat="1" ht="25.5" x14ac:dyDescent="0.2">
      <c r="A186" s="130">
        <v>176</v>
      </c>
      <c r="B186" s="22" t="s">
        <v>166</v>
      </c>
      <c r="C186" s="24" t="s">
        <v>288</v>
      </c>
      <c r="D186" s="29">
        <v>2249</v>
      </c>
      <c r="E186" s="146">
        <v>1000</v>
      </c>
      <c r="F186" s="27">
        <v>0</v>
      </c>
      <c r="G186" s="147">
        <v>250</v>
      </c>
      <c r="H186" s="147">
        <v>0</v>
      </c>
      <c r="I186" s="28">
        <f t="shared" si="11"/>
        <v>3499</v>
      </c>
      <c r="J186" s="28">
        <f t="shared" si="12"/>
        <v>97.47</v>
      </c>
      <c r="K186" s="28">
        <f>(D186+E186)*11%</f>
        <v>357.39</v>
      </c>
      <c r="L186" s="28">
        <v>0</v>
      </c>
      <c r="M186" s="28">
        <v>0</v>
      </c>
      <c r="N186" s="28">
        <f t="shared" si="13"/>
        <v>454.86</v>
      </c>
      <c r="O186" s="28">
        <f t="shared" si="14"/>
        <v>3044.14</v>
      </c>
      <c r="P186" s="70">
        <v>0</v>
      </c>
      <c r="Q186" s="12"/>
      <c r="R186" s="12"/>
      <c r="S186" s="12"/>
      <c r="T186" s="12"/>
      <c r="U186" s="12"/>
      <c r="V186" s="12"/>
      <c r="W186" s="12"/>
      <c r="X186" s="12"/>
    </row>
    <row r="187" spans="1:24" s="6" customFormat="1" ht="25.5" x14ac:dyDescent="0.2">
      <c r="A187" s="130">
        <v>177</v>
      </c>
      <c r="B187" s="24" t="s">
        <v>274</v>
      </c>
      <c r="C187" s="24" t="s">
        <v>331</v>
      </c>
      <c r="D187" s="29">
        <v>2425</v>
      </c>
      <c r="E187" s="29">
        <v>0</v>
      </c>
      <c r="F187" s="27">
        <v>0</v>
      </c>
      <c r="G187" s="147">
        <v>0</v>
      </c>
      <c r="H187" s="147">
        <v>0</v>
      </c>
      <c r="I187" s="28">
        <f t="shared" si="11"/>
        <v>2425</v>
      </c>
      <c r="J187" s="28">
        <f t="shared" si="12"/>
        <v>72.75</v>
      </c>
      <c r="K187" s="28">
        <f>D187*11%</f>
        <v>266.75</v>
      </c>
      <c r="L187" s="28">
        <v>0</v>
      </c>
      <c r="M187" s="28">
        <v>0</v>
      </c>
      <c r="N187" s="28">
        <f t="shared" si="13"/>
        <v>339.5</v>
      </c>
      <c r="O187" s="28">
        <f t="shared" ref="O187:O221" si="15">I187-N187</f>
        <v>2085.5</v>
      </c>
      <c r="P187" s="70">
        <v>0</v>
      </c>
      <c r="Q187" s="12"/>
      <c r="R187" s="12"/>
      <c r="S187" s="12"/>
      <c r="T187" s="12"/>
      <c r="U187" s="12"/>
      <c r="V187" s="12"/>
      <c r="W187" s="12"/>
      <c r="X187" s="12"/>
    </row>
    <row r="188" spans="1:24" s="6" customFormat="1" x14ac:dyDescent="0.2">
      <c r="A188" s="130">
        <v>178</v>
      </c>
      <c r="B188" s="24" t="s">
        <v>982</v>
      </c>
      <c r="C188" s="24" t="s">
        <v>983</v>
      </c>
      <c r="D188" s="29">
        <v>1902</v>
      </c>
      <c r="E188" s="29">
        <v>1000</v>
      </c>
      <c r="F188" s="27">
        <v>0</v>
      </c>
      <c r="G188" s="147">
        <v>250</v>
      </c>
      <c r="H188" s="147">
        <v>0</v>
      </c>
      <c r="I188" s="28">
        <f t="shared" si="11"/>
        <v>3152</v>
      </c>
      <c r="J188" s="28">
        <f t="shared" si="12"/>
        <v>87.06</v>
      </c>
      <c r="K188" s="28">
        <f>D188*11%</f>
        <v>209.22</v>
      </c>
      <c r="L188" s="28">
        <v>0</v>
      </c>
      <c r="M188" s="28">
        <v>39</v>
      </c>
      <c r="N188" s="28">
        <f t="shared" si="13"/>
        <v>335.28</v>
      </c>
      <c r="O188" s="28">
        <f t="shared" si="15"/>
        <v>2816.72</v>
      </c>
      <c r="P188" s="70">
        <v>0</v>
      </c>
      <c r="Q188" s="12"/>
      <c r="R188" s="12"/>
      <c r="S188" s="12"/>
      <c r="T188" s="12"/>
      <c r="U188" s="12"/>
      <c r="V188" s="12"/>
      <c r="W188" s="12"/>
      <c r="X188" s="12"/>
    </row>
    <row r="189" spans="1:24" s="6" customFormat="1" ht="25.5" x14ac:dyDescent="0.2">
      <c r="A189" s="130">
        <v>179</v>
      </c>
      <c r="B189" s="25" t="s">
        <v>302</v>
      </c>
      <c r="C189" s="24" t="s">
        <v>289</v>
      </c>
      <c r="D189" s="27">
        <v>1831</v>
      </c>
      <c r="E189" s="27">
        <v>1000</v>
      </c>
      <c r="F189" s="27">
        <v>0</v>
      </c>
      <c r="G189" s="27">
        <v>250</v>
      </c>
      <c r="H189" s="147">
        <v>0</v>
      </c>
      <c r="I189" s="28">
        <f t="shared" si="11"/>
        <v>3081</v>
      </c>
      <c r="J189" s="28">
        <f t="shared" si="12"/>
        <v>84.93</v>
      </c>
      <c r="K189" s="28">
        <f>(D189+E189)*12%</f>
        <v>339.72</v>
      </c>
      <c r="L189" s="28">
        <v>0</v>
      </c>
      <c r="M189" s="28">
        <v>38.049999999999997</v>
      </c>
      <c r="N189" s="28">
        <f t="shared" si="13"/>
        <v>462.7</v>
      </c>
      <c r="O189" s="28">
        <f t="shared" si="15"/>
        <v>2618.3000000000002</v>
      </c>
      <c r="P189" s="70">
        <f>500</f>
        <v>500</v>
      </c>
      <c r="Q189" s="12"/>
      <c r="R189" s="12"/>
      <c r="S189" s="12"/>
      <c r="T189" s="12"/>
      <c r="U189" s="12"/>
      <c r="V189" s="12"/>
      <c r="W189" s="12"/>
      <c r="X189" s="12"/>
    </row>
    <row r="190" spans="1:24" s="6" customFormat="1" ht="25.5" x14ac:dyDescent="0.2">
      <c r="A190" s="130">
        <v>180</v>
      </c>
      <c r="B190" s="25" t="s">
        <v>997</v>
      </c>
      <c r="C190" s="24" t="s">
        <v>999</v>
      </c>
      <c r="D190" s="27">
        <v>3081</v>
      </c>
      <c r="E190" s="27">
        <v>1000</v>
      </c>
      <c r="F190" s="27">
        <v>0</v>
      </c>
      <c r="G190" s="27">
        <v>250</v>
      </c>
      <c r="H190" s="147">
        <v>0</v>
      </c>
      <c r="I190" s="28">
        <f>SUM(D190:H190)</f>
        <v>4331</v>
      </c>
      <c r="J190" s="28">
        <f t="shared" si="12"/>
        <v>122.43</v>
      </c>
      <c r="K190" s="28">
        <f>(D190+E190)*12%</f>
        <v>489.72</v>
      </c>
      <c r="L190" s="28">
        <v>0</v>
      </c>
      <c r="M190" s="28">
        <v>0</v>
      </c>
      <c r="N190" s="28">
        <f t="shared" si="13"/>
        <v>612.15</v>
      </c>
      <c r="O190" s="28">
        <f t="shared" si="15"/>
        <v>3718.85</v>
      </c>
      <c r="P190" s="70">
        <f>321.3</f>
        <v>321.3</v>
      </c>
      <c r="Q190" s="12"/>
      <c r="R190" s="12"/>
      <c r="S190" s="12"/>
      <c r="T190" s="12"/>
      <c r="U190" s="12"/>
      <c r="V190" s="12"/>
      <c r="W190" s="12"/>
      <c r="X190" s="12"/>
    </row>
    <row r="191" spans="1:24" s="6" customFormat="1" ht="25.5" x14ac:dyDescent="0.2">
      <c r="A191" s="130">
        <v>181</v>
      </c>
      <c r="B191" s="41" t="s">
        <v>349</v>
      </c>
      <c r="C191" s="24" t="s">
        <v>328</v>
      </c>
      <c r="D191" s="148">
        <v>2425</v>
      </c>
      <c r="E191" s="29">
        <v>0</v>
      </c>
      <c r="F191" s="27">
        <v>0</v>
      </c>
      <c r="G191" s="147">
        <v>0</v>
      </c>
      <c r="H191" s="147">
        <v>0</v>
      </c>
      <c r="I191" s="28">
        <f t="shared" si="11"/>
        <v>2425</v>
      </c>
      <c r="J191" s="28">
        <f t="shared" si="12"/>
        <v>72.75</v>
      </c>
      <c r="K191" s="28">
        <f>D191*11%</f>
        <v>266.75</v>
      </c>
      <c r="L191" s="28">
        <v>0</v>
      </c>
      <c r="M191" s="28">
        <v>0</v>
      </c>
      <c r="N191" s="28">
        <f t="shared" si="13"/>
        <v>339.5</v>
      </c>
      <c r="O191" s="28">
        <f t="shared" si="15"/>
        <v>2085.5</v>
      </c>
      <c r="P191" s="70">
        <v>0</v>
      </c>
      <c r="Q191" s="12"/>
      <c r="R191" s="12"/>
      <c r="S191" s="12"/>
      <c r="T191" s="12"/>
      <c r="U191" s="12"/>
      <c r="V191" s="12"/>
      <c r="W191" s="12"/>
      <c r="X191" s="12"/>
    </row>
    <row r="192" spans="1:24" s="6" customFormat="1" ht="25.5" x14ac:dyDescent="0.2">
      <c r="A192" s="130">
        <v>182</v>
      </c>
      <c r="B192" s="24" t="s">
        <v>303</v>
      </c>
      <c r="C192" s="24" t="s">
        <v>331</v>
      </c>
      <c r="D192" s="148">
        <v>1940</v>
      </c>
      <c r="E192" s="29">
        <v>0</v>
      </c>
      <c r="F192" s="27">
        <v>0</v>
      </c>
      <c r="G192" s="147">
        <v>0</v>
      </c>
      <c r="H192" s="147">
        <v>0</v>
      </c>
      <c r="I192" s="28">
        <f t="shared" si="11"/>
        <v>1940</v>
      </c>
      <c r="J192" s="28">
        <f t="shared" si="12"/>
        <v>58.2</v>
      </c>
      <c r="K192" s="28">
        <f>D192*10%</f>
        <v>194</v>
      </c>
      <c r="L192" s="28">
        <v>0</v>
      </c>
      <c r="M192" s="28">
        <v>0</v>
      </c>
      <c r="N192" s="28">
        <f t="shared" si="13"/>
        <v>252.2</v>
      </c>
      <c r="O192" s="28">
        <f t="shared" si="15"/>
        <v>1687.8</v>
      </c>
      <c r="P192" s="70">
        <v>0</v>
      </c>
      <c r="Q192" s="12"/>
      <c r="R192" s="12"/>
      <c r="S192" s="12"/>
      <c r="T192" s="12"/>
      <c r="U192" s="12"/>
      <c r="V192" s="12"/>
      <c r="W192" s="12"/>
      <c r="X192" s="12"/>
    </row>
    <row r="193" spans="1:24" s="6" customFormat="1" ht="25.5" x14ac:dyDescent="0.2">
      <c r="A193" s="130">
        <v>183</v>
      </c>
      <c r="B193" s="23" t="s">
        <v>350</v>
      </c>
      <c r="C193" s="24" t="s">
        <v>336</v>
      </c>
      <c r="D193" s="29">
        <v>3081</v>
      </c>
      <c r="E193" s="146">
        <v>1000</v>
      </c>
      <c r="F193" s="27">
        <v>0</v>
      </c>
      <c r="G193" s="147">
        <v>250</v>
      </c>
      <c r="H193" s="147">
        <v>0</v>
      </c>
      <c r="I193" s="28">
        <f t="shared" si="11"/>
        <v>4331</v>
      </c>
      <c r="J193" s="28">
        <f t="shared" si="12"/>
        <v>122.43</v>
      </c>
      <c r="K193" s="28">
        <f>(D193+E193)*12%</f>
        <v>489.72</v>
      </c>
      <c r="L193" s="28">
        <v>0</v>
      </c>
      <c r="M193" s="28">
        <v>0</v>
      </c>
      <c r="N193" s="28">
        <f t="shared" si="13"/>
        <v>612.15</v>
      </c>
      <c r="O193" s="28">
        <f t="shared" si="15"/>
        <v>3718.85</v>
      </c>
      <c r="P193" s="70">
        <v>0</v>
      </c>
      <c r="Q193" s="12"/>
      <c r="R193" s="12"/>
      <c r="S193" s="12"/>
      <c r="T193" s="12"/>
      <c r="U193" s="12"/>
      <c r="V193" s="12"/>
      <c r="W193" s="12"/>
      <c r="X193" s="12"/>
    </row>
    <row r="194" spans="1:24" s="6" customFormat="1" ht="25.5" x14ac:dyDescent="0.2">
      <c r="A194" s="130">
        <v>184</v>
      </c>
      <c r="B194" s="23" t="s">
        <v>304</v>
      </c>
      <c r="C194" s="24" t="s">
        <v>336</v>
      </c>
      <c r="D194" s="155">
        <v>3081</v>
      </c>
      <c r="E194" s="156">
        <v>1000</v>
      </c>
      <c r="F194" s="27">
        <v>0</v>
      </c>
      <c r="G194" s="27">
        <v>250</v>
      </c>
      <c r="H194" s="147">
        <v>0</v>
      </c>
      <c r="I194" s="28">
        <f t="shared" si="11"/>
        <v>4331</v>
      </c>
      <c r="J194" s="28">
        <f t="shared" si="12"/>
        <v>122.43</v>
      </c>
      <c r="K194" s="28">
        <f>(D194+E194)*14%</f>
        <v>571.34</v>
      </c>
      <c r="L194" s="28">
        <v>0</v>
      </c>
      <c r="M194" s="28">
        <v>0</v>
      </c>
      <c r="N194" s="28">
        <f t="shared" si="13"/>
        <v>693.77</v>
      </c>
      <c r="O194" s="28">
        <f t="shared" si="15"/>
        <v>3637.23</v>
      </c>
      <c r="P194" s="70">
        <v>994.95</v>
      </c>
      <c r="Q194" s="12"/>
      <c r="R194" s="12"/>
      <c r="S194" s="12"/>
      <c r="T194" s="12"/>
      <c r="U194" s="12"/>
      <c r="V194" s="12"/>
      <c r="W194" s="12"/>
      <c r="X194" s="12"/>
    </row>
    <row r="195" spans="1:24" s="6" customFormat="1" ht="25.5" x14ac:dyDescent="0.2">
      <c r="A195" s="130">
        <v>185</v>
      </c>
      <c r="B195" s="24" t="s">
        <v>429</v>
      </c>
      <c r="C195" s="24" t="s">
        <v>328</v>
      </c>
      <c r="D195" s="148">
        <v>2425</v>
      </c>
      <c r="E195" s="29">
        <v>0</v>
      </c>
      <c r="F195" s="27">
        <v>0</v>
      </c>
      <c r="G195" s="147">
        <v>0</v>
      </c>
      <c r="H195" s="147">
        <v>0</v>
      </c>
      <c r="I195" s="28">
        <f t="shared" si="11"/>
        <v>2425</v>
      </c>
      <c r="J195" s="28">
        <f t="shared" si="12"/>
        <v>72.75</v>
      </c>
      <c r="K195" s="28">
        <f>D195*11%</f>
        <v>266.75</v>
      </c>
      <c r="L195" s="28">
        <v>0</v>
      </c>
      <c r="M195" s="28">
        <v>0</v>
      </c>
      <c r="N195" s="28">
        <f t="shared" si="13"/>
        <v>339.5</v>
      </c>
      <c r="O195" s="28">
        <f t="shared" si="15"/>
        <v>2085.5</v>
      </c>
      <c r="P195" s="70">
        <v>0</v>
      </c>
      <c r="Q195" s="12"/>
      <c r="R195" s="12"/>
      <c r="S195" s="12"/>
      <c r="T195" s="12"/>
      <c r="U195" s="12"/>
      <c r="V195" s="12"/>
      <c r="W195" s="12"/>
      <c r="X195" s="12"/>
    </row>
    <row r="196" spans="1:24" s="6" customFormat="1" ht="25.5" x14ac:dyDescent="0.2">
      <c r="A196" s="130">
        <v>186</v>
      </c>
      <c r="B196" s="24" t="s">
        <v>305</v>
      </c>
      <c r="C196" s="24" t="s">
        <v>331</v>
      </c>
      <c r="D196" s="148">
        <v>1940</v>
      </c>
      <c r="E196" s="29">
        <v>0</v>
      </c>
      <c r="F196" s="27">
        <v>0</v>
      </c>
      <c r="G196" s="147">
        <v>0</v>
      </c>
      <c r="H196" s="147">
        <v>0</v>
      </c>
      <c r="I196" s="28">
        <f t="shared" si="11"/>
        <v>1940</v>
      </c>
      <c r="J196" s="28">
        <f t="shared" si="12"/>
        <v>58.2</v>
      </c>
      <c r="K196" s="28">
        <f>D196*10%</f>
        <v>194</v>
      </c>
      <c r="L196" s="28">
        <v>0</v>
      </c>
      <c r="M196" s="28">
        <v>0</v>
      </c>
      <c r="N196" s="28">
        <f t="shared" si="13"/>
        <v>252.2</v>
      </c>
      <c r="O196" s="28">
        <f t="shared" si="15"/>
        <v>1687.8</v>
      </c>
      <c r="P196" s="70">
        <v>0</v>
      </c>
      <c r="Q196" s="12"/>
      <c r="R196" s="12"/>
      <c r="S196" s="12"/>
      <c r="T196" s="12"/>
      <c r="U196" s="12"/>
      <c r="V196" s="12"/>
      <c r="W196" s="12"/>
      <c r="X196" s="12"/>
    </row>
    <row r="197" spans="1:24" s="6" customFormat="1" ht="25.5" x14ac:dyDescent="0.2">
      <c r="A197" s="130">
        <v>187</v>
      </c>
      <c r="B197" s="22" t="s">
        <v>321</v>
      </c>
      <c r="C197" s="24" t="s">
        <v>498</v>
      </c>
      <c r="D197" s="154">
        <v>3241</v>
      </c>
      <c r="E197" s="29">
        <v>1000</v>
      </c>
      <c r="F197" s="27">
        <v>0</v>
      </c>
      <c r="G197" s="147">
        <v>250</v>
      </c>
      <c r="H197" s="147">
        <v>0</v>
      </c>
      <c r="I197" s="28">
        <f t="shared" ref="I197:I256" si="16">SUM(D197:G197)</f>
        <v>4491</v>
      </c>
      <c r="J197" s="28">
        <f t="shared" si="12"/>
        <v>127.23</v>
      </c>
      <c r="K197" s="28">
        <f>(D197+E197)*12%</f>
        <v>508.92</v>
      </c>
      <c r="L197" s="28">
        <v>0</v>
      </c>
      <c r="M197" s="28">
        <v>0</v>
      </c>
      <c r="N197" s="28">
        <f t="shared" si="13"/>
        <v>636.15</v>
      </c>
      <c r="O197" s="28">
        <f t="shared" si="15"/>
        <v>3854.85</v>
      </c>
      <c r="P197" s="70">
        <f>1050</f>
        <v>1050</v>
      </c>
      <c r="Q197" s="12"/>
      <c r="R197" s="12"/>
      <c r="S197" s="12"/>
      <c r="T197" s="12"/>
      <c r="U197" s="12"/>
      <c r="V197" s="12"/>
      <c r="W197" s="12"/>
      <c r="X197" s="12"/>
    </row>
    <row r="198" spans="1:24" s="6" customFormat="1" ht="25.5" x14ac:dyDescent="0.2">
      <c r="A198" s="130">
        <v>188</v>
      </c>
      <c r="B198" s="25" t="s">
        <v>306</v>
      </c>
      <c r="C198" s="26" t="s">
        <v>110</v>
      </c>
      <c r="D198" s="27">
        <v>2920</v>
      </c>
      <c r="E198" s="27">
        <v>1000</v>
      </c>
      <c r="F198" s="27">
        <v>0</v>
      </c>
      <c r="G198" s="27">
        <v>250</v>
      </c>
      <c r="H198" s="147">
        <v>0</v>
      </c>
      <c r="I198" s="28">
        <f t="shared" si="16"/>
        <v>4170</v>
      </c>
      <c r="J198" s="28">
        <f t="shared" si="12"/>
        <v>117.6</v>
      </c>
      <c r="K198" s="28">
        <f>(D198+E198)*11%</f>
        <v>431.2</v>
      </c>
      <c r="L198" s="28">
        <v>0</v>
      </c>
      <c r="M198" s="28">
        <v>52.68</v>
      </c>
      <c r="N198" s="28">
        <f t="shared" si="13"/>
        <v>601.48</v>
      </c>
      <c r="O198" s="28">
        <f t="shared" si="15"/>
        <v>3568.52</v>
      </c>
      <c r="P198" s="70">
        <v>0</v>
      </c>
      <c r="Q198" s="12"/>
      <c r="R198" s="12"/>
      <c r="S198" s="12"/>
      <c r="T198" s="12"/>
      <c r="U198" s="12"/>
      <c r="V198" s="12"/>
      <c r="W198" s="12"/>
      <c r="X198" s="12"/>
    </row>
    <row r="199" spans="1:24" s="6" customFormat="1" x14ac:dyDescent="0.2">
      <c r="A199" s="130">
        <v>189</v>
      </c>
      <c r="B199" s="33" t="s">
        <v>323</v>
      </c>
      <c r="C199" s="24" t="s">
        <v>111</v>
      </c>
      <c r="D199" s="27">
        <v>1902</v>
      </c>
      <c r="E199" s="27">
        <v>1000</v>
      </c>
      <c r="F199" s="27">
        <v>0</v>
      </c>
      <c r="G199" s="27">
        <v>250</v>
      </c>
      <c r="H199" s="147">
        <v>0</v>
      </c>
      <c r="I199" s="28">
        <f t="shared" si="16"/>
        <v>3152</v>
      </c>
      <c r="J199" s="28">
        <f t="shared" ref="J199:J257" si="17">(D199+E199+F199)*3%</f>
        <v>87.06</v>
      </c>
      <c r="K199" s="28">
        <f>(D199+E199)*11%</f>
        <v>319.22000000000003</v>
      </c>
      <c r="L199" s="28">
        <v>0</v>
      </c>
      <c r="M199" s="28">
        <v>39</v>
      </c>
      <c r="N199" s="28">
        <f t="shared" si="13"/>
        <v>445.28</v>
      </c>
      <c r="O199" s="28">
        <f t="shared" si="15"/>
        <v>2706.72</v>
      </c>
      <c r="P199" s="70">
        <v>0</v>
      </c>
      <c r="Q199" s="12"/>
      <c r="R199" s="12"/>
      <c r="S199" s="12"/>
      <c r="T199" s="12"/>
      <c r="U199" s="12"/>
      <c r="V199" s="12"/>
      <c r="W199" s="12"/>
      <c r="X199" s="12"/>
    </row>
    <row r="200" spans="1:24" s="6" customFormat="1" ht="25.5" x14ac:dyDescent="0.2">
      <c r="A200" s="130">
        <v>190</v>
      </c>
      <c r="B200" s="24" t="s">
        <v>307</v>
      </c>
      <c r="C200" s="24" t="s">
        <v>328</v>
      </c>
      <c r="D200" s="29">
        <v>2425</v>
      </c>
      <c r="E200" s="29">
        <f>2000</f>
        <v>2000</v>
      </c>
      <c r="F200" s="27">
        <v>0</v>
      </c>
      <c r="G200" s="147">
        <v>0</v>
      </c>
      <c r="H200" s="147">
        <v>0</v>
      </c>
      <c r="I200" s="28">
        <f t="shared" si="16"/>
        <v>4425</v>
      </c>
      <c r="J200" s="28">
        <f t="shared" si="17"/>
        <v>132.75</v>
      </c>
      <c r="K200" s="28">
        <f>D200*11%</f>
        <v>266.75</v>
      </c>
      <c r="L200" s="28">
        <v>0</v>
      </c>
      <c r="M200" s="28">
        <v>0</v>
      </c>
      <c r="N200" s="28">
        <f t="shared" si="13"/>
        <v>399.5</v>
      </c>
      <c r="O200" s="28">
        <f t="shared" si="15"/>
        <v>4025.5</v>
      </c>
      <c r="P200" s="70">
        <v>0</v>
      </c>
      <c r="Q200" s="12"/>
      <c r="R200" s="12"/>
      <c r="S200" s="12"/>
      <c r="T200" s="12"/>
      <c r="U200" s="12"/>
      <c r="V200" s="12"/>
      <c r="W200" s="12"/>
      <c r="X200" s="12"/>
    </row>
    <row r="201" spans="1:24" s="6" customFormat="1" x14ac:dyDescent="0.2">
      <c r="A201" s="130">
        <v>191</v>
      </c>
      <c r="B201" s="32" t="s">
        <v>1040</v>
      </c>
      <c r="C201" s="23" t="s">
        <v>1041</v>
      </c>
      <c r="D201" s="227">
        <v>1981</v>
      </c>
      <c r="E201" s="29">
        <v>1000</v>
      </c>
      <c r="F201" s="27">
        <v>0</v>
      </c>
      <c r="G201" s="147">
        <v>250</v>
      </c>
      <c r="H201" s="147">
        <v>0</v>
      </c>
      <c r="I201" s="28">
        <f t="shared" si="16"/>
        <v>3231</v>
      </c>
      <c r="J201" s="28">
        <f t="shared" si="17"/>
        <v>89.43</v>
      </c>
      <c r="K201" s="28">
        <f>D201*11%</f>
        <v>217.91</v>
      </c>
      <c r="L201" s="28">
        <v>0</v>
      </c>
      <c r="M201" s="28">
        <v>0</v>
      </c>
      <c r="N201" s="28">
        <f t="shared" si="13"/>
        <v>307.33999999999997</v>
      </c>
      <c r="O201" s="28">
        <f t="shared" si="15"/>
        <v>2923.66</v>
      </c>
      <c r="P201" s="70">
        <v>0</v>
      </c>
      <c r="Q201" s="12"/>
      <c r="R201" s="12"/>
      <c r="S201" s="12"/>
      <c r="T201" s="12"/>
      <c r="U201" s="12"/>
      <c r="V201" s="12"/>
      <c r="W201" s="12"/>
      <c r="X201" s="12"/>
    </row>
    <row r="202" spans="1:24" s="6" customFormat="1" ht="25.5" x14ac:dyDescent="0.2">
      <c r="A202" s="130">
        <v>192</v>
      </c>
      <c r="B202" s="24" t="s">
        <v>413</v>
      </c>
      <c r="C202" s="35" t="s">
        <v>351</v>
      </c>
      <c r="D202" s="157">
        <v>1649</v>
      </c>
      <c r="E202" s="29">
        <v>0</v>
      </c>
      <c r="F202" s="27">
        <v>0</v>
      </c>
      <c r="G202" s="147">
        <v>0</v>
      </c>
      <c r="H202" s="147">
        <v>0</v>
      </c>
      <c r="I202" s="28">
        <f t="shared" si="16"/>
        <v>1649</v>
      </c>
      <c r="J202" s="28">
        <f t="shared" si="17"/>
        <v>49.47</v>
      </c>
      <c r="K202" s="28">
        <f>D202*10%</f>
        <v>164.9</v>
      </c>
      <c r="L202" s="28">
        <v>0</v>
      </c>
      <c r="M202" s="28">
        <v>22.16</v>
      </c>
      <c r="N202" s="28">
        <f t="shared" si="13"/>
        <v>236.53</v>
      </c>
      <c r="O202" s="28">
        <f t="shared" si="15"/>
        <v>1412.47</v>
      </c>
      <c r="P202" s="70">
        <v>0</v>
      </c>
      <c r="Q202" s="12"/>
      <c r="R202" s="12"/>
      <c r="S202" s="12"/>
      <c r="T202" s="12"/>
      <c r="U202" s="12"/>
      <c r="V202" s="12"/>
      <c r="W202" s="12"/>
      <c r="X202" s="12"/>
    </row>
    <row r="203" spans="1:24" s="6" customFormat="1" x14ac:dyDescent="0.2">
      <c r="A203" s="130">
        <v>193</v>
      </c>
      <c r="B203" s="58" t="s">
        <v>995</v>
      </c>
      <c r="C203" s="58" t="s">
        <v>996</v>
      </c>
      <c r="D203" s="157">
        <v>5787</v>
      </c>
      <c r="E203" s="29">
        <v>1800</v>
      </c>
      <c r="F203" s="27"/>
      <c r="G203" s="147">
        <v>250</v>
      </c>
      <c r="H203" s="147"/>
      <c r="I203" s="28">
        <f t="shared" si="16"/>
        <v>7837</v>
      </c>
      <c r="J203" s="28">
        <f>(D203+E203+F203)*3%</f>
        <v>227.61</v>
      </c>
      <c r="K203" s="28">
        <f>D203*10%</f>
        <v>578.70000000000005</v>
      </c>
      <c r="L203" s="28">
        <v>131.99</v>
      </c>
      <c r="M203" s="28">
        <v>101.97</v>
      </c>
      <c r="N203" s="28">
        <f t="shared" si="13"/>
        <v>1040.27</v>
      </c>
      <c r="O203" s="28">
        <f t="shared" si="15"/>
        <v>6796.73</v>
      </c>
      <c r="P203" s="70">
        <v>0</v>
      </c>
      <c r="Q203" s="12"/>
      <c r="R203" s="12"/>
      <c r="S203" s="12"/>
      <c r="T203" s="12"/>
      <c r="U203" s="12"/>
      <c r="V203" s="12"/>
      <c r="W203" s="12"/>
      <c r="X203" s="12"/>
    </row>
    <row r="204" spans="1:24" s="6" customFormat="1" ht="25.5" x14ac:dyDescent="0.2">
      <c r="A204" s="130">
        <v>194</v>
      </c>
      <c r="B204" s="165" t="s">
        <v>979</v>
      </c>
      <c r="C204" s="24" t="s">
        <v>336</v>
      </c>
      <c r="D204" s="28">
        <v>3081</v>
      </c>
      <c r="E204" s="28">
        <v>1000</v>
      </c>
      <c r="F204" s="27">
        <v>0</v>
      </c>
      <c r="G204" s="147">
        <v>250</v>
      </c>
      <c r="H204" s="147">
        <v>0</v>
      </c>
      <c r="I204" s="28">
        <f t="shared" si="16"/>
        <v>4331</v>
      </c>
      <c r="J204" s="28">
        <f t="shared" si="17"/>
        <v>122.43</v>
      </c>
      <c r="K204" s="28">
        <f>(D204+E204)*12%</f>
        <v>489.72</v>
      </c>
      <c r="L204" s="28">
        <v>0</v>
      </c>
      <c r="M204" s="28">
        <v>52.68</v>
      </c>
      <c r="N204" s="28">
        <f t="shared" ref="N204:N257" si="18">J204+K204+L204+M204</f>
        <v>664.83</v>
      </c>
      <c r="O204" s="28">
        <f t="shared" si="15"/>
        <v>3666.17</v>
      </c>
      <c r="P204" s="70">
        <v>0</v>
      </c>
      <c r="Q204" s="12"/>
      <c r="R204" s="12"/>
      <c r="S204" s="12"/>
      <c r="T204" s="12"/>
      <c r="U204" s="12"/>
      <c r="V204" s="12"/>
      <c r="W204" s="12"/>
      <c r="X204" s="12"/>
    </row>
    <row r="205" spans="1:24" s="6" customFormat="1" ht="25.5" x14ac:dyDescent="0.2">
      <c r="A205" s="130">
        <v>195</v>
      </c>
      <c r="B205" s="32" t="s">
        <v>352</v>
      </c>
      <c r="C205" s="26" t="s">
        <v>508</v>
      </c>
      <c r="D205" s="28">
        <v>2375</v>
      </c>
      <c r="E205" s="44">
        <v>1000</v>
      </c>
      <c r="F205" s="27">
        <v>0</v>
      </c>
      <c r="G205" s="147">
        <v>250</v>
      </c>
      <c r="H205" s="147">
        <v>0</v>
      </c>
      <c r="I205" s="28">
        <f t="shared" si="16"/>
        <v>3625</v>
      </c>
      <c r="J205" s="28">
        <f t="shared" si="17"/>
        <v>101.25</v>
      </c>
      <c r="K205" s="28">
        <f>(D205+E205)*11%</f>
        <v>371.25</v>
      </c>
      <c r="L205" s="28">
        <v>0</v>
      </c>
      <c r="M205" s="28">
        <v>45.36</v>
      </c>
      <c r="N205" s="28">
        <f t="shared" si="18"/>
        <v>517.86</v>
      </c>
      <c r="O205" s="28">
        <f t="shared" si="15"/>
        <v>3107.14</v>
      </c>
      <c r="P205" s="70">
        <v>0</v>
      </c>
      <c r="Q205" s="12"/>
      <c r="R205" s="12"/>
      <c r="S205" s="12"/>
      <c r="T205" s="12"/>
      <c r="U205" s="12"/>
      <c r="V205" s="12"/>
      <c r="W205" s="12"/>
      <c r="X205" s="12"/>
    </row>
    <row r="206" spans="1:24" s="6" customFormat="1" ht="25.5" x14ac:dyDescent="0.2">
      <c r="A206" s="130">
        <v>196</v>
      </c>
      <c r="B206" s="33" t="s">
        <v>53</v>
      </c>
      <c r="C206" s="24" t="s">
        <v>494</v>
      </c>
      <c r="D206" s="28">
        <v>2375</v>
      </c>
      <c r="E206" s="28">
        <v>1000</v>
      </c>
      <c r="F206" s="27">
        <v>0</v>
      </c>
      <c r="G206" s="147">
        <v>250</v>
      </c>
      <c r="H206" s="147">
        <v>0</v>
      </c>
      <c r="I206" s="28">
        <f t="shared" si="16"/>
        <v>3625</v>
      </c>
      <c r="J206" s="28">
        <f t="shared" si="17"/>
        <v>101.25</v>
      </c>
      <c r="K206" s="28">
        <f>(D206+E206)*11%</f>
        <v>371.25</v>
      </c>
      <c r="L206" s="28">
        <v>0</v>
      </c>
      <c r="M206" s="28">
        <v>0</v>
      </c>
      <c r="N206" s="28">
        <f t="shared" si="18"/>
        <v>472.5</v>
      </c>
      <c r="O206" s="28">
        <f t="shared" si="15"/>
        <v>3152.5</v>
      </c>
      <c r="P206" s="70">
        <f>370</f>
        <v>370</v>
      </c>
      <c r="Q206" s="12"/>
      <c r="R206" s="12"/>
      <c r="S206" s="12"/>
      <c r="T206" s="12"/>
      <c r="U206" s="12"/>
      <c r="V206" s="12"/>
      <c r="W206" s="12"/>
      <c r="X206" s="12"/>
    </row>
    <row r="207" spans="1:24" s="6" customFormat="1" x14ac:dyDescent="0.2">
      <c r="A207" s="130">
        <v>197</v>
      </c>
      <c r="B207" s="24" t="s">
        <v>275</v>
      </c>
      <c r="C207" s="24" t="s">
        <v>113</v>
      </c>
      <c r="D207" s="29">
        <v>1668</v>
      </c>
      <c r="E207" s="29">
        <v>1000</v>
      </c>
      <c r="F207" s="27">
        <v>0</v>
      </c>
      <c r="G207" s="147">
        <v>250</v>
      </c>
      <c r="H207" s="147">
        <v>0</v>
      </c>
      <c r="I207" s="28">
        <f t="shared" si="16"/>
        <v>2918</v>
      </c>
      <c r="J207" s="28">
        <f t="shared" si="17"/>
        <v>80.040000000000006</v>
      </c>
      <c r="K207" s="28">
        <f>(D207+E207)*11%</f>
        <v>293.48</v>
      </c>
      <c r="L207" s="28">
        <v>0</v>
      </c>
      <c r="M207" s="28">
        <v>0</v>
      </c>
      <c r="N207" s="28">
        <f t="shared" si="18"/>
        <v>373.52</v>
      </c>
      <c r="O207" s="28">
        <f t="shared" si="15"/>
        <v>2544.48</v>
      </c>
      <c r="P207" s="70">
        <v>0</v>
      </c>
      <c r="Q207" s="12"/>
      <c r="R207" s="12"/>
      <c r="S207" s="12"/>
      <c r="T207" s="12"/>
      <c r="U207" s="12"/>
      <c r="V207" s="12"/>
      <c r="W207" s="12"/>
      <c r="X207" s="12"/>
    </row>
    <row r="208" spans="1:24" ht="25.5" x14ac:dyDescent="0.2">
      <c r="A208" s="130">
        <v>198</v>
      </c>
      <c r="B208" s="24" t="s">
        <v>64</v>
      </c>
      <c r="C208" s="22" t="s">
        <v>476</v>
      </c>
      <c r="D208" s="27">
        <v>3404</v>
      </c>
      <c r="E208" s="27">
        <v>1000</v>
      </c>
      <c r="F208" s="27">
        <v>0</v>
      </c>
      <c r="G208" s="27">
        <v>250</v>
      </c>
      <c r="H208" s="147">
        <v>0</v>
      </c>
      <c r="I208" s="28">
        <f t="shared" si="16"/>
        <v>4654</v>
      </c>
      <c r="J208" s="28">
        <f t="shared" si="17"/>
        <v>132.12</v>
      </c>
      <c r="K208" s="27">
        <f>(D208+E208)*12%</f>
        <v>528.48</v>
      </c>
      <c r="L208" s="27">
        <v>0</v>
      </c>
      <c r="M208" s="27">
        <v>59.19</v>
      </c>
      <c r="N208" s="27">
        <f>SUM(J208:M208)</f>
        <v>719.79</v>
      </c>
      <c r="O208" s="27">
        <f t="shared" si="15"/>
        <v>3934.21</v>
      </c>
      <c r="P208" s="70">
        <f>952</f>
        <v>952</v>
      </c>
      <c r="Q208" s="9"/>
      <c r="R208" s="9"/>
      <c r="S208" s="9"/>
      <c r="T208" s="9"/>
      <c r="U208" s="9"/>
      <c r="V208" s="9"/>
      <c r="W208" s="12"/>
      <c r="X208" s="9"/>
    </row>
    <row r="209" spans="1:24" ht="25.5" x14ac:dyDescent="0.2">
      <c r="A209" s="130">
        <v>199</v>
      </c>
      <c r="B209" s="24" t="s">
        <v>308</v>
      </c>
      <c r="C209" s="24" t="s">
        <v>331</v>
      </c>
      <c r="D209" s="148">
        <v>1940</v>
      </c>
      <c r="E209" s="29">
        <v>0</v>
      </c>
      <c r="F209" s="27">
        <v>0</v>
      </c>
      <c r="G209" s="147">
        <v>0</v>
      </c>
      <c r="H209" s="147">
        <v>0</v>
      </c>
      <c r="I209" s="28">
        <f t="shared" si="16"/>
        <v>1940</v>
      </c>
      <c r="J209" s="28">
        <f t="shared" si="17"/>
        <v>58.2</v>
      </c>
      <c r="K209" s="28">
        <f>D209*10%</f>
        <v>194</v>
      </c>
      <c r="L209" s="28">
        <v>0</v>
      </c>
      <c r="M209" s="28">
        <v>0</v>
      </c>
      <c r="N209" s="28">
        <f t="shared" si="18"/>
        <v>252.2</v>
      </c>
      <c r="O209" s="28">
        <f t="shared" si="15"/>
        <v>1687.8</v>
      </c>
      <c r="P209" s="70">
        <v>0</v>
      </c>
      <c r="Q209" s="9"/>
      <c r="R209" s="9"/>
      <c r="S209" s="9"/>
      <c r="T209" s="9"/>
      <c r="U209" s="9"/>
      <c r="V209" s="9"/>
      <c r="W209" s="12"/>
      <c r="X209" s="9"/>
    </row>
    <row r="210" spans="1:24" ht="25.5" x14ac:dyDescent="0.2">
      <c r="A210" s="130">
        <v>200</v>
      </c>
      <c r="B210" s="22" t="s">
        <v>309</v>
      </c>
      <c r="C210" s="22" t="s">
        <v>109</v>
      </c>
      <c r="D210" s="29">
        <v>5095</v>
      </c>
      <c r="E210" s="146">
        <v>1800</v>
      </c>
      <c r="F210" s="27">
        <v>0</v>
      </c>
      <c r="G210" s="147">
        <v>250</v>
      </c>
      <c r="H210" s="147">
        <v>0</v>
      </c>
      <c r="I210" s="28">
        <f t="shared" si="16"/>
        <v>7145</v>
      </c>
      <c r="J210" s="28">
        <f t="shared" si="17"/>
        <v>206.85</v>
      </c>
      <c r="K210" s="28">
        <f>(D210+E210)*13%</f>
        <v>896.35</v>
      </c>
      <c r="L210" s="28">
        <v>102.92</v>
      </c>
      <c r="M210" s="28">
        <v>92.67</v>
      </c>
      <c r="N210" s="28">
        <f t="shared" si="18"/>
        <v>1298.79</v>
      </c>
      <c r="O210" s="28">
        <f t="shared" si="15"/>
        <v>5846.21</v>
      </c>
      <c r="P210" s="70">
        <v>0</v>
      </c>
      <c r="Q210" s="9"/>
      <c r="R210" s="9"/>
      <c r="S210" s="9"/>
      <c r="T210" s="9"/>
      <c r="U210" s="9"/>
      <c r="V210" s="9"/>
      <c r="W210" s="12"/>
      <c r="X210" s="9"/>
    </row>
    <row r="211" spans="1:24" ht="25.5" x14ac:dyDescent="0.2">
      <c r="A211" s="130">
        <v>201</v>
      </c>
      <c r="B211" s="45" t="s">
        <v>353</v>
      </c>
      <c r="C211" s="26" t="s">
        <v>502</v>
      </c>
      <c r="D211" s="27">
        <v>2076</v>
      </c>
      <c r="E211" s="27">
        <v>1000</v>
      </c>
      <c r="F211" s="27">
        <v>0</v>
      </c>
      <c r="G211" s="27">
        <v>250</v>
      </c>
      <c r="H211" s="147">
        <v>0</v>
      </c>
      <c r="I211" s="28">
        <f t="shared" si="16"/>
        <v>3326</v>
      </c>
      <c r="J211" s="28">
        <f t="shared" si="17"/>
        <v>92.28</v>
      </c>
      <c r="K211" s="28">
        <f>(D211+E211)*11%</f>
        <v>338.36</v>
      </c>
      <c r="L211" s="28">
        <v>0</v>
      </c>
      <c r="M211" s="28">
        <v>0</v>
      </c>
      <c r="N211" s="28">
        <f t="shared" si="18"/>
        <v>430.64</v>
      </c>
      <c r="O211" s="28">
        <f t="shared" si="15"/>
        <v>2895.36</v>
      </c>
      <c r="P211" s="70">
        <f>319</f>
        <v>319</v>
      </c>
      <c r="Q211" s="9"/>
      <c r="R211" s="9"/>
      <c r="S211" s="9"/>
      <c r="T211" s="9"/>
      <c r="U211" s="9"/>
      <c r="V211" s="9"/>
      <c r="W211" s="12"/>
      <c r="X211" s="9"/>
    </row>
    <row r="212" spans="1:24" ht="25.5" x14ac:dyDescent="0.2">
      <c r="A212" s="130">
        <v>202</v>
      </c>
      <c r="B212" s="24" t="s">
        <v>190</v>
      </c>
      <c r="C212" s="24" t="s">
        <v>328</v>
      </c>
      <c r="D212" s="29">
        <v>2425</v>
      </c>
      <c r="E212" s="29">
        <v>0</v>
      </c>
      <c r="F212" s="27">
        <v>0</v>
      </c>
      <c r="G212" s="147">
        <v>0</v>
      </c>
      <c r="H212" s="147">
        <v>0</v>
      </c>
      <c r="I212" s="28">
        <f t="shared" si="16"/>
        <v>2425</v>
      </c>
      <c r="J212" s="28">
        <f t="shared" si="17"/>
        <v>72.75</v>
      </c>
      <c r="K212" s="28">
        <f>D212*11%</f>
        <v>266.75</v>
      </c>
      <c r="L212" s="28">
        <v>0</v>
      </c>
      <c r="M212" s="28">
        <v>0</v>
      </c>
      <c r="N212" s="28">
        <f t="shared" si="18"/>
        <v>339.5</v>
      </c>
      <c r="O212" s="28">
        <f t="shared" si="15"/>
        <v>2085.5</v>
      </c>
      <c r="P212" s="70">
        <v>0</v>
      </c>
      <c r="Q212" s="9"/>
      <c r="R212" s="9"/>
      <c r="S212" s="9"/>
      <c r="T212" s="9"/>
      <c r="U212" s="9"/>
      <c r="V212" s="9"/>
      <c r="W212" s="12"/>
      <c r="X212" s="9"/>
    </row>
    <row r="213" spans="1:24" ht="25.5" x14ac:dyDescent="0.2">
      <c r="A213" s="130">
        <v>203</v>
      </c>
      <c r="B213" s="24" t="s">
        <v>310</v>
      </c>
      <c r="C213" s="24" t="s">
        <v>331</v>
      </c>
      <c r="D213" s="148">
        <v>1940</v>
      </c>
      <c r="E213" s="29">
        <f>2000</f>
        <v>2000</v>
      </c>
      <c r="F213" s="147">
        <v>0</v>
      </c>
      <c r="G213" s="147">
        <v>0</v>
      </c>
      <c r="H213" s="147">
        <v>0</v>
      </c>
      <c r="I213" s="28">
        <f t="shared" si="16"/>
        <v>3940</v>
      </c>
      <c r="J213" s="28">
        <f t="shared" si="17"/>
        <v>118.2</v>
      </c>
      <c r="K213" s="28">
        <f>D213*10%</f>
        <v>194</v>
      </c>
      <c r="L213" s="28">
        <v>0</v>
      </c>
      <c r="M213" s="28">
        <v>0</v>
      </c>
      <c r="N213" s="28">
        <f t="shared" si="18"/>
        <v>312.2</v>
      </c>
      <c r="O213" s="28">
        <f t="shared" si="15"/>
        <v>3627.8</v>
      </c>
      <c r="P213" s="70">
        <v>0</v>
      </c>
      <c r="Q213" s="9"/>
      <c r="R213" s="9"/>
      <c r="S213" s="9"/>
      <c r="T213" s="9"/>
      <c r="U213" s="9"/>
      <c r="V213" s="9"/>
      <c r="W213" s="12"/>
      <c r="X213" s="9"/>
    </row>
    <row r="214" spans="1:24" x14ac:dyDescent="0.2">
      <c r="A214" s="130">
        <v>204</v>
      </c>
      <c r="B214" s="24" t="s">
        <v>66</v>
      </c>
      <c r="C214" s="24" t="s">
        <v>111</v>
      </c>
      <c r="D214" s="29">
        <v>1902</v>
      </c>
      <c r="E214" s="29">
        <v>1000</v>
      </c>
      <c r="F214" s="27">
        <v>0</v>
      </c>
      <c r="G214" s="147">
        <v>250</v>
      </c>
      <c r="H214" s="147">
        <v>0</v>
      </c>
      <c r="I214" s="28">
        <f t="shared" si="16"/>
        <v>3152</v>
      </c>
      <c r="J214" s="28">
        <f t="shared" si="17"/>
        <v>87.06</v>
      </c>
      <c r="K214" s="28">
        <f>(D214+E214)*11%</f>
        <v>319.22000000000003</v>
      </c>
      <c r="L214" s="28">
        <v>0</v>
      </c>
      <c r="M214" s="28">
        <v>0</v>
      </c>
      <c r="N214" s="28">
        <f t="shared" si="18"/>
        <v>406.28</v>
      </c>
      <c r="O214" s="28">
        <f t="shared" si="15"/>
        <v>2745.72</v>
      </c>
      <c r="P214" s="70">
        <v>0</v>
      </c>
      <c r="Q214" s="9"/>
      <c r="R214" s="9"/>
      <c r="S214" s="9"/>
      <c r="T214" s="9"/>
      <c r="U214" s="9"/>
      <c r="V214" s="9"/>
      <c r="W214" s="12"/>
      <c r="X214" s="9"/>
    </row>
    <row r="215" spans="1:24" ht="25.5" x14ac:dyDescent="0.2">
      <c r="A215" s="130">
        <v>205</v>
      </c>
      <c r="B215" s="42" t="s">
        <v>311</v>
      </c>
      <c r="C215" s="26" t="s">
        <v>107</v>
      </c>
      <c r="D215" s="27">
        <v>2760</v>
      </c>
      <c r="E215" s="27">
        <v>1000</v>
      </c>
      <c r="F215" s="27">
        <v>0</v>
      </c>
      <c r="G215" s="27">
        <v>250</v>
      </c>
      <c r="H215" s="147">
        <v>0</v>
      </c>
      <c r="I215" s="28">
        <f t="shared" si="16"/>
        <v>4010</v>
      </c>
      <c r="J215" s="28">
        <f t="shared" si="17"/>
        <v>112.8</v>
      </c>
      <c r="K215" s="28">
        <f>(D215+E215)*11%</f>
        <v>413.6</v>
      </c>
      <c r="L215" s="28">
        <v>0</v>
      </c>
      <c r="M215" s="28">
        <v>0</v>
      </c>
      <c r="N215" s="28">
        <f t="shared" si="18"/>
        <v>526.4</v>
      </c>
      <c r="O215" s="28">
        <f t="shared" si="15"/>
        <v>3483.6</v>
      </c>
      <c r="P215" s="70">
        <v>0</v>
      </c>
      <c r="Q215" s="9"/>
      <c r="R215" s="9"/>
      <c r="S215" s="9"/>
      <c r="T215" s="9"/>
      <c r="U215" s="9"/>
      <c r="V215" s="9"/>
      <c r="W215" s="12"/>
      <c r="X215" s="9"/>
    </row>
    <row r="216" spans="1:24" ht="25.5" x14ac:dyDescent="0.2">
      <c r="A216" s="130">
        <v>206</v>
      </c>
      <c r="B216" s="22" t="s">
        <v>167</v>
      </c>
      <c r="C216" s="46" t="s">
        <v>354</v>
      </c>
      <c r="D216" s="29">
        <v>1358</v>
      </c>
      <c r="E216" s="29">
        <v>0</v>
      </c>
      <c r="F216" s="27">
        <v>0</v>
      </c>
      <c r="G216" s="147">
        <v>0</v>
      </c>
      <c r="H216" s="147">
        <v>0</v>
      </c>
      <c r="I216" s="28">
        <f t="shared" si="16"/>
        <v>1358</v>
      </c>
      <c r="J216" s="28">
        <f t="shared" si="17"/>
        <v>40.74</v>
      </c>
      <c r="K216" s="28">
        <f>D216*10%</f>
        <v>135.80000000000001</v>
      </c>
      <c r="L216" s="28">
        <v>0</v>
      </c>
      <c r="M216" s="28">
        <v>0</v>
      </c>
      <c r="N216" s="28">
        <f t="shared" si="18"/>
        <v>176.54</v>
      </c>
      <c r="O216" s="28">
        <f t="shared" si="15"/>
        <v>1181.46</v>
      </c>
      <c r="P216" s="70">
        <v>0</v>
      </c>
      <c r="Q216" s="9"/>
      <c r="R216" s="9"/>
      <c r="S216" s="9"/>
      <c r="T216" s="9"/>
      <c r="U216" s="9"/>
      <c r="V216" s="9"/>
      <c r="W216" s="12"/>
      <c r="X216" s="9"/>
    </row>
    <row r="217" spans="1:24" ht="25.5" x14ac:dyDescent="0.2">
      <c r="A217" s="130">
        <v>207</v>
      </c>
      <c r="B217" s="24" t="s">
        <v>414</v>
      </c>
      <c r="C217" s="24" t="s">
        <v>331</v>
      </c>
      <c r="D217" s="148">
        <v>1940</v>
      </c>
      <c r="E217" s="29">
        <v>0</v>
      </c>
      <c r="F217" s="27">
        <v>0</v>
      </c>
      <c r="G217" s="147">
        <v>0</v>
      </c>
      <c r="H217" s="147">
        <v>0</v>
      </c>
      <c r="I217" s="28">
        <f t="shared" si="16"/>
        <v>1940</v>
      </c>
      <c r="J217" s="28">
        <f t="shared" si="17"/>
        <v>58.2</v>
      </c>
      <c r="K217" s="28">
        <f>D217*10%</f>
        <v>194</v>
      </c>
      <c r="L217" s="28">
        <v>0</v>
      </c>
      <c r="M217" s="28">
        <v>0</v>
      </c>
      <c r="N217" s="28">
        <f t="shared" si="18"/>
        <v>252.2</v>
      </c>
      <c r="O217" s="28">
        <f t="shared" si="15"/>
        <v>1687.8</v>
      </c>
      <c r="P217" s="70">
        <v>0</v>
      </c>
      <c r="Q217" s="9"/>
      <c r="R217" s="9"/>
      <c r="S217" s="9"/>
      <c r="T217" s="9"/>
      <c r="U217" s="9"/>
      <c r="V217" s="9"/>
      <c r="W217" s="12"/>
      <c r="X217" s="9"/>
    </row>
    <row r="218" spans="1:24" ht="25.5" x14ac:dyDescent="0.2">
      <c r="A218" s="130">
        <v>208</v>
      </c>
      <c r="B218" s="25" t="s">
        <v>71</v>
      </c>
      <c r="C218" s="24" t="s">
        <v>112</v>
      </c>
      <c r="D218" s="27">
        <v>2920</v>
      </c>
      <c r="E218" s="27">
        <v>1000</v>
      </c>
      <c r="F218" s="27">
        <v>0</v>
      </c>
      <c r="G218" s="27">
        <v>250</v>
      </c>
      <c r="H218" s="147">
        <v>0</v>
      </c>
      <c r="I218" s="28">
        <f t="shared" si="16"/>
        <v>4170</v>
      </c>
      <c r="J218" s="28">
        <f t="shared" si="17"/>
        <v>117.6</v>
      </c>
      <c r="K218" s="28">
        <f>(D218+E218)*11%</f>
        <v>431.2</v>
      </c>
      <c r="L218" s="28">
        <v>0</v>
      </c>
      <c r="M218" s="28">
        <v>52.68</v>
      </c>
      <c r="N218" s="28">
        <f t="shared" si="18"/>
        <v>601.48</v>
      </c>
      <c r="O218" s="28">
        <f t="shared" si="15"/>
        <v>3568.52</v>
      </c>
      <c r="P218" s="70">
        <v>0</v>
      </c>
      <c r="Q218" s="9"/>
      <c r="R218" s="9"/>
      <c r="S218" s="9"/>
      <c r="T218" s="121"/>
      <c r="U218" s="9"/>
      <c r="V218" s="9"/>
      <c r="W218" s="12"/>
      <c r="X218" s="9"/>
    </row>
    <row r="219" spans="1:24" ht="25.5" x14ac:dyDescent="0.2">
      <c r="A219" s="130">
        <v>209</v>
      </c>
      <c r="B219" s="24" t="s">
        <v>183</v>
      </c>
      <c r="C219" s="24" t="s">
        <v>494</v>
      </c>
      <c r="D219" s="29">
        <v>2375</v>
      </c>
      <c r="E219" s="29">
        <v>1000</v>
      </c>
      <c r="F219" s="27">
        <v>0</v>
      </c>
      <c r="G219" s="147">
        <v>250</v>
      </c>
      <c r="H219" s="147">
        <v>0</v>
      </c>
      <c r="I219" s="28">
        <f t="shared" si="16"/>
        <v>3625</v>
      </c>
      <c r="J219" s="28">
        <f t="shared" si="17"/>
        <v>101.25</v>
      </c>
      <c r="K219" s="28">
        <f>(D219+E219)*11%</f>
        <v>371.25</v>
      </c>
      <c r="L219" s="28">
        <v>0</v>
      </c>
      <c r="M219" s="28">
        <v>0</v>
      </c>
      <c r="N219" s="28">
        <f t="shared" si="18"/>
        <v>472.5</v>
      </c>
      <c r="O219" s="28">
        <f t="shared" si="15"/>
        <v>3152.5</v>
      </c>
      <c r="P219" s="70">
        <v>0</v>
      </c>
      <c r="Q219" s="9"/>
      <c r="R219" s="9"/>
      <c r="S219" s="9"/>
      <c r="T219" s="9"/>
      <c r="U219" s="9"/>
      <c r="V219" s="9"/>
      <c r="W219" s="12"/>
      <c r="X219" s="9"/>
    </row>
    <row r="220" spans="1:24" ht="25.5" x14ac:dyDescent="0.2">
      <c r="A220" s="130">
        <v>210</v>
      </c>
      <c r="B220" s="23" t="s">
        <v>312</v>
      </c>
      <c r="C220" s="33" t="s">
        <v>115</v>
      </c>
      <c r="D220" s="155">
        <v>1902</v>
      </c>
      <c r="E220" s="156">
        <v>1000</v>
      </c>
      <c r="F220" s="27">
        <v>0</v>
      </c>
      <c r="G220" s="147">
        <v>250</v>
      </c>
      <c r="H220" s="147">
        <v>0</v>
      </c>
      <c r="I220" s="28">
        <f t="shared" si="16"/>
        <v>3152</v>
      </c>
      <c r="J220" s="28">
        <f t="shared" si="17"/>
        <v>87.06</v>
      </c>
      <c r="K220" s="28">
        <f>(D220+E220+F220)*11%</f>
        <v>319.22000000000003</v>
      </c>
      <c r="L220" s="28">
        <v>0</v>
      </c>
      <c r="M220" s="28">
        <v>0</v>
      </c>
      <c r="N220" s="28">
        <f t="shared" si="18"/>
        <v>406.28</v>
      </c>
      <c r="O220" s="28">
        <f t="shared" si="15"/>
        <v>2745.72</v>
      </c>
      <c r="P220" s="70">
        <f>1308</f>
        <v>1308</v>
      </c>
      <c r="Q220" s="9"/>
      <c r="R220" s="9"/>
      <c r="S220" s="9"/>
      <c r="T220" s="9"/>
      <c r="U220" s="9"/>
      <c r="V220" s="9"/>
      <c r="W220" s="12"/>
      <c r="X220" s="9"/>
    </row>
    <row r="221" spans="1:24" ht="25.5" x14ac:dyDescent="0.2">
      <c r="A221" s="130">
        <v>211</v>
      </c>
      <c r="B221" s="24" t="s">
        <v>104</v>
      </c>
      <c r="C221" s="24" t="s">
        <v>331</v>
      </c>
      <c r="D221" s="148">
        <v>1940</v>
      </c>
      <c r="E221" s="29">
        <v>0</v>
      </c>
      <c r="F221" s="27">
        <v>0</v>
      </c>
      <c r="G221" s="147">
        <v>0</v>
      </c>
      <c r="H221" s="147">
        <v>0</v>
      </c>
      <c r="I221" s="28">
        <f t="shared" si="16"/>
        <v>1940</v>
      </c>
      <c r="J221" s="28">
        <f t="shared" si="17"/>
        <v>58.2</v>
      </c>
      <c r="K221" s="28">
        <f>D221*10%</f>
        <v>194</v>
      </c>
      <c r="L221" s="28">
        <v>0</v>
      </c>
      <c r="M221" s="28">
        <v>0</v>
      </c>
      <c r="N221" s="28">
        <f t="shared" si="18"/>
        <v>252.2</v>
      </c>
      <c r="O221" s="28">
        <f t="shared" si="15"/>
        <v>1687.8</v>
      </c>
      <c r="P221" s="70">
        <v>0</v>
      </c>
      <c r="Q221" s="9"/>
      <c r="R221" s="9"/>
      <c r="S221" s="9"/>
      <c r="T221" s="9"/>
      <c r="U221" s="9"/>
      <c r="V221" s="9"/>
      <c r="W221" s="12"/>
      <c r="X221" s="9"/>
    </row>
    <row r="222" spans="1:24" ht="25.5" x14ac:dyDescent="0.2">
      <c r="A222" s="130">
        <v>212</v>
      </c>
      <c r="B222" s="24" t="s">
        <v>60</v>
      </c>
      <c r="C222" s="24" t="s">
        <v>336</v>
      </c>
      <c r="D222" s="29">
        <v>3081</v>
      </c>
      <c r="E222" s="29">
        <v>1000</v>
      </c>
      <c r="F222" s="27">
        <v>0</v>
      </c>
      <c r="G222" s="147">
        <v>250</v>
      </c>
      <c r="H222" s="147">
        <v>0</v>
      </c>
      <c r="I222" s="28">
        <f t="shared" si="16"/>
        <v>4331</v>
      </c>
      <c r="J222" s="28">
        <f t="shared" si="17"/>
        <v>122.43</v>
      </c>
      <c r="K222" s="28">
        <f>(D222+E222)*12%</f>
        <v>489.72</v>
      </c>
      <c r="L222" s="28">
        <v>0</v>
      </c>
      <c r="M222" s="28">
        <v>0</v>
      </c>
      <c r="N222" s="28">
        <f t="shared" si="18"/>
        <v>612.15</v>
      </c>
      <c r="O222" s="28">
        <f t="shared" ref="O222:O250" si="19">I222-N222</f>
        <v>3718.85</v>
      </c>
      <c r="P222" s="70">
        <f>939.75</f>
        <v>939.75</v>
      </c>
      <c r="Q222" s="9"/>
      <c r="R222" s="9"/>
      <c r="S222" s="9"/>
      <c r="T222" s="9"/>
      <c r="U222" s="9"/>
      <c r="V222" s="9"/>
      <c r="W222" s="12"/>
      <c r="X222" s="9"/>
    </row>
    <row r="223" spans="1:24" ht="25.5" x14ac:dyDescent="0.2">
      <c r="A223" s="130">
        <v>213</v>
      </c>
      <c r="B223" s="24" t="s">
        <v>153</v>
      </c>
      <c r="C223" s="26" t="s">
        <v>493</v>
      </c>
      <c r="D223" s="29">
        <v>1981</v>
      </c>
      <c r="E223" s="29">
        <v>1000</v>
      </c>
      <c r="F223" s="27">
        <v>0</v>
      </c>
      <c r="G223" s="147">
        <v>250</v>
      </c>
      <c r="H223" s="147">
        <v>0</v>
      </c>
      <c r="I223" s="28">
        <f t="shared" si="16"/>
        <v>3231</v>
      </c>
      <c r="J223" s="28">
        <f t="shared" si="17"/>
        <v>89.43</v>
      </c>
      <c r="K223" s="28">
        <f>(D223+E223)*11%</f>
        <v>327.91</v>
      </c>
      <c r="L223" s="28">
        <v>0</v>
      </c>
      <c r="M223" s="28">
        <v>40.06</v>
      </c>
      <c r="N223" s="28">
        <f t="shared" si="18"/>
        <v>457.4</v>
      </c>
      <c r="O223" s="28">
        <f t="shared" si="19"/>
        <v>2773.6</v>
      </c>
      <c r="P223" s="70">
        <v>0</v>
      </c>
      <c r="Q223" s="9"/>
      <c r="R223" s="9"/>
      <c r="S223" s="9"/>
      <c r="T223" s="9"/>
      <c r="U223" s="9"/>
      <c r="V223" s="9"/>
      <c r="W223" s="12"/>
      <c r="X223" s="9"/>
    </row>
    <row r="224" spans="1:24" ht="25.5" x14ac:dyDescent="0.2">
      <c r="A224" s="130">
        <v>214</v>
      </c>
      <c r="B224" s="37" t="s">
        <v>51</v>
      </c>
      <c r="C224" s="26" t="s">
        <v>502</v>
      </c>
      <c r="D224" s="27">
        <v>2076</v>
      </c>
      <c r="E224" s="27">
        <v>1000</v>
      </c>
      <c r="F224" s="27">
        <v>0</v>
      </c>
      <c r="G224" s="27">
        <v>250</v>
      </c>
      <c r="H224" s="147">
        <v>0</v>
      </c>
      <c r="I224" s="28">
        <f t="shared" si="16"/>
        <v>3326</v>
      </c>
      <c r="J224" s="28">
        <f t="shared" si="17"/>
        <v>92.28</v>
      </c>
      <c r="K224" s="28">
        <f>(D224+E224)*11%</f>
        <v>338.36</v>
      </c>
      <c r="L224" s="28">
        <v>0</v>
      </c>
      <c r="M224" s="28">
        <v>55.56</v>
      </c>
      <c r="N224" s="28">
        <f t="shared" si="18"/>
        <v>486.2</v>
      </c>
      <c r="O224" s="28">
        <f t="shared" si="19"/>
        <v>2839.8</v>
      </c>
      <c r="P224" s="70">
        <f>331</f>
        <v>331</v>
      </c>
      <c r="Q224" s="9"/>
      <c r="R224" s="9"/>
      <c r="S224" s="9"/>
      <c r="T224" s="9"/>
      <c r="U224" s="9"/>
      <c r="V224" s="9"/>
      <c r="W224" s="12"/>
      <c r="X224" s="9"/>
    </row>
    <row r="225" spans="1:24" ht="25.5" x14ac:dyDescent="0.2">
      <c r="A225" s="130">
        <v>215</v>
      </c>
      <c r="B225" s="24" t="s">
        <v>415</v>
      </c>
      <c r="C225" s="24" t="s">
        <v>331</v>
      </c>
      <c r="D225" s="148">
        <v>1940</v>
      </c>
      <c r="E225" s="29">
        <v>0</v>
      </c>
      <c r="F225" s="27">
        <v>0</v>
      </c>
      <c r="G225" s="147">
        <v>0</v>
      </c>
      <c r="H225" s="147">
        <v>0</v>
      </c>
      <c r="I225" s="28">
        <f t="shared" si="16"/>
        <v>1940</v>
      </c>
      <c r="J225" s="28">
        <f t="shared" si="17"/>
        <v>58.2</v>
      </c>
      <c r="K225" s="28">
        <f>D225*10%</f>
        <v>194</v>
      </c>
      <c r="L225" s="28">
        <v>0</v>
      </c>
      <c r="M225" s="28">
        <v>0</v>
      </c>
      <c r="N225" s="28">
        <f t="shared" si="18"/>
        <v>252.2</v>
      </c>
      <c r="O225" s="28">
        <f t="shared" si="19"/>
        <v>1687.8</v>
      </c>
      <c r="P225" s="70">
        <v>0</v>
      </c>
      <c r="Q225" s="9"/>
      <c r="R225" s="9"/>
      <c r="S225" s="9"/>
      <c r="T225" s="9"/>
      <c r="U225" s="9"/>
      <c r="V225" s="9"/>
      <c r="W225" s="12"/>
      <c r="X225" s="9"/>
    </row>
    <row r="226" spans="1:24" ht="25.5" x14ac:dyDescent="0.2">
      <c r="A226" s="130">
        <v>216</v>
      </c>
      <c r="B226" s="32" t="s">
        <v>478</v>
      </c>
      <c r="C226" s="24" t="s">
        <v>336</v>
      </c>
      <c r="D226" s="27">
        <v>3081</v>
      </c>
      <c r="E226" s="27">
        <v>1000</v>
      </c>
      <c r="F226" s="27">
        <v>0</v>
      </c>
      <c r="G226" s="27">
        <v>250</v>
      </c>
      <c r="H226" s="147">
        <v>0</v>
      </c>
      <c r="I226" s="28">
        <f t="shared" si="16"/>
        <v>4331</v>
      </c>
      <c r="J226" s="28">
        <f t="shared" si="17"/>
        <v>122.43</v>
      </c>
      <c r="K226" s="27">
        <f>(D226+E226)*12%</f>
        <v>489.72</v>
      </c>
      <c r="L226" s="27">
        <v>0</v>
      </c>
      <c r="M226" s="27">
        <v>0</v>
      </c>
      <c r="N226" s="27">
        <f>SUM(J226:M226)</f>
        <v>612.15</v>
      </c>
      <c r="O226" s="27">
        <f t="shared" si="19"/>
        <v>3718.85</v>
      </c>
      <c r="P226" s="70">
        <f>258</f>
        <v>258</v>
      </c>
      <c r="Q226" s="9"/>
      <c r="R226" s="9"/>
      <c r="S226" s="9"/>
      <c r="T226" s="9"/>
      <c r="U226" s="9"/>
      <c r="V226" s="9"/>
      <c r="W226" s="12"/>
      <c r="X226" s="9"/>
    </row>
    <row r="227" spans="1:24" ht="25.5" x14ac:dyDescent="0.2">
      <c r="A227" s="130">
        <v>217</v>
      </c>
      <c r="B227" s="22" t="s">
        <v>932</v>
      </c>
      <c r="C227" s="24" t="s">
        <v>110</v>
      </c>
      <c r="D227" s="148">
        <v>2910</v>
      </c>
      <c r="E227" s="29">
        <v>1000</v>
      </c>
      <c r="F227" s="27">
        <v>0</v>
      </c>
      <c r="G227" s="147">
        <v>250</v>
      </c>
      <c r="H227" s="147">
        <v>0</v>
      </c>
      <c r="I227" s="28">
        <f t="shared" si="16"/>
        <v>4160</v>
      </c>
      <c r="J227" s="28">
        <f t="shared" si="17"/>
        <v>117.3</v>
      </c>
      <c r="K227" s="28">
        <f>(D227+E227+F227)*11%</f>
        <v>430.1</v>
      </c>
      <c r="L227" s="28">
        <v>0</v>
      </c>
      <c r="M227" s="28">
        <v>52.68</v>
      </c>
      <c r="N227" s="28">
        <f>J227+K227+L227+M227</f>
        <v>600.08000000000004</v>
      </c>
      <c r="O227" s="28">
        <f t="shared" si="19"/>
        <v>3559.92</v>
      </c>
      <c r="P227" s="70">
        <v>0</v>
      </c>
      <c r="Q227" s="9"/>
      <c r="R227" s="9"/>
      <c r="S227" s="9"/>
      <c r="T227" s="9"/>
      <c r="U227" s="9"/>
      <c r="V227" s="9"/>
      <c r="W227" s="12"/>
      <c r="X227" s="9"/>
    </row>
    <row r="228" spans="1:24" ht="25.5" x14ac:dyDescent="0.2">
      <c r="A228" s="130">
        <v>218</v>
      </c>
      <c r="B228" s="38" t="s">
        <v>226</v>
      </c>
      <c r="C228" s="24" t="s">
        <v>490</v>
      </c>
      <c r="D228" s="148">
        <v>2920</v>
      </c>
      <c r="E228" s="29">
        <v>1000</v>
      </c>
      <c r="F228" s="27">
        <v>0</v>
      </c>
      <c r="G228" s="147">
        <v>250</v>
      </c>
      <c r="H228" s="147">
        <v>0</v>
      </c>
      <c r="I228" s="28">
        <f t="shared" si="16"/>
        <v>4170</v>
      </c>
      <c r="J228" s="28">
        <f t="shared" si="17"/>
        <v>117.6</v>
      </c>
      <c r="K228" s="28">
        <f>D228*12%</f>
        <v>350.4</v>
      </c>
      <c r="L228" s="28">
        <v>0</v>
      </c>
      <c r="M228" s="28">
        <v>0</v>
      </c>
      <c r="N228" s="28">
        <f t="shared" si="18"/>
        <v>468</v>
      </c>
      <c r="O228" s="28">
        <f t="shared" si="19"/>
        <v>3702</v>
      </c>
      <c r="P228" s="70">
        <v>0</v>
      </c>
      <c r="Q228" s="9"/>
      <c r="R228" s="9"/>
      <c r="S228" s="9"/>
      <c r="T228" s="9"/>
      <c r="U228" s="9"/>
      <c r="V228" s="9"/>
      <c r="W228" s="12"/>
      <c r="X228" s="9"/>
    </row>
    <row r="229" spans="1:24" ht="25.5" x14ac:dyDescent="0.2">
      <c r="A229" s="130">
        <v>219</v>
      </c>
      <c r="B229" s="25" t="s">
        <v>34</v>
      </c>
      <c r="C229" s="26" t="s">
        <v>416</v>
      </c>
      <c r="D229" s="27">
        <v>5787</v>
      </c>
      <c r="E229" s="27">
        <v>1800</v>
      </c>
      <c r="F229" s="27">
        <v>0</v>
      </c>
      <c r="G229" s="27">
        <v>250</v>
      </c>
      <c r="H229" s="147">
        <v>0</v>
      </c>
      <c r="I229" s="28">
        <f t="shared" si="16"/>
        <v>7837</v>
      </c>
      <c r="J229" s="28">
        <f t="shared" si="17"/>
        <v>227.61</v>
      </c>
      <c r="K229" s="28">
        <f>(D229+E229)*13%</f>
        <v>986.31</v>
      </c>
      <c r="L229" s="28">
        <v>131.99</v>
      </c>
      <c r="M229" s="28">
        <v>101.97</v>
      </c>
      <c r="N229" s="28">
        <f t="shared" si="18"/>
        <v>1447.88</v>
      </c>
      <c r="O229" s="28">
        <f t="shared" si="19"/>
        <v>6389.12</v>
      </c>
      <c r="P229" s="70">
        <v>0</v>
      </c>
      <c r="Q229" s="9"/>
      <c r="R229" s="9"/>
      <c r="S229" s="9"/>
      <c r="T229" s="9"/>
      <c r="U229" s="9"/>
      <c r="V229" s="9"/>
      <c r="W229" s="12"/>
      <c r="X229" s="9"/>
    </row>
    <row r="230" spans="1:24" ht="25.5" x14ac:dyDescent="0.2">
      <c r="A230" s="130">
        <v>220</v>
      </c>
      <c r="B230" s="24" t="s">
        <v>355</v>
      </c>
      <c r="C230" s="24" t="s">
        <v>336</v>
      </c>
      <c r="D230" s="28">
        <v>3081</v>
      </c>
      <c r="E230" s="29">
        <v>1000</v>
      </c>
      <c r="F230" s="27">
        <v>0</v>
      </c>
      <c r="G230" s="147">
        <v>250</v>
      </c>
      <c r="H230" s="147">
        <v>0</v>
      </c>
      <c r="I230" s="28">
        <f t="shared" si="16"/>
        <v>4331</v>
      </c>
      <c r="J230" s="28">
        <f t="shared" si="17"/>
        <v>122.43</v>
      </c>
      <c r="K230" s="28">
        <f>(D230+E230)*12%</f>
        <v>489.72</v>
      </c>
      <c r="L230" s="28">
        <v>131.99</v>
      </c>
      <c r="M230" s="28">
        <v>101.97</v>
      </c>
      <c r="N230" s="28">
        <f t="shared" si="18"/>
        <v>846.11</v>
      </c>
      <c r="O230" s="28">
        <f t="shared" si="19"/>
        <v>3484.89</v>
      </c>
      <c r="P230" s="70">
        <f>324.5</f>
        <v>324.5</v>
      </c>
      <c r="Q230" s="9"/>
      <c r="R230" s="9"/>
      <c r="S230" s="9"/>
      <c r="T230" s="9"/>
      <c r="U230" s="9"/>
      <c r="V230" s="9"/>
      <c r="W230" s="12"/>
      <c r="X230" s="9"/>
    </row>
    <row r="231" spans="1:24" ht="25.5" x14ac:dyDescent="0.2">
      <c r="A231" s="130">
        <v>221</v>
      </c>
      <c r="B231" s="23" t="s">
        <v>313</v>
      </c>
      <c r="C231" s="24" t="s">
        <v>331</v>
      </c>
      <c r="D231" s="29">
        <v>2910</v>
      </c>
      <c r="E231" s="29">
        <v>0</v>
      </c>
      <c r="F231" s="27">
        <v>0</v>
      </c>
      <c r="G231" s="147">
        <v>0</v>
      </c>
      <c r="H231" s="147">
        <v>0</v>
      </c>
      <c r="I231" s="28">
        <f t="shared" si="16"/>
        <v>2910</v>
      </c>
      <c r="J231" s="28">
        <f t="shared" si="17"/>
        <v>87.3</v>
      </c>
      <c r="K231" s="28">
        <f>D231*10%</f>
        <v>291</v>
      </c>
      <c r="L231" s="28">
        <v>0</v>
      </c>
      <c r="M231" s="28">
        <v>0</v>
      </c>
      <c r="N231" s="28">
        <f t="shared" si="18"/>
        <v>378.3</v>
      </c>
      <c r="O231" s="28">
        <f t="shared" si="19"/>
        <v>2531.6999999999998</v>
      </c>
      <c r="P231" s="70">
        <v>0</v>
      </c>
      <c r="Q231" s="9"/>
      <c r="R231" s="9"/>
      <c r="S231" s="9"/>
      <c r="T231" s="9"/>
      <c r="U231" s="9"/>
      <c r="V231" s="9"/>
      <c r="W231" s="12"/>
      <c r="X231" s="9"/>
    </row>
    <row r="232" spans="1:24" ht="25.5" x14ac:dyDescent="0.2">
      <c r="A232" s="130">
        <v>222</v>
      </c>
      <c r="B232" s="24" t="s">
        <v>276</v>
      </c>
      <c r="C232" s="24" t="s">
        <v>328</v>
      </c>
      <c r="D232" s="148">
        <v>2425</v>
      </c>
      <c r="E232" s="29">
        <v>0</v>
      </c>
      <c r="F232" s="27">
        <v>0</v>
      </c>
      <c r="G232" s="147">
        <v>0</v>
      </c>
      <c r="H232" s="147">
        <v>0</v>
      </c>
      <c r="I232" s="28">
        <f t="shared" si="16"/>
        <v>2425</v>
      </c>
      <c r="J232" s="28">
        <f t="shared" si="17"/>
        <v>72.75</v>
      </c>
      <c r="K232" s="28">
        <f>D232*11%</f>
        <v>266.75</v>
      </c>
      <c r="L232" s="28">
        <v>0</v>
      </c>
      <c r="M232" s="28">
        <v>0</v>
      </c>
      <c r="N232" s="28">
        <f t="shared" si="18"/>
        <v>339.5</v>
      </c>
      <c r="O232" s="28">
        <f t="shared" si="19"/>
        <v>2085.5</v>
      </c>
      <c r="P232" s="70">
        <v>0</v>
      </c>
      <c r="Q232" s="9"/>
      <c r="R232" s="9"/>
      <c r="S232" s="9"/>
      <c r="T232" s="9"/>
      <c r="U232" s="9"/>
      <c r="V232" s="9"/>
      <c r="W232" s="12"/>
      <c r="X232" s="9"/>
    </row>
    <row r="233" spans="1:24" x14ac:dyDescent="0.2">
      <c r="A233" s="130">
        <v>223</v>
      </c>
      <c r="B233" s="41" t="s">
        <v>437</v>
      </c>
      <c r="C233" s="24" t="s">
        <v>58</v>
      </c>
      <c r="D233" s="29">
        <v>1668</v>
      </c>
      <c r="E233" s="29">
        <v>1000</v>
      </c>
      <c r="F233" s="27">
        <v>0</v>
      </c>
      <c r="G233" s="147">
        <v>250</v>
      </c>
      <c r="H233" s="147">
        <v>0</v>
      </c>
      <c r="I233" s="28">
        <f t="shared" si="16"/>
        <v>2918</v>
      </c>
      <c r="J233" s="28">
        <f t="shared" si="17"/>
        <v>80.040000000000006</v>
      </c>
      <c r="K233" s="28">
        <f>(D233+E233)*11%</f>
        <v>293.48</v>
      </c>
      <c r="L233" s="28">
        <v>0</v>
      </c>
      <c r="M233" s="28">
        <v>0</v>
      </c>
      <c r="N233" s="28">
        <f t="shared" si="18"/>
        <v>373.52</v>
      </c>
      <c r="O233" s="28">
        <f t="shared" si="19"/>
        <v>2544.48</v>
      </c>
      <c r="P233" s="70">
        <v>0</v>
      </c>
      <c r="Q233" s="9"/>
      <c r="R233" s="9"/>
      <c r="S233" s="9"/>
      <c r="T233" s="9"/>
      <c r="U233" s="9"/>
      <c r="V233" s="9"/>
      <c r="W233" s="12"/>
      <c r="X233" s="9"/>
    </row>
    <row r="234" spans="1:24" ht="25.5" x14ac:dyDescent="0.2">
      <c r="A234" s="130">
        <v>224</v>
      </c>
      <c r="B234" s="41" t="s">
        <v>454</v>
      </c>
      <c r="C234" s="24" t="s">
        <v>331</v>
      </c>
      <c r="D234" s="29">
        <v>1940</v>
      </c>
      <c r="E234" s="29">
        <v>0</v>
      </c>
      <c r="F234" s="27">
        <v>0</v>
      </c>
      <c r="G234" s="147">
        <v>0</v>
      </c>
      <c r="H234" s="147">
        <v>0</v>
      </c>
      <c r="I234" s="28">
        <f t="shared" si="16"/>
        <v>1940</v>
      </c>
      <c r="J234" s="28">
        <f t="shared" si="17"/>
        <v>58.2</v>
      </c>
      <c r="K234" s="28">
        <f>D234*10%</f>
        <v>194</v>
      </c>
      <c r="L234" s="28">
        <v>0</v>
      </c>
      <c r="M234" s="28">
        <v>0</v>
      </c>
      <c r="N234" s="28">
        <f t="shared" si="18"/>
        <v>252.2</v>
      </c>
      <c r="O234" s="28">
        <f t="shared" si="19"/>
        <v>1687.8</v>
      </c>
      <c r="P234" s="70">
        <v>0</v>
      </c>
      <c r="Q234" s="9"/>
      <c r="R234" s="9"/>
      <c r="S234" s="9"/>
      <c r="T234" s="9"/>
      <c r="U234" s="9"/>
      <c r="V234" s="9"/>
      <c r="W234" s="12"/>
      <c r="X234" s="9"/>
    </row>
    <row r="235" spans="1:24" ht="25.5" x14ac:dyDescent="0.2">
      <c r="A235" s="130">
        <v>225</v>
      </c>
      <c r="B235" s="24" t="s">
        <v>61</v>
      </c>
      <c r="C235" s="26" t="s">
        <v>110</v>
      </c>
      <c r="D235" s="29">
        <v>2920</v>
      </c>
      <c r="E235" s="29">
        <v>1000</v>
      </c>
      <c r="F235" s="27">
        <v>0</v>
      </c>
      <c r="G235" s="147">
        <v>250</v>
      </c>
      <c r="H235" s="147">
        <v>0</v>
      </c>
      <c r="I235" s="28">
        <f t="shared" si="16"/>
        <v>4170</v>
      </c>
      <c r="J235" s="28">
        <f t="shared" si="17"/>
        <v>117.6</v>
      </c>
      <c r="K235" s="28">
        <f>(D235+E235)*12%</f>
        <v>470.4</v>
      </c>
      <c r="L235" s="28">
        <v>0</v>
      </c>
      <c r="M235" s="28">
        <v>52.68</v>
      </c>
      <c r="N235" s="28">
        <f t="shared" si="18"/>
        <v>640.67999999999995</v>
      </c>
      <c r="O235" s="28">
        <f t="shared" si="19"/>
        <v>3529.32</v>
      </c>
      <c r="P235" s="70">
        <v>0</v>
      </c>
      <c r="Q235" s="9"/>
      <c r="R235" s="9"/>
      <c r="S235" s="9"/>
      <c r="T235" s="9"/>
      <c r="U235" s="9"/>
      <c r="V235" s="9"/>
      <c r="W235" s="12"/>
      <c r="X235" s="9"/>
    </row>
    <row r="236" spans="1:24" ht="25.5" x14ac:dyDescent="0.2">
      <c r="A236" s="130">
        <v>226</v>
      </c>
      <c r="B236" s="33" t="s">
        <v>150</v>
      </c>
      <c r="C236" s="33" t="s">
        <v>417</v>
      </c>
      <c r="D236" s="146">
        <v>5787</v>
      </c>
      <c r="E236" s="146">
        <v>1800</v>
      </c>
      <c r="F236" s="27">
        <v>0</v>
      </c>
      <c r="G236" s="166">
        <v>250</v>
      </c>
      <c r="H236" s="147">
        <v>0</v>
      </c>
      <c r="I236" s="28">
        <f t="shared" si="16"/>
        <v>7837</v>
      </c>
      <c r="J236" s="28">
        <f t="shared" si="17"/>
        <v>227.61</v>
      </c>
      <c r="K236" s="43">
        <f>(D236+E236)*13%</f>
        <v>986.31</v>
      </c>
      <c r="L236" s="43">
        <v>131.99</v>
      </c>
      <c r="M236" s="43">
        <v>101.97</v>
      </c>
      <c r="N236" s="28">
        <f t="shared" si="18"/>
        <v>1447.88</v>
      </c>
      <c r="O236" s="43">
        <f t="shared" si="19"/>
        <v>6389.12</v>
      </c>
      <c r="P236" s="70">
        <v>0</v>
      </c>
      <c r="Q236" s="9"/>
      <c r="R236" s="9"/>
      <c r="S236" s="9"/>
      <c r="T236" s="9"/>
      <c r="U236" s="9"/>
      <c r="V236" s="9"/>
      <c r="W236" s="12"/>
      <c r="X236" s="9"/>
    </row>
    <row r="237" spans="1:24" ht="25.5" x14ac:dyDescent="0.2">
      <c r="A237" s="130">
        <v>227</v>
      </c>
      <c r="B237" s="30" t="s">
        <v>356</v>
      </c>
      <c r="C237" s="24" t="s">
        <v>201</v>
      </c>
      <c r="D237" s="146">
        <v>5095</v>
      </c>
      <c r="E237" s="146">
        <v>1800</v>
      </c>
      <c r="F237" s="27">
        <v>0</v>
      </c>
      <c r="G237" s="166">
        <v>250</v>
      </c>
      <c r="H237" s="147">
        <v>0</v>
      </c>
      <c r="I237" s="28">
        <f t="shared" si="16"/>
        <v>7145</v>
      </c>
      <c r="J237" s="28">
        <f t="shared" si="17"/>
        <v>206.85</v>
      </c>
      <c r="K237" s="43">
        <f>(D237+E237)*13%</f>
        <v>896.35</v>
      </c>
      <c r="L237" s="43">
        <v>102.92</v>
      </c>
      <c r="M237" s="43">
        <v>92.67</v>
      </c>
      <c r="N237" s="28">
        <f t="shared" si="18"/>
        <v>1298.79</v>
      </c>
      <c r="O237" s="43">
        <f t="shared" si="19"/>
        <v>5846.21</v>
      </c>
      <c r="P237" s="70">
        <v>0</v>
      </c>
      <c r="Q237" s="9"/>
      <c r="R237" s="9"/>
      <c r="S237" s="9"/>
      <c r="T237" s="9"/>
      <c r="U237" s="9"/>
      <c r="V237" s="9"/>
      <c r="W237" s="12"/>
      <c r="X237" s="9"/>
    </row>
    <row r="238" spans="1:24" ht="25.5" x14ac:dyDescent="0.2">
      <c r="A238" s="130">
        <v>228</v>
      </c>
      <c r="B238" s="24" t="s">
        <v>277</v>
      </c>
      <c r="C238" s="24" t="s">
        <v>328</v>
      </c>
      <c r="D238" s="157">
        <v>2425</v>
      </c>
      <c r="E238" s="29">
        <v>0</v>
      </c>
      <c r="F238" s="27">
        <v>0</v>
      </c>
      <c r="G238" s="147">
        <v>0</v>
      </c>
      <c r="H238" s="147">
        <v>0</v>
      </c>
      <c r="I238" s="28">
        <f t="shared" si="16"/>
        <v>2425</v>
      </c>
      <c r="J238" s="28">
        <f t="shared" si="17"/>
        <v>72.75</v>
      </c>
      <c r="K238" s="28">
        <f>D238*11%</f>
        <v>266.75</v>
      </c>
      <c r="L238" s="28">
        <v>0</v>
      </c>
      <c r="M238" s="28">
        <v>32.590000000000003</v>
      </c>
      <c r="N238" s="28">
        <f t="shared" si="18"/>
        <v>372.09</v>
      </c>
      <c r="O238" s="28">
        <f t="shared" si="19"/>
        <v>2052.91</v>
      </c>
      <c r="P238" s="70">
        <v>0</v>
      </c>
      <c r="Q238" s="9"/>
      <c r="R238" s="9"/>
      <c r="S238" s="9"/>
      <c r="T238" s="9"/>
      <c r="U238" s="9"/>
      <c r="V238" s="9"/>
      <c r="W238" s="12"/>
      <c r="X238" s="9"/>
    </row>
    <row r="239" spans="1:24" ht="25.5" x14ac:dyDescent="0.2">
      <c r="A239" s="130">
        <v>229</v>
      </c>
      <c r="B239" s="24" t="s">
        <v>81</v>
      </c>
      <c r="C239" s="24" t="s">
        <v>331</v>
      </c>
      <c r="D239" s="148">
        <v>1940</v>
      </c>
      <c r="E239" s="29">
        <v>0</v>
      </c>
      <c r="F239" s="27">
        <v>0</v>
      </c>
      <c r="G239" s="147">
        <v>0</v>
      </c>
      <c r="H239" s="147">
        <v>0</v>
      </c>
      <c r="I239" s="28">
        <f t="shared" si="16"/>
        <v>1940</v>
      </c>
      <c r="J239" s="28">
        <f t="shared" si="17"/>
        <v>58.2</v>
      </c>
      <c r="K239" s="28">
        <f>D239*10%</f>
        <v>194</v>
      </c>
      <c r="L239" s="28">
        <v>0</v>
      </c>
      <c r="M239" s="28">
        <v>0</v>
      </c>
      <c r="N239" s="28">
        <f t="shared" si="18"/>
        <v>252.2</v>
      </c>
      <c r="O239" s="28">
        <f t="shared" si="19"/>
        <v>1687.8</v>
      </c>
      <c r="P239" s="70">
        <v>0</v>
      </c>
      <c r="Q239" s="9"/>
      <c r="R239" s="9"/>
      <c r="S239" s="9"/>
      <c r="T239" s="9"/>
      <c r="U239" s="9"/>
      <c r="V239" s="9"/>
      <c r="W239" s="12"/>
      <c r="X239" s="9"/>
    </row>
    <row r="240" spans="1:24" ht="25.5" x14ac:dyDescent="0.2">
      <c r="A240" s="130">
        <v>230</v>
      </c>
      <c r="B240" s="24" t="s">
        <v>93</v>
      </c>
      <c r="C240" s="24" t="s">
        <v>328</v>
      </c>
      <c r="D240" s="148">
        <v>2425</v>
      </c>
      <c r="E240" s="29">
        <v>0</v>
      </c>
      <c r="F240" s="27">
        <v>0</v>
      </c>
      <c r="G240" s="147">
        <v>0</v>
      </c>
      <c r="H240" s="147">
        <v>0</v>
      </c>
      <c r="I240" s="28">
        <f t="shared" si="16"/>
        <v>2425</v>
      </c>
      <c r="J240" s="28">
        <f t="shared" si="17"/>
        <v>72.75</v>
      </c>
      <c r="K240" s="28">
        <f>D240*11%</f>
        <v>266.75</v>
      </c>
      <c r="L240" s="28">
        <v>0</v>
      </c>
      <c r="M240" s="28">
        <v>0</v>
      </c>
      <c r="N240" s="28">
        <f t="shared" si="18"/>
        <v>339.5</v>
      </c>
      <c r="O240" s="28">
        <f t="shared" si="19"/>
        <v>2085.5</v>
      </c>
      <c r="P240" s="70">
        <v>0</v>
      </c>
      <c r="Q240" s="9"/>
      <c r="R240" s="9"/>
      <c r="S240" s="9"/>
      <c r="T240" s="9"/>
      <c r="U240" s="9"/>
      <c r="V240" s="9"/>
      <c r="W240" s="12"/>
      <c r="X240" s="9"/>
    </row>
    <row r="241" spans="1:24" ht="25.5" x14ac:dyDescent="0.2">
      <c r="A241" s="130">
        <v>231</v>
      </c>
      <c r="B241" s="24" t="s">
        <v>91</v>
      </c>
      <c r="C241" s="24" t="s">
        <v>328</v>
      </c>
      <c r="D241" s="148">
        <v>2425</v>
      </c>
      <c r="E241" s="29">
        <v>0</v>
      </c>
      <c r="F241" s="27">
        <v>0</v>
      </c>
      <c r="G241" s="147">
        <v>0</v>
      </c>
      <c r="H241" s="147">
        <v>0</v>
      </c>
      <c r="I241" s="28">
        <f t="shared" si="16"/>
        <v>2425</v>
      </c>
      <c r="J241" s="28">
        <f t="shared" si="17"/>
        <v>72.75</v>
      </c>
      <c r="K241" s="28">
        <f>D241*11%</f>
        <v>266.75</v>
      </c>
      <c r="L241" s="28">
        <v>0</v>
      </c>
      <c r="M241" s="28">
        <v>0</v>
      </c>
      <c r="N241" s="28">
        <f t="shared" si="18"/>
        <v>339.5</v>
      </c>
      <c r="O241" s="28">
        <f t="shared" si="19"/>
        <v>2085.5</v>
      </c>
      <c r="P241" s="70">
        <v>0</v>
      </c>
      <c r="Q241" s="9"/>
      <c r="R241" s="9"/>
      <c r="S241" s="9"/>
      <c r="T241" s="9"/>
      <c r="U241" s="9"/>
      <c r="V241" s="9"/>
      <c r="W241" s="12"/>
      <c r="X241" s="9"/>
    </row>
    <row r="242" spans="1:24" ht="25.5" x14ac:dyDescent="0.2">
      <c r="A242" s="130">
        <v>232</v>
      </c>
      <c r="B242" s="24" t="s">
        <v>980</v>
      </c>
      <c r="C242" s="24" t="s">
        <v>328</v>
      </c>
      <c r="D242" s="148">
        <v>2425</v>
      </c>
      <c r="E242" s="29">
        <v>0</v>
      </c>
      <c r="F242" s="27">
        <v>0</v>
      </c>
      <c r="G242" s="147">
        <v>0</v>
      </c>
      <c r="H242" s="147">
        <v>0</v>
      </c>
      <c r="I242" s="28">
        <f t="shared" si="16"/>
        <v>2425</v>
      </c>
      <c r="J242" s="28">
        <f t="shared" si="17"/>
        <v>72.75</v>
      </c>
      <c r="K242" s="28">
        <f>D242*11%</f>
        <v>266.75</v>
      </c>
      <c r="L242" s="28">
        <v>0</v>
      </c>
      <c r="M242" s="28">
        <v>0</v>
      </c>
      <c r="N242" s="28">
        <f t="shared" si="18"/>
        <v>339.5</v>
      </c>
      <c r="O242" s="28">
        <f t="shared" si="19"/>
        <v>2085.5</v>
      </c>
      <c r="P242" s="70">
        <v>0</v>
      </c>
      <c r="W242" s="12"/>
    </row>
    <row r="243" spans="1:24" ht="25.5" x14ac:dyDescent="0.2">
      <c r="A243" s="130">
        <v>233</v>
      </c>
      <c r="B243" s="33" t="s">
        <v>54</v>
      </c>
      <c r="C243" s="24" t="s">
        <v>336</v>
      </c>
      <c r="D243" s="28">
        <v>3081</v>
      </c>
      <c r="E243" s="28">
        <v>1000</v>
      </c>
      <c r="F243" s="27">
        <v>0</v>
      </c>
      <c r="G243" s="147">
        <v>250</v>
      </c>
      <c r="H243" s="147">
        <v>0</v>
      </c>
      <c r="I243" s="28">
        <f t="shared" si="16"/>
        <v>4331</v>
      </c>
      <c r="J243" s="28">
        <f t="shared" si="17"/>
        <v>122.43</v>
      </c>
      <c r="K243" s="28">
        <f>(D243+E243)*12%</f>
        <v>489.72</v>
      </c>
      <c r="L243" s="28">
        <v>0</v>
      </c>
      <c r="M243" s="28">
        <v>0</v>
      </c>
      <c r="N243" s="28">
        <f t="shared" si="18"/>
        <v>612.15</v>
      </c>
      <c r="O243" s="28">
        <f t="shared" si="19"/>
        <v>3718.85</v>
      </c>
      <c r="P243" s="70">
        <v>0</v>
      </c>
      <c r="W243" s="12"/>
    </row>
    <row r="244" spans="1:24" ht="25.5" x14ac:dyDescent="0.2">
      <c r="A244" s="130">
        <v>234</v>
      </c>
      <c r="B244" s="24" t="s">
        <v>418</v>
      </c>
      <c r="C244" s="26" t="s">
        <v>502</v>
      </c>
      <c r="D244" s="27">
        <v>2076</v>
      </c>
      <c r="E244" s="27">
        <v>1000</v>
      </c>
      <c r="F244" s="27">
        <v>0</v>
      </c>
      <c r="G244" s="27">
        <v>250</v>
      </c>
      <c r="H244" s="147">
        <v>0</v>
      </c>
      <c r="I244" s="28">
        <f t="shared" si="16"/>
        <v>3326</v>
      </c>
      <c r="J244" s="28">
        <f t="shared" si="17"/>
        <v>92.28</v>
      </c>
      <c r="K244" s="28">
        <f t="shared" ref="K244:K249" si="20">(D244+E244)*11%</f>
        <v>338.36</v>
      </c>
      <c r="L244" s="28">
        <v>0</v>
      </c>
      <c r="M244" s="28">
        <v>52.68</v>
      </c>
      <c r="N244" s="28">
        <f t="shared" si="18"/>
        <v>483.32</v>
      </c>
      <c r="O244" s="28">
        <f t="shared" si="19"/>
        <v>2842.68</v>
      </c>
      <c r="P244" s="70">
        <f>315</f>
        <v>315</v>
      </c>
      <c r="W244" s="12"/>
    </row>
    <row r="245" spans="1:24" ht="25.5" x14ac:dyDescent="0.2">
      <c r="A245" s="130">
        <v>235</v>
      </c>
      <c r="B245" s="37" t="s">
        <v>47</v>
      </c>
      <c r="C245" s="26" t="s">
        <v>319</v>
      </c>
      <c r="D245" s="27">
        <v>1981</v>
      </c>
      <c r="E245" s="27">
        <v>1000</v>
      </c>
      <c r="F245" s="27">
        <v>0</v>
      </c>
      <c r="G245" s="27">
        <v>250</v>
      </c>
      <c r="H245" s="147">
        <v>0</v>
      </c>
      <c r="I245" s="28">
        <f t="shared" si="16"/>
        <v>3231</v>
      </c>
      <c r="J245" s="28">
        <f t="shared" si="17"/>
        <v>89.43</v>
      </c>
      <c r="K245" s="28">
        <f t="shared" si="20"/>
        <v>327.91</v>
      </c>
      <c r="L245" s="28">
        <v>0</v>
      </c>
      <c r="M245" s="28">
        <v>0</v>
      </c>
      <c r="N245" s="28">
        <f t="shared" si="18"/>
        <v>417.34</v>
      </c>
      <c r="O245" s="28">
        <f t="shared" si="19"/>
        <v>2813.66</v>
      </c>
      <c r="P245" s="70">
        <v>0</v>
      </c>
      <c r="W245" s="12"/>
    </row>
    <row r="246" spans="1:24" ht="25.5" x14ac:dyDescent="0.2">
      <c r="A246" s="130">
        <v>236</v>
      </c>
      <c r="B246" s="24" t="s">
        <v>464</v>
      </c>
      <c r="C246" s="33" t="s">
        <v>115</v>
      </c>
      <c r="D246" s="28">
        <v>1902</v>
      </c>
      <c r="E246" s="28">
        <v>1000</v>
      </c>
      <c r="F246" s="27">
        <v>0</v>
      </c>
      <c r="G246" s="147">
        <v>250</v>
      </c>
      <c r="H246" s="147">
        <v>0</v>
      </c>
      <c r="I246" s="28">
        <f t="shared" si="16"/>
        <v>3152</v>
      </c>
      <c r="J246" s="28">
        <f t="shared" si="17"/>
        <v>87.06</v>
      </c>
      <c r="K246" s="28">
        <f t="shared" si="20"/>
        <v>319.22000000000003</v>
      </c>
      <c r="L246" s="28">
        <v>0</v>
      </c>
      <c r="M246" s="28">
        <v>0</v>
      </c>
      <c r="N246" s="28">
        <f t="shared" si="18"/>
        <v>406.28</v>
      </c>
      <c r="O246" s="28">
        <f t="shared" si="19"/>
        <v>2745.72</v>
      </c>
      <c r="P246" s="70">
        <f>630</f>
        <v>630</v>
      </c>
      <c r="W246" s="12"/>
    </row>
    <row r="247" spans="1:24" ht="25.5" x14ac:dyDescent="0.2">
      <c r="A247" s="130">
        <v>237</v>
      </c>
      <c r="B247" s="24" t="s">
        <v>314</v>
      </c>
      <c r="C247" s="24" t="s">
        <v>509</v>
      </c>
      <c r="D247" s="29">
        <v>1668</v>
      </c>
      <c r="E247" s="146">
        <v>1000</v>
      </c>
      <c r="F247" s="27">
        <v>0</v>
      </c>
      <c r="G247" s="147">
        <v>250</v>
      </c>
      <c r="H247" s="147">
        <v>0</v>
      </c>
      <c r="I247" s="28">
        <f t="shared" si="16"/>
        <v>2918</v>
      </c>
      <c r="J247" s="28">
        <f t="shared" si="17"/>
        <v>80.040000000000006</v>
      </c>
      <c r="K247" s="28">
        <f t="shared" si="20"/>
        <v>293.48</v>
      </c>
      <c r="L247" s="28">
        <v>0</v>
      </c>
      <c r="M247" s="28">
        <v>0</v>
      </c>
      <c r="N247" s="28">
        <f t="shared" si="18"/>
        <v>373.52</v>
      </c>
      <c r="O247" s="28">
        <f t="shared" si="19"/>
        <v>2544.48</v>
      </c>
      <c r="P247" s="70">
        <f>607+451+877.25+870+763.75</f>
        <v>3569</v>
      </c>
      <c r="W247" s="12"/>
    </row>
    <row r="248" spans="1:24" ht="25.5" x14ac:dyDescent="0.2">
      <c r="A248" s="130">
        <v>238</v>
      </c>
      <c r="B248" s="33" t="s">
        <v>237</v>
      </c>
      <c r="C248" s="33" t="s">
        <v>107</v>
      </c>
      <c r="D248" s="29">
        <v>2760</v>
      </c>
      <c r="E248" s="146">
        <v>1000</v>
      </c>
      <c r="F248" s="27">
        <v>0</v>
      </c>
      <c r="G248" s="147">
        <v>250</v>
      </c>
      <c r="H248" s="147">
        <v>0</v>
      </c>
      <c r="I248" s="28">
        <f t="shared" si="16"/>
        <v>4010</v>
      </c>
      <c r="J248" s="28">
        <f t="shared" si="17"/>
        <v>112.8</v>
      </c>
      <c r="K248" s="28">
        <f t="shared" si="20"/>
        <v>413.6</v>
      </c>
      <c r="L248" s="28">
        <v>0</v>
      </c>
      <c r="M248" s="28">
        <v>0</v>
      </c>
      <c r="N248" s="28">
        <f t="shared" si="18"/>
        <v>526.4</v>
      </c>
      <c r="O248" s="28">
        <f t="shared" si="19"/>
        <v>3483.6</v>
      </c>
      <c r="P248" s="70">
        <v>0</v>
      </c>
      <c r="W248" s="12"/>
    </row>
    <row r="249" spans="1:24" ht="25.5" x14ac:dyDescent="0.2">
      <c r="A249" s="130">
        <v>239</v>
      </c>
      <c r="B249" s="25" t="s">
        <v>357</v>
      </c>
      <c r="C249" s="24" t="s">
        <v>499</v>
      </c>
      <c r="D249" s="27">
        <v>2234</v>
      </c>
      <c r="E249" s="27">
        <v>1900</v>
      </c>
      <c r="F249" s="27">
        <v>0</v>
      </c>
      <c r="G249" s="27">
        <v>250</v>
      </c>
      <c r="H249" s="147">
        <v>0</v>
      </c>
      <c r="I249" s="28">
        <f t="shared" si="16"/>
        <v>4384</v>
      </c>
      <c r="J249" s="28">
        <f t="shared" si="17"/>
        <v>124.02</v>
      </c>
      <c r="K249" s="28">
        <f t="shared" si="20"/>
        <v>454.74</v>
      </c>
      <c r="L249" s="28">
        <v>0</v>
      </c>
      <c r="M249" s="28">
        <v>55.56</v>
      </c>
      <c r="N249" s="28">
        <f t="shared" si="18"/>
        <v>634.32000000000005</v>
      </c>
      <c r="O249" s="28">
        <f t="shared" si="19"/>
        <v>3749.68</v>
      </c>
      <c r="P249" s="70">
        <v>900</v>
      </c>
      <c r="W249" s="12"/>
    </row>
    <row r="250" spans="1:24" ht="25.5" x14ac:dyDescent="0.2">
      <c r="A250" s="130">
        <v>240</v>
      </c>
      <c r="B250" s="25" t="s">
        <v>38</v>
      </c>
      <c r="C250" s="26" t="s">
        <v>487</v>
      </c>
      <c r="D250" s="27">
        <v>3241</v>
      </c>
      <c r="E250" s="27">
        <v>1000</v>
      </c>
      <c r="F250" s="27">
        <v>0</v>
      </c>
      <c r="G250" s="27">
        <v>250</v>
      </c>
      <c r="H250" s="147">
        <v>0</v>
      </c>
      <c r="I250" s="28">
        <f t="shared" si="16"/>
        <v>4491</v>
      </c>
      <c r="J250" s="28">
        <f t="shared" si="17"/>
        <v>127.23</v>
      </c>
      <c r="K250" s="28">
        <f>(D250+E250)*12%</f>
        <v>508.92</v>
      </c>
      <c r="L250" s="28">
        <v>0</v>
      </c>
      <c r="M250" s="28">
        <v>0</v>
      </c>
      <c r="N250" s="28">
        <f t="shared" si="18"/>
        <v>636.15</v>
      </c>
      <c r="O250" s="28">
        <f t="shared" si="19"/>
        <v>3854.85</v>
      </c>
      <c r="P250" s="70">
        <v>0</v>
      </c>
      <c r="W250" s="12"/>
    </row>
    <row r="251" spans="1:24" ht="25.5" x14ac:dyDescent="0.2">
      <c r="A251" s="130">
        <v>241</v>
      </c>
      <c r="B251" s="24" t="s">
        <v>94</v>
      </c>
      <c r="C251" s="24" t="s">
        <v>331</v>
      </c>
      <c r="D251" s="148">
        <v>1940</v>
      </c>
      <c r="E251" s="29">
        <v>0</v>
      </c>
      <c r="F251" s="27">
        <v>0</v>
      </c>
      <c r="G251" s="147">
        <v>0</v>
      </c>
      <c r="H251" s="147">
        <v>0</v>
      </c>
      <c r="I251" s="28">
        <f t="shared" si="16"/>
        <v>1940</v>
      </c>
      <c r="J251" s="28">
        <f t="shared" si="17"/>
        <v>58.2</v>
      </c>
      <c r="K251" s="28">
        <f>D251*11%</f>
        <v>213.4</v>
      </c>
      <c r="L251" s="28">
        <v>0</v>
      </c>
      <c r="M251" s="28">
        <v>0</v>
      </c>
      <c r="N251" s="28">
        <f t="shared" si="18"/>
        <v>271.60000000000002</v>
      </c>
      <c r="O251" s="28">
        <f t="shared" ref="O251:O266" si="21">I251-N251</f>
        <v>1668.4</v>
      </c>
      <c r="P251" s="70">
        <v>0</v>
      </c>
      <c r="W251" s="12"/>
    </row>
    <row r="252" spans="1:24" ht="25.5" x14ac:dyDescent="0.2">
      <c r="A252" s="130">
        <v>242</v>
      </c>
      <c r="B252" s="24" t="s">
        <v>449</v>
      </c>
      <c r="C252" s="24" t="s">
        <v>336</v>
      </c>
      <c r="D252" s="148">
        <v>3081</v>
      </c>
      <c r="E252" s="29">
        <v>1000</v>
      </c>
      <c r="F252" s="27">
        <v>0</v>
      </c>
      <c r="G252" s="147">
        <v>250</v>
      </c>
      <c r="H252" s="147">
        <v>0</v>
      </c>
      <c r="I252" s="28">
        <f t="shared" si="16"/>
        <v>4331</v>
      </c>
      <c r="J252" s="28">
        <f t="shared" si="17"/>
        <v>122.43</v>
      </c>
      <c r="K252" s="28">
        <f>SUM(D252:E252)*12%</f>
        <v>489.72</v>
      </c>
      <c r="L252" s="28">
        <v>0</v>
      </c>
      <c r="M252" s="28">
        <v>0</v>
      </c>
      <c r="N252" s="28">
        <f t="shared" si="18"/>
        <v>612.15</v>
      </c>
      <c r="O252" s="28">
        <f t="shared" si="21"/>
        <v>3718.85</v>
      </c>
      <c r="P252" s="70">
        <f>816</f>
        <v>816</v>
      </c>
      <c r="W252" s="12"/>
    </row>
    <row r="253" spans="1:24" ht="25.5" x14ac:dyDescent="0.2">
      <c r="A253" s="130">
        <v>243</v>
      </c>
      <c r="B253" s="22" t="s">
        <v>419</v>
      </c>
      <c r="C253" s="24" t="s">
        <v>498</v>
      </c>
      <c r="D253" s="29">
        <v>3241</v>
      </c>
      <c r="E253" s="146">
        <v>1000</v>
      </c>
      <c r="F253" s="27">
        <v>0</v>
      </c>
      <c r="G253" s="147">
        <v>250</v>
      </c>
      <c r="H253" s="147">
        <v>0</v>
      </c>
      <c r="I253" s="28">
        <f t="shared" si="16"/>
        <v>4491</v>
      </c>
      <c r="J253" s="28">
        <f t="shared" si="17"/>
        <v>127.23</v>
      </c>
      <c r="K253" s="28">
        <f>(D253+E253)*12%</f>
        <v>508.92</v>
      </c>
      <c r="L253" s="28">
        <v>0</v>
      </c>
      <c r="M253" s="28">
        <v>0</v>
      </c>
      <c r="N253" s="28">
        <f t="shared" si="18"/>
        <v>636.15</v>
      </c>
      <c r="O253" s="28">
        <f t="shared" si="21"/>
        <v>3854.85</v>
      </c>
      <c r="P253" s="70">
        <f>1050</f>
        <v>1050</v>
      </c>
      <c r="W253" s="12"/>
    </row>
    <row r="254" spans="1:24" ht="25.5" x14ac:dyDescent="0.2">
      <c r="A254" s="130">
        <v>244</v>
      </c>
      <c r="B254" s="24" t="s">
        <v>248</v>
      </c>
      <c r="C254" s="33" t="s">
        <v>115</v>
      </c>
      <c r="D254" s="29">
        <v>1902</v>
      </c>
      <c r="E254" s="146">
        <v>1000</v>
      </c>
      <c r="F254" s="27">
        <v>0</v>
      </c>
      <c r="G254" s="147">
        <v>250</v>
      </c>
      <c r="H254" s="147">
        <v>0</v>
      </c>
      <c r="I254" s="28">
        <f t="shared" si="16"/>
        <v>3152</v>
      </c>
      <c r="J254" s="28">
        <f t="shared" si="17"/>
        <v>87.06</v>
      </c>
      <c r="K254" s="28">
        <f>(D254+E254)*11%</f>
        <v>319.22000000000003</v>
      </c>
      <c r="L254" s="28">
        <v>0</v>
      </c>
      <c r="M254" s="28">
        <v>0</v>
      </c>
      <c r="N254" s="28">
        <f t="shared" si="18"/>
        <v>406.28</v>
      </c>
      <c r="O254" s="28">
        <f t="shared" si="21"/>
        <v>2745.72</v>
      </c>
      <c r="P254" s="70">
        <v>0</v>
      </c>
      <c r="W254" s="12"/>
    </row>
    <row r="255" spans="1:24" ht="25.5" x14ac:dyDescent="0.2">
      <c r="A255" s="130">
        <v>245</v>
      </c>
      <c r="B255" s="22" t="s">
        <v>451</v>
      </c>
      <c r="C255" s="26" t="s">
        <v>493</v>
      </c>
      <c r="D255" s="29">
        <v>1981</v>
      </c>
      <c r="E255" s="146">
        <v>1000</v>
      </c>
      <c r="F255" s="27">
        <v>0</v>
      </c>
      <c r="G255" s="147">
        <v>250</v>
      </c>
      <c r="H255" s="147">
        <v>0</v>
      </c>
      <c r="I255" s="28">
        <f t="shared" si="16"/>
        <v>3231</v>
      </c>
      <c r="J255" s="28">
        <f t="shared" si="17"/>
        <v>89.43</v>
      </c>
      <c r="K255" s="28">
        <f>(D255+E255)*11%</f>
        <v>327.91</v>
      </c>
      <c r="L255" s="28">
        <v>0</v>
      </c>
      <c r="M255" s="28">
        <v>40.06</v>
      </c>
      <c r="N255" s="28">
        <f t="shared" si="18"/>
        <v>457.4</v>
      </c>
      <c r="O255" s="28">
        <f t="shared" si="21"/>
        <v>2773.6</v>
      </c>
      <c r="P255" s="70">
        <v>0</v>
      </c>
      <c r="W255" s="12"/>
    </row>
    <row r="256" spans="1:24" ht="25.5" x14ac:dyDescent="0.2">
      <c r="A256" s="130">
        <v>246</v>
      </c>
      <c r="B256" s="24" t="s">
        <v>1034</v>
      </c>
      <c r="C256" s="24" t="s">
        <v>328</v>
      </c>
      <c r="D256" s="148">
        <v>2425</v>
      </c>
      <c r="E256" s="29">
        <v>0</v>
      </c>
      <c r="F256" s="27">
        <v>0</v>
      </c>
      <c r="G256" s="147">
        <v>0</v>
      </c>
      <c r="H256" s="147">
        <v>0</v>
      </c>
      <c r="I256" s="28">
        <f t="shared" si="16"/>
        <v>2425</v>
      </c>
      <c r="J256" s="28">
        <f t="shared" si="17"/>
        <v>72.75</v>
      </c>
      <c r="K256" s="28">
        <f>D256*11%</f>
        <v>266.75</v>
      </c>
      <c r="L256" s="28">
        <v>0</v>
      </c>
      <c r="M256" s="28">
        <v>0</v>
      </c>
      <c r="N256" s="28">
        <f t="shared" si="18"/>
        <v>339.5</v>
      </c>
      <c r="O256" s="28">
        <f t="shared" si="21"/>
        <v>2085.5</v>
      </c>
      <c r="P256" s="70">
        <v>0</v>
      </c>
      <c r="W256" s="12"/>
    </row>
    <row r="257" spans="1:23" ht="25.5" x14ac:dyDescent="0.2">
      <c r="A257" s="130">
        <v>247</v>
      </c>
      <c r="B257" s="24" t="s">
        <v>56</v>
      </c>
      <c r="C257" s="24" t="s">
        <v>336</v>
      </c>
      <c r="D257" s="28">
        <v>3081</v>
      </c>
      <c r="E257" s="28">
        <v>1000</v>
      </c>
      <c r="F257" s="27">
        <v>0</v>
      </c>
      <c r="G257" s="147">
        <v>250</v>
      </c>
      <c r="H257" s="147">
        <v>0</v>
      </c>
      <c r="I257" s="28">
        <f t="shared" ref="I257:I318" si="22">SUM(D257:G257)</f>
        <v>4331</v>
      </c>
      <c r="J257" s="28">
        <f t="shared" si="17"/>
        <v>122.43</v>
      </c>
      <c r="K257" s="28">
        <f>(D257+E257)*12%</f>
        <v>489.72</v>
      </c>
      <c r="L257" s="28">
        <v>0</v>
      </c>
      <c r="M257" s="28">
        <v>0</v>
      </c>
      <c r="N257" s="28">
        <f t="shared" si="18"/>
        <v>612.15</v>
      </c>
      <c r="O257" s="28">
        <f t="shared" si="21"/>
        <v>3718.85</v>
      </c>
      <c r="P257" s="70">
        <v>0</v>
      </c>
      <c r="W257" s="12"/>
    </row>
    <row r="258" spans="1:23" ht="25.5" x14ac:dyDescent="0.2">
      <c r="A258" s="130">
        <v>248</v>
      </c>
      <c r="B258" s="167" t="s">
        <v>465</v>
      </c>
      <c r="C258" s="24" t="s">
        <v>331</v>
      </c>
      <c r="D258" s="44">
        <v>1940</v>
      </c>
      <c r="E258" s="44">
        <v>0</v>
      </c>
      <c r="F258" s="44">
        <v>0</v>
      </c>
      <c r="G258" s="44">
        <v>0</v>
      </c>
      <c r="H258" s="147">
        <v>0</v>
      </c>
      <c r="I258" s="28">
        <f t="shared" si="22"/>
        <v>1940</v>
      </c>
      <c r="J258" s="28">
        <f>D258*3%</f>
        <v>58.2</v>
      </c>
      <c r="K258" s="44">
        <v>194</v>
      </c>
      <c r="L258" s="44">
        <v>0</v>
      </c>
      <c r="M258" s="44">
        <v>0</v>
      </c>
      <c r="N258" s="44">
        <f>SUM(J258:M258)</f>
        <v>252.2</v>
      </c>
      <c r="O258" s="28">
        <f t="shared" si="21"/>
        <v>1687.8</v>
      </c>
      <c r="P258" s="70">
        <v>0</v>
      </c>
      <c r="W258" s="12"/>
    </row>
    <row r="259" spans="1:23" ht="25.5" x14ac:dyDescent="0.2">
      <c r="A259" s="130">
        <v>249</v>
      </c>
      <c r="B259" s="24" t="s">
        <v>420</v>
      </c>
      <c r="C259" s="33" t="s">
        <v>496</v>
      </c>
      <c r="D259" s="29">
        <v>2328</v>
      </c>
      <c r="E259" s="29">
        <v>0</v>
      </c>
      <c r="F259" s="27">
        <v>0</v>
      </c>
      <c r="G259" s="147">
        <v>0</v>
      </c>
      <c r="H259" s="147">
        <v>0</v>
      </c>
      <c r="I259" s="28">
        <f t="shared" si="22"/>
        <v>2328</v>
      </c>
      <c r="J259" s="28">
        <f t="shared" ref="J259:J320" si="23">(D259+E259+F259)*3%</f>
        <v>69.84</v>
      </c>
      <c r="K259" s="28">
        <f>(D259+E259)*11%</f>
        <v>256.08</v>
      </c>
      <c r="L259" s="28">
        <v>0</v>
      </c>
      <c r="M259" s="28">
        <v>0</v>
      </c>
      <c r="N259" s="28">
        <f t="shared" ref="N259:N320" si="24">J259+K259+L259+M259</f>
        <v>325.92</v>
      </c>
      <c r="O259" s="28">
        <f t="shared" si="21"/>
        <v>2002.08</v>
      </c>
      <c r="P259" s="70">
        <v>0</v>
      </c>
      <c r="W259" s="12"/>
    </row>
    <row r="260" spans="1:23" ht="25.5" x14ac:dyDescent="0.2">
      <c r="A260" s="130">
        <v>250</v>
      </c>
      <c r="B260" s="24" t="s">
        <v>103</v>
      </c>
      <c r="C260" s="24" t="s">
        <v>328</v>
      </c>
      <c r="D260" s="148">
        <v>2425</v>
      </c>
      <c r="E260" s="29">
        <v>0</v>
      </c>
      <c r="F260" s="27">
        <v>0</v>
      </c>
      <c r="G260" s="147">
        <v>0</v>
      </c>
      <c r="H260" s="147">
        <v>0</v>
      </c>
      <c r="I260" s="28">
        <f t="shared" si="22"/>
        <v>2425</v>
      </c>
      <c r="J260" s="28">
        <f t="shared" si="23"/>
        <v>72.75</v>
      </c>
      <c r="K260" s="28">
        <f>D260*11%</f>
        <v>266.75</v>
      </c>
      <c r="L260" s="28">
        <v>0</v>
      </c>
      <c r="M260" s="28">
        <v>0</v>
      </c>
      <c r="N260" s="28">
        <f t="shared" si="24"/>
        <v>339.5</v>
      </c>
      <c r="O260" s="28">
        <f t="shared" si="21"/>
        <v>2085.5</v>
      </c>
      <c r="P260" s="70">
        <v>0</v>
      </c>
      <c r="W260" s="12"/>
    </row>
    <row r="261" spans="1:23" ht="25.5" x14ac:dyDescent="0.2">
      <c r="A261" s="130">
        <v>251</v>
      </c>
      <c r="B261" s="47" t="s">
        <v>380</v>
      </c>
      <c r="C261" s="26" t="s">
        <v>157</v>
      </c>
      <c r="D261" s="157">
        <v>6759</v>
      </c>
      <c r="E261" s="146">
        <v>4000</v>
      </c>
      <c r="F261" s="27">
        <v>375</v>
      </c>
      <c r="G261" s="147">
        <v>250</v>
      </c>
      <c r="H261" s="147">
        <v>0</v>
      </c>
      <c r="I261" s="28">
        <f t="shared" si="22"/>
        <v>11384</v>
      </c>
      <c r="J261" s="28">
        <f>(D261+E261+F261)*3%</f>
        <v>334.02</v>
      </c>
      <c r="K261" s="28">
        <f>(D261+E261+F261)*15%</f>
        <v>1670.1</v>
      </c>
      <c r="L261" s="28">
        <v>269.83</v>
      </c>
      <c r="M261" s="28">
        <v>149.63999999999999</v>
      </c>
      <c r="N261" s="28">
        <f t="shared" si="24"/>
        <v>2423.59</v>
      </c>
      <c r="O261" s="28">
        <f t="shared" si="21"/>
        <v>8960.41</v>
      </c>
      <c r="P261" s="70">
        <v>0</v>
      </c>
      <c r="W261" s="12"/>
    </row>
    <row r="262" spans="1:23" x14ac:dyDescent="0.2">
      <c r="A262" s="130">
        <v>252</v>
      </c>
      <c r="B262" s="24" t="s">
        <v>421</v>
      </c>
      <c r="C262" s="24" t="s">
        <v>113</v>
      </c>
      <c r="D262" s="29">
        <v>1668</v>
      </c>
      <c r="E262" s="29">
        <v>1000</v>
      </c>
      <c r="F262" s="27">
        <v>0</v>
      </c>
      <c r="G262" s="147">
        <v>250</v>
      </c>
      <c r="H262" s="147">
        <v>0</v>
      </c>
      <c r="I262" s="28">
        <f t="shared" si="22"/>
        <v>2918</v>
      </c>
      <c r="J262" s="28">
        <f t="shared" si="23"/>
        <v>80.040000000000006</v>
      </c>
      <c r="K262" s="28">
        <f>(D262+E262)*11%</f>
        <v>293.48</v>
      </c>
      <c r="L262" s="28">
        <v>0</v>
      </c>
      <c r="M262" s="28">
        <v>0</v>
      </c>
      <c r="N262" s="28">
        <f t="shared" si="24"/>
        <v>373.52</v>
      </c>
      <c r="O262" s="28">
        <f t="shared" si="21"/>
        <v>2544.48</v>
      </c>
      <c r="P262" s="70">
        <v>0</v>
      </c>
      <c r="W262" s="12"/>
    </row>
    <row r="263" spans="1:23" ht="25.5" x14ac:dyDescent="0.2">
      <c r="A263" s="130">
        <v>253</v>
      </c>
      <c r="B263" s="24" t="s">
        <v>422</v>
      </c>
      <c r="C263" s="24" t="s">
        <v>328</v>
      </c>
      <c r="D263" s="148">
        <v>2425</v>
      </c>
      <c r="E263" s="29">
        <v>0</v>
      </c>
      <c r="F263" s="27">
        <v>0</v>
      </c>
      <c r="G263" s="147">
        <v>0</v>
      </c>
      <c r="H263" s="147">
        <v>0</v>
      </c>
      <c r="I263" s="28">
        <f t="shared" si="22"/>
        <v>2425</v>
      </c>
      <c r="J263" s="28">
        <f t="shared" si="23"/>
        <v>72.75</v>
      </c>
      <c r="K263" s="28">
        <f>(D263+E263)*11%</f>
        <v>266.75</v>
      </c>
      <c r="L263" s="28">
        <v>0</v>
      </c>
      <c r="M263" s="28">
        <v>0</v>
      </c>
      <c r="N263" s="28">
        <f t="shared" si="24"/>
        <v>339.5</v>
      </c>
      <c r="O263" s="28">
        <f t="shared" si="21"/>
        <v>2085.5</v>
      </c>
      <c r="P263" s="70">
        <v>0</v>
      </c>
      <c r="W263" s="12"/>
    </row>
    <row r="264" spans="1:23" ht="25.5" x14ac:dyDescent="0.2">
      <c r="A264" s="130">
        <v>254</v>
      </c>
      <c r="B264" s="220" t="s">
        <v>1042</v>
      </c>
      <c r="C264" s="23" t="s">
        <v>1043</v>
      </c>
      <c r="D264" s="148">
        <v>2231</v>
      </c>
      <c r="E264" s="29">
        <v>0</v>
      </c>
      <c r="F264" s="27">
        <v>0</v>
      </c>
      <c r="G264" s="147">
        <v>0</v>
      </c>
      <c r="H264" s="147">
        <v>0</v>
      </c>
      <c r="I264" s="28">
        <f>SUM(D264:H264)</f>
        <v>2231</v>
      </c>
      <c r="J264" s="28">
        <f t="shared" si="23"/>
        <v>66.930000000000007</v>
      </c>
      <c r="K264" s="28">
        <f>(D264+E264)*11%</f>
        <v>245.41</v>
      </c>
      <c r="L264" s="28">
        <v>0</v>
      </c>
      <c r="M264" s="28">
        <v>0</v>
      </c>
      <c r="N264" s="28">
        <f t="shared" si="24"/>
        <v>312.33999999999997</v>
      </c>
      <c r="O264" s="28">
        <f t="shared" si="21"/>
        <v>1918.66</v>
      </c>
      <c r="P264" s="70">
        <v>0</v>
      </c>
      <c r="W264" s="12"/>
    </row>
    <row r="265" spans="1:23" ht="25.5" x14ac:dyDescent="0.2">
      <c r="A265" s="130">
        <v>255</v>
      </c>
      <c r="B265" s="24" t="s">
        <v>80</v>
      </c>
      <c r="C265" s="24" t="s">
        <v>346</v>
      </c>
      <c r="D265" s="157">
        <v>3462.9</v>
      </c>
      <c r="E265" s="29">
        <v>0</v>
      </c>
      <c r="F265" s="27">
        <v>0</v>
      </c>
      <c r="G265" s="147">
        <v>0</v>
      </c>
      <c r="H265" s="147">
        <v>0</v>
      </c>
      <c r="I265" s="28">
        <f t="shared" si="22"/>
        <v>3462.9</v>
      </c>
      <c r="J265" s="28">
        <f t="shared" si="23"/>
        <v>103.89</v>
      </c>
      <c r="K265" s="28">
        <f>(D265+E265)*11%</f>
        <v>380.92</v>
      </c>
      <c r="L265" s="28">
        <v>0</v>
      </c>
      <c r="M265" s="28">
        <v>0</v>
      </c>
      <c r="N265" s="28">
        <f t="shared" si="24"/>
        <v>484.81</v>
      </c>
      <c r="O265" s="28">
        <f t="shared" si="21"/>
        <v>2978.09</v>
      </c>
      <c r="P265" s="70">
        <v>0</v>
      </c>
      <c r="W265" s="12"/>
    </row>
    <row r="266" spans="1:23" x14ac:dyDescent="0.2">
      <c r="A266" s="130">
        <v>256</v>
      </c>
      <c r="B266" s="24" t="s">
        <v>65</v>
      </c>
      <c r="C266" s="24" t="s">
        <v>113</v>
      </c>
      <c r="D266" s="29">
        <v>1668</v>
      </c>
      <c r="E266" s="29">
        <v>1000</v>
      </c>
      <c r="F266" s="27">
        <v>0</v>
      </c>
      <c r="G266" s="147">
        <v>250</v>
      </c>
      <c r="H266" s="147">
        <v>0</v>
      </c>
      <c r="I266" s="28">
        <f t="shared" si="22"/>
        <v>2918</v>
      </c>
      <c r="J266" s="28">
        <f t="shared" si="23"/>
        <v>80.040000000000006</v>
      </c>
      <c r="K266" s="28">
        <f>2902*11%</f>
        <v>319.22000000000003</v>
      </c>
      <c r="L266" s="28">
        <v>0</v>
      </c>
      <c r="M266" s="28">
        <v>0</v>
      </c>
      <c r="N266" s="28">
        <f t="shared" si="24"/>
        <v>399.26</v>
      </c>
      <c r="O266" s="28">
        <f t="shared" si="21"/>
        <v>2518.7399999999998</v>
      </c>
      <c r="P266" s="70">
        <v>0</v>
      </c>
      <c r="W266" s="12"/>
    </row>
    <row r="267" spans="1:23" ht="25.5" x14ac:dyDescent="0.2">
      <c r="A267" s="130">
        <v>257</v>
      </c>
      <c r="B267" s="24" t="s">
        <v>358</v>
      </c>
      <c r="C267" s="24" t="s">
        <v>336</v>
      </c>
      <c r="D267" s="29">
        <v>3081</v>
      </c>
      <c r="E267" s="146">
        <v>1000</v>
      </c>
      <c r="F267" s="27">
        <v>0</v>
      </c>
      <c r="G267" s="147">
        <v>250</v>
      </c>
      <c r="H267" s="147">
        <v>0</v>
      </c>
      <c r="I267" s="28">
        <f t="shared" si="22"/>
        <v>4331</v>
      </c>
      <c r="J267" s="28">
        <f t="shared" si="23"/>
        <v>122.43</v>
      </c>
      <c r="K267" s="28">
        <f>(D267+E267)*12%</f>
        <v>489.72</v>
      </c>
      <c r="L267" s="28">
        <v>0</v>
      </c>
      <c r="M267" s="28">
        <v>0</v>
      </c>
      <c r="N267" s="28">
        <f t="shared" si="24"/>
        <v>612.15</v>
      </c>
      <c r="O267" s="28">
        <f>SUM(D267:N267)</f>
        <v>9886.2999999999993</v>
      </c>
      <c r="P267" s="70">
        <v>275</v>
      </c>
      <c r="W267" s="12"/>
    </row>
    <row r="268" spans="1:23" ht="25.5" x14ac:dyDescent="0.2">
      <c r="A268" s="130">
        <v>258</v>
      </c>
      <c r="B268" s="24" t="s">
        <v>359</v>
      </c>
      <c r="C268" s="24" t="s">
        <v>331</v>
      </c>
      <c r="D268" s="148">
        <v>1940</v>
      </c>
      <c r="E268" s="29">
        <v>0</v>
      </c>
      <c r="F268" s="27">
        <v>0</v>
      </c>
      <c r="G268" s="147">
        <v>0</v>
      </c>
      <c r="H268" s="147">
        <v>0</v>
      </c>
      <c r="I268" s="28">
        <f t="shared" si="22"/>
        <v>1940</v>
      </c>
      <c r="J268" s="28">
        <f t="shared" si="23"/>
        <v>58.2</v>
      </c>
      <c r="K268" s="28">
        <f>D268*10%</f>
        <v>194</v>
      </c>
      <c r="L268" s="28">
        <v>0</v>
      </c>
      <c r="M268" s="28">
        <v>0</v>
      </c>
      <c r="N268" s="28">
        <f t="shared" si="24"/>
        <v>252.2</v>
      </c>
      <c r="O268" s="28">
        <f t="shared" ref="O268:O299" si="25">I268-N268</f>
        <v>1687.8</v>
      </c>
      <c r="P268" s="70">
        <v>0</v>
      </c>
      <c r="W268" s="12"/>
    </row>
    <row r="269" spans="1:23" ht="21.75" customHeight="1" x14ac:dyDescent="0.2">
      <c r="A269" s="130">
        <v>259</v>
      </c>
      <c r="B269" s="32" t="s">
        <v>520</v>
      </c>
      <c r="C269" s="63" t="s">
        <v>514</v>
      </c>
      <c r="D269" s="169">
        <v>3241</v>
      </c>
      <c r="E269" s="29">
        <v>1000</v>
      </c>
      <c r="F269" s="27">
        <v>0</v>
      </c>
      <c r="G269" s="147">
        <v>250</v>
      </c>
      <c r="H269" s="147">
        <v>0</v>
      </c>
      <c r="I269" s="28">
        <f t="shared" si="22"/>
        <v>4491</v>
      </c>
      <c r="J269" s="28">
        <f t="shared" si="23"/>
        <v>127.23</v>
      </c>
      <c r="K269" s="28">
        <f>(D269+E269)*12%</f>
        <v>508.92</v>
      </c>
      <c r="L269" s="28">
        <v>0</v>
      </c>
      <c r="M269" s="28">
        <v>0</v>
      </c>
      <c r="N269" s="28">
        <f t="shared" si="24"/>
        <v>636.15</v>
      </c>
      <c r="O269" s="28">
        <f t="shared" si="25"/>
        <v>3854.85</v>
      </c>
      <c r="P269" s="70">
        <v>0</v>
      </c>
      <c r="T269" s="119"/>
      <c r="W269" s="12"/>
    </row>
    <row r="270" spans="1:23" ht="25.5" customHeight="1" x14ac:dyDescent="0.2">
      <c r="A270" s="130">
        <v>260</v>
      </c>
      <c r="B270" s="24" t="s">
        <v>360</v>
      </c>
      <c r="C270" s="24" t="s">
        <v>331</v>
      </c>
      <c r="D270" s="148">
        <v>1940</v>
      </c>
      <c r="E270" s="29">
        <v>0</v>
      </c>
      <c r="F270" s="27">
        <v>0</v>
      </c>
      <c r="G270" s="147">
        <v>0</v>
      </c>
      <c r="H270" s="147">
        <v>0</v>
      </c>
      <c r="I270" s="28">
        <f t="shared" si="22"/>
        <v>1940</v>
      </c>
      <c r="J270" s="28">
        <f t="shared" si="23"/>
        <v>58.2</v>
      </c>
      <c r="K270" s="28">
        <f>D270*10%</f>
        <v>194</v>
      </c>
      <c r="L270" s="28">
        <v>0</v>
      </c>
      <c r="M270" s="28">
        <v>0</v>
      </c>
      <c r="N270" s="28">
        <f t="shared" si="24"/>
        <v>252.2</v>
      </c>
      <c r="O270" s="28">
        <f t="shared" si="25"/>
        <v>1687.8</v>
      </c>
      <c r="P270" s="70">
        <v>0</v>
      </c>
      <c r="W270" s="12"/>
    </row>
    <row r="271" spans="1:23" x14ac:dyDescent="0.2">
      <c r="A271" s="130">
        <v>261</v>
      </c>
      <c r="B271" s="41" t="s">
        <v>361</v>
      </c>
      <c r="C271" s="24" t="s">
        <v>111</v>
      </c>
      <c r="D271" s="29">
        <v>1902</v>
      </c>
      <c r="E271" s="29">
        <v>1000</v>
      </c>
      <c r="F271" s="27">
        <v>0</v>
      </c>
      <c r="G271" s="147">
        <v>250</v>
      </c>
      <c r="H271" s="147">
        <v>0</v>
      </c>
      <c r="I271" s="28">
        <f t="shared" si="22"/>
        <v>3152</v>
      </c>
      <c r="J271" s="28">
        <f t="shared" si="23"/>
        <v>87.06</v>
      </c>
      <c r="K271" s="28">
        <f>2902*11%</f>
        <v>319.22000000000003</v>
      </c>
      <c r="L271" s="28">
        <v>0</v>
      </c>
      <c r="M271" s="28">
        <v>0</v>
      </c>
      <c r="N271" s="28">
        <f t="shared" si="24"/>
        <v>406.28</v>
      </c>
      <c r="O271" s="28">
        <f t="shared" si="25"/>
        <v>2745.72</v>
      </c>
      <c r="P271" s="70">
        <v>0</v>
      </c>
      <c r="W271" s="12"/>
    </row>
    <row r="272" spans="1:23" ht="25.5" x14ac:dyDescent="0.2">
      <c r="A272" s="130">
        <v>262</v>
      </c>
      <c r="B272" s="24" t="s">
        <v>362</v>
      </c>
      <c r="C272" s="24" t="s">
        <v>112</v>
      </c>
      <c r="D272" s="29">
        <v>2920</v>
      </c>
      <c r="E272" s="29">
        <v>1000</v>
      </c>
      <c r="F272" s="27">
        <v>0</v>
      </c>
      <c r="G272" s="147">
        <v>250</v>
      </c>
      <c r="H272" s="147">
        <v>0</v>
      </c>
      <c r="I272" s="28">
        <f t="shared" si="22"/>
        <v>4170</v>
      </c>
      <c r="J272" s="28">
        <f t="shared" si="23"/>
        <v>117.6</v>
      </c>
      <c r="K272" s="28">
        <f>2902*11%</f>
        <v>319.22000000000003</v>
      </c>
      <c r="L272" s="28">
        <v>0</v>
      </c>
      <c r="M272" s="28">
        <v>0</v>
      </c>
      <c r="N272" s="28">
        <f t="shared" si="24"/>
        <v>436.82</v>
      </c>
      <c r="O272" s="28">
        <f t="shared" si="25"/>
        <v>3733.18</v>
      </c>
      <c r="P272" s="70">
        <v>0</v>
      </c>
      <c r="W272" s="12"/>
    </row>
    <row r="273" spans="1:23" ht="25.5" x14ac:dyDescent="0.2">
      <c r="A273" s="130">
        <v>263</v>
      </c>
      <c r="B273" s="24" t="s">
        <v>363</v>
      </c>
      <c r="C273" s="24" t="s">
        <v>328</v>
      </c>
      <c r="D273" s="148">
        <v>2425</v>
      </c>
      <c r="E273" s="29">
        <v>0</v>
      </c>
      <c r="F273" s="27">
        <v>0</v>
      </c>
      <c r="G273" s="147">
        <v>0</v>
      </c>
      <c r="H273" s="147">
        <v>0</v>
      </c>
      <c r="I273" s="28">
        <f t="shared" si="22"/>
        <v>2425</v>
      </c>
      <c r="J273" s="28">
        <f t="shared" si="23"/>
        <v>72.75</v>
      </c>
      <c r="K273" s="28">
        <f>2425*11%</f>
        <v>266.75</v>
      </c>
      <c r="L273" s="28">
        <v>0</v>
      </c>
      <c r="M273" s="28">
        <v>0</v>
      </c>
      <c r="N273" s="28">
        <f t="shared" si="24"/>
        <v>339.5</v>
      </c>
      <c r="O273" s="28">
        <f t="shared" si="25"/>
        <v>2085.5</v>
      </c>
      <c r="P273" s="70">
        <v>0</v>
      </c>
      <c r="W273" s="12"/>
    </row>
    <row r="274" spans="1:23" ht="25.5" x14ac:dyDescent="0.2">
      <c r="A274" s="130">
        <v>264</v>
      </c>
      <c r="B274" s="37" t="s">
        <v>251</v>
      </c>
      <c r="C274" s="26" t="s">
        <v>488</v>
      </c>
      <c r="D274" s="27">
        <v>3404</v>
      </c>
      <c r="E274" s="27">
        <v>1000</v>
      </c>
      <c r="F274" s="27">
        <v>375</v>
      </c>
      <c r="G274" s="27">
        <v>250</v>
      </c>
      <c r="H274" s="147">
        <v>0</v>
      </c>
      <c r="I274" s="28">
        <f t="shared" si="22"/>
        <v>5029</v>
      </c>
      <c r="J274" s="28">
        <f t="shared" si="23"/>
        <v>143.37</v>
      </c>
      <c r="K274" s="28">
        <f>(D274+E274+F274)*12%</f>
        <v>573.48</v>
      </c>
      <c r="L274" s="28">
        <v>16.440000000000001</v>
      </c>
      <c r="M274" s="28">
        <v>0</v>
      </c>
      <c r="N274" s="28">
        <f t="shared" si="24"/>
        <v>733.29</v>
      </c>
      <c r="O274" s="28">
        <f t="shared" si="25"/>
        <v>4295.71</v>
      </c>
      <c r="P274" s="70">
        <v>0</v>
      </c>
      <c r="W274" s="12"/>
    </row>
    <row r="275" spans="1:23" ht="25.5" x14ac:dyDescent="0.2">
      <c r="A275" s="130">
        <v>265</v>
      </c>
      <c r="B275" s="24" t="s">
        <v>561</v>
      </c>
      <c r="C275" s="24" t="s">
        <v>289</v>
      </c>
      <c r="D275" s="29">
        <v>1831</v>
      </c>
      <c r="E275" s="146">
        <v>1000</v>
      </c>
      <c r="F275" s="27">
        <v>0</v>
      </c>
      <c r="G275" s="147">
        <v>250</v>
      </c>
      <c r="H275" s="147">
        <v>0</v>
      </c>
      <c r="I275" s="28">
        <f t="shared" si="22"/>
        <v>3081</v>
      </c>
      <c r="J275" s="28">
        <f t="shared" si="23"/>
        <v>84.93</v>
      </c>
      <c r="K275" s="28">
        <f>2902*11%</f>
        <v>319.22000000000003</v>
      </c>
      <c r="L275" s="28">
        <v>0</v>
      </c>
      <c r="M275" s="28">
        <v>0</v>
      </c>
      <c r="N275" s="28">
        <f t="shared" si="24"/>
        <v>404.15</v>
      </c>
      <c r="O275" s="28">
        <f t="shared" si="25"/>
        <v>2676.85</v>
      </c>
      <c r="P275" s="70">
        <v>0</v>
      </c>
      <c r="W275" s="12"/>
    </row>
    <row r="276" spans="1:23" ht="25.5" x14ac:dyDescent="0.2">
      <c r="A276" s="130">
        <v>266</v>
      </c>
      <c r="B276" s="24" t="s">
        <v>191</v>
      </c>
      <c r="C276" s="24" t="s">
        <v>331</v>
      </c>
      <c r="D276" s="29">
        <v>1940</v>
      </c>
      <c r="E276" s="29">
        <v>0</v>
      </c>
      <c r="F276" s="27">
        <v>0</v>
      </c>
      <c r="G276" s="147">
        <v>0</v>
      </c>
      <c r="H276" s="147">
        <v>0</v>
      </c>
      <c r="I276" s="28">
        <f t="shared" si="22"/>
        <v>1940</v>
      </c>
      <c r="J276" s="28">
        <f t="shared" si="23"/>
        <v>58.2</v>
      </c>
      <c r="K276" s="28">
        <f>D276*10%</f>
        <v>194</v>
      </c>
      <c r="L276" s="28">
        <v>0</v>
      </c>
      <c r="M276" s="28">
        <v>0</v>
      </c>
      <c r="N276" s="28">
        <f t="shared" si="24"/>
        <v>252.2</v>
      </c>
      <c r="O276" s="28">
        <f t="shared" si="25"/>
        <v>1687.8</v>
      </c>
      <c r="P276" s="70">
        <v>0</v>
      </c>
      <c r="W276" s="12"/>
    </row>
    <row r="277" spans="1:23" ht="25.5" x14ac:dyDescent="0.2">
      <c r="A277" s="130">
        <v>267</v>
      </c>
      <c r="B277" s="22" t="s">
        <v>168</v>
      </c>
      <c r="C277" s="26" t="s">
        <v>110</v>
      </c>
      <c r="D277" s="29">
        <v>2920</v>
      </c>
      <c r="E277" s="146">
        <v>1000</v>
      </c>
      <c r="F277" s="27">
        <v>0</v>
      </c>
      <c r="G277" s="147">
        <v>250</v>
      </c>
      <c r="H277" s="147">
        <v>0</v>
      </c>
      <c r="I277" s="28">
        <f t="shared" si="22"/>
        <v>4170</v>
      </c>
      <c r="J277" s="28">
        <f t="shared" si="23"/>
        <v>117.6</v>
      </c>
      <c r="K277" s="28">
        <f>(D277+E277)*11%</f>
        <v>431.2</v>
      </c>
      <c r="L277" s="28">
        <v>0</v>
      </c>
      <c r="M277" s="28">
        <v>52.68</v>
      </c>
      <c r="N277" s="28">
        <f t="shared" si="24"/>
        <v>601.48</v>
      </c>
      <c r="O277" s="28">
        <f t="shared" si="25"/>
        <v>3568.52</v>
      </c>
      <c r="P277" s="70">
        <v>0</v>
      </c>
      <c r="W277" s="12"/>
    </row>
    <row r="278" spans="1:23" ht="25.5" x14ac:dyDescent="0.2">
      <c r="A278" s="130">
        <v>268</v>
      </c>
      <c r="B278" s="48" t="s">
        <v>423</v>
      </c>
      <c r="C278" s="33" t="s">
        <v>115</v>
      </c>
      <c r="D278" s="27">
        <v>1902</v>
      </c>
      <c r="E278" s="164">
        <v>1000</v>
      </c>
      <c r="F278" s="27">
        <v>0</v>
      </c>
      <c r="G278" s="146">
        <v>250</v>
      </c>
      <c r="H278" s="147">
        <v>0</v>
      </c>
      <c r="I278" s="28">
        <f t="shared" si="22"/>
        <v>3152</v>
      </c>
      <c r="J278" s="28">
        <f t="shared" si="23"/>
        <v>87.06</v>
      </c>
      <c r="K278" s="28">
        <f>(D278+E278)*11%</f>
        <v>319.22000000000003</v>
      </c>
      <c r="L278" s="28">
        <v>0</v>
      </c>
      <c r="M278" s="28">
        <v>0</v>
      </c>
      <c r="N278" s="28">
        <f t="shared" si="24"/>
        <v>406.28</v>
      </c>
      <c r="O278" s="28">
        <f t="shared" si="25"/>
        <v>2745.72</v>
      </c>
      <c r="P278" s="70">
        <v>0</v>
      </c>
      <c r="W278" s="12"/>
    </row>
    <row r="279" spans="1:23" ht="25.5" x14ac:dyDescent="0.2">
      <c r="A279" s="130">
        <v>269</v>
      </c>
      <c r="B279" s="22" t="s">
        <v>315</v>
      </c>
      <c r="C279" s="24" t="s">
        <v>331</v>
      </c>
      <c r="D279" s="29">
        <v>1940</v>
      </c>
      <c r="E279" s="29">
        <v>0</v>
      </c>
      <c r="F279" s="27">
        <v>0</v>
      </c>
      <c r="G279" s="147">
        <v>0</v>
      </c>
      <c r="H279" s="147">
        <v>0</v>
      </c>
      <c r="I279" s="28">
        <f t="shared" si="22"/>
        <v>1940</v>
      </c>
      <c r="J279" s="28">
        <f t="shared" si="23"/>
        <v>58.2</v>
      </c>
      <c r="K279" s="28">
        <f>D279*10%</f>
        <v>194</v>
      </c>
      <c r="L279" s="28">
        <v>0</v>
      </c>
      <c r="M279" s="28">
        <v>0</v>
      </c>
      <c r="N279" s="28">
        <f t="shared" si="24"/>
        <v>252.2</v>
      </c>
      <c r="O279" s="28">
        <f t="shared" si="25"/>
        <v>1687.8</v>
      </c>
      <c r="P279" s="70">
        <v>0</v>
      </c>
      <c r="W279" s="12"/>
    </row>
    <row r="280" spans="1:23" ht="25.5" x14ac:dyDescent="0.2">
      <c r="A280" s="130">
        <v>270</v>
      </c>
      <c r="B280" s="49" t="s">
        <v>364</v>
      </c>
      <c r="C280" s="23" t="s">
        <v>510</v>
      </c>
      <c r="D280" s="155">
        <v>1824</v>
      </c>
      <c r="E280" s="156">
        <v>1000</v>
      </c>
      <c r="F280" s="27">
        <v>0</v>
      </c>
      <c r="G280" s="147">
        <v>250</v>
      </c>
      <c r="H280" s="147">
        <v>0</v>
      </c>
      <c r="I280" s="28">
        <f t="shared" si="22"/>
        <v>3074</v>
      </c>
      <c r="J280" s="28">
        <f t="shared" si="23"/>
        <v>84.72</v>
      </c>
      <c r="K280" s="28">
        <f>(D280+E280+F280)*11%</f>
        <v>310.64</v>
      </c>
      <c r="L280" s="28">
        <v>0</v>
      </c>
      <c r="M280" s="28">
        <v>0</v>
      </c>
      <c r="N280" s="28">
        <f t="shared" si="24"/>
        <v>395.36</v>
      </c>
      <c r="O280" s="28">
        <f t="shared" si="25"/>
        <v>2678.64</v>
      </c>
      <c r="P280" s="70">
        <v>0</v>
      </c>
      <c r="W280" s="12"/>
    </row>
    <row r="281" spans="1:23" ht="25.5" x14ac:dyDescent="0.2">
      <c r="A281" s="130">
        <v>271</v>
      </c>
      <c r="B281" s="22" t="s">
        <v>169</v>
      </c>
      <c r="C281" s="24" t="s">
        <v>331</v>
      </c>
      <c r="D281" s="29">
        <v>1940</v>
      </c>
      <c r="E281" s="29">
        <v>0</v>
      </c>
      <c r="F281" s="27">
        <v>0</v>
      </c>
      <c r="G281" s="147">
        <v>0</v>
      </c>
      <c r="H281" s="147">
        <v>0</v>
      </c>
      <c r="I281" s="28">
        <f t="shared" si="22"/>
        <v>1940</v>
      </c>
      <c r="J281" s="28">
        <f t="shared" si="23"/>
        <v>58.2</v>
      </c>
      <c r="K281" s="28">
        <f>D281*10%</f>
        <v>194</v>
      </c>
      <c r="L281" s="28">
        <v>0</v>
      </c>
      <c r="M281" s="28">
        <v>0</v>
      </c>
      <c r="N281" s="28">
        <f t="shared" si="24"/>
        <v>252.2</v>
      </c>
      <c r="O281" s="28">
        <f t="shared" si="25"/>
        <v>1687.8</v>
      </c>
      <c r="P281" s="70">
        <v>0</v>
      </c>
      <c r="W281" s="12"/>
    </row>
    <row r="282" spans="1:23" ht="25.5" x14ac:dyDescent="0.2">
      <c r="A282" s="130">
        <v>272</v>
      </c>
      <c r="B282" s="24" t="s">
        <v>100</v>
      </c>
      <c r="C282" s="24" t="s">
        <v>328</v>
      </c>
      <c r="D282" s="148">
        <v>2425</v>
      </c>
      <c r="E282" s="29">
        <v>0</v>
      </c>
      <c r="F282" s="27">
        <v>0</v>
      </c>
      <c r="G282" s="147">
        <v>0</v>
      </c>
      <c r="H282" s="147">
        <v>0</v>
      </c>
      <c r="I282" s="28">
        <f t="shared" si="22"/>
        <v>2425</v>
      </c>
      <c r="J282" s="28">
        <f t="shared" si="23"/>
        <v>72.75</v>
      </c>
      <c r="K282" s="28">
        <f>D282*11%</f>
        <v>266.75</v>
      </c>
      <c r="L282" s="28">
        <v>0</v>
      </c>
      <c r="M282" s="28">
        <v>0</v>
      </c>
      <c r="N282" s="28">
        <f t="shared" si="24"/>
        <v>339.5</v>
      </c>
      <c r="O282" s="28">
        <f t="shared" si="25"/>
        <v>2085.5</v>
      </c>
      <c r="P282" s="70">
        <v>0</v>
      </c>
      <c r="W282" s="12"/>
    </row>
    <row r="283" spans="1:23" ht="25.5" x14ac:dyDescent="0.2">
      <c r="A283" s="130">
        <v>273</v>
      </c>
      <c r="B283" s="226" t="s">
        <v>1008</v>
      </c>
      <c r="C283" s="23" t="s">
        <v>493</v>
      </c>
      <c r="D283" s="228">
        <v>1981</v>
      </c>
      <c r="E283" s="29">
        <v>1000</v>
      </c>
      <c r="F283" s="27">
        <v>0</v>
      </c>
      <c r="G283" s="147">
        <v>250</v>
      </c>
      <c r="H283" s="147">
        <v>0</v>
      </c>
      <c r="I283" s="28">
        <f t="shared" si="22"/>
        <v>3231</v>
      </c>
      <c r="J283" s="28">
        <f t="shared" si="23"/>
        <v>89.43</v>
      </c>
      <c r="K283" s="28">
        <f>(D283+E283)*11%</f>
        <v>327.91</v>
      </c>
      <c r="L283" s="28">
        <v>0</v>
      </c>
      <c r="M283" s="28">
        <v>0</v>
      </c>
      <c r="N283" s="28">
        <f t="shared" si="24"/>
        <v>417.34</v>
      </c>
      <c r="O283" s="28">
        <f t="shared" si="25"/>
        <v>2813.66</v>
      </c>
      <c r="P283" s="70">
        <v>0</v>
      </c>
      <c r="W283" s="12"/>
    </row>
    <row r="284" spans="1:23" ht="25.5" x14ac:dyDescent="0.2">
      <c r="A284" s="130">
        <v>274</v>
      </c>
      <c r="B284" s="25" t="s">
        <v>40</v>
      </c>
      <c r="C284" s="24" t="s">
        <v>112</v>
      </c>
      <c r="D284" s="27">
        <v>2920</v>
      </c>
      <c r="E284" s="27">
        <v>1000</v>
      </c>
      <c r="F284" s="27">
        <v>0</v>
      </c>
      <c r="G284" s="27">
        <v>250</v>
      </c>
      <c r="H284" s="147">
        <v>0</v>
      </c>
      <c r="I284" s="28">
        <f t="shared" si="22"/>
        <v>4170</v>
      </c>
      <c r="J284" s="28">
        <f t="shared" si="23"/>
        <v>117.6</v>
      </c>
      <c r="K284" s="28">
        <f>(D284+E284)*12%</f>
        <v>470.4</v>
      </c>
      <c r="L284" s="28">
        <v>0</v>
      </c>
      <c r="M284" s="28">
        <v>54.85</v>
      </c>
      <c r="N284" s="28">
        <f t="shared" si="24"/>
        <v>642.85</v>
      </c>
      <c r="O284" s="28">
        <f t="shared" si="25"/>
        <v>3527.15</v>
      </c>
      <c r="P284" s="70">
        <v>0</v>
      </c>
      <c r="W284" s="12"/>
    </row>
    <row r="285" spans="1:23" ht="25.5" x14ac:dyDescent="0.2">
      <c r="A285" s="130">
        <v>275</v>
      </c>
      <c r="B285" s="24" t="s">
        <v>365</v>
      </c>
      <c r="C285" s="24" t="s">
        <v>328</v>
      </c>
      <c r="D285" s="148">
        <v>2425</v>
      </c>
      <c r="E285" s="29">
        <v>0</v>
      </c>
      <c r="F285" s="27">
        <v>0</v>
      </c>
      <c r="G285" s="147">
        <v>0</v>
      </c>
      <c r="H285" s="147">
        <v>0</v>
      </c>
      <c r="I285" s="28">
        <f t="shared" si="22"/>
        <v>2425</v>
      </c>
      <c r="J285" s="28">
        <f t="shared" si="23"/>
        <v>72.75</v>
      </c>
      <c r="K285" s="28">
        <f>D285*11%</f>
        <v>266.75</v>
      </c>
      <c r="L285" s="28">
        <v>0</v>
      </c>
      <c r="M285" s="28">
        <v>0</v>
      </c>
      <c r="N285" s="28">
        <f t="shared" si="24"/>
        <v>339.5</v>
      </c>
      <c r="O285" s="28">
        <f t="shared" si="25"/>
        <v>2085.5</v>
      </c>
      <c r="P285" s="70">
        <v>0</v>
      </c>
      <c r="W285" s="12"/>
    </row>
    <row r="286" spans="1:23" ht="25.5" x14ac:dyDescent="0.2">
      <c r="A286" s="130">
        <v>276</v>
      </c>
      <c r="B286" s="25" t="s">
        <v>453</v>
      </c>
      <c r="C286" s="24" t="s">
        <v>328</v>
      </c>
      <c r="D286" s="27">
        <v>2425</v>
      </c>
      <c r="E286" s="29">
        <v>0</v>
      </c>
      <c r="F286" s="27">
        <v>0</v>
      </c>
      <c r="G286" s="147">
        <v>0</v>
      </c>
      <c r="H286" s="147">
        <v>0</v>
      </c>
      <c r="I286" s="28">
        <f t="shared" si="22"/>
        <v>2425</v>
      </c>
      <c r="J286" s="28">
        <f t="shared" si="23"/>
        <v>72.75</v>
      </c>
      <c r="K286" s="28">
        <f>D286*11%</f>
        <v>266.75</v>
      </c>
      <c r="L286" s="28">
        <v>0</v>
      </c>
      <c r="M286" s="28">
        <v>0</v>
      </c>
      <c r="N286" s="28">
        <f t="shared" si="24"/>
        <v>339.5</v>
      </c>
      <c r="O286" s="28">
        <f t="shared" si="25"/>
        <v>2085.5</v>
      </c>
      <c r="P286" s="70">
        <v>0</v>
      </c>
      <c r="W286" s="12"/>
    </row>
    <row r="287" spans="1:23" ht="25.5" x14ac:dyDescent="0.2">
      <c r="A287" s="130">
        <v>277</v>
      </c>
      <c r="B287" s="24" t="s">
        <v>424</v>
      </c>
      <c r="C287" s="24" t="s">
        <v>331</v>
      </c>
      <c r="D287" s="148">
        <v>1940</v>
      </c>
      <c r="E287" s="29">
        <v>0</v>
      </c>
      <c r="F287" s="27">
        <v>0</v>
      </c>
      <c r="G287" s="147">
        <v>0</v>
      </c>
      <c r="H287" s="147">
        <v>0</v>
      </c>
      <c r="I287" s="28">
        <f t="shared" si="22"/>
        <v>1940</v>
      </c>
      <c r="J287" s="28">
        <f t="shared" si="23"/>
        <v>58.2</v>
      </c>
      <c r="K287" s="28">
        <f>D287*10%</f>
        <v>194</v>
      </c>
      <c r="L287" s="28">
        <v>0</v>
      </c>
      <c r="M287" s="28">
        <v>0</v>
      </c>
      <c r="N287" s="28">
        <f t="shared" si="24"/>
        <v>252.2</v>
      </c>
      <c r="O287" s="28">
        <f t="shared" si="25"/>
        <v>1687.8</v>
      </c>
      <c r="P287" s="70">
        <v>0</v>
      </c>
      <c r="W287" s="12"/>
    </row>
    <row r="288" spans="1:23" ht="25.5" x14ac:dyDescent="0.2">
      <c r="A288" s="130">
        <v>278</v>
      </c>
      <c r="B288" s="24" t="s">
        <v>151</v>
      </c>
      <c r="C288" s="24" t="s">
        <v>471</v>
      </c>
      <c r="D288" s="29">
        <v>3241</v>
      </c>
      <c r="E288" s="29">
        <v>1000</v>
      </c>
      <c r="F288" s="27">
        <v>0</v>
      </c>
      <c r="G288" s="147">
        <v>250</v>
      </c>
      <c r="H288" s="147">
        <v>0</v>
      </c>
      <c r="I288" s="28">
        <f t="shared" si="22"/>
        <v>4491</v>
      </c>
      <c r="J288" s="28">
        <f t="shared" si="23"/>
        <v>127.23</v>
      </c>
      <c r="K288" s="28">
        <f>(D288+E288)*12%</f>
        <v>508.92</v>
      </c>
      <c r="L288" s="28">
        <v>0</v>
      </c>
      <c r="M288" s="28">
        <v>55.56</v>
      </c>
      <c r="N288" s="28">
        <f t="shared" si="24"/>
        <v>691.71</v>
      </c>
      <c r="O288" s="28">
        <f t="shared" si="25"/>
        <v>3799.29</v>
      </c>
      <c r="P288" s="70">
        <v>0</v>
      </c>
      <c r="W288" s="12"/>
    </row>
    <row r="289" spans="1:23" ht="25.5" x14ac:dyDescent="0.2">
      <c r="A289" s="130">
        <v>279</v>
      </c>
      <c r="B289" s="22" t="s">
        <v>278</v>
      </c>
      <c r="C289" s="24" t="s">
        <v>336</v>
      </c>
      <c r="D289" s="29">
        <v>3081</v>
      </c>
      <c r="E289" s="146">
        <v>1000</v>
      </c>
      <c r="F289" s="27">
        <v>0</v>
      </c>
      <c r="G289" s="147">
        <v>250</v>
      </c>
      <c r="H289" s="147">
        <v>0</v>
      </c>
      <c r="I289" s="28">
        <f t="shared" si="22"/>
        <v>4331</v>
      </c>
      <c r="J289" s="28">
        <f t="shared" si="23"/>
        <v>122.43</v>
      </c>
      <c r="K289" s="28">
        <f>(D289+E289)*12%</f>
        <v>489.72</v>
      </c>
      <c r="L289" s="28">
        <v>0</v>
      </c>
      <c r="M289" s="28">
        <v>0</v>
      </c>
      <c r="N289" s="28">
        <f t="shared" si="24"/>
        <v>612.15</v>
      </c>
      <c r="O289" s="28">
        <f t="shared" si="25"/>
        <v>3718.85</v>
      </c>
      <c r="P289" s="70">
        <v>0</v>
      </c>
      <c r="W289" s="12"/>
    </row>
    <row r="290" spans="1:23" ht="25.5" x14ac:dyDescent="0.2">
      <c r="A290" s="130">
        <v>280</v>
      </c>
      <c r="B290" s="25" t="s">
        <v>366</v>
      </c>
      <c r="C290" s="24" t="s">
        <v>499</v>
      </c>
      <c r="D290" s="27">
        <v>2234</v>
      </c>
      <c r="E290" s="27">
        <v>1900</v>
      </c>
      <c r="F290" s="27">
        <v>0</v>
      </c>
      <c r="G290" s="27">
        <v>250</v>
      </c>
      <c r="H290" s="147">
        <v>0</v>
      </c>
      <c r="I290" s="28">
        <f t="shared" si="22"/>
        <v>4384</v>
      </c>
      <c r="J290" s="28">
        <f t="shared" si="23"/>
        <v>124.02</v>
      </c>
      <c r="K290" s="28">
        <f>(D290+E290)*12%</f>
        <v>496.08</v>
      </c>
      <c r="L290" s="28">
        <v>0</v>
      </c>
      <c r="M290" s="28">
        <v>55.56</v>
      </c>
      <c r="N290" s="28">
        <f t="shared" si="24"/>
        <v>675.66</v>
      </c>
      <c r="O290" s="28">
        <f t="shared" si="25"/>
        <v>3708.34</v>
      </c>
      <c r="P290" s="70">
        <v>0</v>
      </c>
      <c r="W290" s="12"/>
    </row>
    <row r="291" spans="1:23" ht="25.5" x14ac:dyDescent="0.2">
      <c r="A291" s="130">
        <v>281</v>
      </c>
      <c r="B291" s="24" t="s">
        <v>232</v>
      </c>
      <c r="C291" s="24" t="s">
        <v>328</v>
      </c>
      <c r="D291" s="148">
        <v>2425</v>
      </c>
      <c r="E291" s="29">
        <v>0</v>
      </c>
      <c r="F291" s="27">
        <v>0</v>
      </c>
      <c r="G291" s="147">
        <v>0</v>
      </c>
      <c r="H291" s="147">
        <v>0</v>
      </c>
      <c r="I291" s="28">
        <f t="shared" si="22"/>
        <v>2425</v>
      </c>
      <c r="J291" s="28">
        <f t="shared" si="23"/>
        <v>72.75</v>
      </c>
      <c r="K291" s="28">
        <f>D291*11%</f>
        <v>266.75</v>
      </c>
      <c r="L291" s="28">
        <v>0</v>
      </c>
      <c r="M291" s="28">
        <v>0</v>
      </c>
      <c r="N291" s="28">
        <f t="shared" si="24"/>
        <v>339.5</v>
      </c>
      <c r="O291" s="28">
        <f t="shared" si="25"/>
        <v>2085.5</v>
      </c>
      <c r="P291" s="70">
        <v>0</v>
      </c>
      <c r="W291" s="12"/>
    </row>
    <row r="292" spans="1:23" ht="25.5" x14ac:dyDescent="0.2">
      <c r="A292" s="130">
        <v>282</v>
      </c>
      <c r="B292" s="24" t="s">
        <v>286</v>
      </c>
      <c r="C292" s="24" t="s">
        <v>328</v>
      </c>
      <c r="D292" s="148">
        <v>2425</v>
      </c>
      <c r="E292" s="29">
        <v>0</v>
      </c>
      <c r="F292" s="27">
        <v>0</v>
      </c>
      <c r="G292" s="147">
        <v>0</v>
      </c>
      <c r="H292" s="147">
        <v>0</v>
      </c>
      <c r="I292" s="28">
        <f t="shared" si="22"/>
        <v>2425</v>
      </c>
      <c r="J292" s="28">
        <f t="shared" si="23"/>
        <v>72.75</v>
      </c>
      <c r="K292" s="28">
        <f>D292*11%</f>
        <v>266.75</v>
      </c>
      <c r="L292" s="28">
        <v>0</v>
      </c>
      <c r="M292" s="28">
        <v>0</v>
      </c>
      <c r="N292" s="28">
        <f t="shared" si="24"/>
        <v>339.5</v>
      </c>
      <c r="O292" s="28">
        <f t="shared" si="25"/>
        <v>2085.5</v>
      </c>
      <c r="P292" s="70">
        <v>0</v>
      </c>
      <c r="W292" s="12"/>
    </row>
    <row r="293" spans="1:23" x14ac:dyDescent="0.2">
      <c r="A293" s="130">
        <v>283</v>
      </c>
      <c r="B293" s="223" t="s">
        <v>1005</v>
      </c>
      <c r="C293" s="229" t="s">
        <v>1006</v>
      </c>
      <c r="D293" s="148">
        <v>5095</v>
      </c>
      <c r="E293" s="29">
        <v>1800</v>
      </c>
      <c r="F293" s="27">
        <v>0</v>
      </c>
      <c r="G293" s="147">
        <v>250</v>
      </c>
      <c r="H293" s="147">
        <v>0</v>
      </c>
      <c r="I293" s="28">
        <f>SUM(D293:H293)</f>
        <v>7145</v>
      </c>
      <c r="J293" s="28">
        <f t="shared" si="23"/>
        <v>206.85</v>
      </c>
      <c r="K293" s="28">
        <f>(D293+E293)*13%</f>
        <v>896.35</v>
      </c>
      <c r="L293" s="28">
        <v>102.92</v>
      </c>
      <c r="M293" s="28">
        <v>92.67</v>
      </c>
      <c r="N293" s="28">
        <f t="shared" si="24"/>
        <v>1298.79</v>
      </c>
      <c r="O293" s="28">
        <f t="shared" si="25"/>
        <v>5846.21</v>
      </c>
      <c r="P293" s="70">
        <v>0</v>
      </c>
      <c r="W293" s="12"/>
    </row>
    <row r="294" spans="1:23" ht="25.5" x14ac:dyDescent="0.2">
      <c r="A294" s="130">
        <v>284</v>
      </c>
      <c r="B294" s="24" t="s">
        <v>316</v>
      </c>
      <c r="C294" s="26" t="s">
        <v>110</v>
      </c>
      <c r="D294" s="29">
        <v>2920</v>
      </c>
      <c r="E294" s="29">
        <v>1000</v>
      </c>
      <c r="F294" s="27">
        <v>0</v>
      </c>
      <c r="G294" s="147">
        <v>250</v>
      </c>
      <c r="H294" s="147">
        <v>0</v>
      </c>
      <c r="I294" s="28">
        <f t="shared" si="22"/>
        <v>4170</v>
      </c>
      <c r="J294" s="28">
        <f t="shared" si="23"/>
        <v>117.6</v>
      </c>
      <c r="K294" s="28">
        <f>(D294+E294)*11%</f>
        <v>431.2</v>
      </c>
      <c r="L294" s="28">
        <v>0</v>
      </c>
      <c r="M294" s="28">
        <v>52.68</v>
      </c>
      <c r="N294" s="28">
        <f t="shared" si="24"/>
        <v>601.48</v>
      </c>
      <c r="O294" s="28">
        <f t="shared" si="25"/>
        <v>3568.52</v>
      </c>
      <c r="P294" s="70">
        <f>729.75+630+730+780</f>
        <v>2869.75</v>
      </c>
      <c r="W294" s="12"/>
    </row>
    <row r="295" spans="1:23" ht="25.5" x14ac:dyDescent="0.2">
      <c r="A295" s="130">
        <v>285</v>
      </c>
      <c r="B295" s="22" t="s">
        <v>87</v>
      </c>
      <c r="C295" s="35" t="s">
        <v>337</v>
      </c>
      <c r="D295" s="29">
        <v>2134</v>
      </c>
      <c r="E295" s="29">
        <v>0</v>
      </c>
      <c r="F295" s="27">
        <v>0</v>
      </c>
      <c r="G295" s="147">
        <v>0</v>
      </c>
      <c r="H295" s="147">
        <v>0</v>
      </c>
      <c r="I295" s="28">
        <f t="shared" si="22"/>
        <v>2134</v>
      </c>
      <c r="J295" s="28">
        <f t="shared" si="23"/>
        <v>64.02</v>
      </c>
      <c r="K295" s="28">
        <f>D295*11%</f>
        <v>234.74</v>
      </c>
      <c r="L295" s="28">
        <v>0</v>
      </c>
      <c r="M295" s="28">
        <v>0</v>
      </c>
      <c r="N295" s="28">
        <f t="shared" si="24"/>
        <v>298.76</v>
      </c>
      <c r="O295" s="28">
        <f t="shared" si="25"/>
        <v>1835.24</v>
      </c>
      <c r="P295" s="70">
        <v>0</v>
      </c>
      <c r="W295" s="12"/>
    </row>
    <row r="296" spans="1:23" ht="25.5" x14ac:dyDescent="0.2">
      <c r="A296" s="130">
        <v>286</v>
      </c>
      <c r="B296" s="25" t="s">
        <v>37</v>
      </c>
      <c r="C296" s="26" t="s">
        <v>110</v>
      </c>
      <c r="D296" s="27">
        <v>2920</v>
      </c>
      <c r="E296" s="27">
        <v>1000</v>
      </c>
      <c r="F296" s="27">
        <v>0</v>
      </c>
      <c r="G296" s="27">
        <v>250</v>
      </c>
      <c r="H296" s="147">
        <v>0</v>
      </c>
      <c r="I296" s="28">
        <f t="shared" si="22"/>
        <v>4170</v>
      </c>
      <c r="J296" s="28">
        <f t="shared" si="23"/>
        <v>117.6</v>
      </c>
      <c r="K296" s="28">
        <f>(D296+E296)*11%</f>
        <v>431.2</v>
      </c>
      <c r="L296" s="28">
        <v>0</v>
      </c>
      <c r="M296" s="28">
        <v>52.68</v>
      </c>
      <c r="N296" s="28">
        <f t="shared" si="24"/>
        <v>601.48</v>
      </c>
      <c r="O296" s="28">
        <f t="shared" si="25"/>
        <v>3568.52</v>
      </c>
      <c r="P296" s="70">
        <f>336</f>
        <v>336</v>
      </c>
      <c r="W296" s="12"/>
    </row>
    <row r="297" spans="1:23" ht="25.5" x14ac:dyDescent="0.2">
      <c r="A297" s="130">
        <v>287</v>
      </c>
      <c r="B297" s="24" t="s">
        <v>367</v>
      </c>
      <c r="C297" s="35" t="s">
        <v>351</v>
      </c>
      <c r="D297" s="157">
        <v>1649</v>
      </c>
      <c r="E297" s="29">
        <v>0</v>
      </c>
      <c r="F297" s="27">
        <v>0</v>
      </c>
      <c r="G297" s="147">
        <v>0</v>
      </c>
      <c r="H297" s="147">
        <v>0</v>
      </c>
      <c r="I297" s="28">
        <f t="shared" si="22"/>
        <v>1649</v>
      </c>
      <c r="J297" s="28">
        <f t="shared" si="23"/>
        <v>49.47</v>
      </c>
      <c r="K297" s="28">
        <f>D297*10%</f>
        <v>164.9</v>
      </c>
      <c r="L297" s="28">
        <v>0</v>
      </c>
      <c r="M297" s="28">
        <v>0</v>
      </c>
      <c r="N297" s="28">
        <f t="shared" si="24"/>
        <v>214.37</v>
      </c>
      <c r="O297" s="28">
        <f t="shared" si="25"/>
        <v>1434.63</v>
      </c>
      <c r="P297" s="70">
        <v>0</v>
      </c>
      <c r="W297" s="12"/>
    </row>
    <row r="298" spans="1:23" ht="25.5" x14ac:dyDescent="0.2">
      <c r="A298" s="130">
        <v>288</v>
      </c>
      <c r="B298" s="24" t="s">
        <v>368</v>
      </c>
      <c r="C298" s="24" t="s">
        <v>331</v>
      </c>
      <c r="D298" s="148">
        <v>1940</v>
      </c>
      <c r="E298" s="29">
        <v>0</v>
      </c>
      <c r="F298" s="27">
        <v>0</v>
      </c>
      <c r="G298" s="147">
        <v>0</v>
      </c>
      <c r="H298" s="147">
        <v>0</v>
      </c>
      <c r="I298" s="28">
        <f t="shared" si="22"/>
        <v>1940</v>
      </c>
      <c r="J298" s="28">
        <f t="shared" si="23"/>
        <v>58.2</v>
      </c>
      <c r="K298" s="28">
        <f>D298*10%</f>
        <v>194</v>
      </c>
      <c r="L298" s="28">
        <v>0</v>
      </c>
      <c r="M298" s="28">
        <v>0</v>
      </c>
      <c r="N298" s="28">
        <f t="shared" si="24"/>
        <v>252.2</v>
      </c>
      <c r="O298" s="28">
        <f t="shared" si="25"/>
        <v>1687.8</v>
      </c>
      <c r="P298" s="70">
        <v>0</v>
      </c>
      <c r="W298" s="12"/>
    </row>
    <row r="299" spans="1:23" ht="25.5" x14ac:dyDescent="0.2">
      <c r="A299" s="130">
        <v>289</v>
      </c>
      <c r="B299" s="24" t="s">
        <v>90</v>
      </c>
      <c r="C299" s="24" t="s">
        <v>328</v>
      </c>
      <c r="D299" s="148">
        <v>2425</v>
      </c>
      <c r="E299" s="29">
        <v>0</v>
      </c>
      <c r="F299" s="27">
        <v>0</v>
      </c>
      <c r="G299" s="147">
        <v>0</v>
      </c>
      <c r="H299" s="147">
        <v>0</v>
      </c>
      <c r="I299" s="28">
        <f t="shared" si="22"/>
        <v>2425</v>
      </c>
      <c r="J299" s="28">
        <f t="shared" si="23"/>
        <v>72.75</v>
      </c>
      <c r="K299" s="28">
        <f>D299*11%</f>
        <v>266.75</v>
      </c>
      <c r="L299" s="28">
        <v>0</v>
      </c>
      <c r="M299" s="28">
        <v>0</v>
      </c>
      <c r="N299" s="28">
        <f t="shared" si="24"/>
        <v>339.5</v>
      </c>
      <c r="O299" s="28">
        <f t="shared" si="25"/>
        <v>2085.5</v>
      </c>
      <c r="P299" s="70">
        <v>0</v>
      </c>
      <c r="W299" s="12"/>
    </row>
    <row r="300" spans="1:23" ht="25.5" x14ac:dyDescent="0.2">
      <c r="A300" s="130">
        <v>290</v>
      </c>
      <c r="B300" s="32" t="s">
        <v>233</v>
      </c>
      <c r="C300" s="24" t="s">
        <v>282</v>
      </c>
      <c r="D300" s="168">
        <v>3241</v>
      </c>
      <c r="E300" s="29">
        <v>1000</v>
      </c>
      <c r="F300" s="27">
        <v>0</v>
      </c>
      <c r="G300" s="147">
        <v>250</v>
      </c>
      <c r="H300" s="147">
        <v>0</v>
      </c>
      <c r="I300" s="28">
        <f t="shared" si="22"/>
        <v>4491</v>
      </c>
      <c r="J300" s="28">
        <f t="shared" si="23"/>
        <v>127.23</v>
      </c>
      <c r="K300" s="28">
        <f>(D300+E300)*12%</f>
        <v>508.92</v>
      </c>
      <c r="L300" s="28">
        <v>0</v>
      </c>
      <c r="M300" s="28">
        <v>0</v>
      </c>
      <c r="N300" s="28">
        <f t="shared" si="24"/>
        <v>636.15</v>
      </c>
      <c r="O300" s="28">
        <f t="shared" ref="O300:O331" si="26">I300-N300</f>
        <v>3854.85</v>
      </c>
      <c r="P300" s="70">
        <v>0</v>
      </c>
      <c r="W300" s="12"/>
    </row>
    <row r="301" spans="1:23" ht="25.5" x14ac:dyDescent="0.2">
      <c r="A301" s="130">
        <v>291</v>
      </c>
      <c r="B301" s="223" t="s">
        <v>1004</v>
      </c>
      <c r="C301" s="23" t="s">
        <v>498</v>
      </c>
      <c r="D301" s="230">
        <v>3241</v>
      </c>
      <c r="E301" s="29">
        <v>1000</v>
      </c>
      <c r="F301" s="27">
        <v>0</v>
      </c>
      <c r="G301" s="147">
        <v>250</v>
      </c>
      <c r="H301" s="147">
        <v>0</v>
      </c>
      <c r="I301" s="28">
        <f t="shared" si="22"/>
        <v>4491</v>
      </c>
      <c r="J301" s="28">
        <f t="shared" si="23"/>
        <v>127.23</v>
      </c>
      <c r="K301" s="28">
        <f>(D301+E301)*12%</f>
        <v>508.92</v>
      </c>
      <c r="L301" s="28">
        <v>0</v>
      </c>
      <c r="M301" s="28">
        <v>0</v>
      </c>
      <c r="N301" s="28">
        <f t="shared" si="24"/>
        <v>636.15</v>
      </c>
      <c r="O301" s="28">
        <f t="shared" si="26"/>
        <v>3854.85</v>
      </c>
      <c r="P301" s="70">
        <f>1000+1050</f>
        <v>2050</v>
      </c>
      <c r="W301" s="12"/>
    </row>
    <row r="302" spans="1:23" ht="25.5" x14ac:dyDescent="0.2">
      <c r="A302" s="130">
        <v>292</v>
      </c>
      <c r="B302" s="24" t="s">
        <v>279</v>
      </c>
      <c r="C302" s="24" t="s">
        <v>328</v>
      </c>
      <c r="D302" s="148">
        <v>2425</v>
      </c>
      <c r="E302" s="29">
        <v>0</v>
      </c>
      <c r="F302" s="27">
        <v>0</v>
      </c>
      <c r="G302" s="147">
        <v>0</v>
      </c>
      <c r="H302" s="147">
        <v>0</v>
      </c>
      <c r="I302" s="28">
        <f t="shared" si="22"/>
        <v>2425</v>
      </c>
      <c r="J302" s="28">
        <f t="shared" si="23"/>
        <v>72.75</v>
      </c>
      <c r="K302" s="28">
        <f>D302*1%</f>
        <v>24.25</v>
      </c>
      <c r="L302" s="28">
        <v>0</v>
      </c>
      <c r="M302" s="28">
        <v>0</v>
      </c>
      <c r="N302" s="28">
        <f t="shared" si="24"/>
        <v>97</v>
      </c>
      <c r="O302" s="28">
        <f t="shared" si="26"/>
        <v>2328</v>
      </c>
      <c r="P302" s="70"/>
      <c r="W302" s="12"/>
    </row>
    <row r="303" spans="1:23" ht="25.5" x14ac:dyDescent="0.2">
      <c r="A303" s="130">
        <v>293</v>
      </c>
      <c r="B303" s="24" t="s">
        <v>62</v>
      </c>
      <c r="C303" s="24" t="s">
        <v>491</v>
      </c>
      <c r="D303" s="29">
        <v>2760</v>
      </c>
      <c r="E303" s="29">
        <v>1000</v>
      </c>
      <c r="F303" s="27">
        <v>0</v>
      </c>
      <c r="G303" s="147">
        <v>250</v>
      </c>
      <c r="H303" s="147">
        <v>0</v>
      </c>
      <c r="I303" s="28">
        <f t="shared" si="22"/>
        <v>4010</v>
      </c>
      <c r="J303" s="28">
        <f t="shared" si="23"/>
        <v>112.8</v>
      </c>
      <c r="K303" s="28">
        <f>(D303+E303)*11%</f>
        <v>413.6</v>
      </c>
      <c r="L303" s="28">
        <v>0</v>
      </c>
      <c r="M303" s="28">
        <v>0</v>
      </c>
      <c r="N303" s="28">
        <f t="shared" si="24"/>
        <v>526.4</v>
      </c>
      <c r="O303" s="28">
        <f t="shared" si="26"/>
        <v>3483.6</v>
      </c>
      <c r="P303" s="70">
        <v>0</v>
      </c>
      <c r="W303" s="12"/>
    </row>
    <row r="304" spans="1:23" ht="25.5" x14ac:dyDescent="0.2">
      <c r="A304" s="130">
        <v>294</v>
      </c>
      <c r="B304" s="25" t="s">
        <v>48</v>
      </c>
      <c r="C304" s="26" t="s">
        <v>497</v>
      </c>
      <c r="D304" s="27">
        <v>1902</v>
      </c>
      <c r="E304" s="27">
        <v>1000</v>
      </c>
      <c r="F304" s="27">
        <v>0</v>
      </c>
      <c r="G304" s="27">
        <v>250</v>
      </c>
      <c r="H304" s="147">
        <v>0</v>
      </c>
      <c r="I304" s="28">
        <f t="shared" si="22"/>
        <v>3152</v>
      </c>
      <c r="J304" s="28">
        <f t="shared" si="23"/>
        <v>87.06</v>
      </c>
      <c r="K304" s="28">
        <f>(D304+E304)*11%</f>
        <v>319.22000000000003</v>
      </c>
      <c r="L304" s="28">
        <v>0</v>
      </c>
      <c r="M304" s="28">
        <v>0</v>
      </c>
      <c r="N304" s="28">
        <f t="shared" si="24"/>
        <v>406.28</v>
      </c>
      <c r="O304" s="28">
        <f t="shared" si="26"/>
        <v>2745.72</v>
      </c>
      <c r="P304" s="70">
        <v>0</v>
      </c>
      <c r="W304" s="12"/>
    </row>
    <row r="305" spans="1:23" ht="25.5" x14ac:dyDescent="0.2">
      <c r="A305" s="130">
        <v>295</v>
      </c>
      <c r="B305" s="25" t="s">
        <v>49</v>
      </c>
      <c r="C305" s="33" t="s">
        <v>115</v>
      </c>
      <c r="D305" s="27">
        <v>1902</v>
      </c>
      <c r="E305" s="27">
        <v>1000</v>
      </c>
      <c r="F305" s="27">
        <v>0</v>
      </c>
      <c r="G305" s="27">
        <v>250</v>
      </c>
      <c r="H305" s="147">
        <v>0</v>
      </c>
      <c r="I305" s="28">
        <f t="shared" si="22"/>
        <v>3152</v>
      </c>
      <c r="J305" s="28">
        <f t="shared" si="23"/>
        <v>87.06</v>
      </c>
      <c r="K305" s="28">
        <f>(D305+E305)*11%</f>
        <v>319.22000000000003</v>
      </c>
      <c r="L305" s="28">
        <v>0</v>
      </c>
      <c r="M305" s="28">
        <v>0</v>
      </c>
      <c r="N305" s="28">
        <f t="shared" si="24"/>
        <v>406.28</v>
      </c>
      <c r="O305" s="28">
        <f t="shared" si="26"/>
        <v>2745.72</v>
      </c>
      <c r="P305" s="70">
        <v>0</v>
      </c>
      <c r="W305" s="12"/>
    </row>
    <row r="306" spans="1:23" ht="25.5" x14ac:dyDescent="0.2">
      <c r="A306" s="130">
        <v>296</v>
      </c>
      <c r="B306" s="24" t="s">
        <v>229</v>
      </c>
      <c r="C306" s="24" t="s">
        <v>328</v>
      </c>
      <c r="D306" s="148">
        <v>2425</v>
      </c>
      <c r="E306" s="29">
        <v>0</v>
      </c>
      <c r="F306" s="27">
        <v>0</v>
      </c>
      <c r="G306" s="147">
        <v>0</v>
      </c>
      <c r="H306" s="147">
        <v>0</v>
      </c>
      <c r="I306" s="28">
        <f t="shared" si="22"/>
        <v>2425</v>
      </c>
      <c r="J306" s="28">
        <f t="shared" si="23"/>
        <v>72.75</v>
      </c>
      <c r="K306" s="28">
        <f>D306*11%</f>
        <v>266.75</v>
      </c>
      <c r="L306" s="28">
        <v>0</v>
      </c>
      <c r="M306" s="28">
        <v>0</v>
      </c>
      <c r="N306" s="28">
        <f t="shared" si="24"/>
        <v>339.5</v>
      </c>
      <c r="O306" s="28">
        <f t="shared" si="26"/>
        <v>2085.5</v>
      </c>
      <c r="P306" s="70">
        <v>0</v>
      </c>
      <c r="W306" s="12"/>
    </row>
    <row r="307" spans="1:23" ht="25.5" x14ac:dyDescent="0.2">
      <c r="A307" s="130">
        <v>297</v>
      </c>
      <c r="B307" s="24" t="s">
        <v>106</v>
      </c>
      <c r="C307" s="24" t="s">
        <v>336</v>
      </c>
      <c r="D307" s="29">
        <v>3081</v>
      </c>
      <c r="E307" s="29">
        <v>1000</v>
      </c>
      <c r="F307" s="27">
        <v>0</v>
      </c>
      <c r="G307" s="147">
        <v>250</v>
      </c>
      <c r="H307" s="147">
        <v>0</v>
      </c>
      <c r="I307" s="28">
        <f t="shared" si="22"/>
        <v>4331</v>
      </c>
      <c r="J307" s="28">
        <f t="shared" si="23"/>
        <v>122.43</v>
      </c>
      <c r="K307" s="28">
        <f>(D307+E307)*12%</f>
        <v>489.72</v>
      </c>
      <c r="L307" s="28">
        <v>0</v>
      </c>
      <c r="M307" s="28">
        <v>0</v>
      </c>
      <c r="N307" s="28">
        <f t="shared" si="24"/>
        <v>612.15</v>
      </c>
      <c r="O307" s="28">
        <f t="shared" si="26"/>
        <v>3718.85</v>
      </c>
      <c r="P307" s="70">
        <v>0</v>
      </c>
      <c r="W307" s="12"/>
    </row>
    <row r="308" spans="1:23" ht="25.5" x14ac:dyDescent="0.2">
      <c r="A308" s="130">
        <v>298</v>
      </c>
      <c r="B308" s="24" t="s">
        <v>369</v>
      </c>
      <c r="C308" s="24" t="s">
        <v>112</v>
      </c>
      <c r="D308" s="29">
        <v>2920</v>
      </c>
      <c r="E308" s="29">
        <v>1000</v>
      </c>
      <c r="F308" s="27">
        <v>0</v>
      </c>
      <c r="G308" s="147">
        <v>250</v>
      </c>
      <c r="H308" s="147">
        <v>0</v>
      </c>
      <c r="I308" s="28">
        <f t="shared" si="22"/>
        <v>4170</v>
      </c>
      <c r="J308" s="28">
        <f t="shared" si="23"/>
        <v>117.6</v>
      </c>
      <c r="K308" s="28">
        <f>(D308+E308)*11%</f>
        <v>431.2</v>
      </c>
      <c r="L308" s="28">
        <v>0</v>
      </c>
      <c r="M308" s="28">
        <v>0</v>
      </c>
      <c r="N308" s="28">
        <f t="shared" si="24"/>
        <v>548.79999999999995</v>
      </c>
      <c r="O308" s="28">
        <f t="shared" si="26"/>
        <v>3621.2</v>
      </c>
      <c r="P308" s="70">
        <v>0</v>
      </c>
      <c r="W308" s="12"/>
    </row>
    <row r="309" spans="1:23" ht="25.5" x14ac:dyDescent="0.2">
      <c r="A309" s="130">
        <v>299</v>
      </c>
      <c r="B309" s="24" t="s">
        <v>455</v>
      </c>
      <c r="C309" s="24" t="s">
        <v>328</v>
      </c>
      <c r="D309" s="29">
        <v>2425</v>
      </c>
      <c r="E309" s="29">
        <v>0</v>
      </c>
      <c r="F309" s="27">
        <v>0</v>
      </c>
      <c r="G309" s="147">
        <v>0</v>
      </c>
      <c r="H309" s="147">
        <v>0</v>
      </c>
      <c r="I309" s="28">
        <f t="shared" si="22"/>
        <v>2425</v>
      </c>
      <c r="J309" s="28">
        <f t="shared" si="23"/>
        <v>72.75</v>
      </c>
      <c r="K309" s="28">
        <f>D309*11%</f>
        <v>266.75</v>
      </c>
      <c r="L309" s="28">
        <v>0</v>
      </c>
      <c r="M309" s="28">
        <v>0</v>
      </c>
      <c r="N309" s="28">
        <f t="shared" si="24"/>
        <v>339.5</v>
      </c>
      <c r="O309" s="28">
        <f t="shared" si="26"/>
        <v>2085.5</v>
      </c>
      <c r="P309" s="70">
        <v>0</v>
      </c>
      <c r="W309" s="12"/>
    </row>
    <row r="310" spans="1:23" ht="25.5" x14ac:dyDescent="0.2">
      <c r="A310" s="130">
        <v>300</v>
      </c>
      <c r="B310" s="24" t="s">
        <v>425</v>
      </c>
      <c r="C310" s="24" t="s">
        <v>331</v>
      </c>
      <c r="D310" s="148">
        <v>1940</v>
      </c>
      <c r="E310" s="29">
        <v>0</v>
      </c>
      <c r="F310" s="27">
        <v>0</v>
      </c>
      <c r="G310" s="147">
        <v>0</v>
      </c>
      <c r="H310" s="147">
        <v>0</v>
      </c>
      <c r="I310" s="28">
        <f t="shared" si="22"/>
        <v>1940</v>
      </c>
      <c r="J310" s="28">
        <f t="shared" si="23"/>
        <v>58.2</v>
      </c>
      <c r="K310" s="28">
        <f>D310*10%</f>
        <v>194</v>
      </c>
      <c r="L310" s="28">
        <v>0</v>
      </c>
      <c r="M310" s="28">
        <v>0</v>
      </c>
      <c r="N310" s="28">
        <f t="shared" si="24"/>
        <v>252.2</v>
      </c>
      <c r="O310" s="28">
        <f t="shared" si="26"/>
        <v>1687.8</v>
      </c>
      <c r="P310" s="70">
        <v>0</v>
      </c>
      <c r="W310" s="12"/>
    </row>
    <row r="311" spans="1:23" ht="25.5" x14ac:dyDescent="0.2">
      <c r="A311" s="130">
        <v>301</v>
      </c>
      <c r="B311" s="25" t="s">
        <v>280</v>
      </c>
      <c r="C311" s="22" t="s">
        <v>492</v>
      </c>
      <c r="D311" s="27">
        <v>2760</v>
      </c>
      <c r="E311" s="27">
        <v>1000</v>
      </c>
      <c r="F311" s="27">
        <v>0</v>
      </c>
      <c r="G311" s="27">
        <v>250</v>
      </c>
      <c r="H311" s="147">
        <v>0</v>
      </c>
      <c r="I311" s="28">
        <f t="shared" si="22"/>
        <v>4010</v>
      </c>
      <c r="J311" s="28">
        <f t="shared" si="23"/>
        <v>112.8</v>
      </c>
      <c r="K311" s="28">
        <f>(D311+E311)*11%</f>
        <v>413.6</v>
      </c>
      <c r="L311" s="28">
        <v>0</v>
      </c>
      <c r="M311" s="28">
        <v>0</v>
      </c>
      <c r="N311" s="28">
        <f t="shared" si="24"/>
        <v>526.4</v>
      </c>
      <c r="O311" s="28">
        <f t="shared" si="26"/>
        <v>3483.6</v>
      </c>
      <c r="P311" s="70">
        <v>0</v>
      </c>
      <c r="W311" s="12"/>
    </row>
    <row r="312" spans="1:23" ht="25.5" x14ac:dyDescent="0.2">
      <c r="A312" s="130">
        <v>302</v>
      </c>
      <c r="B312" s="22" t="s">
        <v>89</v>
      </c>
      <c r="C312" s="24" t="s">
        <v>336</v>
      </c>
      <c r="D312" s="29">
        <v>3081</v>
      </c>
      <c r="E312" s="146">
        <v>1000</v>
      </c>
      <c r="F312" s="27">
        <v>0</v>
      </c>
      <c r="G312" s="147">
        <v>250</v>
      </c>
      <c r="H312" s="147">
        <v>0</v>
      </c>
      <c r="I312" s="28">
        <f t="shared" si="22"/>
        <v>4331</v>
      </c>
      <c r="J312" s="28">
        <f t="shared" si="23"/>
        <v>122.43</v>
      </c>
      <c r="K312" s="28">
        <f>(D312+E312)*12%</f>
        <v>489.72</v>
      </c>
      <c r="L312" s="28">
        <v>0</v>
      </c>
      <c r="M312" s="28">
        <v>0</v>
      </c>
      <c r="N312" s="28">
        <f t="shared" si="24"/>
        <v>612.15</v>
      </c>
      <c r="O312" s="28">
        <f t="shared" si="26"/>
        <v>3718.85</v>
      </c>
      <c r="P312" s="70">
        <v>0</v>
      </c>
      <c r="W312" s="12"/>
    </row>
    <row r="313" spans="1:23" x14ac:dyDescent="0.2">
      <c r="A313" s="130">
        <v>303</v>
      </c>
      <c r="B313" s="47" t="s">
        <v>486</v>
      </c>
      <c r="C313" s="24" t="s">
        <v>113</v>
      </c>
      <c r="D313" s="27">
        <v>1668</v>
      </c>
      <c r="E313" s="27">
        <v>1000</v>
      </c>
      <c r="F313" s="27">
        <v>0</v>
      </c>
      <c r="G313" s="27">
        <v>250</v>
      </c>
      <c r="H313" s="147">
        <v>0</v>
      </c>
      <c r="I313" s="28">
        <f t="shared" si="22"/>
        <v>2918</v>
      </c>
      <c r="J313" s="28">
        <f t="shared" si="23"/>
        <v>80.040000000000006</v>
      </c>
      <c r="K313" s="28">
        <f>(D313+E313)*11%</f>
        <v>293.48</v>
      </c>
      <c r="L313" s="27">
        <v>0</v>
      </c>
      <c r="M313" s="27">
        <v>0</v>
      </c>
      <c r="N313" s="27">
        <f>SUM(J313:M313)</f>
        <v>373.52</v>
      </c>
      <c r="O313" s="27">
        <f t="shared" si="26"/>
        <v>2544.48</v>
      </c>
      <c r="P313" s="70">
        <v>0</v>
      </c>
      <c r="W313" s="12"/>
    </row>
    <row r="314" spans="1:23" ht="25.5" x14ac:dyDescent="0.2">
      <c r="A314" s="130">
        <v>304</v>
      </c>
      <c r="B314" s="24" t="s">
        <v>98</v>
      </c>
      <c r="C314" s="24" t="s">
        <v>331</v>
      </c>
      <c r="D314" s="148">
        <v>1940</v>
      </c>
      <c r="E314" s="29">
        <v>0</v>
      </c>
      <c r="F314" s="27">
        <v>0</v>
      </c>
      <c r="G314" s="147">
        <v>0</v>
      </c>
      <c r="H314" s="147">
        <v>0</v>
      </c>
      <c r="I314" s="28">
        <f t="shared" si="22"/>
        <v>1940</v>
      </c>
      <c r="J314" s="28">
        <f t="shared" si="23"/>
        <v>58.2</v>
      </c>
      <c r="K314" s="28">
        <f>D314*10%</f>
        <v>194</v>
      </c>
      <c r="L314" s="28">
        <v>0</v>
      </c>
      <c r="M314" s="28">
        <v>0</v>
      </c>
      <c r="N314" s="28">
        <f t="shared" si="24"/>
        <v>252.2</v>
      </c>
      <c r="O314" s="28">
        <f t="shared" si="26"/>
        <v>1687.8</v>
      </c>
      <c r="P314" s="70">
        <v>0</v>
      </c>
      <c r="W314" s="12"/>
    </row>
    <row r="315" spans="1:23" ht="25.5" x14ac:dyDescent="0.2">
      <c r="A315" s="130">
        <v>305</v>
      </c>
      <c r="B315" s="24" t="s">
        <v>438</v>
      </c>
      <c r="C315" s="24" t="s">
        <v>328</v>
      </c>
      <c r="D315" s="148">
        <v>2425</v>
      </c>
      <c r="E315" s="29">
        <v>0</v>
      </c>
      <c r="F315" s="27">
        <v>0</v>
      </c>
      <c r="G315" s="147">
        <v>0</v>
      </c>
      <c r="H315" s="147">
        <v>0</v>
      </c>
      <c r="I315" s="28">
        <f t="shared" si="22"/>
        <v>2425</v>
      </c>
      <c r="J315" s="28">
        <f t="shared" si="23"/>
        <v>72.75</v>
      </c>
      <c r="K315" s="28">
        <f>D315*11%</f>
        <v>266.75</v>
      </c>
      <c r="L315" s="28">
        <v>0</v>
      </c>
      <c r="M315" s="28">
        <v>0</v>
      </c>
      <c r="N315" s="28">
        <f t="shared" si="24"/>
        <v>339.5</v>
      </c>
      <c r="O315" s="28">
        <f t="shared" si="26"/>
        <v>2085.5</v>
      </c>
      <c r="P315" s="70">
        <v>0</v>
      </c>
      <c r="W315" s="12"/>
    </row>
    <row r="316" spans="1:23" ht="25.5" x14ac:dyDescent="0.2">
      <c r="A316" s="130">
        <v>306</v>
      </c>
      <c r="B316" s="24" t="s">
        <v>92</v>
      </c>
      <c r="C316" s="24" t="s">
        <v>328</v>
      </c>
      <c r="D316" s="148">
        <v>2425</v>
      </c>
      <c r="E316" s="29">
        <v>0</v>
      </c>
      <c r="F316" s="27">
        <v>0</v>
      </c>
      <c r="G316" s="147">
        <v>0</v>
      </c>
      <c r="H316" s="147">
        <v>0</v>
      </c>
      <c r="I316" s="28">
        <f t="shared" si="22"/>
        <v>2425</v>
      </c>
      <c r="J316" s="28">
        <f t="shared" si="23"/>
        <v>72.75</v>
      </c>
      <c r="K316" s="28">
        <f>D316*11%</f>
        <v>266.75</v>
      </c>
      <c r="L316" s="28">
        <v>0</v>
      </c>
      <c r="M316" s="28">
        <v>0</v>
      </c>
      <c r="N316" s="28">
        <f t="shared" si="24"/>
        <v>339.5</v>
      </c>
      <c r="O316" s="28">
        <f t="shared" si="26"/>
        <v>2085.5</v>
      </c>
      <c r="P316" s="70">
        <v>0</v>
      </c>
      <c r="W316" s="12"/>
    </row>
    <row r="317" spans="1:23" x14ac:dyDescent="0.2">
      <c r="A317" s="130">
        <v>307</v>
      </c>
      <c r="B317" s="24"/>
      <c r="C317" s="24"/>
      <c r="D317" s="148"/>
      <c r="E317" s="29"/>
      <c r="F317" s="27"/>
      <c r="G317" s="147"/>
      <c r="H317" s="147"/>
      <c r="I317" s="28"/>
      <c r="J317" s="28"/>
      <c r="K317" s="28"/>
      <c r="L317" s="28"/>
      <c r="M317" s="28"/>
      <c r="N317" s="28"/>
      <c r="O317" s="28"/>
      <c r="P317" s="70">
        <v>0</v>
      </c>
      <c r="W317" s="12"/>
    </row>
    <row r="318" spans="1:23" x14ac:dyDescent="0.2">
      <c r="A318" s="130">
        <v>308</v>
      </c>
      <c r="B318" s="24" t="s">
        <v>59</v>
      </c>
      <c r="C318" s="24" t="s">
        <v>58</v>
      </c>
      <c r="D318" s="29">
        <v>1668</v>
      </c>
      <c r="E318" s="29">
        <v>1000</v>
      </c>
      <c r="F318" s="27">
        <v>0</v>
      </c>
      <c r="G318" s="147">
        <v>250</v>
      </c>
      <c r="H318" s="147">
        <v>0</v>
      </c>
      <c r="I318" s="28">
        <f t="shared" si="22"/>
        <v>2918</v>
      </c>
      <c r="J318" s="28">
        <f>(D318+E318)*3%</f>
        <v>80.040000000000006</v>
      </c>
      <c r="K318" s="28">
        <f>(D318+E318)*11%</f>
        <v>293.48</v>
      </c>
      <c r="L318" s="28">
        <v>0</v>
      </c>
      <c r="M318" s="28">
        <v>0</v>
      </c>
      <c r="N318" s="28">
        <f>SUM(J318:M318)</f>
        <v>373.52</v>
      </c>
      <c r="O318" s="28">
        <f t="shared" si="26"/>
        <v>2544.48</v>
      </c>
      <c r="P318" s="70"/>
      <c r="W318" s="12"/>
    </row>
    <row r="319" spans="1:23" ht="25.5" x14ac:dyDescent="0.2">
      <c r="A319" s="130">
        <v>309</v>
      </c>
      <c r="B319" s="25" t="s">
        <v>35</v>
      </c>
      <c r="C319" s="26" t="s">
        <v>156</v>
      </c>
      <c r="D319" s="27">
        <v>2920</v>
      </c>
      <c r="E319" s="27">
        <v>1000</v>
      </c>
      <c r="F319" s="27">
        <v>0</v>
      </c>
      <c r="G319" s="27">
        <v>250</v>
      </c>
      <c r="H319" s="147">
        <v>0</v>
      </c>
      <c r="I319" s="28">
        <f t="shared" ref="I319:I380" si="27">SUM(D319:G319)</f>
        <v>4170</v>
      </c>
      <c r="J319" s="28">
        <f t="shared" si="23"/>
        <v>117.6</v>
      </c>
      <c r="K319" s="28">
        <f>(D319+E319+F319)*11%</f>
        <v>431.2</v>
      </c>
      <c r="L319" s="28">
        <v>0</v>
      </c>
      <c r="M319" s="28">
        <v>52.68</v>
      </c>
      <c r="N319" s="28">
        <f t="shared" si="24"/>
        <v>601.48</v>
      </c>
      <c r="O319" s="28">
        <f t="shared" si="26"/>
        <v>3568.52</v>
      </c>
      <c r="P319" s="70">
        <v>0</v>
      </c>
      <c r="W319" s="12"/>
    </row>
    <row r="320" spans="1:23" ht="25.5" x14ac:dyDescent="0.2">
      <c r="A320" s="130">
        <v>310</v>
      </c>
      <c r="B320" s="23" t="s">
        <v>281</v>
      </c>
      <c r="C320" s="33" t="s">
        <v>496</v>
      </c>
      <c r="D320" s="29">
        <v>2328</v>
      </c>
      <c r="E320" s="29">
        <v>0</v>
      </c>
      <c r="F320" s="27">
        <v>0</v>
      </c>
      <c r="G320" s="147">
        <v>0</v>
      </c>
      <c r="H320" s="147">
        <v>0</v>
      </c>
      <c r="I320" s="28">
        <f t="shared" si="27"/>
        <v>2328</v>
      </c>
      <c r="J320" s="28">
        <f t="shared" si="23"/>
        <v>69.84</v>
      </c>
      <c r="K320" s="28">
        <f>D320*11%</f>
        <v>256.08</v>
      </c>
      <c r="L320" s="28">
        <v>0</v>
      </c>
      <c r="M320" s="28">
        <v>0</v>
      </c>
      <c r="N320" s="28">
        <f t="shared" si="24"/>
        <v>325.92</v>
      </c>
      <c r="O320" s="28">
        <f t="shared" si="26"/>
        <v>2002.08</v>
      </c>
      <c r="P320" s="70">
        <v>0</v>
      </c>
      <c r="W320" s="12"/>
    </row>
    <row r="321" spans="1:23" ht="25.5" x14ac:dyDescent="0.2">
      <c r="A321" s="130">
        <v>311</v>
      </c>
      <c r="B321" s="24" t="s">
        <v>41</v>
      </c>
      <c r="C321" s="26" t="s">
        <v>495</v>
      </c>
      <c r="D321" s="27">
        <v>2392</v>
      </c>
      <c r="E321" s="27">
        <v>1900</v>
      </c>
      <c r="F321" s="27">
        <v>0</v>
      </c>
      <c r="G321" s="27">
        <v>250</v>
      </c>
      <c r="H321" s="147">
        <v>0</v>
      </c>
      <c r="I321" s="28">
        <f t="shared" si="27"/>
        <v>4542</v>
      </c>
      <c r="J321" s="28">
        <f t="shared" ref="J321:J379" si="28">(D321+E321+F321)*3%</f>
        <v>128.76</v>
      </c>
      <c r="K321" s="28">
        <f>(D321+E321+F321)*12%</f>
        <v>515.04</v>
      </c>
      <c r="L321" s="28">
        <v>0</v>
      </c>
      <c r="M321" s="28">
        <v>57.68</v>
      </c>
      <c r="N321" s="28">
        <f t="shared" ref="N321:N380" si="29">J321+K321+L321+M321</f>
        <v>701.48</v>
      </c>
      <c r="O321" s="28">
        <f t="shared" si="26"/>
        <v>3840.52</v>
      </c>
      <c r="P321" s="70">
        <v>0</v>
      </c>
      <c r="W321" s="12"/>
    </row>
    <row r="322" spans="1:23" ht="25.5" x14ac:dyDescent="0.2">
      <c r="A322" s="130">
        <v>312</v>
      </c>
      <c r="B322" s="24" t="s">
        <v>95</v>
      </c>
      <c r="C322" s="24" t="s">
        <v>331</v>
      </c>
      <c r="D322" s="148">
        <v>1940</v>
      </c>
      <c r="E322" s="29">
        <v>0</v>
      </c>
      <c r="F322" s="27">
        <v>0</v>
      </c>
      <c r="G322" s="147">
        <v>0</v>
      </c>
      <c r="H322" s="147">
        <v>0</v>
      </c>
      <c r="I322" s="28">
        <f t="shared" si="27"/>
        <v>1940</v>
      </c>
      <c r="J322" s="28">
        <f t="shared" si="28"/>
        <v>58.2</v>
      </c>
      <c r="K322" s="28">
        <f>D322*10%</f>
        <v>194</v>
      </c>
      <c r="L322" s="28">
        <v>0</v>
      </c>
      <c r="M322" s="28">
        <v>0</v>
      </c>
      <c r="N322" s="28">
        <f t="shared" si="29"/>
        <v>252.2</v>
      </c>
      <c r="O322" s="28">
        <f t="shared" si="26"/>
        <v>1687.8</v>
      </c>
      <c r="P322" s="70">
        <v>0</v>
      </c>
      <c r="W322" s="12"/>
    </row>
    <row r="323" spans="1:23" ht="25.5" x14ac:dyDescent="0.2">
      <c r="A323" s="130">
        <v>313</v>
      </c>
      <c r="B323" s="37" t="s">
        <v>426</v>
      </c>
      <c r="C323" s="24" t="s">
        <v>331</v>
      </c>
      <c r="D323" s="148">
        <v>1940</v>
      </c>
      <c r="E323" s="29">
        <v>0</v>
      </c>
      <c r="F323" s="27">
        <v>0</v>
      </c>
      <c r="G323" s="147">
        <v>0</v>
      </c>
      <c r="H323" s="147">
        <v>0</v>
      </c>
      <c r="I323" s="28">
        <f t="shared" si="27"/>
        <v>1940</v>
      </c>
      <c r="J323" s="28">
        <f t="shared" si="28"/>
        <v>58.2</v>
      </c>
      <c r="K323" s="28">
        <f>D323*10%</f>
        <v>194</v>
      </c>
      <c r="L323" s="28">
        <v>0</v>
      </c>
      <c r="M323" s="28">
        <v>0</v>
      </c>
      <c r="N323" s="28">
        <f t="shared" si="29"/>
        <v>252.2</v>
      </c>
      <c r="O323" s="28">
        <f t="shared" si="26"/>
        <v>1687.8</v>
      </c>
      <c r="P323" s="70">
        <v>0</v>
      </c>
      <c r="W323" s="12"/>
    </row>
    <row r="324" spans="1:23" ht="25.5" x14ac:dyDescent="0.2">
      <c r="A324" s="130">
        <v>314</v>
      </c>
      <c r="B324" s="24" t="s">
        <v>317</v>
      </c>
      <c r="C324" s="24" t="s">
        <v>328</v>
      </c>
      <c r="D324" s="148">
        <v>2425</v>
      </c>
      <c r="E324" s="29">
        <v>0</v>
      </c>
      <c r="F324" s="27">
        <v>0</v>
      </c>
      <c r="G324" s="147">
        <v>0</v>
      </c>
      <c r="H324" s="147">
        <v>0</v>
      </c>
      <c r="I324" s="28">
        <f t="shared" si="27"/>
        <v>2425</v>
      </c>
      <c r="J324" s="28">
        <f t="shared" si="28"/>
        <v>72.75</v>
      </c>
      <c r="K324" s="28">
        <f>(D324+E324)*12%</f>
        <v>291</v>
      </c>
      <c r="L324" s="28">
        <v>0</v>
      </c>
      <c r="M324" s="28">
        <v>0</v>
      </c>
      <c r="N324" s="28">
        <f t="shared" si="29"/>
        <v>363.75</v>
      </c>
      <c r="O324" s="28">
        <f t="shared" si="26"/>
        <v>2061.25</v>
      </c>
      <c r="P324" s="70">
        <v>0</v>
      </c>
      <c r="W324" s="12"/>
    </row>
    <row r="325" spans="1:23" ht="25.5" x14ac:dyDescent="0.2">
      <c r="A325" s="130">
        <v>315</v>
      </c>
      <c r="B325" s="24" t="s">
        <v>318</v>
      </c>
      <c r="C325" s="24" t="s">
        <v>289</v>
      </c>
      <c r="D325" s="29">
        <v>1831</v>
      </c>
      <c r="E325" s="29">
        <v>1000</v>
      </c>
      <c r="F325" s="27">
        <v>0</v>
      </c>
      <c r="G325" s="147">
        <v>250</v>
      </c>
      <c r="H325" s="147">
        <v>0</v>
      </c>
      <c r="I325" s="28">
        <f t="shared" si="27"/>
        <v>3081</v>
      </c>
      <c r="J325" s="28">
        <f t="shared" si="28"/>
        <v>84.93</v>
      </c>
      <c r="K325" s="28">
        <f>(D325+E325)*11%</f>
        <v>311.41000000000003</v>
      </c>
      <c r="L325" s="28">
        <v>0</v>
      </c>
      <c r="M325" s="28">
        <v>0</v>
      </c>
      <c r="N325" s="28">
        <f t="shared" si="29"/>
        <v>396.34</v>
      </c>
      <c r="O325" s="28">
        <f t="shared" si="26"/>
        <v>2684.66</v>
      </c>
      <c r="P325" s="70">
        <v>0</v>
      </c>
      <c r="W325" s="12"/>
    </row>
    <row r="326" spans="1:23" ht="25.5" x14ac:dyDescent="0.2">
      <c r="A326" s="130">
        <v>316</v>
      </c>
      <c r="B326" s="24" t="s">
        <v>439</v>
      </c>
      <c r="C326" s="24" t="s">
        <v>328</v>
      </c>
      <c r="D326" s="148">
        <v>2425</v>
      </c>
      <c r="E326" s="29">
        <v>0</v>
      </c>
      <c r="F326" s="27">
        <v>0</v>
      </c>
      <c r="G326" s="147">
        <v>0</v>
      </c>
      <c r="H326" s="147">
        <v>0</v>
      </c>
      <c r="I326" s="28">
        <f t="shared" si="27"/>
        <v>2425</v>
      </c>
      <c r="J326" s="28">
        <f t="shared" si="28"/>
        <v>72.75</v>
      </c>
      <c r="K326" s="28">
        <f>D326*11%</f>
        <v>266.75</v>
      </c>
      <c r="L326" s="28">
        <v>0</v>
      </c>
      <c r="M326" s="28">
        <v>0</v>
      </c>
      <c r="N326" s="28">
        <f t="shared" si="29"/>
        <v>339.5</v>
      </c>
      <c r="O326" s="28">
        <f t="shared" si="26"/>
        <v>2085.5</v>
      </c>
      <c r="P326" s="70">
        <v>0</v>
      </c>
      <c r="W326" s="12"/>
    </row>
    <row r="327" spans="1:23" ht="25.5" x14ac:dyDescent="0.2">
      <c r="A327" s="130">
        <v>317</v>
      </c>
      <c r="B327" s="24" t="s">
        <v>202</v>
      </c>
      <c r="C327" s="24" t="s">
        <v>328</v>
      </c>
      <c r="D327" s="148">
        <v>2425</v>
      </c>
      <c r="E327" s="29">
        <v>0</v>
      </c>
      <c r="F327" s="27">
        <v>0</v>
      </c>
      <c r="G327" s="147">
        <v>0</v>
      </c>
      <c r="H327" s="147">
        <v>0</v>
      </c>
      <c r="I327" s="28">
        <f t="shared" si="27"/>
        <v>2425</v>
      </c>
      <c r="J327" s="28">
        <f t="shared" si="28"/>
        <v>72.75</v>
      </c>
      <c r="K327" s="28">
        <f>D327*11%</f>
        <v>266.75</v>
      </c>
      <c r="L327" s="28">
        <v>0</v>
      </c>
      <c r="M327" s="28">
        <v>0</v>
      </c>
      <c r="N327" s="28">
        <f t="shared" si="29"/>
        <v>339.5</v>
      </c>
      <c r="O327" s="28">
        <f t="shared" si="26"/>
        <v>2085.5</v>
      </c>
      <c r="P327" s="70">
        <v>0</v>
      </c>
      <c r="W327" s="12"/>
    </row>
    <row r="328" spans="1:23" ht="25.5" x14ac:dyDescent="0.2">
      <c r="A328" s="130">
        <v>318</v>
      </c>
      <c r="B328" s="24" t="s">
        <v>440</v>
      </c>
      <c r="C328" s="24" t="s">
        <v>319</v>
      </c>
      <c r="D328" s="29">
        <v>1981</v>
      </c>
      <c r="E328" s="29">
        <v>1000</v>
      </c>
      <c r="F328" s="27">
        <v>0</v>
      </c>
      <c r="G328" s="147">
        <v>250</v>
      </c>
      <c r="H328" s="147">
        <v>0</v>
      </c>
      <c r="I328" s="28">
        <f t="shared" si="27"/>
        <v>3231</v>
      </c>
      <c r="J328" s="28">
        <f t="shared" si="28"/>
        <v>89.43</v>
      </c>
      <c r="K328" s="28">
        <f>(D328+E328)*11%</f>
        <v>327.91</v>
      </c>
      <c r="L328" s="28">
        <v>102.92</v>
      </c>
      <c r="M328" s="28">
        <v>0</v>
      </c>
      <c r="N328" s="28">
        <f t="shared" si="29"/>
        <v>520.26</v>
      </c>
      <c r="O328" s="28">
        <f t="shared" si="26"/>
        <v>2710.74</v>
      </c>
      <c r="P328" s="70">
        <v>0</v>
      </c>
      <c r="W328" s="12"/>
    </row>
    <row r="329" spans="1:23" ht="25.5" x14ac:dyDescent="0.2">
      <c r="A329" s="130">
        <v>319</v>
      </c>
      <c r="B329" s="162" t="s">
        <v>511</v>
      </c>
      <c r="C329" s="24" t="s">
        <v>328</v>
      </c>
      <c r="D329" s="148">
        <v>2425</v>
      </c>
      <c r="E329" s="29">
        <v>0</v>
      </c>
      <c r="F329" s="27">
        <v>0</v>
      </c>
      <c r="G329" s="147">
        <v>0</v>
      </c>
      <c r="H329" s="147">
        <v>0</v>
      </c>
      <c r="I329" s="28">
        <f t="shared" si="27"/>
        <v>2425</v>
      </c>
      <c r="J329" s="28">
        <f t="shared" si="28"/>
        <v>72.75</v>
      </c>
      <c r="K329" s="28">
        <f>D329*11%</f>
        <v>266.75</v>
      </c>
      <c r="L329" s="28">
        <v>0</v>
      </c>
      <c r="M329" s="28">
        <v>0</v>
      </c>
      <c r="N329" s="28">
        <f>J329+K329+L329+M329</f>
        <v>339.5</v>
      </c>
      <c r="O329" s="28">
        <f t="shared" si="26"/>
        <v>2085.5</v>
      </c>
      <c r="P329" s="70">
        <v>0</v>
      </c>
      <c r="W329" s="12"/>
    </row>
    <row r="330" spans="1:23" ht="25.5" x14ac:dyDescent="0.2">
      <c r="A330" s="130">
        <v>320</v>
      </c>
      <c r="B330" s="25" t="s">
        <v>370</v>
      </c>
      <c r="C330" s="26" t="s">
        <v>109</v>
      </c>
      <c r="D330" s="27">
        <v>5095</v>
      </c>
      <c r="E330" s="27">
        <v>1800</v>
      </c>
      <c r="F330" s="27">
        <v>0</v>
      </c>
      <c r="G330" s="27">
        <v>250</v>
      </c>
      <c r="H330" s="147">
        <v>0</v>
      </c>
      <c r="I330" s="28">
        <f t="shared" si="27"/>
        <v>7145</v>
      </c>
      <c r="J330" s="28">
        <f t="shared" si="28"/>
        <v>206.85</v>
      </c>
      <c r="K330" s="28">
        <f>(D330+E330)*13%</f>
        <v>896.35</v>
      </c>
      <c r="L330" s="28">
        <v>102.92</v>
      </c>
      <c r="M330" s="28">
        <v>92.67</v>
      </c>
      <c r="N330" s="28">
        <f t="shared" si="29"/>
        <v>1298.79</v>
      </c>
      <c r="O330" s="28">
        <f t="shared" si="26"/>
        <v>5846.21</v>
      </c>
      <c r="P330" s="70">
        <v>0</v>
      </c>
      <c r="W330" s="12"/>
    </row>
    <row r="331" spans="1:23" ht="25.5" x14ac:dyDescent="0.2">
      <c r="A331" s="130">
        <v>321</v>
      </c>
      <c r="B331" s="24" t="s">
        <v>203</v>
      </c>
      <c r="C331" s="24" t="s">
        <v>328</v>
      </c>
      <c r="D331" s="148">
        <v>2425</v>
      </c>
      <c r="E331" s="29">
        <v>0</v>
      </c>
      <c r="F331" s="27">
        <v>0</v>
      </c>
      <c r="G331" s="147">
        <v>0</v>
      </c>
      <c r="H331" s="147">
        <v>0</v>
      </c>
      <c r="I331" s="28">
        <f t="shared" si="27"/>
        <v>2425</v>
      </c>
      <c r="J331" s="28">
        <f t="shared" si="28"/>
        <v>72.75</v>
      </c>
      <c r="K331" s="28">
        <f>D331*11%</f>
        <v>266.75</v>
      </c>
      <c r="L331" s="28">
        <v>0</v>
      </c>
      <c r="M331" s="28">
        <v>0</v>
      </c>
      <c r="N331" s="28">
        <f t="shared" si="29"/>
        <v>339.5</v>
      </c>
      <c r="O331" s="28">
        <f t="shared" si="26"/>
        <v>2085.5</v>
      </c>
      <c r="P331" s="70">
        <v>0</v>
      </c>
      <c r="W331" s="12"/>
    </row>
    <row r="332" spans="1:23" ht="25.5" x14ac:dyDescent="0.2">
      <c r="A332" s="130">
        <v>322</v>
      </c>
      <c r="B332" s="24" t="s">
        <v>204</v>
      </c>
      <c r="C332" s="33" t="s">
        <v>496</v>
      </c>
      <c r="D332" s="148">
        <v>2328</v>
      </c>
      <c r="E332" s="29">
        <v>0</v>
      </c>
      <c r="F332" s="27">
        <v>0</v>
      </c>
      <c r="G332" s="147">
        <v>0</v>
      </c>
      <c r="H332" s="147">
        <v>0</v>
      </c>
      <c r="I332" s="28">
        <f t="shared" si="27"/>
        <v>2328</v>
      </c>
      <c r="J332" s="28">
        <f t="shared" si="28"/>
        <v>69.84</v>
      </c>
      <c r="K332" s="28">
        <f>D332*11%</f>
        <v>256.08</v>
      </c>
      <c r="L332" s="28">
        <v>0</v>
      </c>
      <c r="M332" s="28">
        <v>0</v>
      </c>
      <c r="N332" s="28">
        <f t="shared" si="29"/>
        <v>325.92</v>
      </c>
      <c r="O332" s="28">
        <f>I332-N332</f>
        <v>2002.08</v>
      </c>
      <c r="P332" s="70">
        <v>0</v>
      </c>
      <c r="W332" s="12"/>
    </row>
    <row r="333" spans="1:23" ht="25.5" x14ac:dyDescent="0.2">
      <c r="A333" s="130">
        <v>323</v>
      </c>
      <c r="B333" s="24" t="s">
        <v>441</v>
      </c>
      <c r="C333" s="24" t="s">
        <v>331</v>
      </c>
      <c r="D333" s="148">
        <v>1940</v>
      </c>
      <c r="E333" s="29">
        <v>0</v>
      </c>
      <c r="F333" s="27">
        <v>0</v>
      </c>
      <c r="G333" s="147">
        <v>0</v>
      </c>
      <c r="H333" s="147">
        <v>0</v>
      </c>
      <c r="I333" s="28">
        <f t="shared" si="27"/>
        <v>1940</v>
      </c>
      <c r="J333" s="28">
        <f t="shared" si="28"/>
        <v>58.2</v>
      </c>
      <c r="K333" s="28">
        <f>D333*10%</f>
        <v>194</v>
      </c>
      <c r="L333" s="28">
        <v>0</v>
      </c>
      <c r="M333" s="28">
        <v>0</v>
      </c>
      <c r="N333" s="28">
        <f t="shared" si="29"/>
        <v>252.2</v>
      </c>
      <c r="O333" s="28">
        <f>I333-N333</f>
        <v>1687.8</v>
      </c>
      <c r="P333" s="70">
        <v>0</v>
      </c>
      <c r="W333" s="12"/>
    </row>
    <row r="334" spans="1:23" ht="25.5" x14ac:dyDescent="0.2">
      <c r="A334" s="130">
        <v>324</v>
      </c>
      <c r="B334" s="22" t="s">
        <v>205</v>
      </c>
      <c r="C334" s="24" t="s">
        <v>288</v>
      </c>
      <c r="D334" s="29">
        <v>2249</v>
      </c>
      <c r="E334" s="146">
        <v>1000</v>
      </c>
      <c r="F334" s="27">
        <v>0</v>
      </c>
      <c r="G334" s="147">
        <v>250</v>
      </c>
      <c r="H334" s="147">
        <v>0</v>
      </c>
      <c r="I334" s="28">
        <f t="shared" si="27"/>
        <v>3499</v>
      </c>
      <c r="J334" s="28">
        <f t="shared" si="28"/>
        <v>97.47</v>
      </c>
      <c r="K334" s="28">
        <f>(D334+E334)*11%</f>
        <v>357.39</v>
      </c>
      <c r="L334" s="28">
        <v>0</v>
      </c>
      <c r="M334" s="28">
        <v>0</v>
      </c>
      <c r="N334" s="28">
        <f t="shared" si="29"/>
        <v>454.86</v>
      </c>
      <c r="O334" s="28">
        <f>I334-N334</f>
        <v>3044.14</v>
      </c>
      <c r="P334" s="70">
        <v>0</v>
      </c>
      <c r="W334" s="12"/>
    </row>
    <row r="335" spans="1:23" ht="25.5" x14ac:dyDescent="0.2">
      <c r="A335" s="130">
        <v>325</v>
      </c>
      <c r="B335" s="38" t="s">
        <v>234</v>
      </c>
      <c r="C335" s="24" t="s">
        <v>490</v>
      </c>
      <c r="D335" s="154">
        <v>2920</v>
      </c>
      <c r="E335" s="29">
        <v>1000</v>
      </c>
      <c r="F335" s="27">
        <v>0</v>
      </c>
      <c r="G335" s="147">
        <v>250</v>
      </c>
      <c r="H335" s="147">
        <v>0</v>
      </c>
      <c r="I335" s="28">
        <f t="shared" si="27"/>
        <v>4170</v>
      </c>
      <c r="J335" s="28">
        <f t="shared" si="28"/>
        <v>117.6</v>
      </c>
      <c r="K335" s="28">
        <f>(D335+E335)*12%</f>
        <v>470.4</v>
      </c>
      <c r="L335" s="28">
        <v>0</v>
      </c>
      <c r="M335" s="28">
        <v>52.68</v>
      </c>
      <c r="N335" s="28">
        <f t="shared" si="29"/>
        <v>640.67999999999995</v>
      </c>
      <c r="O335" s="28">
        <f>I335-N335</f>
        <v>3529.32</v>
      </c>
      <c r="P335" s="70">
        <v>0</v>
      </c>
      <c r="W335" s="12"/>
    </row>
    <row r="336" spans="1:23" ht="25.5" x14ac:dyDescent="0.2">
      <c r="A336" s="130">
        <v>326</v>
      </c>
      <c r="B336" s="24" t="s">
        <v>442</v>
      </c>
      <c r="C336" s="26" t="s">
        <v>487</v>
      </c>
      <c r="D336" s="29">
        <v>3081</v>
      </c>
      <c r="E336" s="146">
        <v>1000</v>
      </c>
      <c r="F336" s="27">
        <v>0</v>
      </c>
      <c r="G336" s="147">
        <v>250</v>
      </c>
      <c r="H336" s="147">
        <v>0</v>
      </c>
      <c r="I336" s="28">
        <f t="shared" si="27"/>
        <v>4331</v>
      </c>
      <c r="J336" s="28">
        <f t="shared" si="28"/>
        <v>122.43</v>
      </c>
      <c r="K336" s="28">
        <f>(D336+E336)*12%</f>
        <v>489.72</v>
      </c>
      <c r="L336" s="28">
        <v>126.89</v>
      </c>
      <c r="M336" s="28">
        <v>101.97</v>
      </c>
      <c r="N336" s="28">
        <f t="shared" si="29"/>
        <v>841.01</v>
      </c>
      <c r="O336" s="28">
        <f>I336-N336</f>
        <v>3489.99</v>
      </c>
      <c r="P336" s="70">
        <f>1050+1454</f>
        <v>2504</v>
      </c>
      <c r="W336" s="12"/>
    </row>
    <row r="337" spans="1:23" ht="25.5" x14ac:dyDescent="0.2">
      <c r="A337" s="130">
        <v>327</v>
      </c>
      <c r="B337" s="24" t="s">
        <v>371</v>
      </c>
      <c r="C337" s="24" t="s">
        <v>206</v>
      </c>
      <c r="D337" s="29">
        <v>3241</v>
      </c>
      <c r="E337" s="146">
        <v>1000</v>
      </c>
      <c r="F337" s="27">
        <v>0</v>
      </c>
      <c r="G337" s="147">
        <v>250</v>
      </c>
      <c r="H337" s="147">
        <v>0</v>
      </c>
      <c r="I337" s="28">
        <f t="shared" si="27"/>
        <v>4491</v>
      </c>
      <c r="J337" s="28">
        <f t="shared" si="28"/>
        <v>127.23</v>
      </c>
      <c r="K337" s="28">
        <f>(D337+E337)*12%</f>
        <v>508.92</v>
      </c>
      <c r="L337" s="28">
        <v>0</v>
      </c>
      <c r="M337" s="28">
        <v>0</v>
      </c>
      <c r="N337" s="28">
        <f t="shared" si="29"/>
        <v>636.15</v>
      </c>
      <c r="O337" s="28">
        <f>SUM(D337:N337)</f>
        <v>10254.299999999999</v>
      </c>
      <c r="P337" s="70">
        <v>915</v>
      </c>
      <c r="W337" s="12"/>
    </row>
    <row r="338" spans="1:23" ht="25.5" x14ac:dyDescent="0.2">
      <c r="A338" s="130">
        <v>328</v>
      </c>
      <c r="B338" s="24" t="s">
        <v>207</v>
      </c>
      <c r="C338" s="24" t="s">
        <v>331</v>
      </c>
      <c r="D338" s="29">
        <v>1940</v>
      </c>
      <c r="E338" s="29">
        <v>0</v>
      </c>
      <c r="F338" s="27">
        <v>0</v>
      </c>
      <c r="G338" s="147">
        <v>0</v>
      </c>
      <c r="H338" s="147">
        <v>0</v>
      </c>
      <c r="I338" s="28">
        <f t="shared" si="27"/>
        <v>1940</v>
      </c>
      <c r="J338" s="28">
        <f t="shared" si="28"/>
        <v>58.2</v>
      </c>
      <c r="K338" s="28">
        <f>D338*10%</f>
        <v>194</v>
      </c>
      <c r="L338" s="28">
        <v>0</v>
      </c>
      <c r="M338" s="28">
        <v>0</v>
      </c>
      <c r="N338" s="28">
        <f t="shared" si="29"/>
        <v>252.2</v>
      </c>
      <c r="O338" s="28">
        <f t="shared" ref="O338:O369" si="30">I338-N338</f>
        <v>1687.8</v>
      </c>
      <c r="P338" s="70">
        <v>0</v>
      </c>
    </row>
    <row r="339" spans="1:23" ht="25.5" x14ac:dyDescent="0.2">
      <c r="A339" s="130">
        <v>329</v>
      </c>
      <c r="B339" s="24" t="s">
        <v>372</v>
      </c>
      <c r="C339" s="24" t="s">
        <v>331</v>
      </c>
      <c r="D339" s="29">
        <v>1940</v>
      </c>
      <c r="E339" s="29">
        <v>0</v>
      </c>
      <c r="F339" s="27">
        <v>0</v>
      </c>
      <c r="G339" s="147">
        <v>0</v>
      </c>
      <c r="H339" s="147">
        <v>0</v>
      </c>
      <c r="I339" s="28">
        <f t="shared" si="27"/>
        <v>1940</v>
      </c>
      <c r="J339" s="28">
        <f t="shared" si="28"/>
        <v>58.2</v>
      </c>
      <c r="K339" s="28">
        <f>D339*10%</f>
        <v>194</v>
      </c>
      <c r="L339" s="28">
        <v>0</v>
      </c>
      <c r="M339" s="28">
        <v>0</v>
      </c>
      <c r="N339" s="28">
        <f t="shared" si="29"/>
        <v>252.2</v>
      </c>
      <c r="O339" s="28">
        <f t="shared" si="30"/>
        <v>1687.8</v>
      </c>
      <c r="P339" s="70">
        <v>0</v>
      </c>
    </row>
    <row r="340" spans="1:23" ht="25.5" x14ac:dyDescent="0.2">
      <c r="A340" s="130">
        <v>330</v>
      </c>
      <c r="B340" s="34" t="s">
        <v>208</v>
      </c>
      <c r="C340" s="26" t="s">
        <v>110</v>
      </c>
      <c r="D340" s="27">
        <v>2920</v>
      </c>
      <c r="E340" s="27">
        <v>1000</v>
      </c>
      <c r="F340" s="27">
        <v>0</v>
      </c>
      <c r="G340" s="27">
        <v>250</v>
      </c>
      <c r="H340" s="147">
        <v>0</v>
      </c>
      <c r="I340" s="28">
        <f t="shared" si="27"/>
        <v>4170</v>
      </c>
      <c r="J340" s="28">
        <f t="shared" si="28"/>
        <v>117.6</v>
      </c>
      <c r="K340" s="28">
        <f>(D340+E340)*11%</f>
        <v>431.2</v>
      </c>
      <c r="L340" s="28">
        <v>0</v>
      </c>
      <c r="M340" s="28">
        <v>52.68</v>
      </c>
      <c r="N340" s="28">
        <f t="shared" si="29"/>
        <v>601.48</v>
      </c>
      <c r="O340" s="28">
        <f t="shared" si="30"/>
        <v>3568.52</v>
      </c>
      <c r="P340" s="70">
        <v>0</v>
      </c>
    </row>
    <row r="341" spans="1:23" x14ac:dyDescent="0.2">
      <c r="A341" s="130">
        <v>331</v>
      </c>
      <c r="B341" s="24" t="s">
        <v>373</v>
      </c>
      <c r="C341" s="24" t="s">
        <v>113</v>
      </c>
      <c r="D341" s="29">
        <v>1668</v>
      </c>
      <c r="E341" s="29">
        <v>1000</v>
      </c>
      <c r="F341" s="27">
        <v>0</v>
      </c>
      <c r="G341" s="147">
        <v>250</v>
      </c>
      <c r="H341" s="147">
        <v>0</v>
      </c>
      <c r="I341" s="28">
        <f t="shared" si="27"/>
        <v>2918</v>
      </c>
      <c r="J341" s="28">
        <f t="shared" si="28"/>
        <v>80.040000000000006</v>
      </c>
      <c r="K341" s="28">
        <f>(D341+E341)*11%</f>
        <v>293.48</v>
      </c>
      <c r="L341" s="28">
        <v>0</v>
      </c>
      <c r="M341" s="28">
        <v>0</v>
      </c>
      <c r="N341" s="28">
        <f t="shared" si="29"/>
        <v>373.52</v>
      </c>
      <c r="O341" s="28">
        <f t="shared" si="30"/>
        <v>2544.48</v>
      </c>
      <c r="P341" s="70">
        <v>0</v>
      </c>
    </row>
    <row r="342" spans="1:23" x14ac:dyDescent="0.2">
      <c r="A342" s="130">
        <v>332</v>
      </c>
      <c r="B342" s="24" t="s">
        <v>209</v>
      </c>
      <c r="C342" s="24" t="s">
        <v>113</v>
      </c>
      <c r="D342" s="28">
        <v>1668</v>
      </c>
      <c r="E342" s="28">
        <v>1000</v>
      </c>
      <c r="F342" s="27">
        <v>0</v>
      </c>
      <c r="G342" s="147">
        <v>250</v>
      </c>
      <c r="H342" s="147">
        <v>0</v>
      </c>
      <c r="I342" s="28">
        <f t="shared" si="27"/>
        <v>2918</v>
      </c>
      <c r="J342" s="28">
        <f t="shared" si="28"/>
        <v>80.040000000000006</v>
      </c>
      <c r="K342" s="28">
        <f>(D342+E342)*11%</f>
        <v>293.48</v>
      </c>
      <c r="L342" s="28">
        <v>0</v>
      </c>
      <c r="M342" s="28">
        <v>0</v>
      </c>
      <c r="N342" s="28">
        <f t="shared" si="29"/>
        <v>373.52</v>
      </c>
      <c r="O342" s="28">
        <f t="shared" si="30"/>
        <v>2544.48</v>
      </c>
      <c r="P342" s="70">
        <v>0</v>
      </c>
    </row>
    <row r="343" spans="1:23" ht="25.5" x14ac:dyDescent="0.2">
      <c r="A343" s="130">
        <v>333</v>
      </c>
      <c r="B343" s="25" t="s">
        <v>320</v>
      </c>
      <c r="C343" s="24" t="s">
        <v>498</v>
      </c>
      <c r="D343" s="27">
        <v>3241</v>
      </c>
      <c r="E343" s="27">
        <v>1000</v>
      </c>
      <c r="F343" s="27">
        <v>0</v>
      </c>
      <c r="G343" s="27">
        <v>250</v>
      </c>
      <c r="H343" s="147">
        <v>0</v>
      </c>
      <c r="I343" s="28">
        <f t="shared" si="27"/>
        <v>4491</v>
      </c>
      <c r="J343" s="28">
        <f t="shared" si="28"/>
        <v>127.23</v>
      </c>
      <c r="K343" s="28">
        <f>(D343+E343)*12%</f>
        <v>508.92</v>
      </c>
      <c r="L343" s="28">
        <v>0</v>
      </c>
      <c r="M343" s="28">
        <v>0</v>
      </c>
      <c r="N343" s="28">
        <f t="shared" si="29"/>
        <v>636.15</v>
      </c>
      <c r="O343" s="28">
        <f t="shared" si="30"/>
        <v>3854.85</v>
      </c>
      <c r="P343" s="70">
        <v>0</v>
      </c>
    </row>
    <row r="344" spans="1:23" ht="25.5" x14ac:dyDescent="0.2">
      <c r="A344" s="130">
        <v>334</v>
      </c>
      <c r="B344" s="33" t="s">
        <v>379</v>
      </c>
      <c r="C344" s="26" t="s">
        <v>487</v>
      </c>
      <c r="D344" s="27">
        <v>3081</v>
      </c>
      <c r="E344" s="27">
        <v>1000</v>
      </c>
      <c r="F344" s="27">
        <v>0</v>
      </c>
      <c r="G344" s="27">
        <v>250</v>
      </c>
      <c r="H344" s="147">
        <v>0</v>
      </c>
      <c r="I344" s="28">
        <f t="shared" si="27"/>
        <v>4331</v>
      </c>
      <c r="J344" s="28">
        <f t="shared" si="28"/>
        <v>122.43</v>
      </c>
      <c r="K344" s="28">
        <f>(D344+E344+F344)*12%</f>
        <v>489.72</v>
      </c>
      <c r="L344" s="28">
        <v>0</v>
      </c>
      <c r="M344" s="28">
        <v>54.85</v>
      </c>
      <c r="N344" s="28">
        <f t="shared" si="29"/>
        <v>667</v>
      </c>
      <c r="O344" s="28">
        <f t="shared" si="30"/>
        <v>3664</v>
      </c>
      <c r="P344" s="70">
        <v>0</v>
      </c>
    </row>
    <row r="345" spans="1:23" ht="25.5" x14ac:dyDescent="0.2">
      <c r="A345" s="130">
        <v>335</v>
      </c>
      <c r="B345" s="23" t="s">
        <v>374</v>
      </c>
      <c r="C345" s="24" t="s">
        <v>296</v>
      </c>
      <c r="D345" s="155">
        <v>2375</v>
      </c>
      <c r="E345" s="156">
        <v>1000</v>
      </c>
      <c r="F345" s="27">
        <v>0</v>
      </c>
      <c r="G345" s="27">
        <v>250</v>
      </c>
      <c r="H345" s="147">
        <v>0</v>
      </c>
      <c r="I345" s="28">
        <f t="shared" si="27"/>
        <v>3625</v>
      </c>
      <c r="J345" s="28">
        <f t="shared" si="28"/>
        <v>101.25</v>
      </c>
      <c r="K345" s="28">
        <f>(D345+E345+F345)*11%</f>
        <v>371.25</v>
      </c>
      <c r="L345" s="28">
        <v>0</v>
      </c>
      <c r="M345" s="28">
        <v>0</v>
      </c>
      <c r="N345" s="28">
        <f t="shared" si="29"/>
        <v>472.5</v>
      </c>
      <c r="O345" s="28">
        <f t="shared" si="30"/>
        <v>3152.5</v>
      </c>
      <c r="P345" s="70">
        <v>0</v>
      </c>
    </row>
    <row r="346" spans="1:23" ht="25.5" x14ac:dyDescent="0.2">
      <c r="A346" s="130">
        <v>336</v>
      </c>
      <c r="B346" s="24" t="s">
        <v>375</v>
      </c>
      <c r="C346" s="24" t="s">
        <v>107</v>
      </c>
      <c r="D346" s="29">
        <v>2760</v>
      </c>
      <c r="E346" s="29">
        <v>1000</v>
      </c>
      <c r="F346" s="27">
        <v>0</v>
      </c>
      <c r="G346" s="147">
        <v>250</v>
      </c>
      <c r="H346" s="147">
        <v>0</v>
      </c>
      <c r="I346" s="28">
        <f t="shared" si="27"/>
        <v>4010</v>
      </c>
      <c r="J346" s="28">
        <f t="shared" si="28"/>
        <v>112.8</v>
      </c>
      <c r="K346" s="28">
        <f>(D346+E346)*11%</f>
        <v>413.6</v>
      </c>
      <c r="L346" s="28">
        <v>0</v>
      </c>
      <c r="M346" s="28">
        <v>0</v>
      </c>
      <c r="N346" s="28">
        <f t="shared" si="29"/>
        <v>526.4</v>
      </c>
      <c r="O346" s="28">
        <f t="shared" si="30"/>
        <v>3483.6</v>
      </c>
      <c r="P346" s="70">
        <v>0</v>
      </c>
    </row>
    <row r="347" spans="1:23" ht="25.5" x14ac:dyDescent="0.2">
      <c r="A347" s="130">
        <v>337</v>
      </c>
      <c r="B347" s="24" t="s">
        <v>461</v>
      </c>
      <c r="C347" s="24" t="s">
        <v>328</v>
      </c>
      <c r="D347" s="29">
        <v>2425</v>
      </c>
      <c r="E347" s="29">
        <v>0</v>
      </c>
      <c r="F347" s="27">
        <v>0</v>
      </c>
      <c r="G347" s="147">
        <v>0</v>
      </c>
      <c r="H347" s="147">
        <v>0</v>
      </c>
      <c r="I347" s="28">
        <f t="shared" si="27"/>
        <v>2425</v>
      </c>
      <c r="J347" s="28">
        <f t="shared" si="28"/>
        <v>72.75</v>
      </c>
      <c r="K347" s="28">
        <f>D347*11%</f>
        <v>266.75</v>
      </c>
      <c r="L347" s="28">
        <v>0</v>
      </c>
      <c r="M347" s="28">
        <v>0</v>
      </c>
      <c r="N347" s="28">
        <f t="shared" si="29"/>
        <v>339.5</v>
      </c>
      <c r="O347" s="28">
        <f t="shared" si="30"/>
        <v>2085.5</v>
      </c>
      <c r="P347" s="70">
        <v>0</v>
      </c>
    </row>
    <row r="348" spans="1:23" ht="25.5" x14ac:dyDescent="0.2">
      <c r="A348" s="130">
        <v>338</v>
      </c>
      <c r="B348" s="22" t="s">
        <v>376</v>
      </c>
      <c r="C348" s="24" t="s">
        <v>471</v>
      </c>
      <c r="D348" s="29">
        <v>3241</v>
      </c>
      <c r="E348" s="146">
        <v>1000</v>
      </c>
      <c r="F348" s="27">
        <v>0</v>
      </c>
      <c r="G348" s="147">
        <v>250</v>
      </c>
      <c r="H348" s="147">
        <v>0</v>
      </c>
      <c r="I348" s="28">
        <f t="shared" si="27"/>
        <v>4491</v>
      </c>
      <c r="J348" s="28">
        <f t="shared" si="28"/>
        <v>127.23</v>
      </c>
      <c r="K348" s="28">
        <f>(D348+E348)*12%</f>
        <v>508.92</v>
      </c>
      <c r="L348" s="28">
        <v>0</v>
      </c>
      <c r="M348" s="28">
        <v>0</v>
      </c>
      <c r="N348" s="28">
        <f t="shared" si="29"/>
        <v>636.15</v>
      </c>
      <c r="O348" s="28">
        <f t="shared" si="30"/>
        <v>3854.85</v>
      </c>
      <c r="P348" s="70">
        <v>0</v>
      </c>
    </row>
    <row r="349" spans="1:23" ht="25.5" x14ac:dyDescent="0.2">
      <c r="A349" s="130">
        <v>339</v>
      </c>
      <c r="B349" s="22" t="s">
        <v>210</v>
      </c>
      <c r="C349" s="24" t="s">
        <v>328</v>
      </c>
      <c r="D349" s="29">
        <v>2425</v>
      </c>
      <c r="E349" s="29">
        <v>0</v>
      </c>
      <c r="F349" s="27">
        <v>0</v>
      </c>
      <c r="G349" s="147">
        <v>0</v>
      </c>
      <c r="H349" s="147">
        <v>0</v>
      </c>
      <c r="I349" s="28">
        <f t="shared" si="27"/>
        <v>2425</v>
      </c>
      <c r="J349" s="28">
        <f t="shared" si="28"/>
        <v>72.75</v>
      </c>
      <c r="K349" s="28">
        <f>D349*11%</f>
        <v>266.75</v>
      </c>
      <c r="L349" s="28">
        <v>0</v>
      </c>
      <c r="M349" s="28">
        <v>0</v>
      </c>
      <c r="N349" s="28">
        <f t="shared" si="29"/>
        <v>339.5</v>
      </c>
      <c r="O349" s="28">
        <f t="shared" si="30"/>
        <v>2085.5</v>
      </c>
      <c r="P349" s="70">
        <v>0</v>
      </c>
    </row>
    <row r="350" spans="1:23" ht="25.5" x14ac:dyDescent="0.2">
      <c r="A350" s="130">
        <v>340</v>
      </c>
      <c r="B350" s="24" t="s">
        <v>211</v>
      </c>
      <c r="C350" s="24" t="s">
        <v>328</v>
      </c>
      <c r="D350" s="29">
        <v>2425</v>
      </c>
      <c r="E350" s="29">
        <v>0</v>
      </c>
      <c r="F350" s="27">
        <v>0</v>
      </c>
      <c r="G350" s="147">
        <v>0</v>
      </c>
      <c r="H350" s="147">
        <v>0</v>
      </c>
      <c r="I350" s="28">
        <f t="shared" si="27"/>
        <v>2425</v>
      </c>
      <c r="J350" s="28">
        <f t="shared" si="28"/>
        <v>72.75</v>
      </c>
      <c r="K350" s="28">
        <f>D350*11%</f>
        <v>266.75</v>
      </c>
      <c r="L350" s="28">
        <v>0</v>
      </c>
      <c r="M350" s="28">
        <v>0</v>
      </c>
      <c r="N350" s="28">
        <f t="shared" si="29"/>
        <v>339.5</v>
      </c>
      <c r="O350" s="28">
        <f t="shared" si="30"/>
        <v>2085.5</v>
      </c>
      <c r="P350" s="70">
        <v>0</v>
      </c>
    </row>
    <row r="351" spans="1:23" ht="25.5" x14ac:dyDescent="0.2">
      <c r="A351" s="130">
        <v>341</v>
      </c>
      <c r="B351" s="38" t="s">
        <v>431</v>
      </c>
      <c r="C351" s="26" t="s">
        <v>110</v>
      </c>
      <c r="D351" s="157">
        <v>2920</v>
      </c>
      <c r="E351" s="146">
        <v>1000</v>
      </c>
      <c r="F351" s="27">
        <v>0</v>
      </c>
      <c r="G351" s="147">
        <v>250</v>
      </c>
      <c r="H351" s="147">
        <v>0</v>
      </c>
      <c r="I351" s="28">
        <f t="shared" si="27"/>
        <v>4170</v>
      </c>
      <c r="J351" s="28">
        <f t="shared" si="28"/>
        <v>117.6</v>
      </c>
      <c r="K351" s="28">
        <f>(D351+E351)*12%</f>
        <v>470.4</v>
      </c>
      <c r="L351" s="28">
        <v>0</v>
      </c>
      <c r="M351" s="28">
        <v>52.68</v>
      </c>
      <c r="N351" s="28">
        <f t="shared" si="29"/>
        <v>640.67999999999995</v>
      </c>
      <c r="O351" s="28">
        <f t="shared" si="30"/>
        <v>3529.32</v>
      </c>
      <c r="P351" s="70">
        <v>0</v>
      </c>
    </row>
    <row r="352" spans="1:23" ht="25.5" x14ac:dyDescent="0.2">
      <c r="A352" s="130">
        <v>342</v>
      </c>
      <c r="B352" s="37" t="s">
        <v>212</v>
      </c>
      <c r="C352" s="26" t="s">
        <v>487</v>
      </c>
      <c r="D352" s="27">
        <v>3081</v>
      </c>
      <c r="E352" s="27">
        <v>1000</v>
      </c>
      <c r="F352" s="27">
        <v>0</v>
      </c>
      <c r="G352" s="27">
        <v>250</v>
      </c>
      <c r="H352" s="147">
        <v>0</v>
      </c>
      <c r="I352" s="28">
        <f t="shared" si="27"/>
        <v>4331</v>
      </c>
      <c r="J352" s="28">
        <f t="shared" si="28"/>
        <v>122.43</v>
      </c>
      <c r="K352" s="28">
        <f>(D352+E352)*12%</f>
        <v>489.72</v>
      </c>
      <c r="L352" s="28">
        <v>0</v>
      </c>
      <c r="M352" s="28">
        <v>0</v>
      </c>
      <c r="N352" s="28">
        <f t="shared" si="29"/>
        <v>612.15</v>
      </c>
      <c r="O352" s="28">
        <f t="shared" si="30"/>
        <v>3718.85</v>
      </c>
      <c r="P352" s="70">
        <v>0</v>
      </c>
    </row>
    <row r="353" spans="1:16" ht="25.5" x14ac:dyDescent="0.2">
      <c r="A353" s="130">
        <v>343</v>
      </c>
      <c r="B353" s="24" t="s">
        <v>462</v>
      </c>
      <c r="C353" s="24" t="s">
        <v>328</v>
      </c>
      <c r="D353" s="29">
        <v>2425</v>
      </c>
      <c r="E353" s="29">
        <v>0</v>
      </c>
      <c r="F353" s="27">
        <v>0</v>
      </c>
      <c r="G353" s="147">
        <v>0</v>
      </c>
      <c r="H353" s="147">
        <v>0</v>
      </c>
      <c r="I353" s="28">
        <f t="shared" si="27"/>
        <v>2425</v>
      </c>
      <c r="J353" s="28">
        <f t="shared" si="28"/>
        <v>72.75</v>
      </c>
      <c r="K353" s="28">
        <f>D353*11%</f>
        <v>266.75</v>
      </c>
      <c r="L353" s="28">
        <v>0</v>
      </c>
      <c r="M353" s="28">
        <v>0</v>
      </c>
      <c r="N353" s="28">
        <f t="shared" si="29"/>
        <v>339.5</v>
      </c>
      <c r="O353" s="28">
        <f t="shared" si="30"/>
        <v>2085.5</v>
      </c>
      <c r="P353" s="70">
        <v>0</v>
      </c>
    </row>
    <row r="354" spans="1:16" ht="25.5" x14ac:dyDescent="0.2">
      <c r="A354" s="130">
        <v>344</v>
      </c>
      <c r="B354" s="24" t="s">
        <v>427</v>
      </c>
      <c r="C354" s="24" t="s">
        <v>107</v>
      </c>
      <c r="D354" s="29">
        <v>2760</v>
      </c>
      <c r="E354" s="29">
        <v>1000</v>
      </c>
      <c r="F354" s="27">
        <v>0</v>
      </c>
      <c r="G354" s="147">
        <v>250</v>
      </c>
      <c r="H354" s="147">
        <v>0</v>
      </c>
      <c r="I354" s="28">
        <f t="shared" si="27"/>
        <v>4010</v>
      </c>
      <c r="J354" s="28">
        <f t="shared" si="28"/>
        <v>112.8</v>
      </c>
      <c r="K354" s="28">
        <f>(D354+E354)*11%</f>
        <v>413.6</v>
      </c>
      <c r="L354" s="28">
        <v>0</v>
      </c>
      <c r="M354" s="28">
        <v>50.53</v>
      </c>
      <c r="N354" s="28">
        <f t="shared" si="29"/>
        <v>576.92999999999995</v>
      </c>
      <c r="O354" s="28">
        <f t="shared" si="30"/>
        <v>3433.07</v>
      </c>
      <c r="P354" s="70">
        <v>0</v>
      </c>
    </row>
    <row r="355" spans="1:16" ht="25.5" x14ac:dyDescent="0.2">
      <c r="A355" s="130">
        <v>345</v>
      </c>
      <c r="B355" s="33" t="s">
        <v>324</v>
      </c>
      <c r="C355" s="24" t="s">
        <v>471</v>
      </c>
      <c r="D355" s="29">
        <v>3241</v>
      </c>
      <c r="E355" s="29">
        <v>967.74</v>
      </c>
      <c r="F355" s="147">
        <v>0</v>
      </c>
      <c r="G355" s="147">
        <v>250</v>
      </c>
      <c r="H355" s="147">
        <v>0</v>
      </c>
      <c r="I355" s="28">
        <f t="shared" si="27"/>
        <v>4458.74</v>
      </c>
      <c r="J355" s="28">
        <f t="shared" si="28"/>
        <v>126.26</v>
      </c>
      <c r="K355" s="28">
        <f>(D355+E355+F355)*12%</f>
        <v>505.05</v>
      </c>
      <c r="L355" s="28">
        <v>0</v>
      </c>
      <c r="M355" s="28">
        <v>0</v>
      </c>
      <c r="N355" s="28">
        <f t="shared" si="29"/>
        <v>631.30999999999995</v>
      </c>
      <c r="O355" s="28">
        <f t="shared" si="30"/>
        <v>3827.43</v>
      </c>
      <c r="P355" s="70">
        <v>0</v>
      </c>
    </row>
    <row r="356" spans="1:16" ht="25.5" x14ac:dyDescent="0.2">
      <c r="A356" s="130">
        <v>346</v>
      </c>
      <c r="B356" s="47" t="s">
        <v>483</v>
      </c>
      <c r="C356" s="22" t="s">
        <v>484</v>
      </c>
      <c r="D356" s="27">
        <v>2920</v>
      </c>
      <c r="E356" s="27">
        <v>1000</v>
      </c>
      <c r="F356" s="27">
        <v>0</v>
      </c>
      <c r="G356" s="27">
        <v>250</v>
      </c>
      <c r="H356" s="147">
        <v>0</v>
      </c>
      <c r="I356" s="28">
        <f t="shared" si="27"/>
        <v>4170</v>
      </c>
      <c r="J356" s="28">
        <f t="shared" si="28"/>
        <v>117.6</v>
      </c>
      <c r="K356" s="28">
        <f>(D356+E356)*11%</f>
        <v>431.2</v>
      </c>
      <c r="L356" s="27">
        <v>0</v>
      </c>
      <c r="M356" s="27">
        <v>52.68</v>
      </c>
      <c r="N356" s="27">
        <f>SUM(J356:M356)</f>
        <v>601.48</v>
      </c>
      <c r="O356" s="27">
        <f t="shared" si="30"/>
        <v>3568.52</v>
      </c>
      <c r="P356" s="70">
        <v>0</v>
      </c>
    </row>
    <row r="357" spans="1:16" ht="25.5" x14ac:dyDescent="0.2">
      <c r="A357" s="130">
        <v>347</v>
      </c>
      <c r="B357" s="31" t="s">
        <v>213</v>
      </c>
      <c r="C357" s="26" t="s">
        <v>501</v>
      </c>
      <c r="D357" s="27">
        <v>5787</v>
      </c>
      <c r="E357" s="27">
        <v>1800</v>
      </c>
      <c r="F357" s="27">
        <v>0</v>
      </c>
      <c r="G357" s="27">
        <v>250</v>
      </c>
      <c r="H357" s="147">
        <v>0</v>
      </c>
      <c r="I357" s="28">
        <f t="shared" si="27"/>
        <v>7837</v>
      </c>
      <c r="J357" s="28">
        <f t="shared" si="28"/>
        <v>227.61</v>
      </c>
      <c r="K357" s="28">
        <f>(D357+E357)*13%</f>
        <v>986.31</v>
      </c>
      <c r="L357" s="28">
        <v>131.99</v>
      </c>
      <c r="M357" s="28">
        <v>101.97</v>
      </c>
      <c r="N357" s="28">
        <f t="shared" si="29"/>
        <v>1447.88</v>
      </c>
      <c r="O357" s="28">
        <f t="shared" si="30"/>
        <v>6389.12</v>
      </c>
      <c r="P357" s="70">
        <v>0</v>
      </c>
    </row>
    <row r="358" spans="1:16" x14ac:dyDescent="0.2">
      <c r="A358" s="130">
        <v>348</v>
      </c>
      <c r="B358" s="24" t="s">
        <v>214</v>
      </c>
      <c r="C358" s="24" t="s">
        <v>113</v>
      </c>
      <c r="D358" s="29">
        <v>1668</v>
      </c>
      <c r="E358" s="29">
        <v>1000</v>
      </c>
      <c r="F358" s="27">
        <v>0</v>
      </c>
      <c r="G358" s="147">
        <v>250</v>
      </c>
      <c r="H358" s="147">
        <v>0</v>
      </c>
      <c r="I358" s="28">
        <f t="shared" si="27"/>
        <v>2918</v>
      </c>
      <c r="J358" s="28">
        <f t="shared" si="28"/>
        <v>80.040000000000006</v>
      </c>
      <c r="K358" s="28">
        <f>(D358+E358)*11%</f>
        <v>293.48</v>
      </c>
      <c r="L358" s="28">
        <v>0</v>
      </c>
      <c r="M358" s="28">
        <v>0</v>
      </c>
      <c r="N358" s="28">
        <f t="shared" si="29"/>
        <v>373.52</v>
      </c>
      <c r="O358" s="28">
        <f t="shared" si="30"/>
        <v>2544.48</v>
      </c>
      <c r="P358" s="70">
        <v>0</v>
      </c>
    </row>
    <row r="359" spans="1:16" ht="25.5" x14ac:dyDescent="0.2">
      <c r="A359" s="130">
        <v>349</v>
      </c>
      <c r="B359" s="24" t="s">
        <v>215</v>
      </c>
      <c r="C359" s="24" t="s">
        <v>328</v>
      </c>
      <c r="D359" s="148">
        <v>2425</v>
      </c>
      <c r="E359" s="29">
        <v>0</v>
      </c>
      <c r="F359" s="27">
        <v>0</v>
      </c>
      <c r="G359" s="147">
        <v>0</v>
      </c>
      <c r="H359" s="147">
        <v>0</v>
      </c>
      <c r="I359" s="28">
        <f t="shared" si="27"/>
        <v>2425</v>
      </c>
      <c r="J359" s="28">
        <f t="shared" si="28"/>
        <v>72.75</v>
      </c>
      <c r="K359" s="28">
        <f>D359*11%</f>
        <v>266.75</v>
      </c>
      <c r="L359" s="28">
        <v>0</v>
      </c>
      <c r="M359" s="28">
        <v>0</v>
      </c>
      <c r="N359" s="28">
        <f t="shared" si="29"/>
        <v>339.5</v>
      </c>
      <c r="O359" s="28">
        <f t="shared" si="30"/>
        <v>2085.5</v>
      </c>
      <c r="P359" s="70">
        <v>0</v>
      </c>
    </row>
    <row r="360" spans="1:16" ht="25.5" x14ac:dyDescent="0.2">
      <c r="A360" s="130">
        <v>350</v>
      </c>
      <c r="B360" s="25" t="s">
        <v>216</v>
      </c>
      <c r="C360" s="26" t="s">
        <v>282</v>
      </c>
      <c r="D360" s="27">
        <v>3241</v>
      </c>
      <c r="E360" s="27">
        <v>1000</v>
      </c>
      <c r="F360" s="27">
        <v>0</v>
      </c>
      <c r="G360" s="27">
        <v>250</v>
      </c>
      <c r="H360" s="147">
        <v>0</v>
      </c>
      <c r="I360" s="28">
        <f t="shared" si="27"/>
        <v>4491</v>
      </c>
      <c r="J360" s="28">
        <f t="shared" si="28"/>
        <v>127.23</v>
      </c>
      <c r="K360" s="28">
        <f>(D360+E360)*12%</f>
        <v>508.92</v>
      </c>
      <c r="L360" s="28">
        <v>0</v>
      </c>
      <c r="M360" s="28">
        <v>0</v>
      </c>
      <c r="N360" s="28">
        <f t="shared" si="29"/>
        <v>636.15</v>
      </c>
      <c r="O360" s="28">
        <f t="shared" si="30"/>
        <v>3854.85</v>
      </c>
      <c r="P360" s="70">
        <v>0</v>
      </c>
    </row>
    <row r="361" spans="1:16" ht="25.5" x14ac:dyDescent="0.2">
      <c r="A361" s="130">
        <v>351</v>
      </c>
      <c r="B361" s="231" t="s">
        <v>1007</v>
      </c>
      <c r="C361" s="26" t="s">
        <v>490</v>
      </c>
      <c r="D361" s="224">
        <v>2920</v>
      </c>
      <c r="E361" s="27">
        <v>1000</v>
      </c>
      <c r="F361" s="27">
        <v>0</v>
      </c>
      <c r="G361" s="27">
        <v>250</v>
      </c>
      <c r="H361" s="147">
        <v>0</v>
      </c>
      <c r="I361" s="28">
        <f>SUM(D361:H361)</f>
        <v>4170</v>
      </c>
      <c r="J361" s="28">
        <f t="shared" si="28"/>
        <v>117.6</v>
      </c>
      <c r="K361" s="28">
        <f>(D361+E361)*11%</f>
        <v>431.2</v>
      </c>
      <c r="L361" s="28">
        <v>0</v>
      </c>
      <c r="M361" s="28">
        <v>0</v>
      </c>
      <c r="N361" s="28">
        <f t="shared" si="29"/>
        <v>548.79999999999995</v>
      </c>
      <c r="O361" s="28">
        <f t="shared" si="30"/>
        <v>3621.2</v>
      </c>
      <c r="P361" s="70">
        <v>0</v>
      </c>
    </row>
    <row r="362" spans="1:16" ht="25.5" x14ac:dyDescent="0.2">
      <c r="A362" s="130">
        <v>352</v>
      </c>
      <c r="B362" s="25" t="s">
        <v>283</v>
      </c>
      <c r="C362" s="26" t="s">
        <v>110</v>
      </c>
      <c r="D362" s="27">
        <v>2920</v>
      </c>
      <c r="E362" s="27">
        <v>1000</v>
      </c>
      <c r="F362" s="27">
        <v>0</v>
      </c>
      <c r="G362" s="27">
        <v>250</v>
      </c>
      <c r="H362" s="147">
        <v>0</v>
      </c>
      <c r="I362" s="28">
        <f t="shared" si="27"/>
        <v>4170</v>
      </c>
      <c r="J362" s="28">
        <f t="shared" si="28"/>
        <v>117.6</v>
      </c>
      <c r="K362" s="28">
        <f>(D362+E362)*11%</f>
        <v>431.2</v>
      </c>
      <c r="L362" s="28">
        <v>0</v>
      </c>
      <c r="M362" s="28">
        <v>52.68</v>
      </c>
      <c r="N362" s="28">
        <f t="shared" si="29"/>
        <v>601.48</v>
      </c>
      <c r="O362" s="28">
        <f t="shared" si="30"/>
        <v>3568.52</v>
      </c>
      <c r="P362" s="70">
        <v>0</v>
      </c>
    </row>
    <row r="363" spans="1:16" ht="25.5" x14ac:dyDescent="0.2">
      <c r="A363" s="130">
        <v>353</v>
      </c>
      <c r="B363" s="24" t="s">
        <v>284</v>
      </c>
      <c r="C363" s="24" t="s">
        <v>331</v>
      </c>
      <c r="D363" s="148">
        <v>1940</v>
      </c>
      <c r="E363" s="29">
        <v>0</v>
      </c>
      <c r="F363" s="27">
        <v>0</v>
      </c>
      <c r="G363" s="147">
        <v>0</v>
      </c>
      <c r="H363" s="147">
        <v>0</v>
      </c>
      <c r="I363" s="28">
        <f t="shared" si="27"/>
        <v>1940</v>
      </c>
      <c r="J363" s="28">
        <f t="shared" si="28"/>
        <v>58.2</v>
      </c>
      <c r="K363" s="28">
        <f>(D363+E363)*10%</f>
        <v>194</v>
      </c>
      <c r="L363" s="28">
        <v>0</v>
      </c>
      <c r="M363" s="28">
        <v>0</v>
      </c>
      <c r="N363" s="28">
        <f t="shared" si="29"/>
        <v>252.2</v>
      </c>
      <c r="O363" s="28">
        <f t="shared" si="30"/>
        <v>1687.8</v>
      </c>
      <c r="P363" s="70">
        <v>0</v>
      </c>
    </row>
    <row r="364" spans="1:16" ht="25.5" x14ac:dyDescent="0.2">
      <c r="A364" s="130">
        <v>354</v>
      </c>
      <c r="B364" s="24" t="s">
        <v>231</v>
      </c>
      <c r="C364" s="24" t="s">
        <v>328</v>
      </c>
      <c r="D364" s="148">
        <v>2425</v>
      </c>
      <c r="E364" s="29">
        <v>0</v>
      </c>
      <c r="F364" s="27">
        <v>0</v>
      </c>
      <c r="G364" s="147">
        <v>0</v>
      </c>
      <c r="H364" s="147">
        <v>0</v>
      </c>
      <c r="I364" s="28">
        <f t="shared" si="27"/>
        <v>2425</v>
      </c>
      <c r="J364" s="28">
        <f t="shared" si="28"/>
        <v>72.75</v>
      </c>
      <c r="K364" s="28">
        <f>D364*11%</f>
        <v>266.75</v>
      </c>
      <c r="L364" s="28">
        <v>0</v>
      </c>
      <c r="M364" s="28">
        <v>0</v>
      </c>
      <c r="N364" s="28">
        <f t="shared" si="29"/>
        <v>339.5</v>
      </c>
      <c r="O364" s="28">
        <f t="shared" si="30"/>
        <v>2085.5</v>
      </c>
      <c r="P364" s="70">
        <v>0</v>
      </c>
    </row>
    <row r="365" spans="1:16" ht="25.5" x14ac:dyDescent="0.2">
      <c r="A365" s="130">
        <v>355</v>
      </c>
      <c r="B365" s="36" t="s">
        <v>452</v>
      </c>
      <c r="C365" s="24" t="s">
        <v>328</v>
      </c>
      <c r="D365" s="29">
        <v>2425</v>
      </c>
      <c r="E365" s="29">
        <v>0</v>
      </c>
      <c r="F365" s="27">
        <v>0</v>
      </c>
      <c r="G365" s="147">
        <v>0</v>
      </c>
      <c r="H365" s="147">
        <v>0</v>
      </c>
      <c r="I365" s="28">
        <f t="shared" si="27"/>
        <v>2425</v>
      </c>
      <c r="J365" s="28">
        <f t="shared" si="28"/>
        <v>72.75</v>
      </c>
      <c r="K365" s="28">
        <f>D365*11%</f>
        <v>266.75</v>
      </c>
      <c r="L365" s="28">
        <v>0</v>
      </c>
      <c r="M365" s="28">
        <v>0</v>
      </c>
      <c r="N365" s="28">
        <f t="shared" si="29"/>
        <v>339.5</v>
      </c>
      <c r="O365" s="28">
        <f t="shared" si="30"/>
        <v>2085.5</v>
      </c>
      <c r="P365" s="70">
        <v>0</v>
      </c>
    </row>
    <row r="366" spans="1:16" x14ac:dyDescent="0.2">
      <c r="A366" s="130">
        <v>356</v>
      </c>
      <c r="B366" s="31" t="s">
        <v>217</v>
      </c>
      <c r="C366" s="24" t="s">
        <v>113</v>
      </c>
      <c r="D366" s="27">
        <v>1668</v>
      </c>
      <c r="E366" s="27">
        <v>1000</v>
      </c>
      <c r="F366" s="27">
        <v>0</v>
      </c>
      <c r="G366" s="27">
        <v>250</v>
      </c>
      <c r="H366" s="147">
        <v>0</v>
      </c>
      <c r="I366" s="28">
        <f t="shared" si="27"/>
        <v>2918</v>
      </c>
      <c r="J366" s="28">
        <f t="shared" si="28"/>
        <v>80.040000000000006</v>
      </c>
      <c r="K366" s="28">
        <f>(D366+E366)*11%</f>
        <v>293.48</v>
      </c>
      <c r="L366" s="28">
        <v>0</v>
      </c>
      <c r="M366" s="28">
        <v>0</v>
      </c>
      <c r="N366" s="28">
        <f t="shared" si="29"/>
        <v>373.52</v>
      </c>
      <c r="O366" s="28">
        <f t="shared" si="30"/>
        <v>2544.48</v>
      </c>
      <c r="P366" s="70">
        <v>0</v>
      </c>
    </row>
    <row r="367" spans="1:16" ht="25.5" x14ac:dyDescent="0.2">
      <c r="A367" s="130">
        <v>357</v>
      </c>
      <c r="B367" s="24" t="s">
        <v>218</v>
      </c>
      <c r="C367" s="24" t="s">
        <v>471</v>
      </c>
      <c r="D367" s="29">
        <v>3241</v>
      </c>
      <c r="E367" s="146">
        <v>1000</v>
      </c>
      <c r="F367" s="27">
        <v>0</v>
      </c>
      <c r="G367" s="147">
        <v>250</v>
      </c>
      <c r="H367" s="147">
        <v>0</v>
      </c>
      <c r="I367" s="28">
        <f t="shared" si="27"/>
        <v>4491</v>
      </c>
      <c r="J367" s="28">
        <f t="shared" si="28"/>
        <v>127.23</v>
      </c>
      <c r="K367" s="28">
        <f>(D367+E367)*12%</f>
        <v>508.92</v>
      </c>
      <c r="L367" s="28">
        <v>0</v>
      </c>
      <c r="M367" s="28">
        <v>0</v>
      </c>
      <c r="N367" s="28">
        <f t="shared" si="29"/>
        <v>636.15</v>
      </c>
      <c r="O367" s="28">
        <f t="shared" si="30"/>
        <v>3854.85</v>
      </c>
      <c r="P367" s="70">
        <v>0</v>
      </c>
    </row>
    <row r="368" spans="1:16" x14ac:dyDescent="0.2">
      <c r="A368" s="130">
        <v>358</v>
      </c>
      <c r="B368" s="38" t="s">
        <v>515</v>
      </c>
      <c r="C368" s="22" t="s">
        <v>111</v>
      </c>
      <c r="D368" s="169">
        <v>1902</v>
      </c>
      <c r="E368" s="146">
        <v>1000</v>
      </c>
      <c r="F368" s="27">
        <v>0</v>
      </c>
      <c r="G368" s="147">
        <v>250</v>
      </c>
      <c r="H368" s="147">
        <v>0</v>
      </c>
      <c r="I368" s="28">
        <f t="shared" si="27"/>
        <v>3152</v>
      </c>
      <c r="J368" s="28">
        <f t="shared" si="28"/>
        <v>87.06</v>
      </c>
      <c r="K368" s="28">
        <f>(D368+E368)*11%</f>
        <v>319.22000000000003</v>
      </c>
      <c r="L368" s="28">
        <v>0</v>
      </c>
      <c r="M368" s="28">
        <v>0</v>
      </c>
      <c r="N368" s="28">
        <f t="shared" si="29"/>
        <v>406.28</v>
      </c>
      <c r="O368" s="28">
        <f t="shared" si="30"/>
        <v>2745.72</v>
      </c>
      <c r="P368" s="70">
        <v>0</v>
      </c>
    </row>
    <row r="369" spans="1:16" ht="25.5" x14ac:dyDescent="0.2">
      <c r="A369" s="130">
        <v>359</v>
      </c>
      <c r="B369" s="24" t="s">
        <v>378</v>
      </c>
      <c r="C369" s="24" t="s">
        <v>328</v>
      </c>
      <c r="D369" s="148">
        <v>2425</v>
      </c>
      <c r="E369" s="29">
        <v>0</v>
      </c>
      <c r="F369" s="27">
        <v>0</v>
      </c>
      <c r="G369" s="147">
        <v>0</v>
      </c>
      <c r="H369" s="147">
        <v>0</v>
      </c>
      <c r="I369" s="28">
        <f t="shared" si="27"/>
        <v>2425</v>
      </c>
      <c r="J369" s="28">
        <f t="shared" si="28"/>
        <v>72.75</v>
      </c>
      <c r="K369" s="28">
        <f>D369*11%</f>
        <v>266.75</v>
      </c>
      <c r="L369" s="28">
        <v>0</v>
      </c>
      <c r="M369" s="28">
        <v>0</v>
      </c>
      <c r="N369" s="28">
        <f t="shared" si="29"/>
        <v>339.5</v>
      </c>
      <c r="O369" s="28">
        <f t="shared" si="30"/>
        <v>2085.5</v>
      </c>
      <c r="P369" s="70">
        <v>0</v>
      </c>
    </row>
    <row r="370" spans="1:16" ht="25.5" x14ac:dyDescent="0.2">
      <c r="A370" s="130">
        <v>360</v>
      </c>
      <c r="B370" s="22" t="s">
        <v>242</v>
      </c>
      <c r="C370" s="33" t="s">
        <v>115</v>
      </c>
      <c r="D370" s="29">
        <v>1902</v>
      </c>
      <c r="E370" s="146">
        <v>1000</v>
      </c>
      <c r="F370" s="27">
        <v>0</v>
      </c>
      <c r="G370" s="147">
        <v>250</v>
      </c>
      <c r="H370" s="147">
        <v>0</v>
      </c>
      <c r="I370" s="28">
        <f t="shared" si="27"/>
        <v>3152</v>
      </c>
      <c r="J370" s="28">
        <f t="shared" si="28"/>
        <v>87.06</v>
      </c>
      <c r="K370" s="28">
        <f>(D370+E370)*11%</f>
        <v>319.22000000000003</v>
      </c>
      <c r="L370" s="28">
        <v>0</v>
      </c>
      <c r="M370" s="28">
        <v>0</v>
      </c>
      <c r="N370" s="28">
        <f t="shared" si="29"/>
        <v>406.28</v>
      </c>
      <c r="O370" s="28">
        <f>SUM(D370:N370)</f>
        <v>7116.56</v>
      </c>
      <c r="P370" s="70">
        <f>925+1293.4</f>
        <v>2218.4</v>
      </c>
    </row>
    <row r="371" spans="1:16" ht="25.5" x14ac:dyDescent="0.2">
      <c r="A371" s="130">
        <v>361</v>
      </c>
      <c r="B371" s="32" t="s">
        <v>219</v>
      </c>
      <c r="C371" s="24" t="s">
        <v>336</v>
      </c>
      <c r="D371" s="29">
        <v>3081</v>
      </c>
      <c r="E371" s="146">
        <v>1000</v>
      </c>
      <c r="F371" s="27">
        <v>0</v>
      </c>
      <c r="G371" s="147">
        <v>250</v>
      </c>
      <c r="H371" s="147">
        <v>0</v>
      </c>
      <c r="I371" s="28">
        <f t="shared" si="27"/>
        <v>4331</v>
      </c>
      <c r="J371" s="28">
        <f t="shared" si="28"/>
        <v>122.43</v>
      </c>
      <c r="K371" s="28">
        <f>(D371+E371)*12%</f>
        <v>489.72</v>
      </c>
      <c r="L371" s="28">
        <v>0</v>
      </c>
      <c r="M371" s="28">
        <v>0</v>
      </c>
      <c r="N371" s="28">
        <f t="shared" si="29"/>
        <v>612.15</v>
      </c>
      <c r="O371" s="28">
        <f>SUM(D371:N371)</f>
        <v>9886.2999999999993</v>
      </c>
      <c r="P371" s="70">
        <v>0</v>
      </c>
    </row>
    <row r="372" spans="1:16" ht="25.5" x14ac:dyDescent="0.2">
      <c r="A372" s="130">
        <v>362</v>
      </c>
      <c r="B372" s="22" t="s">
        <v>220</v>
      </c>
      <c r="C372" s="24" t="s">
        <v>328</v>
      </c>
      <c r="D372" s="29">
        <v>2425</v>
      </c>
      <c r="E372" s="29">
        <v>0</v>
      </c>
      <c r="F372" s="27">
        <v>0</v>
      </c>
      <c r="G372" s="147">
        <v>0</v>
      </c>
      <c r="H372" s="147">
        <v>0</v>
      </c>
      <c r="I372" s="28">
        <f t="shared" si="27"/>
        <v>2425</v>
      </c>
      <c r="J372" s="28">
        <f t="shared" si="28"/>
        <v>72.75</v>
      </c>
      <c r="K372" s="28">
        <f>D372*11%</f>
        <v>266.75</v>
      </c>
      <c r="L372" s="28">
        <v>0</v>
      </c>
      <c r="M372" s="28">
        <v>0</v>
      </c>
      <c r="N372" s="28">
        <f t="shared" si="29"/>
        <v>339.5</v>
      </c>
      <c r="O372" s="28">
        <f>SUM(D372:N372)</f>
        <v>5529</v>
      </c>
      <c r="P372" s="70">
        <v>0</v>
      </c>
    </row>
    <row r="373" spans="1:16" x14ac:dyDescent="0.2">
      <c r="A373" s="130">
        <v>363</v>
      </c>
      <c r="B373" s="232" t="s">
        <v>1066</v>
      </c>
      <c r="C373" s="60" t="s">
        <v>1016</v>
      </c>
      <c r="D373" s="29">
        <v>6759</v>
      </c>
      <c r="E373" s="29">
        <v>4000</v>
      </c>
      <c r="F373" s="27">
        <v>0</v>
      </c>
      <c r="G373" s="147">
        <v>250</v>
      </c>
      <c r="H373" s="147"/>
      <c r="I373" s="28">
        <f>SUM(D373:G373)</f>
        <v>11009</v>
      </c>
      <c r="J373" s="28">
        <f t="shared" si="28"/>
        <v>322.77</v>
      </c>
      <c r="K373" s="28">
        <f>(D373+E373)*15%</f>
        <v>1613.85</v>
      </c>
      <c r="L373" s="28">
        <v>254.45</v>
      </c>
      <c r="M373" s="28">
        <v>144.6</v>
      </c>
      <c r="N373" s="28">
        <f t="shared" si="29"/>
        <v>2335.67</v>
      </c>
      <c r="O373" s="28">
        <f>SUM(D373:N373)</f>
        <v>26689.34</v>
      </c>
      <c r="P373" s="70">
        <f>817.1+1239.5+821.5</f>
        <v>2878.1</v>
      </c>
    </row>
    <row r="374" spans="1:16" ht="25.5" x14ac:dyDescent="0.2">
      <c r="A374" s="130">
        <v>364</v>
      </c>
      <c r="B374" s="22" t="s">
        <v>221</v>
      </c>
      <c r="C374" s="24" t="s">
        <v>331</v>
      </c>
      <c r="D374" s="29">
        <v>1940</v>
      </c>
      <c r="E374" s="29">
        <v>0</v>
      </c>
      <c r="F374" s="27">
        <v>0</v>
      </c>
      <c r="G374" s="147">
        <v>0</v>
      </c>
      <c r="H374" s="147">
        <v>0</v>
      </c>
      <c r="I374" s="28">
        <f t="shared" si="27"/>
        <v>1940</v>
      </c>
      <c r="J374" s="28">
        <f t="shared" si="28"/>
        <v>58.2</v>
      </c>
      <c r="K374" s="28">
        <f>D374*10%</f>
        <v>194</v>
      </c>
      <c r="L374" s="28">
        <v>0</v>
      </c>
      <c r="M374" s="28">
        <v>0</v>
      </c>
      <c r="N374" s="28">
        <f t="shared" si="29"/>
        <v>252.2</v>
      </c>
      <c r="O374" s="28">
        <f t="shared" ref="O374:O384" si="31">I374-N374</f>
        <v>1687.8</v>
      </c>
      <c r="P374" s="70">
        <v>0</v>
      </c>
    </row>
    <row r="375" spans="1:16" ht="25.5" x14ac:dyDescent="0.2">
      <c r="A375" s="130">
        <v>365</v>
      </c>
      <c r="B375" s="23" t="s">
        <v>238</v>
      </c>
      <c r="C375" s="33" t="s">
        <v>115</v>
      </c>
      <c r="D375" s="29">
        <v>1902</v>
      </c>
      <c r="E375" s="146">
        <v>1000</v>
      </c>
      <c r="F375" s="27">
        <v>0</v>
      </c>
      <c r="G375" s="147">
        <v>250</v>
      </c>
      <c r="H375" s="147">
        <v>0</v>
      </c>
      <c r="I375" s="28">
        <f t="shared" si="27"/>
        <v>3152</v>
      </c>
      <c r="J375" s="28">
        <f t="shared" si="28"/>
        <v>87.06</v>
      </c>
      <c r="K375" s="28">
        <f>(D375+E375)*11%</f>
        <v>319.22000000000003</v>
      </c>
      <c r="L375" s="28">
        <v>0</v>
      </c>
      <c r="M375" s="28">
        <v>0</v>
      </c>
      <c r="N375" s="28">
        <f t="shared" si="29"/>
        <v>406.28</v>
      </c>
      <c r="O375" s="28">
        <f t="shared" si="31"/>
        <v>2745.72</v>
      </c>
      <c r="P375" s="70">
        <f>560+597</f>
        <v>1157</v>
      </c>
    </row>
    <row r="376" spans="1:16" ht="25.5" x14ac:dyDescent="0.2">
      <c r="A376" s="130">
        <v>366</v>
      </c>
      <c r="B376" s="22" t="s">
        <v>222</v>
      </c>
      <c r="C376" s="22" t="s">
        <v>981</v>
      </c>
      <c r="D376" s="29">
        <v>2920</v>
      </c>
      <c r="E376" s="146">
        <v>1000</v>
      </c>
      <c r="F376" s="27">
        <v>0</v>
      </c>
      <c r="G376" s="147">
        <v>250</v>
      </c>
      <c r="H376" s="147">
        <v>0</v>
      </c>
      <c r="I376" s="28">
        <f t="shared" si="27"/>
        <v>4170</v>
      </c>
      <c r="J376" s="28">
        <f t="shared" si="28"/>
        <v>117.6</v>
      </c>
      <c r="K376" s="28">
        <f>(D376+E376)*11%</f>
        <v>431.2</v>
      </c>
      <c r="L376" s="28">
        <v>0</v>
      </c>
      <c r="M376" s="28">
        <v>50.53</v>
      </c>
      <c r="N376" s="28">
        <f t="shared" si="29"/>
        <v>599.33000000000004</v>
      </c>
      <c r="O376" s="28">
        <f t="shared" si="31"/>
        <v>3570.67</v>
      </c>
      <c r="P376" s="70">
        <v>0</v>
      </c>
    </row>
    <row r="377" spans="1:16" ht="25.5" x14ac:dyDescent="0.2">
      <c r="A377" s="130">
        <v>367</v>
      </c>
      <c r="B377" s="24" t="s">
        <v>223</v>
      </c>
      <c r="C377" s="24" t="s">
        <v>328</v>
      </c>
      <c r="D377" s="29">
        <v>2425</v>
      </c>
      <c r="E377" s="29">
        <v>0</v>
      </c>
      <c r="F377" s="27">
        <v>0</v>
      </c>
      <c r="G377" s="147">
        <v>0</v>
      </c>
      <c r="H377" s="147">
        <v>0</v>
      </c>
      <c r="I377" s="28">
        <f t="shared" si="27"/>
        <v>2425</v>
      </c>
      <c r="J377" s="28">
        <f t="shared" si="28"/>
        <v>72.75</v>
      </c>
      <c r="K377" s="28">
        <f>D377*11%</f>
        <v>266.75</v>
      </c>
      <c r="L377" s="28">
        <v>0</v>
      </c>
      <c r="M377" s="28">
        <v>0</v>
      </c>
      <c r="N377" s="28">
        <f t="shared" si="29"/>
        <v>339.5</v>
      </c>
      <c r="O377" s="28">
        <f t="shared" si="31"/>
        <v>2085.5</v>
      </c>
      <c r="P377" s="70">
        <v>0</v>
      </c>
    </row>
    <row r="378" spans="1:16" ht="25.5" x14ac:dyDescent="0.2">
      <c r="A378" s="130">
        <v>368</v>
      </c>
      <c r="B378" s="24" t="s">
        <v>377</v>
      </c>
      <c r="C378" s="24" t="s">
        <v>328</v>
      </c>
      <c r="D378" s="148">
        <v>2425</v>
      </c>
      <c r="E378" s="29">
        <v>0</v>
      </c>
      <c r="F378" s="27">
        <v>0</v>
      </c>
      <c r="G378" s="147">
        <v>0</v>
      </c>
      <c r="H378" s="147">
        <v>0</v>
      </c>
      <c r="I378" s="28">
        <f t="shared" si="27"/>
        <v>2425</v>
      </c>
      <c r="J378" s="28">
        <f t="shared" si="28"/>
        <v>72.75</v>
      </c>
      <c r="K378" s="28">
        <f>D378*11%</f>
        <v>266.75</v>
      </c>
      <c r="L378" s="28">
        <v>0</v>
      </c>
      <c r="M378" s="28">
        <v>0</v>
      </c>
      <c r="N378" s="28">
        <f t="shared" si="29"/>
        <v>339.5</v>
      </c>
      <c r="O378" s="28">
        <f t="shared" si="31"/>
        <v>2085.5</v>
      </c>
      <c r="P378" s="70">
        <f>680</f>
        <v>680</v>
      </c>
    </row>
    <row r="379" spans="1:16" ht="25.5" x14ac:dyDescent="0.2">
      <c r="A379" s="130">
        <v>369</v>
      </c>
      <c r="B379" s="41" t="s">
        <v>428</v>
      </c>
      <c r="C379" s="24" t="s">
        <v>328</v>
      </c>
      <c r="D379" s="148">
        <v>2425</v>
      </c>
      <c r="E379" s="29">
        <v>0</v>
      </c>
      <c r="F379" s="27">
        <v>0</v>
      </c>
      <c r="G379" s="147">
        <v>0</v>
      </c>
      <c r="H379" s="147">
        <v>0</v>
      </c>
      <c r="I379" s="28">
        <f t="shared" si="27"/>
        <v>2425</v>
      </c>
      <c r="J379" s="28">
        <f t="shared" si="28"/>
        <v>72.75</v>
      </c>
      <c r="K379" s="28">
        <f>D379*11%</f>
        <v>266.75</v>
      </c>
      <c r="L379" s="28">
        <v>0</v>
      </c>
      <c r="M379" s="28">
        <v>0</v>
      </c>
      <c r="N379" s="28">
        <f t="shared" si="29"/>
        <v>339.5</v>
      </c>
      <c r="O379" s="28">
        <f t="shared" si="31"/>
        <v>2085.5</v>
      </c>
      <c r="P379" s="70">
        <v>670</v>
      </c>
    </row>
    <row r="380" spans="1:16" ht="25.5" x14ac:dyDescent="0.2">
      <c r="A380" s="130">
        <v>370</v>
      </c>
      <c r="B380" s="32" t="s">
        <v>473</v>
      </c>
      <c r="C380" s="24" t="s">
        <v>336</v>
      </c>
      <c r="D380" s="169">
        <v>3081</v>
      </c>
      <c r="E380" s="27">
        <v>1000</v>
      </c>
      <c r="F380" s="27">
        <v>0</v>
      </c>
      <c r="G380" s="27">
        <v>250</v>
      </c>
      <c r="H380" s="147">
        <v>0</v>
      </c>
      <c r="I380" s="28">
        <f t="shared" si="27"/>
        <v>4331</v>
      </c>
      <c r="J380" s="28">
        <f>(D380+E380+F380)*3%</f>
        <v>122.43</v>
      </c>
      <c r="K380" s="28">
        <f>(D380+E380)*12%</f>
        <v>489.72</v>
      </c>
      <c r="L380" s="28">
        <v>0</v>
      </c>
      <c r="M380" s="28">
        <v>0</v>
      </c>
      <c r="N380" s="28">
        <f t="shared" si="29"/>
        <v>612.15</v>
      </c>
      <c r="O380" s="28">
        <f t="shared" si="31"/>
        <v>3718.85</v>
      </c>
      <c r="P380" s="70">
        <v>0</v>
      </c>
    </row>
    <row r="381" spans="1:16" ht="25.5" x14ac:dyDescent="0.2">
      <c r="A381" s="130">
        <v>371</v>
      </c>
      <c r="B381" s="24" t="s">
        <v>224</v>
      </c>
      <c r="C381" s="24" t="s">
        <v>331</v>
      </c>
      <c r="D381" s="148">
        <v>1940</v>
      </c>
      <c r="E381" s="29">
        <v>0</v>
      </c>
      <c r="F381" s="27">
        <v>0</v>
      </c>
      <c r="G381" s="147">
        <v>0</v>
      </c>
      <c r="H381" s="147">
        <v>0</v>
      </c>
      <c r="I381" s="28">
        <f>SUM(D381:G381)</f>
        <v>1940</v>
      </c>
      <c r="J381" s="28">
        <f>(D381+E381+F381)*3%</f>
        <v>58.2</v>
      </c>
      <c r="K381" s="28">
        <f>D381*10%</f>
        <v>194</v>
      </c>
      <c r="L381" s="28">
        <v>0</v>
      </c>
      <c r="M381" s="28">
        <v>0</v>
      </c>
      <c r="N381" s="28">
        <f>J381+K381+L381+M381</f>
        <v>252.2</v>
      </c>
      <c r="O381" s="28">
        <f t="shared" si="31"/>
        <v>1687.8</v>
      </c>
      <c r="P381" s="70">
        <v>0</v>
      </c>
    </row>
    <row r="382" spans="1:16" ht="25.5" x14ac:dyDescent="0.2">
      <c r="A382" s="130">
        <v>372</v>
      </c>
      <c r="B382" s="22" t="s">
        <v>225</v>
      </c>
      <c r="C382" s="22" t="s">
        <v>504</v>
      </c>
      <c r="D382" s="146">
        <v>5095</v>
      </c>
      <c r="E382" s="146">
        <v>1800</v>
      </c>
      <c r="F382" s="27">
        <v>0</v>
      </c>
      <c r="G382" s="166">
        <v>250</v>
      </c>
      <c r="H382" s="147">
        <v>0</v>
      </c>
      <c r="I382" s="28">
        <f>SUM(D382:G382)</f>
        <v>7145</v>
      </c>
      <c r="J382" s="28">
        <f>(D382+E382+F382)*3%</f>
        <v>206.85</v>
      </c>
      <c r="K382" s="43">
        <f>(D382+E382)*13%</f>
        <v>896.35</v>
      </c>
      <c r="L382" s="28">
        <v>102.92</v>
      </c>
      <c r="M382" s="28">
        <v>92.67</v>
      </c>
      <c r="N382" s="28">
        <f>J382+K382+L382+M382</f>
        <v>1298.79</v>
      </c>
      <c r="O382" s="43">
        <f t="shared" si="31"/>
        <v>5846.21</v>
      </c>
      <c r="P382" s="70">
        <v>0</v>
      </c>
    </row>
    <row r="383" spans="1:16" ht="25.5" x14ac:dyDescent="0.2">
      <c r="A383" s="130">
        <v>373</v>
      </c>
      <c r="B383" s="32" t="s">
        <v>475</v>
      </c>
      <c r="C383" s="24" t="s">
        <v>112</v>
      </c>
      <c r="D383" s="146">
        <v>2920</v>
      </c>
      <c r="E383" s="146">
        <v>1000</v>
      </c>
      <c r="F383" s="27">
        <v>0</v>
      </c>
      <c r="G383" s="166">
        <v>250</v>
      </c>
      <c r="H383" s="147">
        <v>0</v>
      </c>
      <c r="I383" s="28">
        <f>SUM(D383:G383)</f>
        <v>4170</v>
      </c>
      <c r="J383" s="28">
        <f>(D383+E383+F383)*3%</f>
        <v>117.6</v>
      </c>
      <c r="K383" s="43">
        <f>(D383+E383)*11%</f>
        <v>431.2</v>
      </c>
      <c r="L383" s="28">
        <v>0</v>
      </c>
      <c r="M383" s="28">
        <v>0</v>
      </c>
      <c r="N383" s="28">
        <f>J383+K383+L383+M383</f>
        <v>548.79999999999995</v>
      </c>
      <c r="O383" s="43">
        <f t="shared" si="31"/>
        <v>3621.2</v>
      </c>
      <c r="P383" s="70">
        <v>0</v>
      </c>
    </row>
    <row r="384" spans="1:16" ht="26.25" thickBot="1" x14ac:dyDescent="0.25">
      <c r="A384" s="130">
        <v>374</v>
      </c>
      <c r="B384" s="96" t="s">
        <v>443</v>
      </c>
      <c r="C384" s="96" t="s">
        <v>328</v>
      </c>
      <c r="D384" s="170">
        <v>2425</v>
      </c>
      <c r="E384" s="171">
        <v>0</v>
      </c>
      <c r="F384" s="172">
        <v>0</v>
      </c>
      <c r="G384" s="173">
        <v>0</v>
      </c>
      <c r="H384" s="147">
        <v>0</v>
      </c>
      <c r="I384" s="99">
        <f>SUM(D384:G384)</f>
        <v>2425</v>
      </c>
      <c r="J384" s="99">
        <f>(D384+E384+F384)*3%</f>
        <v>72.75</v>
      </c>
      <c r="K384" s="99">
        <f>D384*11%</f>
        <v>266.75</v>
      </c>
      <c r="L384" s="99">
        <v>0</v>
      </c>
      <c r="M384" s="99">
        <v>0</v>
      </c>
      <c r="N384" s="99">
        <f>J384+K384+L384+M384</f>
        <v>339.5</v>
      </c>
      <c r="O384" s="99">
        <f t="shared" si="31"/>
        <v>2085.5</v>
      </c>
      <c r="P384" s="70">
        <v>0</v>
      </c>
    </row>
    <row r="385" spans="1:16" ht="13.5" thickBot="1" x14ac:dyDescent="0.25">
      <c r="A385" s="259" t="s">
        <v>466</v>
      </c>
      <c r="B385" s="260"/>
      <c r="C385" s="261"/>
      <c r="D385" s="174">
        <f t="shared" ref="D385:O385" si="32">SUM(D11:D384)</f>
        <v>975913.9</v>
      </c>
      <c r="E385" s="175">
        <f t="shared" si="32"/>
        <v>274967.74</v>
      </c>
      <c r="F385" s="175">
        <f t="shared" si="32"/>
        <v>1500</v>
      </c>
      <c r="G385" s="175">
        <f t="shared" si="32"/>
        <v>54000</v>
      </c>
      <c r="H385" s="175">
        <f>SUM(H11:H384)</f>
        <v>0</v>
      </c>
      <c r="I385" s="175">
        <f t="shared" si="32"/>
        <v>1306381.6399999999</v>
      </c>
      <c r="J385" s="175">
        <f t="shared" si="32"/>
        <v>37571.449999999997</v>
      </c>
      <c r="K385" s="175">
        <f t="shared" si="32"/>
        <v>143741.29999999999</v>
      </c>
      <c r="L385" s="175">
        <f t="shared" si="32"/>
        <v>4838.8900000000003</v>
      </c>
      <c r="M385" s="175">
        <f t="shared" si="32"/>
        <v>6228.3</v>
      </c>
      <c r="N385" s="175">
        <f t="shared" si="32"/>
        <v>191831.14</v>
      </c>
      <c r="O385" s="176">
        <f t="shared" si="32"/>
        <v>1162013.76</v>
      </c>
      <c r="P385" s="177">
        <f>SUM(P11:P384)</f>
        <v>47347.5</v>
      </c>
    </row>
    <row r="386" spans="1:16" x14ac:dyDescent="0.2">
      <c r="A386" s="6"/>
      <c r="B386" s="6"/>
      <c r="C386" s="6"/>
      <c r="D386" s="6"/>
      <c r="E386" s="6"/>
      <c r="F386" s="6"/>
      <c r="G386" s="6"/>
      <c r="H386" s="6"/>
      <c r="I386" s="6"/>
      <c r="J386" s="6"/>
      <c r="K386" s="6"/>
      <c r="L386" s="6"/>
      <c r="M386" s="6"/>
      <c r="N386" s="6"/>
      <c r="O386" s="6"/>
      <c r="P386" s="6"/>
    </row>
    <row r="387" spans="1:16" ht="34.5" customHeight="1" x14ac:dyDescent="0.2">
      <c r="A387" s="6"/>
      <c r="B387" s="262"/>
      <c r="C387" s="263"/>
      <c r="D387" s="263"/>
      <c r="E387" s="263"/>
      <c r="F387" s="263"/>
      <c r="G387" s="263"/>
      <c r="H387" s="263"/>
      <c r="I387" s="263"/>
      <c r="J387" s="263"/>
      <c r="K387" s="263"/>
      <c r="L387" s="263"/>
      <c r="M387" s="263"/>
      <c r="N387" s="263"/>
      <c r="O387" s="263"/>
      <c r="P387" s="6"/>
    </row>
    <row r="388" spans="1:16" x14ac:dyDescent="0.2">
      <c r="A388" s="6"/>
      <c r="B388" s="6"/>
      <c r="C388" s="6"/>
      <c r="D388" s="6"/>
      <c r="E388" s="6"/>
      <c r="F388" s="6"/>
      <c r="G388" s="6"/>
      <c r="H388" s="6"/>
      <c r="I388" s="6"/>
      <c r="J388" s="6"/>
      <c r="K388" s="6"/>
      <c r="L388" s="6"/>
      <c r="M388" s="6"/>
      <c r="N388" s="6"/>
      <c r="O388" s="6"/>
      <c r="P388" s="6"/>
    </row>
    <row r="389" spans="1:16" x14ac:dyDescent="0.2">
      <c r="A389" s="6"/>
      <c r="B389" s="6"/>
      <c r="C389" s="6"/>
      <c r="D389" s="6"/>
      <c r="E389" s="6"/>
      <c r="F389" s="6"/>
      <c r="G389" s="6"/>
      <c r="H389" s="6"/>
      <c r="I389" s="6"/>
      <c r="J389" s="6"/>
      <c r="K389" s="6"/>
      <c r="L389" s="6"/>
      <c r="M389" s="6"/>
      <c r="N389" s="6"/>
      <c r="O389" s="6"/>
      <c r="P389" s="6"/>
    </row>
    <row r="390" spans="1:16" x14ac:dyDescent="0.2">
      <c r="A390" s="6"/>
      <c r="B390" s="6"/>
      <c r="C390" s="6"/>
      <c r="D390" s="6"/>
      <c r="E390" s="6"/>
      <c r="F390" s="6"/>
      <c r="G390" s="6"/>
      <c r="H390" s="6"/>
      <c r="I390" s="6"/>
      <c r="J390" s="6"/>
      <c r="K390" s="6"/>
      <c r="L390" s="6"/>
      <c r="M390" s="6"/>
      <c r="N390" s="6"/>
      <c r="O390" s="6"/>
      <c r="P390" s="6"/>
    </row>
    <row r="391" spans="1:16" x14ac:dyDescent="0.2">
      <c r="A391" s="6"/>
      <c r="B391" s="6"/>
      <c r="C391" s="6"/>
      <c r="D391" s="6"/>
      <c r="E391" s="6"/>
      <c r="F391" s="6"/>
      <c r="G391" s="6"/>
      <c r="H391" s="6"/>
      <c r="I391" s="6"/>
      <c r="J391" s="6"/>
      <c r="K391" s="6"/>
      <c r="L391" s="6"/>
      <c r="M391" s="6"/>
      <c r="N391" s="6"/>
      <c r="O391" s="6"/>
      <c r="P391" s="6"/>
    </row>
    <row r="392" spans="1:16" x14ac:dyDescent="0.2">
      <c r="A392" s="6"/>
      <c r="B392" s="6"/>
      <c r="C392" s="6"/>
      <c r="D392" s="6"/>
      <c r="E392" s="6"/>
      <c r="F392" s="6"/>
      <c r="G392" s="6"/>
      <c r="H392" s="6"/>
      <c r="I392" s="6"/>
      <c r="J392" s="6"/>
      <c r="K392" s="6"/>
      <c r="L392" s="6"/>
      <c r="M392" s="6"/>
      <c r="N392" s="6"/>
      <c r="O392" s="6"/>
      <c r="P392" s="6"/>
    </row>
    <row r="393" spans="1:16" x14ac:dyDescent="0.2">
      <c r="A393" s="6"/>
      <c r="B393" s="6"/>
      <c r="C393" s="6"/>
      <c r="D393" s="6"/>
      <c r="E393" s="6"/>
      <c r="F393" s="6"/>
      <c r="G393" s="6"/>
      <c r="H393" s="6"/>
      <c r="I393" s="6"/>
      <c r="J393" s="6"/>
      <c r="K393" s="6"/>
      <c r="L393" s="6"/>
      <c r="M393" s="6"/>
      <c r="N393" s="6"/>
      <c r="O393" s="6"/>
      <c r="P393" s="6"/>
    </row>
    <row r="394" spans="1:16" x14ac:dyDescent="0.2">
      <c r="A394" s="6"/>
      <c r="B394" s="6"/>
      <c r="C394" s="6"/>
      <c r="D394" s="6"/>
      <c r="E394" s="6"/>
      <c r="F394" s="6"/>
      <c r="G394" s="6"/>
      <c r="H394" s="6"/>
      <c r="I394" s="6"/>
      <c r="J394" s="6"/>
      <c r="K394" s="6"/>
      <c r="L394" s="6"/>
      <c r="M394" s="6"/>
      <c r="N394" s="6"/>
      <c r="O394" s="6"/>
      <c r="P394" s="6"/>
    </row>
    <row r="395" spans="1:16" x14ac:dyDescent="0.2">
      <c r="A395" s="6"/>
      <c r="B395" s="6"/>
      <c r="C395" s="6"/>
      <c r="D395" s="6"/>
      <c r="E395" s="6"/>
      <c r="F395" s="6"/>
      <c r="G395" s="6"/>
      <c r="H395" s="6"/>
      <c r="I395" s="6"/>
      <c r="J395" s="6"/>
      <c r="K395" s="6"/>
      <c r="L395" s="6"/>
      <c r="M395" s="6"/>
      <c r="N395" s="6"/>
      <c r="O395" s="6"/>
      <c r="P395" s="6"/>
    </row>
    <row r="396" spans="1:16" x14ac:dyDescent="0.2">
      <c r="A396" s="6"/>
      <c r="B396" s="6"/>
      <c r="C396" s="6"/>
      <c r="D396" s="6"/>
      <c r="E396" s="6"/>
      <c r="F396" s="6"/>
      <c r="G396" s="6"/>
      <c r="H396" s="6"/>
      <c r="I396" s="6"/>
      <c r="J396" s="6"/>
      <c r="K396" s="6"/>
      <c r="L396" s="6"/>
      <c r="M396" s="6"/>
      <c r="N396" s="6"/>
      <c r="O396" s="6"/>
      <c r="P396" s="6"/>
    </row>
    <row r="397" spans="1:16" x14ac:dyDescent="0.2">
      <c r="A397" s="6"/>
      <c r="B397" s="6"/>
      <c r="C397" s="6"/>
      <c r="D397" s="6"/>
      <c r="E397" s="6"/>
      <c r="F397" s="6"/>
      <c r="G397" s="6"/>
      <c r="H397" s="6"/>
      <c r="I397" s="6"/>
      <c r="J397" s="6"/>
      <c r="K397" s="6"/>
      <c r="L397" s="6"/>
      <c r="M397" s="6"/>
      <c r="N397" s="6"/>
      <c r="O397" s="6"/>
      <c r="P397" s="6"/>
    </row>
    <row r="398" spans="1:16" x14ac:dyDescent="0.2">
      <c r="A398" s="6"/>
      <c r="B398" s="6"/>
      <c r="C398" s="6"/>
      <c r="D398" s="6"/>
      <c r="E398" s="6"/>
      <c r="F398" s="6"/>
      <c r="G398" s="6"/>
      <c r="H398" s="6"/>
      <c r="I398" s="6"/>
      <c r="J398" s="6"/>
      <c r="K398" s="6"/>
      <c r="L398" s="6"/>
      <c r="M398" s="6"/>
      <c r="N398" s="6"/>
      <c r="O398" s="6"/>
      <c r="P398" s="6"/>
    </row>
    <row r="399" spans="1:16" x14ac:dyDescent="0.2">
      <c r="A399" s="6"/>
      <c r="B399" s="6"/>
      <c r="C399" s="6"/>
      <c r="D399" s="6"/>
      <c r="E399" s="6"/>
      <c r="F399" s="6"/>
      <c r="G399" s="6"/>
      <c r="H399" s="6"/>
      <c r="I399" s="6"/>
      <c r="J399" s="6"/>
      <c r="K399" s="6"/>
      <c r="L399" s="6"/>
      <c r="M399" s="6"/>
      <c r="N399" s="6"/>
      <c r="O399" s="6"/>
      <c r="P399" s="6"/>
    </row>
    <row r="400" spans="1:16" x14ac:dyDescent="0.2">
      <c r="A400" s="6"/>
      <c r="B400" s="6"/>
      <c r="C400" s="6"/>
      <c r="D400" s="6"/>
      <c r="E400" s="6"/>
      <c r="F400" s="6"/>
      <c r="G400" s="6"/>
      <c r="H400" s="6"/>
      <c r="I400" s="6"/>
      <c r="J400" s="6"/>
      <c r="K400" s="6"/>
      <c r="L400" s="6"/>
      <c r="M400" s="6"/>
      <c r="N400" s="6"/>
      <c r="O400" s="6"/>
      <c r="P400" s="6"/>
    </row>
    <row r="401" spans="1:16" x14ac:dyDescent="0.2">
      <c r="A401" s="6"/>
      <c r="B401" s="6"/>
      <c r="C401" s="6"/>
      <c r="D401" s="6"/>
      <c r="E401" s="6"/>
      <c r="F401" s="6"/>
      <c r="G401" s="6"/>
      <c r="H401" s="6"/>
      <c r="I401" s="6"/>
      <c r="J401" s="6"/>
      <c r="K401" s="6"/>
      <c r="L401" s="6"/>
      <c r="M401" s="6"/>
      <c r="N401" s="6"/>
      <c r="O401" s="6"/>
      <c r="P401" s="6"/>
    </row>
    <row r="402" spans="1:16" x14ac:dyDescent="0.2">
      <c r="A402" s="6"/>
      <c r="B402" s="6"/>
      <c r="C402" s="6"/>
      <c r="D402" s="6"/>
      <c r="E402" s="6"/>
      <c r="F402" s="6"/>
      <c r="G402" s="6"/>
      <c r="H402" s="6"/>
      <c r="I402" s="6"/>
      <c r="J402" s="6"/>
      <c r="K402" s="6"/>
      <c r="L402" s="6"/>
      <c r="M402" s="6"/>
      <c r="N402" s="6"/>
      <c r="O402" s="6"/>
      <c r="P402" s="6"/>
    </row>
    <row r="403" spans="1:16" x14ac:dyDescent="0.2">
      <c r="A403" s="6"/>
      <c r="B403" s="6"/>
      <c r="C403" s="6"/>
      <c r="D403" s="6"/>
      <c r="E403" s="6"/>
      <c r="F403" s="6"/>
      <c r="G403" s="6"/>
      <c r="H403" s="6"/>
      <c r="I403" s="6"/>
      <c r="J403" s="6"/>
      <c r="K403" s="6"/>
      <c r="L403" s="6"/>
      <c r="M403" s="6"/>
      <c r="N403" s="6"/>
      <c r="O403" s="6"/>
      <c r="P403" s="6"/>
    </row>
    <row r="404" spans="1:16" x14ac:dyDescent="0.2">
      <c r="A404" s="6"/>
      <c r="B404" s="6"/>
      <c r="C404" s="6"/>
      <c r="D404" s="6"/>
      <c r="E404" s="6"/>
      <c r="F404" s="6"/>
      <c r="G404" s="6"/>
      <c r="H404" s="6"/>
      <c r="I404" s="6"/>
      <c r="J404" s="6"/>
      <c r="K404" s="6"/>
      <c r="L404" s="6"/>
      <c r="M404" s="6"/>
      <c r="N404" s="6"/>
      <c r="O404" s="6"/>
      <c r="P404" s="6"/>
    </row>
    <row r="405" spans="1:16" x14ac:dyDescent="0.2">
      <c r="A405" s="6"/>
      <c r="B405" s="6"/>
      <c r="C405" s="6"/>
      <c r="D405" s="6"/>
      <c r="E405" s="6"/>
      <c r="F405" s="6"/>
      <c r="G405" s="6"/>
      <c r="H405" s="6"/>
      <c r="I405" s="6"/>
      <c r="J405" s="6"/>
      <c r="K405" s="6"/>
      <c r="L405" s="6"/>
      <c r="M405" s="6"/>
      <c r="N405" s="6"/>
      <c r="O405" s="6"/>
      <c r="P405" s="6"/>
    </row>
    <row r="406" spans="1:16" x14ac:dyDescent="0.2">
      <c r="A406" s="6"/>
      <c r="B406" s="6"/>
      <c r="C406" s="6"/>
      <c r="D406" s="6"/>
      <c r="E406" s="6"/>
      <c r="F406" s="6"/>
      <c r="G406" s="6"/>
      <c r="H406" s="6"/>
      <c r="I406" s="6"/>
      <c r="J406" s="6"/>
      <c r="K406" s="6"/>
      <c r="L406" s="6"/>
      <c r="M406" s="6"/>
      <c r="N406" s="6"/>
      <c r="O406" s="6"/>
      <c r="P406" s="6"/>
    </row>
    <row r="407" spans="1:16" x14ac:dyDescent="0.2">
      <c r="A407" s="6"/>
      <c r="B407" s="6"/>
      <c r="C407" s="6"/>
      <c r="D407" s="6"/>
      <c r="E407" s="6"/>
      <c r="F407" s="6"/>
      <c r="G407" s="6"/>
      <c r="H407" s="6"/>
      <c r="I407" s="6"/>
      <c r="J407" s="6"/>
      <c r="K407" s="6"/>
      <c r="L407" s="6"/>
      <c r="M407" s="6"/>
      <c r="N407" s="6"/>
      <c r="O407" s="6"/>
      <c r="P407" s="6"/>
    </row>
    <row r="408" spans="1:16" x14ac:dyDescent="0.2">
      <c r="A408" s="6"/>
      <c r="B408" s="6"/>
      <c r="C408" s="6"/>
      <c r="D408" s="6"/>
      <c r="E408" s="6"/>
      <c r="F408" s="6"/>
      <c r="G408" s="6"/>
      <c r="H408" s="6"/>
      <c r="I408" s="6"/>
      <c r="J408" s="6"/>
      <c r="K408" s="6"/>
      <c r="L408" s="6"/>
      <c r="M408" s="6"/>
      <c r="N408" s="6"/>
      <c r="O408" s="6"/>
      <c r="P408" s="6"/>
    </row>
    <row r="409" spans="1:16" x14ac:dyDescent="0.2">
      <c r="A409" s="6"/>
      <c r="B409" s="6"/>
      <c r="C409" s="6"/>
      <c r="D409" s="6"/>
      <c r="E409" s="6"/>
      <c r="F409" s="6"/>
      <c r="G409" s="6"/>
      <c r="H409" s="6"/>
      <c r="I409" s="6"/>
      <c r="J409" s="6"/>
      <c r="K409" s="6"/>
      <c r="L409" s="6"/>
      <c r="M409" s="6"/>
      <c r="N409" s="6"/>
      <c r="O409" s="6"/>
      <c r="P409" s="6"/>
    </row>
    <row r="410" spans="1:16" x14ac:dyDescent="0.2">
      <c r="A410" s="6"/>
      <c r="B410" s="6"/>
      <c r="C410" s="6"/>
      <c r="D410" s="6"/>
      <c r="E410" s="6"/>
      <c r="F410" s="6"/>
      <c r="G410" s="6"/>
      <c r="H410" s="6"/>
      <c r="I410" s="6"/>
      <c r="J410" s="6"/>
      <c r="K410" s="6"/>
      <c r="L410" s="6"/>
      <c r="M410" s="6"/>
      <c r="N410" s="6"/>
      <c r="O410" s="6"/>
      <c r="P410" s="6"/>
    </row>
    <row r="411" spans="1:16" x14ac:dyDescent="0.2">
      <c r="A411" s="6"/>
      <c r="B411" s="6"/>
      <c r="C411" s="6"/>
      <c r="D411" s="6"/>
      <c r="E411" s="6"/>
      <c r="F411" s="6"/>
      <c r="G411" s="6"/>
      <c r="H411" s="6"/>
      <c r="I411" s="6"/>
      <c r="J411" s="6"/>
      <c r="K411" s="6"/>
      <c r="L411" s="6"/>
      <c r="M411" s="6"/>
      <c r="N411" s="6"/>
      <c r="O411" s="6"/>
      <c r="P411" s="6"/>
    </row>
    <row r="412" spans="1:16" x14ac:dyDescent="0.2">
      <c r="A412" s="6"/>
      <c r="B412" s="6"/>
      <c r="C412" s="6"/>
      <c r="D412" s="6"/>
      <c r="E412" s="6"/>
      <c r="F412" s="6"/>
      <c r="G412" s="6"/>
      <c r="H412" s="6"/>
      <c r="I412" s="6"/>
      <c r="J412" s="6"/>
      <c r="K412" s="6"/>
      <c r="L412" s="6"/>
      <c r="M412" s="6"/>
      <c r="N412" s="6"/>
      <c r="O412" s="6"/>
      <c r="P412" s="6"/>
    </row>
    <row r="413" spans="1:16" x14ac:dyDescent="0.2">
      <c r="A413" s="6"/>
      <c r="B413" s="6"/>
      <c r="C413" s="6"/>
      <c r="D413" s="6"/>
      <c r="E413" s="6"/>
      <c r="F413" s="6"/>
      <c r="G413" s="6"/>
      <c r="H413" s="6"/>
      <c r="I413" s="6"/>
      <c r="J413" s="6"/>
      <c r="K413" s="6"/>
      <c r="L413" s="6"/>
      <c r="M413" s="6"/>
      <c r="N413" s="6"/>
      <c r="O413" s="6"/>
      <c r="P413" s="6"/>
    </row>
    <row r="414" spans="1:16" x14ac:dyDescent="0.2">
      <c r="A414" s="6"/>
      <c r="B414" s="6"/>
      <c r="C414" s="6"/>
      <c r="D414" s="6"/>
      <c r="E414" s="6"/>
      <c r="F414" s="6"/>
      <c r="G414" s="6"/>
      <c r="H414" s="6"/>
      <c r="I414" s="6"/>
      <c r="J414" s="6"/>
      <c r="K414" s="6"/>
      <c r="L414" s="6"/>
      <c r="M414" s="6"/>
      <c r="N414" s="6"/>
      <c r="O414" s="6"/>
      <c r="P414" s="6"/>
    </row>
    <row r="415" spans="1:16" x14ac:dyDescent="0.2">
      <c r="A415" s="6"/>
      <c r="B415" s="6"/>
      <c r="C415" s="6"/>
      <c r="D415" s="6"/>
      <c r="E415" s="6"/>
      <c r="F415" s="6"/>
      <c r="G415" s="6"/>
      <c r="H415" s="6"/>
      <c r="I415" s="6"/>
      <c r="J415" s="6"/>
      <c r="K415" s="6"/>
      <c r="L415" s="6"/>
      <c r="M415" s="6"/>
      <c r="N415" s="6"/>
      <c r="O415" s="6"/>
      <c r="P415" s="6"/>
    </row>
    <row r="416" spans="1:16" x14ac:dyDescent="0.2">
      <c r="A416" s="6"/>
      <c r="B416" s="6"/>
      <c r="C416" s="6"/>
      <c r="D416" s="6"/>
      <c r="E416" s="6"/>
      <c r="F416" s="6"/>
      <c r="G416" s="6"/>
      <c r="H416" s="6"/>
      <c r="I416" s="6"/>
      <c r="J416" s="6"/>
      <c r="K416" s="6"/>
      <c r="L416" s="6"/>
      <c r="M416" s="6"/>
      <c r="N416" s="6"/>
      <c r="O416" s="6"/>
      <c r="P416" s="6"/>
    </row>
    <row r="417" spans="1:16" x14ac:dyDescent="0.2">
      <c r="A417" s="6"/>
      <c r="B417" s="6"/>
      <c r="C417" s="6"/>
      <c r="D417" s="6"/>
      <c r="E417" s="6"/>
      <c r="F417" s="6"/>
      <c r="G417" s="6"/>
      <c r="H417" s="6"/>
      <c r="I417" s="6"/>
      <c r="J417" s="6"/>
      <c r="K417" s="6"/>
      <c r="L417" s="6"/>
      <c r="M417" s="6"/>
      <c r="N417" s="6"/>
      <c r="O417" s="6"/>
      <c r="P417" s="6"/>
    </row>
    <row r="418" spans="1:16" x14ac:dyDescent="0.2">
      <c r="A418" s="6"/>
      <c r="B418" s="6"/>
      <c r="C418" s="6"/>
      <c r="D418" s="6"/>
      <c r="E418" s="6"/>
      <c r="F418" s="6"/>
      <c r="G418" s="6"/>
      <c r="H418" s="6"/>
      <c r="I418" s="6"/>
      <c r="J418" s="6"/>
      <c r="K418" s="6"/>
      <c r="L418" s="6"/>
      <c r="M418" s="6"/>
      <c r="N418" s="6"/>
      <c r="O418" s="6"/>
      <c r="P418" s="6"/>
    </row>
    <row r="419" spans="1:16" x14ac:dyDescent="0.2">
      <c r="A419" s="6"/>
      <c r="B419" s="6"/>
      <c r="C419" s="6"/>
      <c r="D419" s="6"/>
      <c r="E419" s="6"/>
      <c r="F419" s="6"/>
      <c r="G419" s="6"/>
      <c r="H419" s="6"/>
      <c r="I419" s="6"/>
      <c r="J419" s="6"/>
      <c r="K419" s="6"/>
      <c r="L419" s="6"/>
      <c r="M419" s="6"/>
      <c r="N419" s="6"/>
      <c r="O419" s="6"/>
      <c r="P419" s="6"/>
    </row>
    <row r="420" spans="1:16" x14ac:dyDescent="0.2">
      <c r="A420" s="6"/>
      <c r="B420" s="6"/>
      <c r="C420" s="6"/>
      <c r="D420" s="6"/>
      <c r="E420" s="6"/>
      <c r="F420" s="6"/>
      <c r="G420" s="6"/>
      <c r="H420" s="6"/>
      <c r="I420" s="6"/>
      <c r="J420" s="6"/>
      <c r="K420" s="6"/>
      <c r="L420" s="6"/>
      <c r="M420" s="6"/>
      <c r="N420" s="6"/>
      <c r="O420" s="6"/>
      <c r="P420" s="6"/>
    </row>
    <row r="421" spans="1:16" x14ac:dyDescent="0.2">
      <c r="A421" s="6"/>
      <c r="B421" s="6"/>
      <c r="C421" s="6"/>
      <c r="D421" s="6"/>
      <c r="E421" s="6"/>
      <c r="F421" s="6"/>
      <c r="G421" s="6"/>
      <c r="H421" s="6"/>
      <c r="I421" s="6"/>
      <c r="J421" s="6"/>
      <c r="K421" s="6"/>
      <c r="L421" s="6"/>
      <c r="M421" s="6"/>
      <c r="N421" s="6"/>
      <c r="O421" s="6"/>
      <c r="P421" s="6"/>
    </row>
    <row r="422" spans="1:16" x14ac:dyDescent="0.2">
      <c r="A422" s="6"/>
      <c r="B422" s="6"/>
      <c r="C422" s="6"/>
      <c r="D422" s="6"/>
      <c r="E422" s="6"/>
      <c r="F422" s="6"/>
      <c r="G422" s="6"/>
      <c r="H422" s="6"/>
      <c r="I422" s="6"/>
      <c r="J422" s="6"/>
      <c r="K422" s="6"/>
      <c r="L422" s="6"/>
      <c r="M422" s="6"/>
      <c r="N422" s="6"/>
      <c r="O422" s="6"/>
      <c r="P422" s="6"/>
    </row>
    <row r="423" spans="1:16" x14ac:dyDescent="0.2">
      <c r="A423" s="6"/>
      <c r="B423" s="6"/>
      <c r="C423" s="6"/>
      <c r="D423" s="6"/>
      <c r="E423" s="6"/>
      <c r="F423" s="6"/>
      <c r="G423" s="6"/>
      <c r="H423" s="6"/>
      <c r="I423" s="6"/>
      <c r="J423" s="6"/>
      <c r="K423" s="6"/>
      <c r="L423" s="6"/>
      <c r="M423" s="6"/>
      <c r="N423" s="6"/>
      <c r="O423" s="6"/>
      <c r="P423" s="6"/>
    </row>
    <row r="424" spans="1:16" x14ac:dyDescent="0.2">
      <c r="A424" s="6"/>
      <c r="B424" s="6"/>
      <c r="C424" s="6"/>
      <c r="D424" s="6"/>
      <c r="E424" s="6"/>
      <c r="F424" s="6"/>
      <c r="G424" s="6"/>
      <c r="H424" s="6"/>
      <c r="I424" s="6"/>
      <c r="J424" s="6"/>
      <c r="K424" s="6"/>
      <c r="L424" s="6"/>
      <c r="M424" s="6"/>
      <c r="N424" s="6"/>
      <c r="O424" s="6"/>
      <c r="P424" s="6"/>
    </row>
    <row r="425" spans="1:16" x14ac:dyDescent="0.2">
      <c r="A425" s="6"/>
      <c r="B425" s="6"/>
      <c r="C425" s="6"/>
      <c r="D425" s="6"/>
      <c r="E425" s="6"/>
      <c r="F425" s="6"/>
      <c r="G425" s="6"/>
      <c r="H425" s="6"/>
      <c r="I425" s="6"/>
      <c r="J425" s="6"/>
      <c r="K425" s="6"/>
      <c r="L425" s="6"/>
      <c r="M425" s="6"/>
      <c r="N425" s="6"/>
      <c r="O425" s="6"/>
      <c r="P425" s="6"/>
    </row>
    <row r="426" spans="1:16" x14ac:dyDescent="0.2">
      <c r="A426" s="6"/>
      <c r="B426" s="6"/>
      <c r="C426" s="6"/>
      <c r="D426" s="6"/>
      <c r="E426" s="6"/>
      <c r="F426" s="6"/>
      <c r="G426" s="6"/>
      <c r="H426" s="6"/>
      <c r="I426" s="6"/>
      <c r="J426" s="6"/>
      <c r="K426" s="6"/>
      <c r="L426" s="6"/>
      <c r="M426" s="6"/>
      <c r="N426" s="6"/>
      <c r="O426" s="6"/>
      <c r="P426" s="6"/>
    </row>
    <row r="427" spans="1:16" x14ac:dyDescent="0.2">
      <c r="A427" s="6"/>
      <c r="B427" s="6"/>
      <c r="C427" s="6"/>
      <c r="D427" s="6"/>
      <c r="E427" s="6"/>
      <c r="F427" s="6"/>
      <c r="G427" s="6"/>
      <c r="H427" s="6"/>
      <c r="I427" s="6"/>
      <c r="J427" s="6"/>
      <c r="K427" s="6"/>
      <c r="L427" s="6"/>
      <c r="M427" s="6"/>
      <c r="N427" s="6"/>
      <c r="O427" s="6"/>
      <c r="P427" s="6"/>
    </row>
    <row r="428" spans="1:16" x14ac:dyDescent="0.2">
      <c r="A428" s="6"/>
      <c r="B428" s="6"/>
      <c r="C428" s="6"/>
      <c r="D428" s="6"/>
      <c r="E428" s="6"/>
      <c r="F428" s="6"/>
      <c r="G428" s="6"/>
      <c r="H428" s="6"/>
      <c r="I428" s="6"/>
      <c r="J428" s="6"/>
      <c r="K428" s="6"/>
      <c r="L428" s="6"/>
      <c r="M428" s="6"/>
      <c r="N428" s="6"/>
      <c r="O428" s="6"/>
      <c r="P428" s="6"/>
    </row>
    <row r="429" spans="1:16" x14ac:dyDescent="0.2">
      <c r="A429" s="6"/>
      <c r="B429" s="6"/>
      <c r="C429" s="6"/>
      <c r="D429" s="6"/>
      <c r="E429" s="6"/>
      <c r="F429" s="6"/>
      <c r="G429" s="6"/>
      <c r="H429" s="6"/>
      <c r="I429" s="6"/>
      <c r="J429" s="6"/>
      <c r="K429" s="6"/>
      <c r="L429" s="6"/>
      <c r="M429" s="6"/>
      <c r="N429" s="6"/>
      <c r="O429" s="6"/>
      <c r="P429" s="6"/>
    </row>
    <row r="430" spans="1:16" x14ac:dyDescent="0.2">
      <c r="A430" s="6"/>
      <c r="B430" s="6"/>
      <c r="C430" s="6"/>
      <c r="D430" s="6"/>
      <c r="E430" s="6"/>
      <c r="F430" s="6"/>
      <c r="G430" s="6"/>
      <c r="H430" s="6"/>
      <c r="I430" s="6"/>
      <c r="J430" s="6"/>
      <c r="K430" s="6"/>
      <c r="L430" s="6"/>
      <c r="M430" s="6"/>
      <c r="N430" s="6"/>
      <c r="O430" s="6"/>
      <c r="P430" s="6"/>
    </row>
    <row r="431" spans="1:16" x14ac:dyDescent="0.2">
      <c r="A431" s="6"/>
      <c r="B431" s="6"/>
      <c r="C431" s="6"/>
      <c r="D431" s="6"/>
      <c r="E431" s="6"/>
      <c r="F431" s="6"/>
      <c r="G431" s="6"/>
      <c r="H431" s="6"/>
      <c r="I431" s="6"/>
      <c r="J431" s="6"/>
      <c r="K431" s="6"/>
      <c r="L431" s="6"/>
      <c r="M431" s="6"/>
      <c r="N431" s="6"/>
      <c r="O431" s="6"/>
      <c r="P431" s="6"/>
    </row>
    <row r="432" spans="1:16" x14ac:dyDescent="0.2">
      <c r="A432" s="6"/>
      <c r="B432" s="6"/>
      <c r="C432" s="6"/>
      <c r="D432" s="6"/>
      <c r="E432" s="6"/>
      <c r="F432" s="6"/>
      <c r="G432" s="6"/>
      <c r="H432" s="6"/>
      <c r="I432" s="6"/>
      <c r="J432" s="6"/>
      <c r="K432" s="6"/>
      <c r="L432" s="6"/>
      <c r="M432" s="6"/>
      <c r="N432" s="6"/>
      <c r="O432" s="6"/>
      <c r="P432" s="6"/>
    </row>
    <row r="433" spans="1:16" x14ac:dyDescent="0.2">
      <c r="A433" s="6"/>
      <c r="B433" s="6"/>
      <c r="C433" s="6"/>
      <c r="D433" s="6"/>
      <c r="E433" s="6"/>
      <c r="F433" s="6"/>
      <c r="G433" s="6"/>
      <c r="H433" s="6"/>
      <c r="I433" s="6"/>
      <c r="J433" s="6"/>
      <c r="K433" s="6"/>
      <c r="L433" s="6"/>
      <c r="M433" s="6"/>
      <c r="N433" s="6"/>
      <c r="O433" s="6"/>
      <c r="P433" s="6"/>
    </row>
    <row r="434" spans="1:16" x14ac:dyDescent="0.2">
      <c r="A434" s="6"/>
      <c r="B434" s="6"/>
      <c r="C434" s="6"/>
      <c r="D434" s="6"/>
      <c r="E434" s="6"/>
      <c r="F434" s="6"/>
      <c r="G434" s="6"/>
      <c r="H434" s="6"/>
      <c r="I434" s="6"/>
      <c r="J434" s="6"/>
      <c r="K434" s="6"/>
      <c r="L434" s="6"/>
      <c r="M434" s="6"/>
      <c r="N434" s="6"/>
      <c r="O434" s="6"/>
      <c r="P434" s="6"/>
    </row>
    <row r="435" spans="1:16" x14ac:dyDescent="0.2">
      <c r="A435" s="6"/>
      <c r="B435" s="6"/>
      <c r="C435" s="6"/>
      <c r="D435" s="6"/>
      <c r="E435" s="6"/>
      <c r="F435" s="6"/>
      <c r="G435" s="6"/>
      <c r="H435" s="6"/>
      <c r="I435" s="6"/>
      <c r="J435" s="6"/>
      <c r="K435" s="6"/>
      <c r="L435" s="6"/>
      <c r="M435" s="6"/>
      <c r="N435" s="6"/>
      <c r="O435" s="6"/>
      <c r="P435" s="6"/>
    </row>
    <row r="436" spans="1:16" x14ac:dyDescent="0.2">
      <c r="A436" s="6"/>
      <c r="B436" s="6"/>
      <c r="C436" s="6"/>
      <c r="D436" s="6"/>
      <c r="E436" s="6"/>
      <c r="F436" s="6"/>
      <c r="G436" s="6"/>
      <c r="H436" s="6"/>
      <c r="I436" s="6"/>
      <c r="J436" s="6"/>
      <c r="K436" s="6"/>
      <c r="L436" s="6"/>
      <c r="M436" s="6"/>
      <c r="N436" s="6"/>
      <c r="O436" s="6"/>
      <c r="P436" s="6"/>
    </row>
    <row r="437" spans="1:16" x14ac:dyDescent="0.2">
      <c r="A437" s="6"/>
      <c r="B437" s="6"/>
      <c r="C437" s="6"/>
      <c r="D437" s="6"/>
      <c r="E437" s="6"/>
      <c r="F437" s="6"/>
      <c r="G437" s="6"/>
      <c r="H437" s="6"/>
      <c r="I437" s="6"/>
      <c r="J437" s="6"/>
      <c r="K437" s="6"/>
      <c r="L437" s="6"/>
      <c r="M437" s="6"/>
      <c r="N437" s="6"/>
      <c r="O437" s="6"/>
      <c r="P437" s="6"/>
    </row>
    <row r="438" spans="1:16" x14ac:dyDescent="0.2">
      <c r="A438" s="6"/>
      <c r="B438" s="6"/>
      <c r="C438" s="6"/>
      <c r="D438" s="6"/>
      <c r="E438" s="6"/>
      <c r="F438" s="6"/>
      <c r="G438" s="6"/>
      <c r="H438" s="6"/>
      <c r="I438" s="6"/>
      <c r="J438" s="6"/>
      <c r="K438" s="6"/>
      <c r="L438" s="6"/>
      <c r="M438" s="6"/>
      <c r="N438" s="6"/>
      <c r="O438" s="6"/>
      <c r="P438" s="6"/>
    </row>
    <row r="439" spans="1:16" x14ac:dyDescent="0.2">
      <c r="A439" s="6"/>
      <c r="B439" s="6"/>
      <c r="C439" s="6"/>
      <c r="D439" s="6"/>
      <c r="E439" s="6"/>
      <c r="F439" s="6"/>
      <c r="G439" s="6"/>
      <c r="H439" s="6"/>
      <c r="I439" s="6"/>
      <c r="J439" s="6"/>
      <c r="K439" s="6"/>
      <c r="L439" s="6"/>
      <c r="M439" s="6"/>
      <c r="N439" s="6"/>
      <c r="O439" s="6"/>
      <c r="P439" s="6"/>
    </row>
    <row r="440" spans="1:16" x14ac:dyDescent="0.2">
      <c r="A440" s="6"/>
      <c r="B440" s="6"/>
      <c r="C440" s="6"/>
      <c r="D440" s="6"/>
      <c r="E440" s="6"/>
      <c r="F440" s="6"/>
      <c r="G440" s="6"/>
      <c r="H440" s="6"/>
      <c r="I440" s="6"/>
      <c r="J440" s="6"/>
      <c r="K440" s="6"/>
      <c r="L440" s="6"/>
      <c r="M440" s="6"/>
      <c r="N440" s="6"/>
      <c r="O440" s="6"/>
      <c r="P440" s="6"/>
    </row>
    <row r="441" spans="1:16" x14ac:dyDescent="0.2">
      <c r="A441" s="6"/>
      <c r="B441" s="6"/>
      <c r="C441" s="6"/>
      <c r="D441" s="6"/>
      <c r="E441" s="6"/>
      <c r="F441" s="6"/>
      <c r="G441" s="6"/>
      <c r="H441" s="6"/>
      <c r="I441" s="6"/>
      <c r="J441" s="6"/>
      <c r="K441" s="6"/>
      <c r="L441" s="6"/>
      <c r="M441" s="6"/>
      <c r="N441" s="6"/>
      <c r="O441" s="6"/>
      <c r="P441" s="6"/>
    </row>
    <row r="442" spans="1:16" x14ac:dyDescent="0.2">
      <c r="A442" s="6"/>
      <c r="B442" s="6"/>
      <c r="C442" s="6"/>
      <c r="D442" s="6"/>
      <c r="E442" s="6"/>
      <c r="F442" s="6"/>
      <c r="G442" s="6"/>
      <c r="H442" s="6"/>
      <c r="I442" s="6"/>
      <c r="J442" s="6"/>
      <c r="K442" s="6"/>
      <c r="L442" s="6"/>
      <c r="M442" s="6"/>
      <c r="N442" s="6"/>
      <c r="O442" s="6"/>
      <c r="P442" s="6"/>
    </row>
    <row r="443" spans="1:16" x14ac:dyDescent="0.2">
      <c r="A443" s="6"/>
      <c r="B443" s="6"/>
      <c r="C443" s="6"/>
      <c r="D443" s="6"/>
      <c r="E443" s="6"/>
      <c r="F443" s="6"/>
      <c r="G443" s="6"/>
      <c r="H443" s="6"/>
      <c r="I443" s="6"/>
      <c r="J443" s="6"/>
      <c r="K443" s="6"/>
      <c r="L443" s="6"/>
      <c r="M443" s="6"/>
      <c r="N443" s="6"/>
      <c r="O443" s="6"/>
      <c r="P443" s="6"/>
    </row>
    <row r="444" spans="1:16" x14ac:dyDescent="0.2">
      <c r="A444" s="6"/>
      <c r="B444" s="6"/>
      <c r="C444" s="6"/>
      <c r="D444" s="6"/>
      <c r="E444" s="6"/>
      <c r="F444" s="6"/>
      <c r="G444" s="6"/>
      <c r="H444" s="6"/>
      <c r="I444" s="6"/>
      <c r="J444" s="6"/>
      <c r="K444" s="6"/>
      <c r="L444" s="6"/>
      <c r="M444" s="6"/>
      <c r="N444" s="6"/>
      <c r="O444" s="6"/>
      <c r="P444" s="6"/>
    </row>
    <row r="445" spans="1:16" x14ac:dyDescent="0.2">
      <c r="A445" s="6"/>
      <c r="B445" s="6"/>
      <c r="C445" s="6"/>
      <c r="D445" s="6"/>
      <c r="E445" s="6"/>
      <c r="F445" s="6"/>
      <c r="G445" s="6"/>
      <c r="H445" s="6"/>
      <c r="I445" s="6"/>
      <c r="J445" s="6"/>
      <c r="K445" s="6"/>
      <c r="L445" s="6"/>
      <c r="M445" s="6"/>
      <c r="N445" s="6"/>
      <c r="O445" s="6"/>
      <c r="P445" s="6"/>
    </row>
    <row r="446" spans="1:16" x14ac:dyDescent="0.2">
      <c r="A446" s="6"/>
      <c r="B446" s="6"/>
      <c r="C446" s="6"/>
      <c r="D446" s="6"/>
      <c r="E446" s="6"/>
      <c r="F446" s="6"/>
      <c r="G446" s="6"/>
      <c r="H446" s="6"/>
      <c r="I446" s="6"/>
      <c r="J446" s="6"/>
      <c r="K446" s="6"/>
      <c r="L446" s="6"/>
      <c r="M446" s="6"/>
      <c r="N446" s="6"/>
      <c r="O446" s="6"/>
      <c r="P446" s="6"/>
    </row>
    <row r="447" spans="1:16" x14ac:dyDescent="0.2">
      <c r="A447" s="6"/>
      <c r="B447" s="6"/>
      <c r="C447" s="6"/>
      <c r="D447" s="6"/>
      <c r="E447" s="6"/>
      <c r="F447" s="6"/>
      <c r="G447" s="6"/>
      <c r="H447" s="6"/>
      <c r="I447" s="6"/>
      <c r="J447" s="6"/>
      <c r="K447" s="6"/>
      <c r="L447" s="6"/>
      <c r="M447" s="6"/>
      <c r="N447" s="6"/>
      <c r="O447" s="6"/>
      <c r="P447" s="6"/>
    </row>
    <row r="448" spans="1:16" x14ac:dyDescent="0.2">
      <c r="A448" s="6"/>
      <c r="B448" s="6"/>
      <c r="C448" s="6"/>
      <c r="D448" s="6"/>
      <c r="E448" s="6"/>
      <c r="F448" s="6"/>
      <c r="G448" s="6"/>
      <c r="H448" s="6"/>
      <c r="I448" s="6"/>
      <c r="J448" s="6"/>
      <c r="K448" s="6"/>
      <c r="L448" s="6"/>
      <c r="M448" s="6"/>
      <c r="N448" s="6"/>
      <c r="O448" s="6"/>
      <c r="P448" s="6"/>
    </row>
    <row r="449" spans="1:16" x14ac:dyDescent="0.2">
      <c r="A449" s="6"/>
      <c r="B449" s="6"/>
      <c r="C449" s="6"/>
      <c r="D449" s="6"/>
      <c r="E449" s="6"/>
      <c r="F449" s="6"/>
      <c r="G449" s="6"/>
      <c r="H449" s="6"/>
      <c r="I449" s="6"/>
      <c r="J449" s="6"/>
      <c r="K449" s="6"/>
      <c r="L449" s="6"/>
      <c r="M449" s="6"/>
      <c r="N449" s="6"/>
      <c r="O449" s="6"/>
      <c r="P449" s="6"/>
    </row>
    <row r="450" spans="1:16" x14ac:dyDescent="0.2">
      <c r="A450" s="6"/>
      <c r="B450" s="6"/>
      <c r="C450" s="6"/>
      <c r="D450" s="6"/>
      <c r="E450" s="6"/>
      <c r="F450" s="6"/>
      <c r="G450" s="6"/>
      <c r="H450" s="6"/>
      <c r="I450" s="6"/>
      <c r="J450" s="6"/>
      <c r="K450" s="6"/>
      <c r="L450" s="6"/>
      <c r="M450" s="6"/>
      <c r="N450" s="6"/>
      <c r="O450" s="6"/>
      <c r="P450" s="6"/>
    </row>
    <row r="451" spans="1:16" x14ac:dyDescent="0.2">
      <c r="A451" s="6"/>
      <c r="B451" s="6"/>
      <c r="C451" s="6"/>
      <c r="D451" s="6"/>
      <c r="E451" s="6"/>
      <c r="F451" s="6"/>
      <c r="G451" s="6"/>
      <c r="H451" s="6"/>
      <c r="I451" s="6"/>
      <c r="J451" s="6"/>
      <c r="K451" s="6"/>
      <c r="L451" s="6"/>
      <c r="M451" s="6"/>
      <c r="N451" s="6"/>
      <c r="O451" s="6"/>
      <c r="P451" s="6"/>
    </row>
    <row r="452" spans="1:16" x14ac:dyDescent="0.2">
      <c r="A452" s="6"/>
      <c r="B452" s="6"/>
      <c r="C452" s="6"/>
      <c r="D452" s="6"/>
      <c r="E452" s="6"/>
      <c r="F452" s="6"/>
      <c r="G452" s="6"/>
      <c r="H452" s="6"/>
      <c r="I452" s="6"/>
      <c r="J452" s="6"/>
      <c r="K452" s="6"/>
      <c r="L452" s="6"/>
      <c r="M452" s="6"/>
      <c r="N452" s="6"/>
      <c r="O452" s="6"/>
      <c r="P452" s="6"/>
    </row>
    <row r="453" spans="1:16" x14ac:dyDescent="0.2">
      <c r="A453" s="6"/>
      <c r="B453" s="6"/>
      <c r="C453" s="6"/>
      <c r="D453" s="6"/>
      <c r="E453" s="6"/>
      <c r="F453" s="6"/>
      <c r="G453" s="6"/>
      <c r="H453" s="6"/>
      <c r="I453" s="6"/>
      <c r="J453" s="6"/>
      <c r="K453" s="6"/>
      <c r="L453" s="6"/>
      <c r="M453" s="6"/>
      <c r="N453" s="6"/>
      <c r="O453" s="6"/>
      <c r="P453" s="6"/>
    </row>
    <row r="454" spans="1:16" x14ac:dyDescent="0.2">
      <c r="A454" s="6"/>
      <c r="B454" s="6"/>
      <c r="C454" s="6"/>
      <c r="D454" s="6"/>
      <c r="E454" s="6"/>
      <c r="F454" s="6"/>
      <c r="G454" s="6"/>
      <c r="H454" s="6"/>
      <c r="I454" s="6"/>
      <c r="J454" s="6"/>
      <c r="K454" s="6"/>
      <c r="L454" s="6"/>
      <c r="M454" s="6"/>
      <c r="N454" s="6"/>
      <c r="O454" s="6"/>
      <c r="P454" s="6"/>
    </row>
    <row r="455" spans="1:16" x14ac:dyDescent="0.2">
      <c r="A455" s="6"/>
      <c r="B455" s="6"/>
      <c r="C455" s="6"/>
      <c r="D455" s="6"/>
      <c r="E455" s="6"/>
      <c r="F455" s="6"/>
      <c r="G455" s="6"/>
      <c r="H455" s="6"/>
      <c r="I455" s="6"/>
      <c r="J455" s="6"/>
      <c r="K455" s="6"/>
      <c r="L455" s="6"/>
      <c r="M455" s="6"/>
      <c r="N455" s="6"/>
      <c r="O455" s="6"/>
      <c r="P455" s="6"/>
    </row>
    <row r="456" spans="1:16" x14ac:dyDescent="0.2">
      <c r="A456" s="6"/>
      <c r="B456" s="6"/>
      <c r="C456" s="6"/>
      <c r="D456" s="6"/>
      <c r="E456" s="6"/>
      <c r="F456" s="6"/>
      <c r="G456" s="6"/>
      <c r="H456" s="6"/>
      <c r="I456" s="6"/>
      <c r="J456" s="6"/>
      <c r="K456" s="6"/>
      <c r="L456" s="6"/>
      <c r="M456" s="6"/>
      <c r="N456" s="6"/>
      <c r="O456" s="6"/>
      <c r="P456" s="6"/>
    </row>
    <row r="457" spans="1:16" x14ac:dyDescent="0.2">
      <c r="A457" s="6"/>
      <c r="B457" s="6"/>
      <c r="C457" s="6"/>
      <c r="D457" s="6"/>
      <c r="E457" s="6"/>
      <c r="F457" s="6"/>
      <c r="G457" s="6"/>
      <c r="H457" s="6"/>
      <c r="I457" s="6"/>
      <c r="J457" s="6"/>
      <c r="K457" s="6"/>
      <c r="L457" s="6"/>
      <c r="M457" s="6"/>
      <c r="N457" s="6"/>
      <c r="O457" s="6"/>
      <c r="P457" s="6"/>
    </row>
    <row r="458" spans="1:16" x14ac:dyDescent="0.2">
      <c r="A458" s="6"/>
      <c r="B458" s="6"/>
      <c r="C458" s="6"/>
      <c r="D458" s="6"/>
      <c r="E458" s="6"/>
      <c r="F458" s="6"/>
      <c r="G458" s="6"/>
      <c r="H458" s="6"/>
      <c r="I458" s="6"/>
      <c r="J458" s="6"/>
      <c r="K458" s="6"/>
      <c r="L458" s="6"/>
      <c r="M458" s="6"/>
      <c r="N458" s="6"/>
      <c r="O458" s="6"/>
      <c r="P458" s="6"/>
    </row>
    <row r="459" spans="1:16" x14ac:dyDescent="0.2">
      <c r="A459" s="6"/>
      <c r="B459" s="6"/>
      <c r="C459" s="6"/>
      <c r="D459" s="6"/>
      <c r="E459" s="6"/>
      <c r="F459" s="6"/>
      <c r="G459" s="6"/>
      <c r="H459" s="6"/>
      <c r="I459" s="6"/>
      <c r="J459" s="6"/>
      <c r="K459" s="6"/>
      <c r="L459" s="6"/>
      <c r="M459" s="6"/>
      <c r="N459" s="6"/>
      <c r="O459" s="6"/>
      <c r="P459" s="6"/>
    </row>
    <row r="460" spans="1:16" x14ac:dyDescent="0.2">
      <c r="A460" s="6"/>
      <c r="B460" s="6"/>
      <c r="C460" s="6"/>
      <c r="D460" s="6"/>
      <c r="E460" s="6"/>
      <c r="F460" s="6"/>
      <c r="G460" s="6"/>
      <c r="H460" s="6"/>
      <c r="I460" s="6"/>
      <c r="J460" s="6"/>
      <c r="K460" s="6"/>
      <c r="L460" s="6"/>
      <c r="M460" s="6"/>
      <c r="N460" s="6"/>
      <c r="O460" s="6"/>
      <c r="P460" s="6"/>
    </row>
    <row r="461" spans="1:16" x14ac:dyDescent="0.2">
      <c r="A461" s="6"/>
      <c r="B461" s="6"/>
      <c r="C461" s="6"/>
      <c r="D461" s="6"/>
      <c r="E461" s="6"/>
      <c r="F461" s="6"/>
      <c r="G461" s="6"/>
      <c r="H461" s="6"/>
      <c r="I461" s="6"/>
      <c r="J461" s="6"/>
      <c r="K461" s="6"/>
      <c r="L461" s="6"/>
      <c r="M461" s="6"/>
      <c r="N461" s="6"/>
      <c r="O461" s="6"/>
      <c r="P461" s="6"/>
    </row>
    <row r="462" spans="1:16" x14ac:dyDescent="0.2">
      <c r="A462" s="6"/>
      <c r="B462" s="6"/>
      <c r="C462" s="6"/>
      <c r="D462" s="6"/>
      <c r="E462" s="6"/>
      <c r="F462" s="6"/>
      <c r="G462" s="6"/>
      <c r="H462" s="6"/>
      <c r="I462" s="6"/>
      <c r="J462" s="6"/>
      <c r="K462" s="6"/>
      <c r="L462" s="6"/>
      <c r="M462" s="6"/>
      <c r="N462" s="6"/>
      <c r="O462" s="6"/>
      <c r="P462" s="6"/>
    </row>
    <row r="463" spans="1:16" x14ac:dyDescent="0.2">
      <c r="A463" s="6"/>
      <c r="B463" s="6"/>
      <c r="C463" s="6"/>
      <c r="D463" s="6"/>
      <c r="E463" s="6"/>
      <c r="F463" s="6"/>
      <c r="G463" s="6"/>
      <c r="H463" s="6"/>
      <c r="I463" s="6"/>
      <c r="J463" s="6"/>
      <c r="K463" s="6"/>
      <c r="L463" s="6"/>
      <c r="M463" s="6"/>
      <c r="N463" s="6"/>
      <c r="O463" s="6"/>
      <c r="P463" s="6"/>
    </row>
    <row r="464" spans="1:16" x14ac:dyDescent="0.2">
      <c r="A464" s="6"/>
      <c r="B464" s="6"/>
      <c r="C464" s="6"/>
      <c r="D464" s="6"/>
      <c r="E464" s="6"/>
      <c r="F464" s="6"/>
      <c r="G464" s="6"/>
      <c r="H464" s="6"/>
      <c r="I464" s="6"/>
      <c r="J464" s="6"/>
      <c r="K464" s="6"/>
      <c r="L464" s="6"/>
      <c r="M464" s="6"/>
      <c r="N464" s="6"/>
      <c r="O464" s="6"/>
      <c r="P464" s="6"/>
    </row>
    <row r="465" spans="1:16" x14ac:dyDescent="0.2">
      <c r="A465" s="6"/>
      <c r="B465" s="6"/>
      <c r="C465" s="6"/>
      <c r="D465" s="6"/>
      <c r="E465" s="6"/>
      <c r="F465" s="6"/>
      <c r="G465" s="6"/>
      <c r="H465" s="6"/>
      <c r="I465" s="6"/>
      <c r="J465" s="6"/>
      <c r="K465" s="6"/>
      <c r="L465" s="6"/>
      <c r="M465" s="6"/>
      <c r="N465" s="6"/>
      <c r="O465" s="6"/>
      <c r="P465" s="6"/>
    </row>
    <row r="466" spans="1:16" x14ac:dyDescent="0.2">
      <c r="A466" s="6"/>
      <c r="B466" s="6"/>
      <c r="C466" s="6"/>
      <c r="D466" s="6"/>
      <c r="E466" s="6"/>
      <c r="F466" s="6"/>
      <c r="G466" s="6"/>
      <c r="H466" s="6"/>
      <c r="I466" s="6"/>
      <c r="J466" s="6"/>
      <c r="K466" s="6"/>
      <c r="L466" s="6"/>
      <c r="M466" s="6"/>
      <c r="N466" s="6"/>
      <c r="O466" s="6"/>
      <c r="P466" s="6"/>
    </row>
    <row r="467" spans="1:16" x14ac:dyDescent="0.2">
      <c r="A467" s="6"/>
      <c r="B467" s="6"/>
      <c r="C467" s="6"/>
      <c r="D467" s="6"/>
      <c r="E467" s="6"/>
      <c r="F467" s="6"/>
      <c r="G467" s="6"/>
      <c r="H467" s="6"/>
      <c r="I467" s="6"/>
      <c r="J467" s="6"/>
      <c r="K467" s="6"/>
      <c r="L467" s="6"/>
      <c r="M467" s="6"/>
      <c r="N467" s="6"/>
      <c r="O467" s="6"/>
      <c r="P467" s="6"/>
    </row>
    <row r="468" spans="1:16" x14ac:dyDescent="0.2">
      <c r="A468" s="6"/>
      <c r="B468" s="6"/>
      <c r="C468" s="6"/>
      <c r="D468" s="6"/>
      <c r="E468" s="6"/>
      <c r="F468" s="6"/>
      <c r="G468" s="6"/>
      <c r="H468" s="6"/>
      <c r="I468" s="6"/>
      <c r="J468" s="6"/>
      <c r="K468" s="6"/>
      <c r="L468" s="6"/>
      <c r="M468" s="6"/>
      <c r="N468" s="6"/>
      <c r="O468" s="6"/>
      <c r="P468" s="6"/>
    </row>
    <row r="469" spans="1:16" x14ac:dyDescent="0.2">
      <c r="A469" s="6"/>
      <c r="B469" s="6"/>
      <c r="C469" s="6"/>
      <c r="D469" s="6"/>
      <c r="E469" s="6"/>
      <c r="F469" s="6"/>
      <c r="G469" s="6"/>
      <c r="H469" s="6"/>
      <c r="I469" s="6"/>
      <c r="J469" s="6"/>
      <c r="K469" s="6"/>
      <c r="L469" s="6"/>
      <c r="M469" s="6"/>
      <c r="N469" s="6"/>
      <c r="O469" s="6"/>
      <c r="P469" s="6"/>
    </row>
    <row r="470" spans="1:16" x14ac:dyDescent="0.2">
      <c r="A470" s="6"/>
      <c r="B470" s="6"/>
      <c r="C470" s="6"/>
      <c r="D470" s="6"/>
      <c r="E470" s="6"/>
      <c r="F470" s="6"/>
      <c r="G470" s="6"/>
      <c r="H470" s="6"/>
      <c r="I470" s="6"/>
      <c r="J470" s="6"/>
      <c r="K470" s="6"/>
      <c r="L470" s="6"/>
      <c r="M470" s="6"/>
      <c r="N470" s="6"/>
      <c r="O470" s="6"/>
      <c r="P470" s="6"/>
    </row>
    <row r="471" spans="1:16" x14ac:dyDescent="0.2">
      <c r="A471" s="6"/>
      <c r="B471" s="6"/>
      <c r="C471" s="6"/>
      <c r="D471" s="6"/>
      <c r="E471" s="6"/>
      <c r="F471" s="6"/>
      <c r="G471" s="6"/>
      <c r="H471" s="6"/>
      <c r="I471" s="6"/>
      <c r="J471" s="6"/>
      <c r="K471" s="6"/>
      <c r="L471" s="6"/>
      <c r="M471" s="6"/>
      <c r="N471" s="6"/>
      <c r="O471" s="6"/>
      <c r="P471" s="6"/>
    </row>
    <row r="472" spans="1:16" x14ac:dyDescent="0.2">
      <c r="A472" s="6"/>
      <c r="B472" s="6"/>
      <c r="C472" s="6"/>
      <c r="D472" s="6"/>
      <c r="E472" s="6"/>
      <c r="F472" s="6"/>
      <c r="G472" s="6"/>
      <c r="H472" s="6"/>
      <c r="I472" s="6"/>
      <c r="J472" s="6"/>
      <c r="K472" s="6"/>
      <c r="L472" s="6"/>
      <c r="M472" s="6"/>
      <c r="N472" s="6"/>
      <c r="O472" s="6"/>
      <c r="P472" s="6"/>
    </row>
    <row r="473" spans="1:16" x14ac:dyDescent="0.2">
      <c r="A473" s="6"/>
      <c r="B473" s="6"/>
      <c r="C473" s="6"/>
      <c r="D473" s="6"/>
      <c r="E473" s="6"/>
      <c r="F473" s="6"/>
      <c r="G473" s="6"/>
      <c r="H473" s="6"/>
      <c r="I473" s="6"/>
      <c r="J473" s="6"/>
      <c r="K473" s="6"/>
      <c r="L473" s="6"/>
      <c r="M473" s="6"/>
      <c r="N473" s="6"/>
      <c r="O473" s="6"/>
      <c r="P473" s="6"/>
    </row>
    <row r="474" spans="1:16" x14ac:dyDescent="0.2">
      <c r="A474" s="6"/>
      <c r="B474" s="6"/>
      <c r="C474" s="6"/>
      <c r="D474" s="6"/>
      <c r="E474" s="6"/>
      <c r="F474" s="6"/>
      <c r="G474" s="6"/>
      <c r="H474" s="6"/>
      <c r="I474" s="6"/>
      <c r="J474" s="6"/>
      <c r="K474" s="6"/>
      <c r="L474" s="6"/>
      <c r="M474" s="6"/>
      <c r="N474" s="6"/>
      <c r="O474" s="6"/>
      <c r="P474" s="6"/>
    </row>
    <row r="475" spans="1:16" x14ac:dyDescent="0.2">
      <c r="A475" s="6"/>
      <c r="B475" s="6"/>
      <c r="C475" s="6"/>
      <c r="D475" s="6"/>
      <c r="E475" s="6"/>
      <c r="F475" s="6"/>
      <c r="G475" s="6"/>
      <c r="H475" s="6"/>
      <c r="I475" s="6"/>
      <c r="J475" s="6"/>
      <c r="K475" s="6"/>
      <c r="L475" s="6"/>
      <c r="M475" s="6"/>
      <c r="N475" s="6"/>
      <c r="O475" s="6"/>
      <c r="P475" s="6"/>
    </row>
    <row r="476" spans="1:16" x14ac:dyDescent="0.2">
      <c r="A476" s="6"/>
      <c r="B476" s="6"/>
      <c r="C476" s="6"/>
      <c r="D476" s="6"/>
      <c r="E476" s="6"/>
      <c r="F476" s="6"/>
      <c r="G476" s="6"/>
      <c r="H476" s="6"/>
      <c r="I476" s="6"/>
      <c r="J476" s="6"/>
      <c r="K476" s="6"/>
      <c r="L476" s="6"/>
      <c r="M476" s="6"/>
      <c r="N476" s="6"/>
      <c r="O476" s="6"/>
      <c r="P476" s="6"/>
    </row>
    <row r="477" spans="1:16" x14ac:dyDescent="0.2">
      <c r="A477" s="6"/>
      <c r="B477" s="6"/>
      <c r="C477" s="6"/>
      <c r="D477" s="6"/>
      <c r="E477" s="6"/>
      <c r="F477" s="6"/>
      <c r="G477" s="6"/>
      <c r="H477" s="6"/>
      <c r="I477" s="6"/>
      <c r="J477" s="6"/>
      <c r="K477" s="6"/>
      <c r="L477" s="6"/>
      <c r="M477" s="6"/>
      <c r="N477" s="6"/>
      <c r="O477" s="6"/>
      <c r="P477" s="6"/>
    </row>
    <row r="478" spans="1:16" x14ac:dyDescent="0.2">
      <c r="A478" s="6"/>
      <c r="B478" s="6"/>
      <c r="C478" s="6"/>
      <c r="D478" s="6"/>
      <c r="E478" s="6"/>
      <c r="F478" s="6"/>
      <c r="G478" s="6"/>
      <c r="H478" s="6"/>
      <c r="I478" s="6"/>
      <c r="J478" s="6"/>
      <c r="K478" s="6"/>
      <c r="L478" s="6"/>
      <c r="M478" s="6"/>
      <c r="N478" s="6"/>
      <c r="O478" s="6"/>
      <c r="P478" s="6"/>
    </row>
    <row r="479" spans="1:16" x14ac:dyDescent="0.2">
      <c r="A479" s="6"/>
      <c r="B479" s="6"/>
      <c r="C479" s="6"/>
      <c r="D479" s="6"/>
      <c r="E479" s="6"/>
      <c r="F479" s="6"/>
      <c r="G479" s="6"/>
      <c r="H479" s="6"/>
      <c r="I479" s="6"/>
      <c r="J479" s="6"/>
      <c r="K479" s="6"/>
      <c r="L479" s="6"/>
      <c r="M479" s="6"/>
      <c r="N479" s="6"/>
      <c r="O479" s="6"/>
      <c r="P479" s="6"/>
    </row>
    <row r="480" spans="1:16" x14ac:dyDescent="0.2">
      <c r="A480" s="6"/>
      <c r="B480" s="6"/>
      <c r="C480" s="6"/>
      <c r="D480" s="6"/>
      <c r="E480" s="6"/>
      <c r="F480" s="6"/>
      <c r="G480" s="6"/>
      <c r="H480" s="6"/>
      <c r="I480" s="6"/>
      <c r="J480" s="6"/>
      <c r="K480" s="6"/>
      <c r="L480" s="6"/>
      <c r="M480" s="6"/>
      <c r="N480" s="6"/>
      <c r="O480" s="6"/>
      <c r="P480" s="6"/>
    </row>
    <row r="481" spans="1:16" x14ac:dyDescent="0.2">
      <c r="A481" s="6"/>
      <c r="B481" s="6"/>
      <c r="C481" s="6"/>
      <c r="D481" s="6"/>
      <c r="E481" s="6"/>
      <c r="F481" s="6"/>
      <c r="G481" s="6"/>
      <c r="H481" s="6"/>
      <c r="I481" s="6"/>
      <c r="J481" s="6"/>
      <c r="K481" s="6"/>
      <c r="L481" s="6"/>
      <c r="M481" s="6"/>
      <c r="N481" s="6"/>
      <c r="O481" s="6"/>
      <c r="P481" s="6"/>
    </row>
    <row r="482" spans="1:16" x14ac:dyDescent="0.2">
      <c r="A482" s="6"/>
      <c r="B482" s="6"/>
      <c r="C482" s="6"/>
      <c r="D482" s="6"/>
      <c r="E482" s="6"/>
      <c r="F482" s="6"/>
      <c r="G482" s="6"/>
      <c r="H482" s="6"/>
      <c r="I482" s="6"/>
      <c r="J482" s="6"/>
      <c r="K482" s="6"/>
      <c r="L482" s="6"/>
      <c r="M482" s="6"/>
      <c r="N482" s="6"/>
      <c r="O482" s="6"/>
      <c r="P482" s="6"/>
    </row>
    <row r="483" spans="1:16" x14ac:dyDescent="0.2">
      <c r="A483" s="6"/>
      <c r="B483" s="6"/>
      <c r="C483" s="6"/>
      <c r="D483" s="6"/>
      <c r="E483" s="6"/>
      <c r="F483" s="6"/>
      <c r="G483" s="6"/>
      <c r="H483" s="6"/>
      <c r="I483" s="6"/>
      <c r="J483" s="6"/>
      <c r="K483" s="6"/>
      <c r="L483" s="6"/>
      <c r="M483" s="6"/>
      <c r="N483" s="6"/>
      <c r="O483" s="6"/>
      <c r="P483" s="6"/>
    </row>
    <row r="484" spans="1:16" x14ac:dyDescent="0.2">
      <c r="A484" s="6"/>
      <c r="B484" s="6"/>
      <c r="C484" s="6"/>
      <c r="D484" s="6"/>
      <c r="E484" s="6"/>
      <c r="F484" s="6"/>
      <c r="G484" s="6"/>
      <c r="H484" s="6"/>
      <c r="I484" s="6"/>
      <c r="J484" s="6"/>
      <c r="K484" s="6"/>
      <c r="L484" s="6"/>
      <c r="M484" s="6"/>
      <c r="N484" s="6"/>
      <c r="O484" s="6"/>
      <c r="P484" s="6"/>
    </row>
    <row r="485" spans="1:16" x14ac:dyDescent="0.2">
      <c r="A485" s="6"/>
      <c r="B485" s="6"/>
      <c r="C485" s="6"/>
      <c r="D485" s="6"/>
      <c r="E485" s="6"/>
      <c r="F485" s="6"/>
      <c r="G485" s="6"/>
      <c r="H485" s="6"/>
      <c r="I485" s="6"/>
      <c r="J485" s="6"/>
      <c r="K485" s="6"/>
      <c r="L485" s="6"/>
      <c r="M485" s="6"/>
      <c r="N485" s="6"/>
      <c r="O485" s="6"/>
      <c r="P485" s="6"/>
    </row>
    <row r="486" spans="1:16" x14ac:dyDescent="0.2">
      <c r="A486" s="6"/>
      <c r="B486" s="6"/>
      <c r="C486" s="6"/>
      <c r="D486" s="6"/>
      <c r="E486" s="6"/>
      <c r="F486" s="6"/>
      <c r="G486" s="6"/>
      <c r="H486" s="6"/>
      <c r="I486" s="6"/>
      <c r="J486" s="6"/>
      <c r="K486" s="6"/>
      <c r="L486" s="6"/>
      <c r="M486" s="6"/>
      <c r="N486" s="6"/>
      <c r="O486" s="6"/>
      <c r="P486" s="6"/>
    </row>
    <row r="487" spans="1:16" x14ac:dyDescent="0.2">
      <c r="A487" s="6"/>
      <c r="B487" s="6"/>
      <c r="C487" s="6"/>
      <c r="D487" s="6"/>
      <c r="E487" s="6"/>
      <c r="F487" s="6"/>
      <c r="G487" s="6"/>
      <c r="H487" s="6"/>
      <c r="I487" s="6"/>
      <c r="J487" s="6"/>
      <c r="K487" s="6"/>
      <c r="L487" s="6"/>
      <c r="M487" s="6"/>
      <c r="N487" s="6"/>
      <c r="O487" s="6"/>
      <c r="P487" s="6"/>
    </row>
    <row r="488" spans="1:16" x14ac:dyDescent="0.2">
      <c r="A488" s="6"/>
      <c r="B488" s="6"/>
      <c r="C488" s="6"/>
      <c r="D488" s="6"/>
      <c r="E488" s="6"/>
      <c r="F488" s="6"/>
      <c r="G488" s="6"/>
      <c r="H488" s="6"/>
      <c r="I488" s="6"/>
      <c r="J488" s="6"/>
      <c r="K488" s="6"/>
      <c r="L488" s="6"/>
      <c r="M488" s="6"/>
      <c r="N488" s="6"/>
      <c r="O488" s="6"/>
      <c r="P488" s="6"/>
    </row>
    <row r="489" spans="1:16" x14ac:dyDescent="0.2">
      <c r="A489" s="6"/>
      <c r="B489" s="6"/>
      <c r="C489" s="6"/>
      <c r="D489" s="6"/>
      <c r="E489" s="6"/>
      <c r="F489" s="6"/>
      <c r="G489" s="6"/>
      <c r="H489" s="6"/>
      <c r="I489" s="6"/>
      <c r="J489" s="6"/>
      <c r="K489" s="6"/>
      <c r="L489" s="6"/>
      <c r="M489" s="6"/>
      <c r="N489" s="6"/>
      <c r="O489" s="6"/>
      <c r="P489" s="6"/>
    </row>
    <row r="490" spans="1:16" x14ac:dyDescent="0.2">
      <c r="A490" s="6"/>
      <c r="B490" s="6"/>
      <c r="C490" s="6"/>
      <c r="D490" s="6"/>
      <c r="E490" s="6"/>
      <c r="F490" s="6"/>
      <c r="G490" s="6"/>
      <c r="H490" s="6"/>
      <c r="I490" s="6"/>
      <c r="J490" s="6"/>
      <c r="K490" s="6"/>
      <c r="L490" s="6"/>
      <c r="M490" s="6"/>
      <c r="N490" s="6"/>
      <c r="O490" s="6"/>
      <c r="P490" s="6"/>
    </row>
    <row r="491" spans="1:16" x14ac:dyDescent="0.2">
      <c r="A491" s="6"/>
      <c r="B491" s="6"/>
      <c r="C491" s="6"/>
      <c r="D491" s="6"/>
      <c r="E491" s="6"/>
      <c r="F491" s="6"/>
      <c r="G491" s="6"/>
      <c r="H491" s="6"/>
      <c r="I491" s="6"/>
      <c r="J491" s="6"/>
      <c r="K491" s="6"/>
      <c r="L491" s="6"/>
      <c r="M491" s="6"/>
      <c r="N491" s="6"/>
      <c r="O491" s="6"/>
      <c r="P491" s="6"/>
    </row>
    <row r="492" spans="1:16" x14ac:dyDescent="0.2">
      <c r="A492" s="6"/>
      <c r="B492" s="6"/>
      <c r="C492" s="6"/>
      <c r="D492" s="6"/>
      <c r="E492" s="6"/>
      <c r="F492" s="6"/>
      <c r="G492" s="6"/>
      <c r="H492" s="6"/>
      <c r="I492" s="6"/>
      <c r="J492" s="6"/>
      <c r="K492" s="6"/>
      <c r="L492" s="6"/>
      <c r="M492" s="6"/>
      <c r="N492" s="6"/>
      <c r="O492" s="6"/>
      <c r="P492" s="6"/>
    </row>
    <row r="493" spans="1:16" x14ac:dyDescent="0.2">
      <c r="A493" s="6"/>
      <c r="B493" s="6"/>
      <c r="C493" s="6"/>
      <c r="D493" s="6"/>
      <c r="E493" s="6"/>
      <c r="F493" s="6"/>
      <c r="G493" s="6"/>
      <c r="H493" s="6"/>
      <c r="I493" s="6"/>
      <c r="J493" s="6"/>
      <c r="K493" s="6"/>
      <c r="L493" s="6"/>
      <c r="M493" s="6"/>
      <c r="N493" s="6"/>
      <c r="O493" s="6"/>
      <c r="P493" s="6"/>
    </row>
    <row r="494" spans="1:16" x14ac:dyDescent="0.2">
      <c r="A494" s="6"/>
      <c r="B494" s="6"/>
      <c r="C494" s="6"/>
      <c r="D494" s="6"/>
      <c r="E494" s="6"/>
      <c r="F494" s="6"/>
      <c r="G494" s="6"/>
      <c r="H494" s="6"/>
      <c r="I494" s="6"/>
      <c r="J494" s="6"/>
      <c r="K494" s="6"/>
      <c r="L494" s="6"/>
      <c r="M494" s="6"/>
      <c r="N494" s="6"/>
      <c r="O494" s="6"/>
      <c r="P494" s="6"/>
    </row>
    <row r="495" spans="1:16" x14ac:dyDescent="0.2">
      <c r="A495" s="6"/>
      <c r="B495" s="6"/>
      <c r="C495" s="6"/>
      <c r="D495" s="6"/>
      <c r="E495" s="6"/>
      <c r="F495" s="6"/>
      <c r="G495" s="6"/>
      <c r="H495" s="6"/>
      <c r="I495" s="6"/>
      <c r="J495" s="6"/>
      <c r="K495" s="6"/>
      <c r="L495" s="6"/>
      <c r="M495" s="6"/>
      <c r="N495" s="6"/>
      <c r="O495" s="6"/>
      <c r="P495" s="6"/>
    </row>
    <row r="496" spans="1:16" x14ac:dyDescent="0.2">
      <c r="A496" s="6"/>
      <c r="B496" s="6"/>
      <c r="C496" s="6"/>
      <c r="D496" s="6"/>
      <c r="E496" s="6"/>
      <c r="F496" s="6"/>
      <c r="G496" s="6"/>
      <c r="H496" s="6"/>
      <c r="I496" s="6"/>
      <c r="J496" s="6"/>
      <c r="K496" s="6"/>
      <c r="L496" s="6"/>
      <c r="M496" s="6"/>
      <c r="N496" s="6"/>
      <c r="O496" s="6"/>
      <c r="P496" s="6"/>
    </row>
    <row r="497" spans="1:16" x14ac:dyDescent="0.2">
      <c r="A497" s="6"/>
      <c r="B497" s="6"/>
      <c r="C497" s="6"/>
      <c r="D497" s="6"/>
      <c r="E497" s="6"/>
      <c r="F497" s="6"/>
      <c r="G497" s="6"/>
      <c r="H497" s="6"/>
      <c r="I497" s="6"/>
      <c r="J497" s="6"/>
      <c r="K497" s="6"/>
      <c r="L497" s="6"/>
      <c r="M497" s="6"/>
      <c r="N497" s="6"/>
      <c r="O497" s="6"/>
      <c r="P497" s="6"/>
    </row>
    <row r="498" spans="1:16" x14ac:dyDescent="0.2">
      <c r="A498" s="6"/>
      <c r="B498" s="6"/>
      <c r="C498" s="6"/>
      <c r="D498" s="6"/>
      <c r="E498" s="6"/>
      <c r="F498" s="6"/>
      <c r="G498" s="6"/>
      <c r="H498" s="6"/>
      <c r="I498" s="6"/>
      <c r="J498" s="6"/>
      <c r="K498" s="6"/>
      <c r="L498" s="6"/>
      <c r="M498" s="6"/>
      <c r="N498" s="6"/>
      <c r="O498" s="6"/>
      <c r="P498" s="6"/>
    </row>
    <row r="499" spans="1:16" x14ac:dyDescent="0.2">
      <c r="A499" s="6"/>
      <c r="B499" s="6"/>
      <c r="C499" s="6"/>
      <c r="D499" s="6"/>
      <c r="E499" s="6"/>
      <c r="F499" s="6"/>
      <c r="G499" s="6"/>
      <c r="H499" s="6"/>
      <c r="I499" s="6"/>
      <c r="J499" s="6"/>
      <c r="K499" s="6"/>
      <c r="L499" s="6"/>
      <c r="M499" s="6"/>
      <c r="N499" s="6"/>
      <c r="O499" s="6"/>
      <c r="P499" s="6"/>
    </row>
    <row r="500" spans="1:16" x14ac:dyDescent="0.2">
      <c r="A500" s="6"/>
      <c r="B500" s="6"/>
      <c r="C500" s="6"/>
      <c r="D500" s="6"/>
      <c r="E500" s="6"/>
      <c r="F500" s="6"/>
      <c r="G500" s="6"/>
      <c r="H500" s="6"/>
      <c r="I500" s="6"/>
      <c r="J500" s="6"/>
      <c r="K500" s="6"/>
      <c r="L500" s="6"/>
      <c r="M500" s="6"/>
      <c r="N500" s="6"/>
      <c r="O500" s="6"/>
      <c r="P500" s="6"/>
    </row>
    <row r="501" spans="1:16" x14ac:dyDescent="0.2">
      <c r="A501" s="6"/>
      <c r="B501" s="6"/>
      <c r="C501" s="6"/>
      <c r="D501" s="6"/>
      <c r="E501" s="6"/>
      <c r="F501" s="6"/>
      <c r="G501" s="6"/>
      <c r="H501" s="6"/>
      <c r="I501" s="6"/>
      <c r="J501" s="6"/>
      <c r="K501" s="6"/>
      <c r="L501" s="6"/>
      <c r="M501" s="6"/>
      <c r="N501" s="6"/>
      <c r="O501" s="6"/>
      <c r="P501" s="6"/>
    </row>
    <row r="502" spans="1:16" x14ac:dyDescent="0.2">
      <c r="A502" s="6"/>
      <c r="B502" s="6"/>
      <c r="C502" s="6"/>
      <c r="D502" s="6"/>
      <c r="E502" s="6"/>
      <c r="F502" s="6"/>
      <c r="G502" s="6"/>
      <c r="H502" s="6"/>
      <c r="I502" s="6"/>
      <c r="J502" s="6"/>
      <c r="K502" s="6"/>
      <c r="L502" s="6"/>
      <c r="M502" s="6"/>
      <c r="N502" s="6"/>
      <c r="O502" s="6"/>
      <c r="P502" s="6"/>
    </row>
    <row r="503" spans="1:16" x14ac:dyDescent="0.2">
      <c r="A503" s="6"/>
      <c r="B503" s="6"/>
      <c r="C503" s="6"/>
      <c r="D503" s="6"/>
      <c r="E503" s="6"/>
      <c r="F503" s="6"/>
      <c r="G503" s="6"/>
      <c r="H503" s="6"/>
      <c r="I503" s="6"/>
      <c r="J503" s="6"/>
      <c r="K503" s="6"/>
      <c r="L503" s="6"/>
      <c r="M503" s="6"/>
      <c r="N503" s="6"/>
      <c r="O503" s="6"/>
      <c r="P503" s="6"/>
    </row>
    <row r="504" spans="1:16" x14ac:dyDescent="0.2">
      <c r="A504" s="6"/>
      <c r="B504" s="6"/>
      <c r="C504" s="6"/>
      <c r="D504" s="6"/>
      <c r="E504" s="6"/>
      <c r="F504" s="6"/>
      <c r="G504" s="6"/>
      <c r="H504" s="6"/>
      <c r="I504" s="6"/>
      <c r="J504" s="6"/>
      <c r="K504" s="6"/>
      <c r="L504" s="6"/>
      <c r="M504" s="6"/>
      <c r="N504" s="6"/>
      <c r="O504" s="6"/>
      <c r="P504" s="6"/>
    </row>
    <row r="505" spans="1:16" x14ac:dyDescent="0.2">
      <c r="A505" s="6"/>
      <c r="B505" s="6"/>
      <c r="C505" s="6"/>
      <c r="D505" s="6"/>
      <c r="E505" s="6"/>
      <c r="F505" s="6"/>
      <c r="G505" s="6"/>
      <c r="H505" s="6"/>
      <c r="I505" s="6"/>
      <c r="J505" s="6"/>
      <c r="K505" s="6"/>
      <c r="L505" s="6"/>
      <c r="M505" s="6"/>
      <c r="N505" s="6"/>
      <c r="O505" s="6"/>
      <c r="P505" s="6"/>
    </row>
    <row r="506" spans="1:16" x14ac:dyDescent="0.2">
      <c r="A506" s="6"/>
      <c r="B506" s="6"/>
      <c r="C506" s="6"/>
      <c r="D506" s="6"/>
      <c r="E506" s="6"/>
      <c r="F506" s="6"/>
      <c r="G506" s="6"/>
      <c r="H506" s="6"/>
      <c r="I506" s="6"/>
      <c r="J506" s="6"/>
      <c r="K506" s="6"/>
      <c r="L506" s="6"/>
      <c r="M506" s="6"/>
      <c r="N506" s="6"/>
      <c r="O506" s="6"/>
      <c r="P506" s="6"/>
    </row>
    <row r="507" spans="1:16" x14ac:dyDescent="0.2">
      <c r="A507" s="6"/>
      <c r="B507" s="6"/>
      <c r="C507" s="6"/>
      <c r="D507" s="6"/>
      <c r="E507" s="6"/>
      <c r="F507" s="6"/>
      <c r="G507" s="6"/>
      <c r="H507" s="6"/>
      <c r="I507" s="6"/>
      <c r="J507" s="6"/>
      <c r="K507" s="6"/>
      <c r="L507" s="6"/>
      <c r="M507" s="6"/>
      <c r="N507" s="6"/>
      <c r="O507" s="6"/>
      <c r="P507" s="6"/>
    </row>
    <row r="508" spans="1:16" x14ac:dyDescent="0.2">
      <c r="A508" s="6"/>
      <c r="B508" s="6"/>
      <c r="C508" s="6"/>
      <c r="D508" s="6"/>
      <c r="E508" s="6"/>
      <c r="F508" s="6"/>
      <c r="G508" s="6"/>
      <c r="H508" s="6"/>
      <c r="I508" s="6"/>
      <c r="J508" s="6"/>
      <c r="K508" s="6"/>
      <c r="L508" s="6"/>
      <c r="M508" s="6"/>
      <c r="N508" s="6"/>
      <c r="O508" s="6"/>
      <c r="P508" s="6"/>
    </row>
    <row r="509" spans="1:16" x14ac:dyDescent="0.2">
      <c r="A509" s="6"/>
      <c r="B509" s="6"/>
      <c r="C509" s="6"/>
      <c r="D509" s="6"/>
      <c r="E509" s="6"/>
      <c r="F509" s="6"/>
      <c r="G509" s="6"/>
      <c r="H509" s="6"/>
      <c r="I509" s="6"/>
      <c r="J509" s="6"/>
      <c r="K509" s="6"/>
      <c r="L509" s="6"/>
      <c r="M509" s="6"/>
      <c r="N509" s="6"/>
      <c r="O509" s="6"/>
      <c r="P509" s="6"/>
    </row>
    <row r="510" spans="1:16" x14ac:dyDescent="0.2">
      <c r="A510" s="6"/>
      <c r="B510" s="6"/>
      <c r="C510" s="6"/>
      <c r="D510" s="6"/>
      <c r="E510" s="6"/>
      <c r="F510" s="6"/>
      <c r="G510" s="6"/>
      <c r="H510" s="6"/>
      <c r="I510" s="6"/>
      <c r="J510" s="6"/>
      <c r="K510" s="6"/>
      <c r="L510" s="6"/>
      <c r="M510" s="6"/>
      <c r="N510" s="6"/>
      <c r="O510" s="6"/>
      <c r="P510" s="6"/>
    </row>
    <row r="511" spans="1:16" x14ac:dyDescent="0.2">
      <c r="A511" s="6"/>
      <c r="B511" s="6"/>
      <c r="C511" s="6"/>
      <c r="D511" s="6"/>
      <c r="E511" s="6"/>
      <c r="F511" s="6"/>
      <c r="G511" s="6"/>
      <c r="H511" s="6"/>
      <c r="I511" s="6"/>
      <c r="J511" s="6"/>
      <c r="K511" s="6"/>
      <c r="L511" s="6"/>
      <c r="M511" s="6"/>
      <c r="N511" s="6"/>
      <c r="O511" s="6"/>
      <c r="P511" s="6"/>
    </row>
    <row r="512" spans="1:16" x14ac:dyDescent="0.2">
      <c r="A512" s="6"/>
      <c r="B512" s="6"/>
      <c r="C512" s="6"/>
      <c r="D512" s="6"/>
      <c r="E512" s="6"/>
      <c r="F512" s="6"/>
      <c r="G512" s="6"/>
      <c r="H512" s="6"/>
      <c r="I512" s="6"/>
      <c r="J512" s="6"/>
      <c r="K512" s="6"/>
      <c r="L512" s="6"/>
      <c r="M512" s="6"/>
      <c r="N512" s="6"/>
      <c r="O512" s="6"/>
      <c r="P512" s="6"/>
    </row>
    <row r="513" spans="1:16" x14ac:dyDescent="0.2">
      <c r="A513" s="6"/>
      <c r="B513" s="6"/>
      <c r="C513" s="6"/>
      <c r="D513" s="6"/>
      <c r="E513" s="6"/>
      <c r="F513" s="6"/>
      <c r="G513" s="6"/>
      <c r="H513" s="6"/>
      <c r="I513" s="6"/>
      <c r="J513" s="6"/>
      <c r="K513" s="6"/>
      <c r="L513" s="6"/>
      <c r="M513" s="6"/>
      <c r="N513" s="6"/>
      <c r="O513" s="6"/>
      <c r="P513" s="6"/>
    </row>
    <row r="514" spans="1:16" x14ac:dyDescent="0.2">
      <c r="A514" s="6"/>
      <c r="B514" s="6"/>
      <c r="C514" s="6"/>
      <c r="D514" s="6"/>
      <c r="E514" s="6"/>
      <c r="F514" s="6"/>
      <c r="G514" s="6"/>
      <c r="H514" s="6"/>
      <c r="I514" s="6"/>
      <c r="J514" s="6"/>
      <c r="K514" s="6"/>
      <c r="L514" s="6"/>
      <c r="M514" s="6"/>
      <c r="N514" s="6"/>
      <c r="O514" s="6"/>
      <c r="P514" s="6"/>
    </row>
    <row r="515" spans="1:16" x14ac:dyDescent="0.2">
      <c r="A515" s="6"/>
      <c r="B515" s="6"/>
      <c r="C515" s="6"/>
      <c r="D515" s="6"/>
      <c r="E515" s="6"/>
      <c r="F515" s="6"/>
      <c r="G515" s="6"/>
      <c r="H515" s="6"/>
      <c r="I515" s="6"/>
      <c r="J515" s="6"/>
      <c r="K515" s="6"/>
      <c r="L515" s="6"/>
      <c r="M515" s="6"/>
      <c r="N515" s="6"/>
      <c r="O515" s="6"/>
      <c r="P515" s="6"/>
    </row>
    <row r="516" spans="1:16" x14ac:dyDescent="0.2">
      <c r="A516" s="6"/>
      <c r="B516" s="6"/>
      <c r="C516" s="6"/>
      <c r="D516" s="6"/>
      <c r="E516" s="6"/>
      <c r="F516" s="6"/>
      <c r="G516" s="6"/>
      <c r="H516" s="6"/>
      <c r="I516" s="6"/>
      <c r="J516" s="6"/>
      <c r="K516" s="6"/>
      <c r="L516" s="6"/>
      <c r="M516" s="6"/>
      <c r="N516" s="6"/>
      <c r="O516" s="6"/>
      <c r="P516" s="6"/>
    </row>
    <row r="517" spans="1:16" x14ac:dyDescent="0.2">
      <c r="A517" s="6"/>
      <c r="B517" s="6"/>
      <c r="C517" s="6"/>
      <c r="D517" s="6"/>
      <c r="E517" s="6"/>
      <c r="F517" s="6"/>
      <c r="G517" s="6"/>
      <c r="H517" s="6"/>
      <c r="I517" s="6"/>
      <c r="J517" s="6"/>
      <c r="K517" s="6"/>
      <c r="L517" s="6"/>
      <c r="M517" s="6"/>
      <c r="N517" s="6"/>
      <c r="O517" s="6"/>
      <c r="P517" s="6"/>
    </row>
    <row r="518" spans="1:16" x14ac:dyDescent="0.2">
      <c r="A518" s="6"/>
      <c r="B518" s="6"/>
      <c r="C518" s="6"/>
      <c r="D518" s="6"/>
      <c r="E518" s="6"/>
      <c r="F518" s="6"/>
      <c r="G518" s="6"/>
      <c r="H518" s="6"/>
      <c r="I518" s="6"/>
      <c r="J518" s="6"/>
      <c r="K518" s="6"/>
      <c r="L518" s="6"/>
      <c r="M518" s="6"/>
      <c r="N518" s="6"/>
      <c r="O518" s="6"/>
      <c r="P518" s="6"/>
    </row>
    <row r="519" spans="1:16" x14ac:dyDescent="0.2">
      <c r="A519" s="6"/>
      <c r="B519" s="6"/>
      <c r="C519" s="6"/>
      <c r="D519" s="6"/>
      <c r="E519" s="6"/>
      <c r="F519" s="6"/>
      <c r="G519" s="6"/>
      <c r="H519" s="6"/>
      <c r="I519" s="6"/>
      <c r="J519" s="6"/>
      <c r="K519" s="6"/>
      <c r="L519" s="6"/>
      <c r="M519" s="6"/>
      <c r="N519" s="6"/>
      <c r="O519" s="6"/>
      <c r="P519" s="6"/>
    </row>
    <row r="520" spans="1:16" x14ac:dyDescent="0.2">
      <c r="A520" s="6"/>
      <c r="B520" s="6"/>
      <c r="C520" s="6"/>
      <c r="D520" s="6"/>
      <c r="E520" s="6"/>
      <c r="F520" s="6"/>
      <c r="G520" s="6"/>
      <c r="H520" s="6"/>
      <c r="I520" s="6"/>
      <c r="J520" s="6"/>
      <c r="K520" s="6"/>
      <c r="L520" s="6"/>
      <c r="M520" s="6"/>
      <c r="N520" s="6"/>
      <c r="O520" s="6"/>
      <c r="P520" s="6"/>
    </row>
    <row r="521" spans="1:16" x14ac:dyDescent="0.2">
      <c r="A521" s="6"/>
      <c r="B521" s="6"/>
      <c r="C521" s="6"/>
      <c r="D521" s="6"/>
      <c r="E521" s="6"/>
      <c r="F521" s="6"/>
      <c r="G521" s="6"/>
      <c r="H521" s="6"/>
      <c r="I521" s="6"/>
      <c r="J521" s="6"/>
      <c r="K521" s="6"/>
      <c r="L521" s="6"/>
      <c r="M521" s="6"/>
      <c r="N521" s="6"/>
      <c r="O521" s="6"/>
      <c r="P521" s="6"/>
    </row>
    <row r="522" spans="1:16" x14ac:dyDescent="0.2">
      <c r="A522" s="6"/>
      <c r="B522" s="6"/>
      <c r="C522" s="6"/>
      <c r="D522" s="6"/>
      <c r="E522" s="6"/>
      <c r="F522" s="6"/>
      <c r="G522" s="6"/>
      <c r="H522" s="6"/>
      <c r="I522" s="6"/>
      <c r="J522" s="6"/>
      <c r="K522" s="6"/>
      <c r="L522" s="6"/>
      <c r="M522" s="6"/>
      <c r="N522" s="6"/>
      <c r="O522" s="6"/>
      <c r="P522" s="6"/>
    </row>
    <row r="523" spans="1:16" x14ac:dyDescent="0.2">
      <c r="A523" s="6"/>
      <c r="B523" s="6"/>
      <c r="C523" s="6"/>
      <c r="D523" s="6"/>
      <c r="E523" s="6"/>
      <c r="F523" s="6"/>
      <c r="G523" s="6"/>
      <c r="H523" s="6"/>
      <c r="I523" s="6"/>
      <c r="J523" s="6"/>
      <c r="K523" s="6"/>
      <c r="L523" s="6"/>
      <c r="M523" s="6"/>
      <c r="N523" s="6"/>
      <c r="O523" s="6"/>
      <c r="P523" s="6"/>
    </row>
    <row r="524" spans="1:16" x14ac:dyDescent="0.2">
      <c r="A524" s="6"/>
      <c r="B524" s="6"/>
      <c r="C524" s="6"/>
      <c r="D524" s="6"/>
      <c r="E524" s="6"/>
      <c r="F524" s="6"/>
      <c r="G524" s="6"/>
      <c r="H524" s="6"/>
      <c r="I524" s="6"/>
      <c r="J524" s="6"/>
      <c r="K524" s="6"/>
      <c r="L524" s="6"/>
      <c r="M524" s="6"/>
      <c r="N524" s="6"/>
      <c r="O524" s="6"/>
      <c r="P524" s="6"/>
    </row>
    <row r="525" spans="1:16" x14ac:dyDescent="0.2">
      <c r="A525" s="6"/>
      <c r="B525" s="6"/>
      <c r="C525" s="6"/>
      <c r="D525" s="6"/>
      <c r="E525" s="6"/>
      <c r="F525" s="6"/>
      <c r="G525" s="6"/>
      <c r="H525" s="6"/>
      <c r="I525" s="6"/>
      <c r="J525" s="6"/>
      <c r="K525" s="6"/>
      <c r="L525" s="6"/>
      <c r="M525" s="6"/>
      <c r="N525" s="6"/>
      <c r="O525" s="6"/>
      <c r="P525" s="6"/>
    </row>
    <row r="526" spans="1:16" x14ac:dyDescent="0.2">
      <c r="A526" s="6"/>
      <c r="B526" s="6"/>
      <c r="C526" s="6"/>
      <c r="D526" s="6"/>
      <c r="E526" s="6"/>
      <c r="F526" s="6"/>
      <c r="G526" s="6"/>
      <c r="H526" s="6"/>
      <c r="I526" s="6"/>
      <c r="J526" s="6"/>
      <c r="K526" s="6"/>
      <c r="L526" s="6"/>
      <c r="M526" s="6"/>
      <c r="N526" s="6"/>
      <c r="O526" s="6"/>
      <c r="P526" s="6"/>
    </row>
    <row r="527" spans="1:16" x14ac:dyDescent="0.2">
      <c r="A527" s="6"/>
      <c r="B527" s="6"/>
      <c r="C527" s="6"/>
      <c r="D527" s="6"/>
      <c r="E527" s="6"/>
      <c r="F527" s="6"/>
      <c r="G527" s="6"/>
      <c r="H527" s="6"/>
      <c r="I527" s="6"/>
      <c r="J527" s="6"/>
      <c r="K527" s="6"/>
      <c r="L527" s="6"/>
      <c r="M527" s="6"/>
      <c r="N527" s="6"/>
      <c r="O527" s="6"/>
      <c r="P527" s="6"/>
    </row>
    <row r="528" spans="1:16" x14ac:dyDescent="0.2">
      <c r="A528" s="6"/>
      <c r="B528" s="6"/>
      <c r="C528" s="6"/>
      <c r="D528" s="6"/>
      <c r="E528" s="6"/>
      <c r="F528" s="6"/>
      <c r="G528" s="6"/>
      <c r="H528" s="6"/>
      <c r="I528" s="6"/>
      <c r="J528" s="6"/>
      <c r="K528" s="6"/>
      <c r="L528" s="6"/>
      <c r="M528" s="6"/>
      <c r="N528" s="6"/>
      <c r="O528" s="6"/>
      <c r="P528" s="6"/>
    </row>
    <row r="529" spans="1:16" x14ac:dyDescent="0.2">
      <c r="A529" s="6"/>
      <c r="B529" s="6"/>
      <c r="C529" s="6"/>
      <c r="D529" s="6"/>
      <c r="E529" s="6"/>
      <c r="F529" s="6"/>
      <c r="G529" s="6"/>
      <c r="H529" s="6"/>
      <c r="I529" s="6"/>
      <c r="J529" s="6"/>
      <c r="K529" s="6"/>
      <c r="L529" s="6"/>
      <c r="M529" s="6"/>
      <c r="N529" s="6"/>
      <c r="O529" s="6"/>
      <c r="P529" s="6"/>
    </row>
    <row r="530" spans="1:16" x14ac:dyDescent="0.2">
      <c r="A530" s="6"/>
      <c r="B530" s="6"/>
      <c r="C530" s="6"/>
      <c r="D530" s="6"/>
      <c r="E530" s="6"/>
      <c r="F530" s="6"/>
      <c r="G530" s="6"/>
      <c r="H530" s="6"/>
      <c r="I530" s="6"/>
      <c r="J530" s="6"/>
      <c r="K530" s="6"/>
      <c r="L530" s="6"/>
      <c r="M530" s="6"/>
      <c r="N530" s="6"/>
      <c r="O530" s="6"/>
      <c r="P530" s="6"/>
    </row>
    <row r="531" spans="1:16" x14ac:dyDescent="0.2">
      <c r="A531" s="6"/>
      <c r="B531" s="6"/>
      <c r="C531" s="6"/>
      <c r="D531" s="6"/>
      <c r="E531" s="6"/>
      <c r="F531" s="6"/>
      <c r="G531" s="6"/>
      <c r="H531" s="6"/>
      <c r="I531" s="6"/>
      <c r="J531" s="6"/>
      <c r="K531" s="6"/>
      <c r="L531" s="6"/>
      <c r="M531" s="6"/>
      <c r="N531" s="6"/>
      <c r="O531" s="6"/>
      <c r="P531" s="6"/>
    </row>
    <row r="532" spans="1:16" x14ac:dyDescent="0.2">
      <c r="A532" s="6"/>
      <c r="B532" s="6"/>
      <c r="C532" s="6"/>
      <c r="D532" s="6"/>
      <c r="E532" s="6"/>
      <c r="F532" s="6"/>
      <c r="G532" s="6"/>
      <c r="H532" s="6"/>
      <c r="I532" s="6"/>
      <c r="J532" s="6"/>
      <c r="K532" s="6"/>
      <c r="L532" s="6"/>
      <c r="M532" s="6"/>
      <c r="N532" s="6"/>
      <c r="O532" s="6"/>
      <c r="P532" s="6"/>
    </row>
    <row r="533" spans="1:16" x14ac:dyDescent="0.2">
      <c r="A533" s="6"/>
      <c r="B533" s="6"/>
      <c r="C533" s="6"/>
      <c r="D533" s="6"/>
      <c r="E533" s="6"/>
      <c r="F533" s="6"/>
      <c r="G533" s="6"/>
      <c r="H533" s="6"/>
      <c r="I533" s="6"/>
      <c r="J533" s="6"/>
      <c r="K533" s="6"/>
      <c r="L533" s="6"/>
      <c r="M533" s="6"/>
      <c r="N533" s="6"/>
      <c r="O533" s="6"/>
      <c r="P533" s="6"/>
    </row>
    <row r="534" spans="1:16" x14ac:dyDescent="0.2">
      <c r="A534" s="6"/>
      <c r="B534" s="6"/>
      <c r="C534" s="6"/>
      <c r="D534" s="6"/>
      <c r="E534" s="6"/>
      <c r="F534" s="6"/>
      <c r="G534" s="6"/>
      <c r="H534" s="6"/>
      <c r="I534" s="6"/>
      <c r="J534" s="6"/>
      <c r="K534" s="6"/>
      <c r="L534" s="6"/>
      <c r="M534" s="6"/>
      <c r="N534" s="6"/>
      <c r="O534" s="6"/>
      <c r="P534" s="6"/>
    </row>
    <row r="535" spans="1:16" x14ac:dyDescent="0.2">
      <c r="A535" s="6"/>
      <c r="B535" s="6"/>
      <c r="C535" s="6"/>
      <c r="D535" s="6"/>
      <c r="E535" s="6"/>
      <c r="F535" s="6"/>
      <c r="G535" s="6"/>
      <c r="H535" s="6"/>
      <c r="I535" s="6"/>
      <c r="J535" s="6"/>
      <c r="K535" s="6"/>
      <c r="L535" s="6"/>
      <c r="M535" s="6"/>
      <c r="N535" s="6"/>
      <c r="O535" s="6"/>
      <c r="P535" s="6"/>
    </row>
    <row r="536" spans="1:16" x14ac:dyDescent="0.2">
      <c r="A536" s="6"/>
      <c r="B536" s="6"/>
      <c r="C536" s="6"/>
      <c r="D536" s="6"/>
      <c r="E536" s="6"/>
      <c r="F536" s="6"/>
      <c r="G536" s="6"/>
      <c r="H536" s="6"/>
      <c r="I536" s="6"/>
      <c r="J536" s="6"/>
      <c r="K536" s="6"/>
      <c r="L536" s="6"/>
      <c r="M536" s="6"/>
      <c r="N536" s="6"/>
      <c r="O536" s="6"/>
      <c r="P536" s="6"/>
    </row>
    <row r="537" spans="1:16" x14ac:dyDescent="0.2">
      <c r="A537" s="6"/>
      <c r="B537" s="6"/>
      <c r="C537" s="6"/>
      <c r="D537" s="6"/>
      <c r="E537" s="6"/>
      <c r="F537" s="6"/>
      <c r="G537" s="6"/>
      <c r="H537" s="6"/>
      <c r="I537" s="6"/>
      <c r="J537" s="6"/>
      <c r="K537" s="6"/>
      <c r="L537" s="6"/>
      <c r="M537" s="6"/>
      <c r="N537" s="6"/>
      <c r="O537" s="6"/>
      <c r="P537" s="6"/>
    </row>
    <row r="538" spans="1:16" x14ac:dyDescent="0.2">
      <c r="A538" s="6"/>
      <c r="B538" s="6"/>
      <c r="C538" s="6"/>
      <c r="D538" s="6"/>
      <c r="E538" s="6"/>
      <c r="F538" s="6"/>
      <c r="G538" s="6"/>
      <c r="H538" s="6"/>
      <c r="I538" s="6"/>
      <c r="J538" s="6"/>
      <c r="K538" s="6"/>
      <c r="L538" s="6"/>
      <c r="M538" s="6"/>
      <c r="N538" s="6"/>
      <c r="O538" s="6"/>
      <c r="P538" s="6"/>
    </row>
    <row r="539" spans="1:16" x14ac:dyDescent="0.2">
      <c r="A539" s="6"/>
      <c r="B539" s="6"/>
      <c r="C539" s="6"/>
      <c r="D539" s="6"/>
      <c r="E539" s="6"/>
      <c r="F539" s="6"/>
      <c r="G539" s="6"/>
      <c r="H539" s="6"/>
      <c r="I539" s="6"/>
      <c r="J539" s="6"/>
      <c r="K539" s="6"/>
      <c r="L539" s="6"/>
      <c r="M539" s="6"/>
      <c r="N539" s="6"/>
      <c r="O539" s="6"/>
      <c r="P539" s="6"/>
    </row>
    <row r="540" spans="1:16" x14ac:dyDescent="0.2">
      <c r="A540" s="6"/>
      <c r="B540" s="6"/>
      <c r="C540" s="6"/>
      <c r="D540" s="6"/>
      <c r="E540" s="6"/>
      <c r="F540" s="6"/>
      <c r="G540" s="6"/>
      <c r="H540" s="6"/>
      <c r="I540" s="6"/>
      <c r="J540" s="6"/>
      <c r="K540" s="6"/>
      <c r="L540" s="6"/>
      <c r="M540" s="6"/>
      <c r="N540" s="6"/>
      <c r="O540" s="6"/>
      <c r="P540" s="6"/>
    </row>
    <row r="541" spans="1:16" x14ac:dyDescent="0.2">
      <c r="A541" s="6"/>
      <c r="B541" s="6"/>
      <c r="C541" s="6"/>
      <c r="D541" s="6"/>
      <c r="E541" s="6"/>
      <c r="F541" s="6"/>
      <c r="G541" s="6"/>
      <c r="H541" s="6"/>
      <c r="I541" s="6"/>
      <c r="J541" s="6"/>
      <c r="K541" s="6"/>
      <c r="L541" s="6"/>
      <c r="M541" s="6"/>
      <c r="N541" s="6"/>
      <c r="O541" s="6"/>
      <c r="P541" s="6"/>
    </row>
    <row r="542" spans="1:16" x14ac:dyDescent="0.2">
      <c r="A542" s="6"/>
      <c r="B542" s="6"/>
      <c r="C542" s="6"/>
      <c r="D542" s="6"/>
      <c r="E542" s="6"/>
      <c r="F542" s="6"/>
      <c r="G542" s="6"/>
      <c r="H542" s="6"/>
      <c r="I542" s="6"/>
      <c r="J542" s="6"/>
      <c r="K542" s="6"/>
      <c r="L542" s="6"/>
      <c r="M542" s="6"/>
      <c r="N542" s="6"/>
      <c r="O542" s="6"/>
      <c r="P542" s="6"/>
    </row>
    <row r="543" spans="1:16" x14ac:dyDescent="0.2">
      <c r="A543" s="6"/>
      <c r="B543" s="6"/>
      <c r="C543" s="6"/>
      <c r="D543" s="6"/>
      <c r="E543" s="6"/>
      <c r="F543" s="6"/>
      <c r="G543" s="6"/>
      <c r="H543" s="6"/>
      <c r="I543" s="6"/>
      <c r="J543" s="6"/>
      <c r="K543" s="6"/>
      <c r="L543" s="6"/>
      <c r="M543" s="6"/>
      <c r="N543" s="6"/>
      <c r="O543" s="6"/>
      <c r="P543" s="6"/>
    </row>
    <row r="544" spans="1:16" x14ac:dyDescent="0.2">
      <c r="A544" s="6"/>
      <c r="B544" s="6"/>
      <c r="C544" s="6"/>
      <c r="D544" s="6"/>
      <c r="E544" s="6"/>
      <c r="F544" s="6"/>
      <c r="G544" s="6"/>
      <c r="H544" s="6"/>
      <c r="I544" s="6"/>
      <c r="J544" s="6"/>
      <c r="K544" s="6"/>
      <c r="L544" s="6"/>
      <c r="M544" s="6"/>
      <c r="N544" s="6"/>
      <c r="O544" s="6"/>
      <c r="P544" s="6"/>
    </row>
    <row r="545" spans="1:16" x14ac:dyDescent="0.2">
      <c r="A545" s="6"/>
      <c r="B545" s="6"/>
      <c r="C545" s="6"/>
      <c r="D545" s="6"/>
      <c r="E545" s="6"/>
      <c r="F545" s="6"/>
      <c r="G545" s="6"/>
      <c r="H545" s="6"/>
      <c r="I545" s="6"/>
      <c r="J545" s="6"/>
      <c r="K545" s="6"/>
      <c r="L545" s="6"/>
      <c r="M545" s="6"/>
      <c r="N545" s="6"/>
      <c r="O545" s="6"/>
      <c r="P545" s="6"/>
    </row>
    <row r="546" spans="1:16" x14ac:dyDescent="0.2">
      <c r="A546" s="6"/>
      <c r="B546" s="6"/>
      <c r="C546" s="6"/>
      <c r="D546" s="6"/>
      <c r="E546" s="6"/>
      <c r="F546" s="6"/>
      <c r="G546" s="6"/>
      <c r="H546" s="6"/>
      <c r="I546" s="6"/>
      <c r="J546" s="6"/>
      <c r="K546" s="6"/>
      <c r="L546" s="6"/>
      <c r="M546" s="6"/>
      <c r="N546" s="6"/>
      <c r="O546" s="6"/>
      <c r="P546" s="6"/>
    </row>
    <row r="547" spans="1:16" x14ac:dyDescent="0.2">
      <c r="A547" s="6"/>
      <c r="B547" s="6"/>
      <c r="C547" s="6"/>
      <c r="D547" s="6"/>
      <c r="E547" s="6"/>
      <c r="F547" s="6"/>
      <c r="G547" s="6"/>
      <c r="H547" s="6"/>
      <c r="I547" s="6"/>
      <c r="J547" s="6"/>
      <c r="K547" s="6"/>
      <c r="L547" s="6"/>
      <c r="M547" s="6"/>
      <c r="N547" s="6"/>
      <c r="O547" s="6"/>
      <c r="P547" s="6"/>
    </row>
    <row r="548" spans="1:16" x14ac:dyDescent="0.2">
      <c r="A548" s="6"/>
      <c r="B548" s="6"/>
      <c r="C548" s="6"/>
      <c r="D548" s="6"/>
      <c r="E548" s="6"/>
      <c r="F548" s="6"/>
      <c r="G548" s="6"/>
      <c r="H548" s="6"/>
      <c r="I548" s="6"/>
      <c r="J548" s="6"/>
      <c r="K548" s="6"/>
      <c r="L548" s="6"/>
      <c r="M548" s="6"/>
      <c r="N548" s="6"/>
      <c r="O548" s="6"/>
      <c r="P548" s="6"/>
    </row>
    <row r="549" spans="1:16" x14ac:dyDescent="0.2">
      <c r="A549" s="6"/>
      <c r="B549" s="6"/>
      <c r="C549" s="6"/>
      <c r="D549" s="6"/>
      <c r="E549" s="6"/>
      <c r="F549" s="6"/>
      <c r="G549" s="6"/>
      <c r="H549" s="6"/>
      <c r="I549" s="6"/>
      <c r="J549" s="6"/>
      <c r="K549" s="6"/>
      <c r="L549" s="6"/>
      <c r="M549" s="6"/>
      <c r="N549" s="6"/>
      <c r="O549" s="6"/>
      <c r="P549" s="6"/>
    </row>
    <row r="550" spans="1:16" x14ac:dyDescent="0.2">
      <c r="A550" s="6"/>
      <c r="B550" s="6"/>
      <c r="C550" s="6"/>
      <c r="D550" s="6"/>
      <c r="E550" s="6"/>
      <c r="F550" s="6"/>
      <c r="G550" s="6"/>
      <c r="H550" s="6"/>
      <c r="I550" s="6"/>
      <c r="J550" s="6"/>
      <c r="K550" s="6"/>
      <c r="L550" s="6"/>
      <c r="M550" s="6"/>
      <c r="N550" s="6"/>
      <c r="O550" s="6"/>
      <c r="P550" s="6"/>
    </row>
    <row r="551" spans="1:16" x14ac:dyDescent="0.2">
      <c r="A551" s="6"/>
      <c r="B551" s="6"/>
      <c r="C551" s="6"/>
      <c r="D551" s="6"/>
      <c r="E551" s="6"/>
      <c r="F551" s="6"/>
      <c r="G551" s="6"/>
      <c r="H551" s="6"/>
      <c r="I551" s="6"/>
      <c r="J551" s="6"/>
      <c r="K551" s="6"/>
      <c r="L551" s="6"/>
      <c r="M551" s="6"/>
      <c r="N551" s="6"/>
      <c r="O551" s="6"/>
      <c r="P551" s="6"/>
    </row>
    <row r="552" spans="1:16" x14ac:dyDescent="0.2">
      <c r="A552" s="6"/>
      <c r="B552" s="6"/>
      <c r="C552" s="6"/>
      <c r="D552" s="6"/>
      <c r="E552" s="6"/>
      <c r="F552" s="6"/>
      <c r="G552" s="6"/>
      <c r="H552" s="6"/>
      <c r="I552" s="6"/>
      <c r="J552" s="6"/>
      <c r="K552" s="6"/>
      <c r="L552" s="6"/>
      <c r="M552" s="6"/>
      <c r="N552" s="6"/>
      <c r="O552" s="6"/>
      <c r="P552" s="6"/>
    </row>
    <row r="553" spans="1:16" x14ac:dyDescent="0.2">
      <c r="A553" s="6"/>
      <c r="B553" s="6"/>
      <c r="C553" s="6"/>
      <c r="D553" s="6"/>
      <c r="E553" s="6"/>
      <c r="F553" s="6"/>
      <c r="G553" s="6"/>
      <c r="H553" s="6"/>
      <c r="I553" s="6"/>
      <c r="J553" s="6"/>
      <c r="K553" s="6"/>
      <c r="L553" s="6"/>
      <c r="M553" s="6"/>
      <c r="N553" s="6"/>
      <c r="O553" s="6"/>
      <c r="P553" s="6"/>
    </row>
    <row r="554" spans="1:16" x14ac:dyDescent="0.2">
      <c r="A554" s="6"/>
      <c r="B554" s="6"/>
      <c r="C554" s="6"/>
      <c r="D554" s="6"/>
      <c r="E554" s="6"/>
      <c r="F554" s="6"/>
      <c r="G554" s="6"/>
      <c r="H554" s="6"/>
      <c r="I554" s="6"/>
      <c r="J554" s="6"/>
      <c r="K554" s="6"/>
      <c r="L554" s="6"/>
      <c r="M554" s="6"/>
      <c r="N554" s="6"/>
      <c r="O554" s="6"/>
      <c r="P554" s="6"/>
    </row>
    <row r="555" spans="1:16" x14ac:dyDescent="0.2">
      <c r="A555" s="6"/>
      <c r="B555" s="6"/>
      <c r="C555" s="6"/>
      <c r="D555" s="6"/>
      <c r="E555" s="6"/>
      <c r="F555" s="6"/>
      <c r="G555" s="6"/>
      <c r="H555" s="6"/>
      <c r="I555" s="6"/>
      <c r="J555" s="6"/>
      <c r="K555" s="6"/>
      <c r="L555" s="6"/>
      <c r="M555" s="6"/>
      <c r="N555" s="6"/>
      <c r="O555" s="6"/>
      <c r="P555" s="6"/>
    </row>
    <row r="556" spans="1:16" x14ac:dyDescent="0.2">
      <c r="A556" s="6"/>
      <c r="B556" s="6"/>
      <c r="C556" s="6"/>
      <c r="D556" s="6"/>
      <c r="E556" s="6"/>
      <c r="F556" s="6"/>
      <c r="G556" s="6"/>
      <c r="H556" s="6"/>
      <c r="I556" s="6"/>
      <c r="J556" s="6"/>
      <c r="K556" s="6"/>
      <c r="L556" s="6"/>
      <c r="M556" s="6"/>
      <c r="N556" s="6"/>
      <c r="O556" s="6"/>
      <c r="P556" s="6"/>
    </row>
    <row r="557" spans="1:16" x14ac:dyDescent="0.2">
      <c r="A557" s="6"/>
      <c r="B557" s="6"/>
      <c r="C557" s="6"/>
      <c r="D557" s="6"/>
      <c r="E557" s="6"/>
      <c r="F557" s="6"/>
      <c r="G557" s="6"/>
      <c r="H557" s="6"/>
      <c r="I557" s="6"/>
      <c r="J557" s="6"/>
      <c r="K557" s="6"/>
      <c r="L557" s="6"/>
      <c r="M557" s="6"/>
      <c r="N557" s="6"/>
      <c r="O557" s="6"/>
      <c r="P557" s="6"/>
    </row>
    <row r="558" spans="1:16" x14ac:dyDescent="0.2">
      <c r="A558" s="6"/>
      <c r="B558" s="6"/>
      <c r="C558" s="6"/>
      <c r="D558" s="6"/>
      <c r="E558" s="6"/>
      <c r="F558" s="6"/>
      <c r="G558" s="6"/>
      <c r="H558" s="6"/>
      <c r="I558" s="6"/>
      <c r="J558" s="6"/>
      <c r="K558" s="6"/>
      <c r="L558" s="6"/>
      <c r="M558" s="6"/>
      <c r="N558" s="6"/>
      <c r="O558" s="6"/>
      <c r="P558" s="6"/>
    </row>
    <row r="559" spans="1:16" x14ac:dyDescent="0.2">
      <c r="A559" s="6"/>
      <c r="B559" s="6"/>
      <c r="C559" s="6"/>
      <c r="D559" s="6"/>
      <c r="E559" s="6"/>
      <c r="F559" s="6"/>
      <c r="G559" s="6"/>
      <c r="H559" s="6"/>
      <c r="I559" s="6"/>
      <c r="J559" s="6"/>
      <c r="K559" s="6"/>
      <c r="L559" s="6"/>
      <c r="M559" s="6"/>
      <c r="N559" s="6"/>
      <c r="O559" s="6"/>
      <c r="P559" s="6"/>
    </row>
    <row r="560" spans="1:16" x14ac:dyDescent="0.2">
      <c r="A560" s="6"/>
      <c r="B560" s="6"/>
      <c r="C560" s="6"/>
      <c r="D560" s="6"/>
      <c r="E560" s="6"/>
      <c r="F560" s="6"/>
      <c r="G560" s="6"/>
      <c r="H560" s="6"/>
      <c r="I560" s="6"/>
      <c r="J560" s="6"/>
      <c r="K560" s="6"/>
      <c r="L560" s="6"/>
      <c r="M560" s="6"/>
      <c r="N560" s="6"/>
      <c r="O560" s="6"/>
      <c r="P560" s="6"/>
    </row>
    <row r="561" spans="1:16" x14ac:dyDescent="0.2">
      <c r="A561" s="6"/>
      <c r="B561" s="6"/>
      <c r="C561" s="6"/>
      <c r="D561" s="6"/>
      <c r="E561" s="6"/>
      <c r="F561" s="6"/>
      <c r="G561" s="6"/>
      <c r="H561" s="6"/>
      <c r="I561" s="6"/>
      <c r="J561" s="6"/>
      <c r="K561" s="6"/>
      <c r="L561" s="6"/>
      <c r="M561" s="6"/>
      <c r="N561" s="6"/>
      <c r="O561" s="6"/>
      <c r="P561" s="6"/>
    </row>
    <row r="562" spans="1:16" x14ac:dyDescent="0.2">
      <c r="A562" s="6"/>
      <c r="B562" s="6"/>
      <c r="C562" s="6"/>
      <c r="D562" s="6"/>
      <c r="E562" s="6"/>
      <c r="F562" s="6"/>
      <c r="G562" s="6"/>
      <c r="H562" s="6"/>
      <c r="I562" s="6"/>
      <c r="J562" s="6"/>
      <c r="K562" s="6"/>
      <c r="L562" s="6"/>
      <c r="M562" s="6"/>
      <c r="N562" s="6"/>
      <c r="O562" s="6"/>
      <c r="P562" s="6"/>
    </row>
    <row r="563" spans="1:16" x14ac:dyDescent="0.2">
      <c r="A563" s="6"/>
      <c r="B563" s="6"/>
      <c r="C563" s="6"/>
      <c r="D563" s="6"/>
      <c r="E563" s="6"/>
      <c r="F563" s="6"/>
      <c r="G563" s="6"/>
      <c r="H563" s="6"/>
      <c r="I563" s="6"/>
      <c r="J563" s="6"/>
      <c r="K563" s="6"/>
      <c r="L563" s="6"/>
      <c r="M563" s="6"/>
      <c r="N563" s="6"/>
      <c r="O563" s="6"/>
      <c r="P563" s="6"/>
    </row>
    <row r="564" spans="1:16" x14ac:dyDescent="0.2">
      <c r="A564" s="6"/>
      <c r="B564" s="6"/>
      <c r="C564" s="6"/>
      <c r="D564" s="6"/>
      <c r="E564" s="6"/>
      <c r="F564" s="6"/>
      <c r="G564" s="6"/>
      <c r="H564" s="6"/>
      <c r="I564" s="6"/>
      <c r="J564" s="6"/>
      <c r="K564" s="6"/>
      <c r="L564" s="6"/>
      <c r="M564" s="6"/>
      <c r="N564" s="6"/>
      <c r="O564" s="6"/>
      <c r="P564" s="6"/>
    </row>
    <row r="565" spans="1:16" x14ac:dyDescent="0.2">
      <c r="A565" s="6"/>
      <c r="B565" s="6"/>
      <c r="C565" s="6"/>
      <c r="D565" s="6"/>
      <c r="E565" s="6"/>
      <c r="F565" s="6"/>
      <c r="G565" s="6"/>
      <c r="H565" s="6"/>
      <c r="I565" s="6"/>
      <c r="J565" s="6"/>
      <c r="K565" s="6"/>
      <c r="L565" s="6"/>
      <c r="M565" s="6"/>
      <c r="N565" s="6"/>
      <c r="O565" s="6"/>
      <c r="P565" s="6"/>
    </row>
    <row r="566" spans="1:16" x14ac:dyDescent="0.2">
      <c r="A566" s="6"/>
      <c r="B566" s="6"/>
      <c r="C566" s="6"/>
      <c r="D566" s="6"/>
      <c r="E566" s="6"/>
      <c r="F566" s="6"/>
      <c r="G566" s="6"/>
      <c r="H566" s="6"/>
      <c r="I566" s="6"/>
      <c r="J566" s="6"/>
      <c r="K566" s="6"/>
      <c r="L566" s="6"/>
      <c r="M566" s="6"/>
      <c r="N566" s="6"/>
      <c r="O566" s="6"/>
      <c r="P566" s="6"/>
    </row>
    <row r="567" spans="1:16" x14ac:dyDescent="0.2">
      <c r="A567" s="6"/>
      <c r="B567" s="6"/>
      <c r="C567" s="6"/>
      <c r="D567" s="6"/>
      <c r="E567" s="6"/>
      <c r="F567" s="6"/>
      <c r="G567" s="6"/>
      <c r="H567" s="6"/>
      <c r="I567" s="6"/>
      <c r="J567" s="6"/>
      <c r="K567" s="6"/>
      <c r="L567" s="6"/>
      <c r="M567" s="6"/>
      <c r="N567" s="6"/>
      <c r="O567" s="6"/>
      <c r="P567" s="6"/>
    </row>
    <row r="568" spans="1:16" x14ac:dyDescent="0.2">
      <c r="A568" s="6"/>
      <c r="B568" s="6"/>
      <c r="C568" s="6"/>
      <c r="D568" s="6"/>
      <c r="E568" s="6"/>
      <c r="F568" s="6"/>
      <c r="G568" s="6"/>
      <c r="H568" s="6"/>
      <c r="I568" s="6"/>
      <c r="J568" s="6"/>
      <c r="K568" s="6"/>
      <c r="L568" s="6"/>
      <c r="M568" s="6"/>
      <c r="N568" s="6"/>
      <c r="O568" s="6"/>
      <c r="P568" s="6"/>
    </row>
    <row r="569" spans="1:16" x14ac:dyDescent="0.2">
      <c r="A569" s="6"/>
      <c r="B569" s="6"/>
      <c r="C569" s="6"/>
      <c r="D569" s="6"/>
      <c r="E569" s="6"/>
      <c r="F569" s="6"/>
      <c r="G569" s="6"/>
      <c r="H569" s="6"/>
      <c r="I569" s="6"/>
      <c r="J569" s="6"/>
      <c r="K569" s="6"/>
      <c r="L569" s="6"/>
      <c r="M569" s="6"/>
      <c r="N569" s="6"/>
      <c r="O569" s="6"/>
      <c r="P569" s="6"/>
    </row>
    <row r="570" spans="1:16" x14ac:dyDescent="0.2">
      <c r="A570" s="6"/>
      <c r="B570" s="6"/>
      <c r="C570" s="6"/>
      <c r="D570" s="6"/>
      <c r="E570" s="6"/>
      <c r="F570" s="6"/>
      <c r="G570" s="6"/>
      <c r="H570" s="6"/>
      <c r="I570" s="6"/>
      <c r="J570" s="6"/>
      <c r="K570" s="6"/>
      <c r="L570" s="6"/>
      <c r="M570" s="6"/>
      <c r="N570" s="6"/>
      <c r="O570" s="6"/>
      <c r="P570" s="6"/>
    </row>
    <row r="571" spans="1:16" x14ac:dyDescent="0.2">
      <c r="A571" s="6"/>
      <c r="B571" s="6"/>
      <c r="C571" s="6"/>
      <c r="D571" s="6"/>
      <c r="E571" s="6"/>
      <c r="F571" s="6"/>
      <c r="G571" s="6"/>
      <c r="H571" s="6"/>
      <c r="I571" s="6"/>
      <c r="J571" s="6"/>
      <c r="K571" s="6"/>
      <c r="L571" s="6"/>
      <c r="M571" s="6"/>
      <c r="N571" s="6"/>
      <c r="O571" s="6"/>
      <c r="P571" s="6"/>
    </row>
    <row r="572" spans="1:16" x14ac:dyDescent="0.2">
      <c r="A572" s="6"/>
      <c r="B572" s="6"/>
      <c r="C572" s="6"/>
      <c r="D572" s="6"/>
      <c r="E572" s="6"/>
      <c r="F572" s="6"/>
      <c r="G572" s="6"/>
      <c r="H572" s="6"/>
      <c r="I572" s="6"/>
      <c r="J572" s="6"/>
      <c r="K572" s="6"/>
      <c r="L572" s="6"/>
      <c r="M572" s="6"/>
      <c r="N572" s="6"/>
      <c r="O572" s="6"/>
      <c r="P572" s="6"/>
    </row>
    <row r="573" spans="1:16" x14ac:dyDescent="0.2">
      <c r="A573" s="6"/>
      <c r="B573" s="6"/>
      <c r="C573" s="6"/>
      <c r="D573" s="6"/>
      <c r="E573" s="6"/>
      <c r="F573" s="6"/>
      <c r="G573" s="6"/>
      <c r="H573" s="6"/>
      <c r="I573" s="6"/>
      <c r="J573" s="6"/>
      <c r="K573" s="6"/>
      <c r="L573" s="6"/>
      <c r="M573" s="6"/>
      <c r="N573" s="6"/>
      <c r="O573" s="6"/>
      <c r="P573" s="6"/>
    </row>
    <row r="574" spans="1:16" x14ac:dyDescent="0.2">
      <c r="A574" s="6"/>
      <c r="B574" s="6"/>
      <c r="C574" s="6"/>
      <c r="D574" s="6"/>
      <c r="E574" s="6"/>
      <c r="F574" s="6"/>
      <c r="G574" s="6"/>
      <c r="H574" s="6"/>
      <c r="I574" s="6"/>
      <c r="J574" s="6"/>
      <c r="K574" s="6"/>
      <c r="L574" s="6"/>
      <c r="M574" s="6"/>
      <c r="N574" s="6"/>
      <c r="O574" s="6"/>
      <c r="P574" s="6"/>
    </row>
    <row r="575" spans="1:16" x14ac:dyDescent="0.2">
      <c r="A575" s="6"/>
      <c r="B575" s="6"/>
      <c r="C575" s="6"/>
      <c r="D575" s="6"/>
      <c r="E575" s="6"/>
      <c r="F575" s="6"/>
      <c r="G575" s="6"/>
      <c r="H575" s="6"/>
      <c r="I575" s="6"/>
      <c r="J575" s="6"/>
      <c r="K575" s="6"/>
      <c r="L575" s="6"/>
      <c r="M575" s="6"/>
      <c r="N575" s="6"/>
      <c r="O575" s="6"/>
      <c r="P575" s="6"/>
    </row>
    <row r="576" spans="1:16" x14ac:dyDescent="0.2">
      <c r="A576" s="6"/>
      <c r="B576" s="6"/>
      <c r="C576" s="6"/>
      <c r="D576" s="6"/>
      <c r="E576" s="6"/>
      <c r="F576" s="6"/>
      <c r="G576" s="6"/>
      <c r="H576" s="6"/>
      <c r="I576" s="6"/>
      <c r="J576" s="6"/>
      <c r="K576" s="6"/>
      <c r="L576" s="6"/>
      <c r="M576" s="6"/>
      <c r="N576" s="6"/>
      <c r="O576" s="6"/>
      <c r="P576" s="6"/>
    </row>
    <row r="577" spans="1:16" x14ac:dyDescent="0.2">
      <c r="A577" s="6"/>
      <c r="B577" s="6"/>
      <c r="C577" s="6"/>
      <c r="D577" s="6"/>
      <c r="E577" s="6"/>
      <c r="F577" s="6"/>
      <c r="G577" s="6"/>
      <c r="H577" s="6"/>
      <c r="I577" s="6"/>
      <c r="J577" s="6"/>
      <c r="K577" s="6"/>
      <c r="L577" s="6"/>
      <c r="M577" s="6"/>
      <c r="N577" s="6"/>
      <c r="O577" s="6"/>
      <c r="P577" s="6"/>
    </row>
    <row r="578" spans="1:16" x14ac:dyDescent="0.2">
      <c r="A578" s="6"/>
      <c r="B578" s="6"/>
      <c r="C578" s="6"/>
      <c r="D578" s="6"/>
      <c r="E578" s="6"/>
      <c r="F578" s="6"/>
      <c r="G578" s="6"/>
      <c r="H578" s="6"/>
      <c r="I578" s="6"/>
      <c r="J578" s="6"/>
      <c r="K578" s="6"/>
      <c r="L578" s="6"/>
      <c r="M578" s="6"/>
      <c r="N578" s="6"/>
      <c r="O578" s="6"/>
      <c r="P578" s="6"/>
    </row>
    <row r="579" spans="1:16" x14ac:dyDescent="0.2">
      <c r="A579" s="6"/>
      <c r="B579" s="6"/>
      <c r="C579" s="6"/>
      <c r="D579" s="6"/>
      <c r="E579" s="6"/>
      <c r="F579" s="6"/>
      <c r="G579" s="6"/>
      <c r="H579" s="6"/>
      <c r="I579" s="6"/>
      <c r="J579" s="6"/>
      <c r="K579" s="6"/>
      <c r="L579" s="6"/>
      <c r="M579" s="6"/>
      <c r="N579" s="6"/>
      <c r="O579" s="6"/>
      <c r="P579" s="6"/>
    </row>
    <row r="580" spans="1:16" x14ac:dyDescent="0.2">
      <c r="A580" s="6"/>
      <c r="B580" s="6"/>
      <c r="C580" s="6"/>
      <c r="D580" s="6"/>
      <c r="E580" s="6"/>
      <c r="F580" s="6"/>
      <c r="G580" s="6"/>
      <c r="H580" s="6"/>
      <c r="I580" s="6"/>
      <c r="J580" s="6"/>
      <c r="K580" s="6"/>
      <c r="L580" s="6"/>
      <c r="M580" s="6"/>
      <c r="N580" s="6"/>
      <c r="O580" s="6"/>
      <c r="P580" s="6"/>
    </row>
    <row r="581" spans="1:16" x14ac:dyDescent="0.2">
      <c r="A581" s="6"/>
      <c r="B581" s="6"/>
      <c r="C581" s="6"/>
      <c r="D581" s="6"/>
      <c r="E581" s="6"/>
      <c r="F581" s="6"/>
      <c r="G581" s="6"/>
      <c r="H581" s="6"/>
      <c r="I581" s="6"/>
      <c r="J581" s="6"/>
      <c r="K581" s="6"/>
      <c r="L581" s="6"/>
      <c r="M581" s="6"/>
      <c r="N581" s="6"/>
      <c r="O581" s="6"/>
      <c r="P581" s="6"/>
    </row>
    <row r="582" spans="1:16" x14ac:dyDescent="0.2">
      <c r="A582" s="6"/>
      <c r="B582" s="6"/>
      <c r="C582" s="6"/>
      <c r="D582" s="6"/>
      <c r="E582" s="6"/>
      <c r="F582" s="6"/>
      <c r="G582" s="6"/>
      <c r="H582" s="6"/>
      <c r="I582" s="6"/>
      <c r="J582" s="6"/>
      <c r="K582" s="6"/>
      <c r="L582" s="6"/>
      <c r="M582" s="6"/>
      <c r="N582" s="6"/>
      <c r="O582" s="6"/>
      <c r="P582" s="6"/>
    </row>
    <row r="583" spans="1:16" x14ac:dyDescent="0.2">
      <c r="A583" s="6"/>
      <c r="B583" s="6"/>
      <c r="C583" s="6"/>
      <c r="D583" s="6"/>
      <c r="E583" s="6"/>
      <c r="F583" s="6"/>
      <c r="G583" s="6"/>
      <c r="H583" s="6"/>
      <c r="I583" s="6"/>
      <c r="J583" s="6"/>
      <c r="K583" s="6"/>
      <c r="L583" s="6"/>
      <c r="M583" s="6"/>
      <c r="N583" s="6"/>
      <c r="O583" s="6"/>
      <c r="P583" s="6"/>
    </row>
    <row r="584" spans="1:16" x14ac:dyDescent="0.2">
      <c r="A584" s="6"/>
      <c r="B584" s="6"/>
      <c r="C584" s="6"/>
      <c r="D584" s="6"/>
      <c r="E584" s="6"/>
      <c r="F584" s="6"/>
      <c r="G584" s="6"/>
      <c r="H584" s="6"/>
      <c r="I584" s="6"/>
      <c r="J584" s="6"/>
      <c r="K584" s="6"/>
      <c r="L584" s="6"/>
      <c r="M584" s="6"/>
      <c r="N584" s="6"/>
      <c r="O584" s="6"/>
      <c r="P584" s="6"/>
    </row>
    <row r="585" spans="1:16" x14ac:dyDescent="0.2">
      <c r="A585" s="6"/>
      <c r="B585" s="6"/>
      <c r="C585" s="6"/>
      <c r="D585" s="6"/>
      <c r="E585" s="6"/>
      <c r="F585" s="6"/>
      <c r="G585" s="6"/>
      <c r="H585" s="6"/>
      <c r="I585" s="6"/>
      <c r="J585" s="6"/>
      <c r="K585" s="6"/>
      <c r="L585" s="6"/>
      <c r="M585" s="6"/>
      <c r="N585" s="6"/>
      <c r="O585" s="6"/>
      <c r="P585" s="6"/>
    </row>
    <row r="586" spans="1:16" x14ac:dyDescent="0.2">
      <c r="A586" s="6"/>
      <c r="B586" s="6"/>
      <c r="C586" s="6"/>
      <c r="D586" s="6"/>
      <c r="E586" s="6"/>
      <c r="F586" s="6"/>
      <c r="G586" s="6"/>
      <c r="H586" s="6"/>
      <c r="I586" s="6"/>
      <c r="J586" s="6"/>
      <c r="K586" s="6"/>
      <c r="L586" s="6"/>
      <c r="M586" s="6"/>
      <c r="N586" s="6"/>
      <c r="O586" s="6"/>
      <c r="P586" s="6"/>
    </row>
    <row r="587" spans="1:16" x14ac:dyDescent="0.2">
      <c r="A587" s="6"/>
      <c r="B587" s="6"/>
      <c r="C587" s="6"/>
      <c r="D587" s="6"/>
      <c r="E587" s="6"/>
      <c r="F587" s="6"/>
      <c r="G587" s="6"/>
      <c r="H587" s="6"/>
      <c r="I587" s="6"/>
      <c r="J587" s="6"/>
      <c r="K587" s="6"/>
      <c r="L587" s="6"/>
      <c r="M587" s="6"/>
      <c r="N587" s="6"/>
      <c r="O587" s="6"/>
      <c r="P587" s="6"/>
    </row>
    <row r="588" spans="1:16" x14ac:dyDescent="0.2">
      <c r="A588" s="6"/>
      <c r="B588" s="6"/>
      <c r="C588" s="6"/>
      <c r="D588" s="6"/>
      <c r="E588" s="6"/>
      <c r="F588" s="6"/>
      <c r="G588" s="6"/>
      <c r="H588" s="6"/>
      <c r="I588" s="6"/>
      <c r="J588" s="6"/>
      <c r="K588" s="6"/>
      <c r="L588" s="6"/>
      <c r="M588" s="6"/>
      <c r="N588" s="6"/>
      <c r="O588" s="6"/>
      <c r="P588" s="6"/>
    </row>
    <row r="589" spans="1:16" x14ac:dyDescent="0.2">
      <c r="A589" s="6"/>
      <c r="B589" s="6"/>
      <c r="C589" s="6"/>
      <c r="D589" s="6"/>
      <c r="E589" s="6"/>
      <c r="F589" s="6"/>
      <c r="G589" s="6"/>
      <c r="H589" s="6"/>
      <c r="I589" s="6"/>
      <c r="J589" s="6"/>
      <c r="K589" s="6"/>
      <c r="L589" s="6"/>
      <c r="M589" s="6"/>
      <c r="N589" s="6"/>
      <c r="O589" s="6"/>
      <c r="P589" s="6"/>
    </row>
    <row r="590" spans="1:16" x14ac:dyDescent="0.2">
      <c r="A590" s="6"/>
      <c r="B590" s="6"/>
      <c r="C590" s="6"/>
      <c r="D590" s="6"/>
      <c r="E590" s="6"/>
      <c r="F590" s="6"/>
      <c r="G590" s="6"/>
      <c r="H590" s="6"/>
      <c r="I590" s="6"/>
      <c r="J590" s="6"/>
      <c r="K590" s="6"/>
      <c r="L590" s="6"/>
      <c r="M590" s="6"/>
      <c r="N590" s="6"/>
      <c r="O590" s="6"/>
      <c r="P590" s="6"/>
    </row>
    <row r="591" spans="1:16" x14ac:dyDescent="0.2">
      <c r="A591" s="6"/>
      <c r="B591" s="6"/>
      <c r="C591" s="6"/>
      <c r="D591" s="6"/>
      <c r="E591" s="6"/>
      <c r="F591" s="6"/>
      <c r="G591" s="6"/>
      <c r="H591" s="6"/>
      <c r="I591" s="6"/>
      <c r="J591" s="6"/>
      <c r="K591" s="6"/>
      <c r="L591" s="6"/>
      <c r="M591" s="6"/>
      <c r="N591" s="6"/>
      <c r="O591" s="6"/>
      <c r="P591" s="6"/>
    </row>
    <row r="592" spans="1:16" x14ac:dyDescent="0.2">
      <c r="A592" s="6"/>
      <c r="B592" s="6"/>
      <c r="C592" s="6"/>
      <c r="D592" s="6"/>
      <c r="E592" s="6"/>
      <c r="F592" s="6"/>
      <c r="G592" s="6"/>
      <c r="H592" s="6"/>
      <c r="I592" s="6"/>
      <c r="J592" s="6"/>
      <c r="K592" s="6"/>
      <c r="L592" s="6"/>
      <c r="M592" s="6"/>
      <c r="N592" s="6"/>
      <c r="O592" s="6"/>
      <c r="P592" s="6"/>
    </row>
    <row r="593" spans="1:16" x14ac:dyDescent="0.2">
      <c r="A593" s="6"/>
      <c r="B593" s="6"/>
      <c r="C593" s="6"/>
      <c r="D593" s="6"/>
      <c r="E593" s="6"/>
      <c r="F593" s="6"/>
      <c r="G593" s="6"/>
      <c r="H593" s="6"/>
      <c r="I593" s="6"/>
      <c r="J593" s="6"/>
      <c r="K593" s="6"/>
      <c r="L593" s="6"/>
      <c r="M593" s="6"/>
      <c r="N593" s="6"/>
      <c r="O593" s="6"/>
      <c r="P593" s="6"/>
    </row>
    <row r="594" spans="1:16" x14ac:dyDescent="0.2">
      <c r="A594" s="6"/>
      <c r="B594" s="6"/>
      <c r="C594" s="6"/>
      <c r="D594" s="6"/>
      <c r="E594" s="6"/>
      <c r="F594" s="6"/>
      <c r="G594" s="6"/>
      <c r="H594" s="6"/>
      <c r="I594" s="6"/>
      <c r="J594" s="6"/>
      <c r="K594" s="6"/>
      <c r="L594" s="6"/>
      <c r="M594" s="6"/>
      <c r="N594" s="6"/>
      <c r="O594" s="6"/>
      <c r="P594" s="6"/>
    </row>
    <row r="595" spans="1:16" x14ac:dyDescent="0.2">
      <c r="A595" s="6"/>
      <c r="B595" s="6"/>
      <c r="C595" s="6"/>
      <c r="D595" s="6"/>
      <c r="E595" s="6"/>
      <c r="F595" s="6"/>
      <c r="G595" s="6"/>
      <c r="H595" s="6"/>
      <c r="I595" s="6"/>
      <c r="J595" s="6"/>
      <c r="K595" s="6"/>
      <c r="L595" s="6"/>
      <c r="M595" s="6"/>
      <c r="N595" s="6"/>
      <c r="O595" s="6"/>
      <c r="P595" s="6"/>
    </row>
    <row r="596" spans="1:16" x14ac:dyDescent="0.2">
      <c r="A596" s="6"/>
      <c r="B596" s="6"/>
      <c r="C596" s="6"/>
      <c r="D596" s="6"/>
      <c r="E596" s="6"/>
      <c r="F596" s="6"/>
      <c r="G596" s="6"/>
      <c r="H596" s="6"/>
      <c r="I596" s="6"/>
      <c r="J596" s="6"/>
      <c r="K596" s="6"/>
      <c r="L596" s="6"/>
      <c r="M596" s="6"/>
      <c r="N596" s="6"/>
      <c r="O596" s="6"/>
      <c r="P596" s="6"/>
    </row>
    <row r="597" spans="1:16" x14ac:dyDescent="0.2">
      <c r="A597" s="6"/>
      <c r="B597" s="6"/>
      <c r="C597" s="6"/>
      <c r="D597" s="6"/>
      <c r="E597" s="6"/>
      <c r="F597" s="6"/>
      <c r="G597" s="6"/>
      <c r="H597" s="6"/>
      <c r="I597" s="6"/>
      <c r="J597" s="6"/>
      <c r="K597" s="6"/>
      <c r="L597" s="6"/>
      <c r="M597" s="6"/>
      <c r="N597" s="6"/>
      <c r="O597" s="6"/>
      <c r="P597" s="6"/>
    </row>
    <row r="598" spans="1:16" x14ac:dyDescent="0.2">
      <c r="A598" s="6"/>
      <c r="B598" s="6"/>
      <c r="C598" s="6"/>
      <c r="D598" s="6"/>
      <c r="E598" s="6"/>
      <c r="F598" s="6"/>
      <c r="G598" s="6"/>
      <c r="H598" s="6"/>
      <c r="I598" s="6"/>
      <c r="J598" s="6"/>
      <c r="K598" s="6"/>
      <c r="L598" s="6"/>
      <c r="M598" s="6"/>
      <c r="N598" s="6"/>
      <c r="O598" s="6"/>
      <c r="P598" s="6"/>
    </row>
    <row r="599" spans="1:16" x14ac:dyDescent="0.2">
      <c r="A599" s="6"/>
      <c r="B599" s="6"/>
      <c r="C599" s="6"/>
      <c r="D599" s="6"/>
      <c r="E599" s="6"/>
      <c r="F599" s="6"/>
      <c r="G599" s="6"/>
      <c r="H599" s="6"/>
      <c r="I599" s="6"/>
      <c r="J599" s="6"/>
      <c r="K599" s="6"/>
      <c r="L599" s="6"/>
      <c r="M599" s="6"/>
      <c r="N599" s="6"/>
      <c r="O599" s="6"/>
      <c r="P599" s="6"/>
    </row>
    <row r="600" spans="1:16" x14ac:dyDescent="0.2">
      <c r="A600" s="6"/>
      <c r="B600" s="6"/>
      <c r="C600" s="6"/>
      <c r="D600" s="6"/>
      <c r="E600" s="6"/>
      <c r="F600" s="6"/>
      <c r="G600" s="6"/>
      <c r="H600" s="6"/>
      <c r="I600" s="6"/>
      <c r="J600" s="6"/>
      <c r="K600" s="6"/>
      <c r="L600" s="6"/>
      <c r="M600" s="6"/>
      <c r="N600" s="6"/>
      <c r="O600" s="6"/>
      <c r="P600" s="6"/>
    </row>
    <row r="601" spans="1:16" x14ac:dyDescent="0.2">
      <c r="A601" s="6"/>
      <c r="B601" s="6"/>
      <c r="C601" s="6"/>
      <c r="D601" s="6"/>
      <c r="E601" s="6"/>
      <c r="F601" s="6"/>
      <c r="G601" s="6"/>
      <c r="H601" s="6"/>
      <c r="I601" s="6"/>
      <c r="J601" s="6"/>
      <c r="K601" s="6"/>
      <c r="L601" s="6"/>
      <c r="M601" s="6"/>
      <c r="N601" s="6"/>
      <c r="O601" s="6"/>
      <c r="P601" s="6"/>
    </row>
    <row r="602" spans="1:16" x14ac:dyDescent="0.2">
      <c r="A602" s="6"/>
      <c r="B602" s="6"/>
      <c r="C602" s="6"/>
      <c r="D602" s="6"/>
      <c r="E602" s="6"/>
      <c r="F602" s="6"/>
      <c r="G602" s="6"/>
      <c r="H602" s="6"/>
      <c r="I602" s="6"/>
      <c r="J602" s="6"/>
      <c r="K602" s="6"/>
      <c r="L602" s="6"/>
      <c r="M602" s="6"/>
      <c r="N602" s="6"/>
      <c r="O602" s="6"/>
      <c r="P602" s="6"/>
    </row>
    <row r="603" spans="1:16" x14ac:dyDescent="0.2">
      <c r="A603" s="6"/>
      <c r="B603" s="6"/>
      <c r="C603" s="6"/>
      <c r="D603" s="6"/>
      <c r="E603" s="6"/>
      <c r="F603" s="6"/>
      <c r="G603" s="6"/>
      <c r="H603" s="6"/>
      <c r="I603" s="6"/>
      <c r="J603" s="6"/>
      <c r="K603" s="6"/>
      <c r="L603" s="6"/>
      <c r="M603" s="6"/>
      <c r="N603" s="6"/>
      <c r="O603" s="6"/>
      <c r="P603" s="6"/>
    </row>
    <row r="604" spans="1:16" x14ac:dyDescent="0.2">
      <c r="A604" s="6"/>
      <c r="B604" s="6"/>
      <c r="C604" s="6"/>
      <c r="D604" s="6"/>
      <c r="E604" s="6"/>
      <c r="F604" s="6"/>
      <c r="G604" s="6"/>
      <c r="H604" s="6"/>
      <c r="I604" s="6"/>
      <c r="J604" s="6"/>
      <c r="K604" s="6"/>
      <c r="L604" s="6"/>
      <c r="M604" s="6"/>
      <c r="N604" s="6"/>
      <c r="O604" s="6"/>
      <c r="P604" s="6"/>
    </row>
    <row r="605" spans="1:16" x14ac:dyDescent="0.2">
      <c r="A605" s="6"/>
      <c r="B605" s="6"/>
      <c r="C605" s="6"/>
      <c r="D605" s="6"/>
      <c r="E605" s="6"/>
      <c r="F605" s="6"/>
      <c r="G605" s="6"/>
      <c r="H605" s="6"/>
      <c r="I605" s="6"/>
      <c r="J605" s="6"/>
      <c r="K605" s="6"/>
      <c r="L605" s="6"/>
      <c r="M605" s="6"/>
      <c r="N605" s="6"/>
      <c r="O605" s="6"/>
      <c r="P605" s="6"/>
    </row>
    <row r="606" spans="1:16" x14ac:dyDescent="0.2">
      <c r="A606" s="6"/>
      <c r="B606" s="6"/>
      <c r="C606" s="6"/>
      <c r="D606" s="6"/>
      <c r="E606" s="6"/>
      <c r="F606" s="6"/>
      <c r="G606" s="6"/>
      <c r="H606" s="6"/>
      <c r="I606" s="6"/>
      <c r="J606" s="6"/>
      <c r="K606" s="6"/>
      <c r="L606" s="6"/>
      <c r="M606" s="6"/>
      <c r="N606" s="6"/>
      <c r="O606" s="6"/>
      <c r="P606" s="6"/>
    </row>
    <row r="607" spans="1:16" x14ac:dyDescent="0.2">
      <c r="A607" s="6"/>
      <c r="B607" s="6"/>
      <c r="C607" s="6"/>
      <c r="D607" s="6"/>
      <c r="E607" s="6"/>
      <c r="F607" s="6"/>
      <c r="G607" s="6"/>
      <c r="H607" s="6"/>
      <c r="I607" s="6"/>
      <c r="J607" s="6"/>
      <c r="K607" s="6"/>
      <c r="L607" s="6"/>
      <c r="M607" s="6"/>
      <c r="N607" s="6"/>
      <c r="O607" s="6"/>
      <c r="P607" s="6"/>
    </row>
    <row r="608" spans="1:16" x14ac:dyDescent="0.2">
      <c r="A608" s="6"/>
      <c r="B608" s="6"/>
      <c r="C608" s="6"/>
      <c r="D608" s="6"/>
      <c r="E608" s="6"/>
      <c r="F608" s="6"/>
      <c r="G608" s="6"/>
      <c r="H608" s="6"/>
      <c r="I608" s="6"/>
      <c r="J608" s="6"/>
      <c r="K608" s="6"/>
      <c r="L608" s="6"/>
      <c r="M608" s="6"/>
      <c r="N608" s="6"/>
      <c r="O608" s="6"/>
      <c r="P608" s="6"/>
    </row>
    <row r="609" spans="1:16" x14ac:dyDescent="0.2">
      <c r="A609" s="6"/>
      <c r="B609" s="6"/>
      <c r="C609" s="6"/>
      <c r="D609" s="6"/>
      <c r="E609" s="6"/>
      <c r="F609" s="6"/>
      <c r="G609" s="6"/>
      <c r="H609" s="6"/>
      <c r="I609" s="6"/>
      <c r="J609" s="6"/>
      <c r="K609" s="6"/>
      <c r="L609" s="6"/>
      <c r="M609" s="6"/>
      <c r="N609" s="6"/>
      <c r="O609" s="6"/>
      <c r="P609" s="6"/>
    </row>
    <row r="610" spans="1:16" x14ac:dyDescent="0.2">
      <c r="A610" s="6"/>
      <c r="B610" s="6"/>
      <c r="C610" s="6"/>
      <c r="D610" s="6"/>
      <c r="E610" s="6"/>
      <c r="F610" s="6"/>
      <c r="G610" s="6"/>
      <c r="H610" s="6"/>
      <c r="I610" s="6"/>
      <c r="J610" s="6"/>
      <c r="K610" s="6"/>
      <c r="L610" s="6"/>
      <c r="M610" s="6"/>
      <c r="N610" s="6"/>
      <c r="O610" s="6"/>
      <c r="P610" s="6"/>
    </row>
    <row r="611" spans="1:16" x14ac:dyDescent="0.2">
      <c r="A611" s="6"/>
      <c r="B611" s="6"/>
      <c r="C611" s="6"/>
      <c r="D611" s="6"/>
      <c r="E611" s="6"/>
      <c r="F611" s="6"/>
      <c r="G611" s="6"/>
      <c r="H611" s="6"/>
      <c r="I611" s="6"/>
      <c r="J611" s="6"/>
      <c r="K611" s="6"/>
      <c r="L611" s="6"/>
      <c r="M611" s="6"/>
      <c r="N611" s="6"/>
      <c r="O611" s="6"/>
      <c r="P611" s="6"/>
    </row>
    <row r="612" spans="1:16" x14ac:dyDescent="0.2">
      <c r="A612" s="6"/>
      <c r="B612" s="6"/>
      <c r="C612" s="6"/>
      <c r="D612" s="6"/>
      <c r="E612" s="6"/>
      <c r="F612" s="6"/>
      <c r="G612" s="6"/>
      <c r="H612" s="6"/>
      <c r="I612" s="6"/>
      <c r="J612" s="6"/>
      <c r="K612" s="6"/>
      <c r="L612" s="6"/>
      <c r="M612" s="6"/>
      <c r="N612" s="6"/>
      <c r="O612" s="6"/>
      <c r="P612" s="6"/>
    </row>
    <row r="613" spans="1:16" x14ac:dyDescent="0.2">
      <c r="A613" s="6"/>
      <c r="B613" s="6"/>
      <c r="C613" s="6"/>
      <c r="D613" s="6"/>
      <c r="E613" s="6"/>
      <c r="F613" s="6"/>
      <c r="G613" s="6"/>
      <c r="H613" s="6"/>
      <c r="I613" s="6"/>
      <c r="J613" s="6"/>
      <c r="K613" s="6"/>
      <c r="L613" s="6"/>
      <c r="M613" s="6"/>
      <c r="N613" s="6"/>
      <c r="O613" s="6"/>
      <c r="P613" s="6"/>
    </row>
    <row r="614" spans="1:16" x14ac:dyDescent="0.2">
      <c r="A614" s="6"/>
      <c r="B614" s="6"/>
      <c r="C614" s="6"/>
      <c r="D614" s="6"/>
      <c r="E614" s="6"/>
      <c r="F614" s="6"/>
      <c r="G614" s="6"/>
      <c r="H614" s="6"/>
      <c r="I614" s="6"/>
      <c r="J614" s="6"/>
      <c r="K614" s="6"/>
      <c r="L614" s="6"/>
      <c r="M614" s="6"/>
      <c r="N614" s="6"/>
      <c r="O614" s="6"/>
      <c r="P614" s="6"/>
    </row>
    <row r="615" spans="1:16" x14ac:dyDescent="0.2">
      <c r="A615" s="6"/>
      <c r="B615" s="6"/>
      <c r="C615" s="6"/>
      <c r="D615" s="6"/>
      <c r="E615" s="6"/>
      <c r="F615" s="6"/>
      <c r="G615" s="6"/>
      <c r="H615" s="6"/>
      <c r="I615" s="6"/>
      <c r="J615" s="6"/>
      <c r="K615" s="6"/>
      <c r="L615" s="6"/>
      <c r="M615" s="6"/>
      <c r="N615" s="6"/>
      <c r="O615" s="6"/>
      <c r="P615" s="6"/>
    </row>
    <row r="616" spans="1:16" x14ac:dyDescent="0.2">
      <c r="A616" s="6"/>
      <c r="B616" s="6"/>
      <c r="C616" s="6"/>
      <c r="D616" s="6"/>
      <c r="E616" s="6"/>
      <c r="F616" s="6"/>
      <c r="G616" s="6"/>
      <c r="H616" s="6"/>
      <c r="I616" s="6"/>
      <c r="J616" s="6"/>
      <c r="K616" s="6"/>
      <c r="L616" s="6"/>
      <c r="M616" s="6"/>
      <c r="N616" s="6"/>
      <c r="O616" s="6"/>
      <c r="P616" s="6"/>
    </row>
    <row r="617" spans="1:16" x14ac:dyDescent="0.2">
      <c r="A617" s="6"/>
      <c r="B617" s="6"/>
      <c r="C617" s="6"/>
      <c r="D617" s="6"/>
      <c r="E617" s="6"/>
      <c r="F617" s="6"/>
      <c r="G617" s="6"/>
      <c r="H617" s="6"/>
      <c r="I617" s="6"/>
      <c r="J617" s="6"/>
      <c r="K617" s="6"/>
      <c r="L617" s="6"/>
      <c r="M617" s="6"/>
      <c r="N617" s="6"/>
      <c r="O617" s="6"/>
      <c r="P617" s="6"/>
    </row>
    <row r="618" spans="1:16" x14ac:dyDescent="0.2">
      <c r="A618" s="6"/>
      <c r="B618" s="6"/>
      <c r="C618" s="6"/>
      <c r="D618" s="6"/>
      <c r="E618" s="6"/>
      <c r="F618" s="6"/>
      <c r="G618" s="6"/>
      <c r="H618" s="6"/>
      <c r="I618" s="6"/>
      <c r="J618" s="6"/>
      <c r="K618" s="6"/>
      <c r="L618" s="6"/>
      <c r="M618" s="6"/>
      <c r="N618" s="6"/>
      <c r="O618" s="6"/>
      <c r="P618" s="6"/>
    </row>
    <row r="619" spans="1:16" x14ac:dyDescent="0.2">
      <c r="A619" s="6"/>
      <c r="B619" s="6"/>
      <c r="C619" s="6"/>
      <c r="D619" s="6"/>
      <c r="E619" s="6"/>
      <c r="F619" s="6"/>
      <c r="G619" s="6"/>
      <c r="H619" s="6"/>
      <c r="I619" s="6"/>
      <c r="J619" s="6"/>
      <c r="K619" s="6"/>
      <c r="L619" s="6"/>
      <c r="M619" s="6"/>
      <c r="N619" s="6"/>
      <c r="O619" s="6"/>
      <c r="P619" s="6"/>
    </row>
    <row r="620" spans="1:16" x14ac:dyDescent="0.2">
      <c r="A620" s="6"/>
      <c r="B620" s="6"/>
      <c r="C620" s="6"/>
      <c r="D620" s="6"/>
      <c r="E620" s="6"/>
      <c r="F620" s="6"/>
      <c r="G620" s="6"/>
      <c r="H620" s="6"/>
      <c r="I620" s="6"/>
      <c r="J620" s="6"/>
      <c r="K620" s="6"/>
      <c r="L620" s="6"/>
      <c r="M620" s="6"/>
      <c r="N620" s="6"/>
      <c r="O620" s="6"/>
      <c r="P620" s="6"/>
    </row>
    <row r="621" spans="1:16" x14ac:dyDescent="0.2">
      <c r="A621" s="6"/>
      <c r="B621" s="6"/>
      <c r="C621" s="6"/>
      <c r="D621" s="6"/>
      <c r="E621" s="6"/>
      <c r="F621" s="6"/>
      <c r="G621" s="6"/>
      <c r="H621" s="6"/>
      <c r="I621" s="6"/>
      <c r="J621" s="6"/>
      <c r="K621" s="6"/>
      <c r="L621" s="6"/>
      <c r="M621" s="6"/>
      <c r="N621" s="6"/>
      <c r="O621" s="6"/>
      <c r="P621" s="6"/>
    </row>
    <row r="622" spans="1:16" x14ac:dyDescent="0.2">
      <c r="A622" s="6"/>
      <c r="B622" s="6"/>
      <c r="C622" s="6"/>
      <c r="D622" s="6"/>
      <c r="E622" s="6"/>
      <c r="F622" s="6"/>
      <c r="G622" s="6"/>
      <c r="H622" s="6"/>
      <c r="I622" s="6"/>
      <c r="J622" s="6"/>
      <c r="K622" s="6"/>
      <c r="L622" s="6"/>
      <c r="M622" s="6"/>
      <c r="N622" s="6"/>
      <c r="O622" s="6"/>
      <c r="P622" s="6"/>
    </row>
    <row r="623" spans="1:16" x14ac:dyDescent="0.2">
      <c r="A623" s="6"/>
      <c r="B623" s="6"/>
      <c r="C623" s="6"/>
      <c r="D623" s="6"/>
      <c r="E623" s="6"/>
      <c r="F623" s="6"/>
      <c r="G623" s="6"/>
      <c r="H623" s="6"/>
      <c r="I623" s="6"/>
      <c r="J623" s="6"/>
      <c r="K623" s="6"/>
      <c r="L623" s="6"/>
      <c r="M623" s="6"/>
      <c r="N623" s="6"/>
      <c r="O623" s="6"/>
      <c r="P623" s="6"/>
    </row>
    <row r="624" spans="1:16" x14ac:dyDescent="0.2">
      <c r="A624" s="6"/>
      <c r="B624" s="6"/>
      <c r="C624" s="6"/>
      <c r="D624" s="6"/>
      <c r="E624" s="6"/>
      <c r="F624" s="6"/>
      <c r="G624" s="6"/>
      <c r="H624" s="6"/>
      <c r="I624" s="6"/>
      <c r="J624" s="6"/>
      <c r="K624" s="6"/>
      <c r="L624" s="6"/>
      <c r="M624" s="6"/>
      <c r="N624" s="6"/>
      <c r="O624" s="6"/>
      <c r="P624" s="6"/>
    </row>
    <row r="625" spans="1:16" x14ac:dyDescent="0.2">
      <c r="A625" s="6"/>
      <c r="B625" s="6"/>
      <c r="C625" s="6"/>
      <c r="D625" s="6"/>
      <c r="E625" s="6"/>
      <c r="F625" s="6"/>
      <c r="G625" s="6"/>
      <c r="H625" s="6"/>
      <c r="I625" s="6"/>
      <c r="J625" s="6"/>
      <c r="K625" s="6"/>
      <c r="L625" s="6"/>
      <c r="M625" s="6"/>
      <c r="N625" s="6"/>
      <c r="O625" s="6"/>
      <c r="P625" s="6"/>
    </row>
    <row r="626" spans="1:16" x14ac:dyDescent="0.2">
      <c r="A626" s="6"/>
      <c r="B626" s="6"/>
      <c r="C626" s="6"/>
      <c r="D626" s="6"/>
      <c r="E626" s="6"/>
      <c r="F626" s="6"/>
      <c r="G626" s="6"/>
      <c r="H626" s="6"/>
      <c r="I626" s="6"/>
      <c r="J626" s="6"/>
      <c r="K626" s="6"/>
      <c r="L626" s="6"/>
      <c r="M626" s="6"/>
      <c r="N626" s="6"/>
      <c r="O626" s="6"/>
      <c r="P626" s="6"/>
    </row>
    <row r="627" spans="1:16" x14ac:dyDescent="0.2">
      <c r="A627" s="6"/>
      <c r="B627" s="6"/>
      <c r="C627" s="6"/>
      <c r="D627" s="6"/>
      <c r="E627" s="6"/>
      <c r="F627" s="6"/>
      <c r="G627" s="6"/>
      <c r="H627" s="6"/>
      <c r="I627" s="6"/>
      <c r="J627" s="6"/>
      <c r="K627" s="6"/>
      <c r="L627" s="6"/>
      <c r="M627" s="6"/>
      <c r="N627" s="6"/>
      <c r="O627" s="6"/>
      <c r="P627" s="6"/>
    </row>
    <row r="628" spans="1:16" x14ac:dyDescent="0.2">
      <c r="A628" s="6"/>
      <c r="B628" s="6"/>
      <c r="C628" s="6"/>
      <c r="D628" s="6"/>
      <c r="E628" s="6"/>
      <c r="F628" s="6"/>
      <c r="G628" s="6"/>
      <c r="H628" s="6"/>
      <c r="I628" s="6"/>
      <c r="J628" s="6"/>
      <c r="K628" s="6"/>
      <c r="L628" s="6"/>
      <c r="M628" s="6"/>
      <c r="N628" s="6"/>
      <c r="O628" s="6"/>
      <c r="P628" s="6"/>
    </row>
    <row r="629" spans="1:16" x14ac:dyDescent="0.2">
      <c r="A629" s="6"/>
      <c r="B629" s="6"/>
      <c r="C629" s="6"/>
      <c r="D629" s="6"/>
      <c r="E629" s="6"/>
      <c r="F629" s="6"/>
      <c r="G629" s="6"/>
      <c r="H629" s="6"/>
      <c r="I629" s="6"/>
      <c r="J629" s="6"/>
      <c r="K629" s="6"/>
      <c r="L629" s="6"/>
      <c r="M629" s="6"/>
      <c r="N629" s="6"/>
      <c r="O629" s="6"/>
      <c r="P629" s="6"/>
    </row>
    <row r="630" spans="1:16" x14ac:dyDescent="0.2">
      <c r="A630" s="6"/>
      <c r="B630" s="6"/>
      <c r="C630" s="6"/>
      <c r="D630" s="6"/>
      <c r="E630" s="6"/>
      <c r="F630" s="6"/>
      <c r="G630" s="6"/>
      <c r="H630" s="6"/>
      <c r="I630" s="6"/>
      <c r="J630" s="6"/>
      <c r="K630" s="6"/>
      <c r="L630" s="6"/>
      <c r="M630" s="6"/>
      <c r="N630" s="6"/>
      <c r="O630" s="6"/>
      <c r="P630" s="6"/>
    </row>
    <row r="631" spans="1:16" x14ac:dyDescent="0.2">
      <c r="A631" s="6"/>
      <c r="B631" s="6"/>
      <c r="C631" s="6"/>
      <c r="D631" s="6"/>
      <c r="E631" s="6"/>
      <c r="F631" s="6"/>
      <c r="G631" s="6"/>
      <c r="H631" s="6"/>
      <c r="I631" s="6"/>
      <c r="J631" s="6"/>
      <c r="K631" s="6"/>
      <c r="L631" s="6"/>
      <c r="M631" s="6"/>
      <c r="N631" s="6"/>
      <c r="O631" s="6"/>
      <c r="P631" s="6"/>
    </row>
    <row r="632" spans="1:16" x14ac:dyDescent="0.2">
      <c r="A632" s="6"/>
      <c r="B632" s="6"/>
      <c r="C632" s="6"/>
      <c r="D632" s="6"/>
      <c r="E632" s="6"/>
      <c r="F632" s="6"/>
      <c r="G632" s="6"/>
      <c r="H632" s="6"/>
      <c r="I632" s="6"/>
      <c r="J632" s="6"/>
      <c r="K632" s="6"/>
      <c r="L632" s="6"/>
      <c r="M632" s="6"/>
      <c r="N632" s="6"/>
      <c r="O632" s="6"/>
      <c r="P632" s="6"/>
    </row>
    <row r="633" spans="1:16" x14ac:dyDescent="0.2">
      <c r="A633" s="6"/>
      <c r="B633" s="6"/>
      <c r="C633" s="6"/>
      <c r="D633" s="6"/>
      <c r="E633" s="6"/>
      <c r="F633" s="6"/>
      <c r="G633" s="6"/>
      <c r="H633" s="6"/>
      <c r="I633" s="6"/>
      <c r="J633" s="6"/>
      <c r="K633" s="6"/>
      <c r="L633" s="6"/>
      <c r="M633" s="6"/>
      <c r="N633" s="6"/>
      <c r="O633" s="6"/>
      <c r="P633" s="6"/>
    </row>
    <row r="634" spans="1:16" x14ac:dyDescent="0.2">
      <c r="A634" s="6"/>
      <c r="B634" s="6"/>
      <c r="C634" s="6"/>
      <c r="D634" s="6"/>
      <c r="E634" s="6"/>
      <c r="F634" s="6"/>
      <c r="G634" s="6"/>
      <c r="H634" s="6"/>
      <c r="I634" s="6"/>
      <c r="J634" s="6"/>
      <c r="K634" s="6"/>
      <c r="L634" s="6"/>
      <c r="M634" s="6"/>
      <c r="N634" s="6"/>
      <c r="O634" s="6"/>
      <c r="P634" s="6"/>
    </row>
    <row r="635" spans="1:16" x14ac:dyDescent="0.2">
      <c r="A635" s="6"/>
      <c r="B635" s="6"/>
      <c r="C635" s="6"/>
      <c r="D635" s="6"/>
      <c r="E635" s="6"/>
      <c r="F635" s="6"/>
      <c r="G635" s="6"/>
      <c r="H635" s="6"/>
      <c r="I635" s="6"/>
      <c r="J635" s="6"/>
      <c r="K635" s="6"/>
      <c r="L635" s="6"/>
      <c r="M635" s="6"/>
      <c r="N635" s="6"/>
      <c r="O635" s="6"/>
      <c r="P635" s="6"/>
    </row>
    <row r="636" spans="1:16" x14ac:dyDescent="0.2">
      <c r="A636" s="6"/>
      <c r="B636" s="6"/>
      <c r="C636" s="6"/>
      <c r="D636" s="6"/>
      <c r="E636" s="6"/>
      <c r="F636" s="6"/>
      <c r="G636" s="6"/>
      <c r="H636" s="6"/>
      <c r="I636" s="6"/>
      <c r="J636" s="6"/>
      <c r="K636" s="6"/>
      <c r="L636" s="6"/>
      <c r="M636" s="6"/>
      <c r="N636" s="6"/>
      <c r="O636" s="6"/>
      <c r="P636" s="6"/>
    </row>
    <row r="637" spans="1:16" x14ac:dyDescent="0.2">
      <c r="A637" s="6"/>
      <c r="B637" s="6"/>
      <c r="C637" s="6"/>
      <c r="D637" s="6"/>
      <c r="E637" s="6"/>
      <c r="F637" s="6"/>
      <c r="G637" s="6"/>
      <c r="H637" s="6"/>
      <c r="I637" s="6"/>
      <c r="J637" s="6"/>
      <c r="K637" s="6"/>
      <c r="L637" s="6"/>
      <c r="M637" s="6"/>
      <c r="N637" s="6"/>
      <c r="O637" s="6"/>
      <c r="P637" s="6"/>
    </row>
    <row r="638" spans="1:16" x14ac:dyDescent="0.2">
      <c r="A638" s="6"/>
      <c r="B638" s="6"/>
      <c r="C638" s="6"/>
      <c r="D638" s="6"/>
      <c r="E638" s="6"/>
      <c r="F638" s="6"/>
      <c r="G638" s="6"/>
      <c r="H638" s="6"/>
      <c r="I638" s="6"/>
      <c r="J638" s="6"/>
      <c r="K638" s="6"/>
      <c r="L638" s="6"/>
      <c r="M638" s="6"/>
      <c r="N638" s="6"/>
      <c r="O638" s="6"/>
      <c r="P638" s="6"/>
    </row>
    <row r="639" spans="1:16" x14ac:dyDescent="0.2">
      <c r="A639" s="6"/>
      <c r="B639" s="6"/>
      <c r="C639" s="6"/>
      <c r="D639" s="6"/>
      <c r="E639" s="6"/>
      <c r="F639" s="6"/>
      <c r="G639" s="6"/>
      <c r="H639" s="6"/>
      <c r="I639" s="6"/>
      <c r="J639" s="6"/>
      <c r="K639" s="6"/>
      <c r="L639" s="6"/>
      <c r="M639" s="6"/>
      <c r="N639" s="6"/>
      <c r="O639" s="6"/>
      <c r="P639" s="6"/>
    </row>
    <row r="640" spans="1:16" x14ac:dyDescent="0.2">
      <c r="A640" s="6"/>
      <c r="B640" s="6"/>
      <c r="C640" s="6"/>
      <c r="D640" s="6"/>
      <c r="E640" s="6"/>
      <c r="F640" s="6"/>
      <c r="G640" s="6"/>
      <c r="H640" s="6"/>
      <c r="I640" s="6"/>
      <c r="J640" s="6"/>
      <c r="K640" s="6"/>
      <c r="L640" s="6"/>
      <c r="M640" s="6"/>
      <c r="N640" s="6"/>
      <c r="O640" s="6"/>
      <c r="P640" s="6"/>
    </row>
    <row r="641" spans="1:16" x14ac:dyDescent="0.2">
      <c r="A641" s="6"/>
      <c r="B641" s="6"/>
      <c r="C641" s="6"/>
      <c r="D641" s="6"/>
      <c r="E641" s="6"/>
      <c r="F641" s="6"/>
      <c r="G641" s="6"/>
      <c r="H641" s="6"/>
      <c r="I641" s="6"/>
      <c r="J641" s="6"/>
      <c r="K641" s="6"/>
      <c r="L641" s="6"/>
      <c r="M641" s="6"/>
      <c r="N641" s="6"/>
      <c r="O641" s="6"/>
      <c r="P641" s="6"/>
    </row>
    <row r="642" spans="1:16" x14ac:dyDescent="0.2">
      <c r="A642" s="6"/>
      <c r="B642" s="6"/>
      <c r="C642" s="6"/>
      <c r="D642" s="6"/>
      <c r="E642" s="6"/>
      <c r="F642" s="6"/>
      <c r="G642" s="6"/>
      <c r="H642" s="6"/>
      <c r="I642" s="6"/>
      <c r="J642" s="6"/>
      <c r="K642" s="6"/>
      <c r="L642" s="6"/>
      <c r="M642" s="6"/>
      <c r="N642" s="6"/>
      <c r="O642" s="6"/>
      <c r="P642" s="6"/>
    </row>
    <row r="643" spans="1:16" x14ac:dyDescent="0.2">
      <c r="A643" s="6"/>
      <c r="B643" s="6"/>
      <c r="C643" s="6"/>
      <c r="D643" s="6"/>
      <c r="E643" s="6"/>
      <c r="F643" s="6"/>
      <c r="G643" s="6"/>
      <c r="H643" s="6"/>
      <c r="I643" s="6"/>
      <c r="J643" s="6"/>
      <c r="K643" s="6"/>
      <c r="L643" s="6"/>
      <c r="M643" s="6"/>
      <c r="N643" s="6"/>
      <c r="O643" s="6"/>
      <c r="P643" s="6"/>
    </row>
    <row r="644" spans="1:16" x14ac:dyDescent="0.2">
      <c r="A644" s="6"/>
      <c r="B644" s="6"/>
      <c r="C644" s="6"/>
      <c r="D644" s="6"/>
      <c r="E644" s="6"/>
      <c r="F644" s="6"/>
      <c r="G644" s="6"/>
      <c r="H644" s="6"/>
      <c r="I644" s="6"/>
      <c r="J644" s="6"/>
      <c r="K644" s="6"/>
      <c r="L644" s="6"/>
      <c r="M644" s="6"/>
      <c r="N644" s="6"/>
      <c r="O644" s="6"/>
      <c r="P644" s="6"/>
    </row>
    <row r="645" spans="1:16" x14ac:dyDescent="0.2">
      <c r="A645" s="6"/>
      <c r="B645" s="6"/>
      <c r="C645" s="6"/>
      <c r="D645" s="6"/>
      <c r="E645" s="6"/>
      <c r="F645" s="6"/>
      <c r="G645" s="6"/>
      <c r="H645" s="6"/>
      <c r="I645" s="6"/>
      <c r="J645" s="6"/>
      <c r="K645" s="6"/>
      <c r="L645" s="6"/>
      <c r="M645" s="6"/>
      <c r="N645" s="6"/>
      <c r="O645" s="6"/>
      <c r="P645" s="6"/>
    </row>
    <row r="646" spans="1:16" x14ac:dyDescent="0.2">
      <c r="A646" s="6"/>
      <c r="B646" s="6"/>
      <c r="C646" s="6"/>
      <c r="D646" s="6"/>
      <c r="E646" s="6"/>
      <c r="F646" s="6"/>
      <c r="G646" s="6"/>
      <c r="H646" s="6"/>
      <c r="I646" s="6"/>
      <c r="J646" s="6"/>
      <c r="K646" s="6"/>
      <c r="L646" s="6"/>
      <c r="M646" s="6"/>
      <c r="N646" s="6"/>
      <c r="O646" s="6"/>
      <c r="P646" s="6"/>
    </row>
    <row r="647" spans="1:16" x14ac:dyDescent="0.2">
      <c r="A647" s="6"/>
      <c r="B647" s="6"/>
      <c r="C647" s="6"/>
      <c r="D647" s="6"/>
      <c r="E647" s="6"/>
      <c r="F647" s="6"/>
      <c r="G647" s="6"/>
      <c r="H647" s="6"/>
      <c r="I647" s="6"/>
      <c r="J647" s="6"/>
      <c r="K647" s="6"/>
      <c r="L647" s="6"/>
      <c r="M647" s="6"/>
      <c r="N647" s="6"/>
      <c r="O647" s="6"/>
      <c r="P647" s="6"/>
    </row>
    <row r="648" spans="1:16" x14ac:dyDescent="0.2">
      <c r="A648" s="6"/>
      <c r="B648" s="6"/>
      <c r="C648" s="6"/>
      <c r="D648" s="6"/>
      <c r="E648" s="6"/>
      <c r="F648" s="6"/>
      <c r="G648" s="6"/>
      <c r="H648" s="6"/>
      <c r="I648" s="6"/>
      <c r="J648" s="6"/>
      <c r="K648" s="6"/>
      <c r="L648" s="6"/>
      <c r="M648" s="6"/>
      <c r="N648" s="6"/>
      <c r="O648" s="6"/>
      <c r="P648" s="6"/>
    </row>
    <row r="649" spans="1:16" x14ac:dyDescent="0.2">
      <c r="A649" s="6"/>
      <c r="B649" s="6"/>
      <c r="C649" s="6"/>
      <c r="D649" s="6"/>
      <c r="E649" s="6"/>
      <c r="F649" s="6"/>
      <c r="G649" s="6"/>
      <c r="H649" s="6"/>
      <c r="I649" s="6"/>
      <c r="J649" s="6"/>
      <c r="K649" s="6"/>
      <c r="L649" s="6"/>
      <c r="M649" s="6"/>
      <c r="N649" s="6"/>
      <c r="O649" s="6"/>
      <c r="P649" s="6"/>
    </row>
    <row r="650" spans="1:16" x14ac:dyDescent="0.2">
      <c r="A650" s="6"/>
      <c r="B650" s="6"/>
      <c r="C650" s="6"/>
      <c r="D650" s="6"/>
      <c r="E650" s="6"/>
      <c r="F650" s="6"/>
      <c r="G650" s="6"/>
      <c r="H650" s="6"/>
      <c r="I650" s="6"/>
      <c r="J650" s="6"/>
      <c r="K650" s="6"/>
      <c r="L650" s="6"/>
      <c r="M650" s="6"/>
      <c r="N650" s="6"/>
      <c r="O650" s="6"/>
      <c r="P650" s="6"/>
    </row>
    <row r="651" spans="1:16" x14ac:dyDescent="0.2">
      <c r="A651" s="6"/>
      <c r="B651" s="6"/>
      <c r="C651" s="6"/>
      <c r="D651" s="6"/>
      <c r="E651" s="6"/>
      <c r="F651" s="6"/>
      <c r="G651" s="6"/>
      <c r="H651" s="6"/>
      <c r="I651" s="6"/>
      <c r="J651" s="6"/>
      <c r="K651" s="6"/>
      <c r="L651" s="6"/>
      <c r="M651" s="6"/>
      <c r="N651" s="6"/>
      <c r="O651" s="6"/>
      <c r="P651" s="6"/>
    </row>
    <row r="652" spans="1:16" x14ac:dyDescent="0.2">
      <c r="A652" s="6"/>
      <c r="B652" s="6"/>
      <c r="C652" s="6"/>
      <c r="D652" s="6"/>
      <c r="E652" s="6"/>
      <c r="F652" s="6"/>
      <c r="G652" s="6"/>
      <c r="H652" s="6"/>
      <c r="I652" s="6"/>
      <c r="J652" s="6"/>
      <c r="K652" s="6"/>
      <c r="L652" s="6"/>
      <c r="M652" s="6"/>
      <c r="N652" s="6"/>
      <c r="O652" s="6"/>
      <c r="P652" s="6"/>
    </row>
    <row r="653" spans="1:16" x14ac:dyDescent="0.2">
      <c r="A653" s="6"/>
      <c r="B653" s="6"/>
      <c r="C653" s="6"/>
      <c r="D653" s="6"/>
      <c r="E653" s="6"/>
      <c r="F653" s="6"/>
      <c r="G653" s="6"/>
      <c r="H653" s="6"/>
      <c r="I653" s="6"/>
      <c r="J653" s="6"/>
      <c r="K653" s="6"/>
      <c r="L653" s="6"/>
      <c r="M653" s="6"/>
      <c r="N653" s="6"/>
      <c r="O653" s="6"/>
      <c r="P653" s="6"/>
    </row>
    <row r="654" spans="1:16" x14ac:dyDescent="0.2">
      <c r="A654" s="6"/>
      <c r="B654" s="6"/>
      <c r="C654" s="6"/>
      <c r="D654" s="6"/>
      <c r="E654" s="6"/>
      <c r="F654" s="6"/>
      <c r="G654" s="6"/>
      <c r="H654" s="6"/>
      <c r="I654" s="6"/>
      <c r="J654" s="6"/>
      <c r="K654" s="6"/>
      <c r="L654" s="6"/>
      <c r="M654" s="6"/>
      <c r="N654" s="6"/>
      <c r="O654" s="6"/>
      <c r="P654" s="6"/>
    </row>
    <row r="655" spans="1:16" x14ac:dyDescent="0.2">
      <c r="A655" s="6"/>
      <c r="B655" s="6"/>
      <c r="C655" s="6"/>
      <c r="D655" s="6"/>
      <c r="E655" s="6"/>
      <c r="F655" s="6"/>
      <c r="G655" s="6"/>
      <c r="H655" s="6"/>
      <c r="I655" s="6"/>
      <c r="J655" s="6"/>
      <c r="K655" s="6"/>
      <c r="L655" s="6"/>
      <c r="M655" s="6"/>
      <c r="N655" s="6"/>
      <c r="O655" s="6"/>
      <c r="P655" s="6"/>
    </row>
    <row r="656" spans="1:16" x14ac:dyDescent="0.2">
      <c r="A656" s="6"/>
      <c r="B656" s="6"/>
      <c r="C656" s="6"/>
      <c r="D656" s="6"/>
      <c r="E656" s="6"/>
      <c r="F656" s="6"/>
      <c r="G656" s="6"/>
      <c r="H656" s="6"/>
      <c r="I656" s="6"/>
      <c r="J656" s="6"/>
      <c r="K656" s="6"/>
      <c r="L656" s="6"/>
      <c r="M656" s="6"/>
      <c r="N656" s="6"/>
      <c r="O656" s="6"/>
      <c r="P656" s="6"/>
    </row>
    <row r="657" spans="1:16" x14ac:dyDescent="0.2">
      <c r="A657" s="6"/>
      <c r="B657" s="6"/>
      <c r="C657" s="6"/>
      <c r="D657" s="6"/>
      <c r="E657" s="6"/>
      <c r="F657" s="6"/>
      <c r="G657" s="6"/>
      <c r="H657" s="6"/>
      <c r="I657" s="6"/>
      <c r="J657" s="6"/>
      <c r="K657" s="6"/>
      <c r="L657" s="6"/>
      <c r="M657" s="6"/>
      <c r="N657" s="6"/>
      <c r="O657" s="6"/>
      <c r="P657" s="6"/>
    </row>
    <row r="658" spans="1:16" x14ac:dyDescent="0.2">
      <c r="A658" s="6"/>
      <c r="B658" s="6"/>
      <c r="C658" s="6"/>
      <c r="D658" s="6"/>
      <c r="E658" s="6"/>
      <c r="F658" s="6"/>
      <c r="G658" s="6"/>
      <c r="H658" s="6"/>
      <c r="I658" s="6"/>
      <c r="J658" s="6"/>
      <c r="K658" s="6"/>
      <c r="L658" s="6"/>
      <c r="M658" s="6"/>
      <c r="N658" s="6"/>
      <c r="O658" s="6"/>
      <c r="P658" s="6"/>
    </row>
    <row r="659" spans="1:16" x14ac:dyDescent="0.2">
      <c r="A659" s="6"/>
      <c r="B659" s="6"/>
      <c r="C659" s="6"/>
      <c r="D659" s="6"/>
      <c r="E659" s="6"/>
      <c r="F659" s="6"/>
      <c r="G659" s="6"/>
      <c r="H659" s="6"/>
      <c r="I659" s="6"/>
      <c r="J659" s="6"/>
      <c r="K659" s="6"/>
      <c r="L659" s="6"/>
      <c r="M659" s="6"/>
      <c r="N659" s="6"/>
      <c r="O659" s="6"/>
      <c r="P659" s="6"/>
    </row>
    <row r="660" spans="1:16" x14ac:dyDescent="0.2">
      <c r="A660" s="6"/>
      <c r="B660" s="6"/>
      <c r="C660" s="6"/>
      <c r="D660" s="6"/>
      <c r="E660" s="6"/>
      <c r="F660" s="6"/>
      <c r="G660" s="6"/>
      <c r="H660" s="6"/>
      <c r="I660" s="6"/>
      <c r="J660" s="6"/>
      <c r="K660" s="6"/>
      <c r="L660" s="6"/>
      <c r="M660" s="6"/>
      <c r="N660" s="6"/>
      <c r="O660" s="6"/>
      <c r="P660" s="6"/>
    </row>
    <row r="661" spans="1:16" x14ac:dyDescent="0.2">
      <c r="A661" s="6"/>
      <c r="B661" s="6"/>
      <c r="C661" s="6"/>
      <c r="D661" s="6"/>
      <c r="E661" s="6"/>
      <c r="F661" s="6"/>
      <c r="G661" s="6"/>
      <c r="H661" s="6"/>
      <c r="I661" s="6"/>
      <c r="J661" s="6"/>
      <c r="K661" s="6"/>
      <c r="L661" s="6"/>
      <c r="M661" s="6"/>
      <c r="N661" s="6"/>
      <c r="O661" s="6"/>
      <c r="P661" s="6"/>
    </row>
    <row r="662" spans="1:16" x14ac:dyDescent="0.2">
      <c r="A662" s="6"/>
      <c r="B662" s="6"/>
      <c r="C662" s="6"/>
      <c r="D662" s="6"/>
      <c r="E662" s="6"/>
      <c r="F662" s="6"/>
      <c r="G662" s="6"/>
      <c r="H662" s="6"/>
      <c r="I662" s="6"/>
      <c r="J662" s="6"/>
      <c r="K662" s="6"/>
      <c r="L662" s="6"/>
      <c r="M662" s="6"/>
      <c r="N662" s="6"/>
      <c r="O662" s="6"/>
      <c r="P662" s="6"/>
    </row>
    <row r="663" spans="1:16" x14ac:dyDescent="0.2">
      <c r="A663" s="6"/>
      <c r="B663" s="6"/>
      <c r="C663" s="6"/>
      <c r="D663" s="6"/>
      <c r="E663" s="6"/>
      <c r="F663" s="6"/>
      <c r="G663" s="6"/>
      <c r="H663" s="6"/>
      <c r="I663" s="6"/>
      <c r="J663" s="6"/>
      <c r="K663" s="6"/>
      <c r="L663" s="6"/>
      <c r="M663" s="6"/>
      <c r="N663" s="6"/>
      <c r="O663" s="6"/>
      <c r="P663" s="6"/>
    </row>
    <row r="664" spans="1:16" x14ac:dyDescent="0.2">
      <c r="A664" s="6"/>
      <c r="B664" s="6"/>
      <c r="C664" s="6"/>
      <c r="D664" s="6"/>
      <c r="E664" s="6"/>
      <c r="F664" s="6"/>
      <c r="G664" s="6"/>
      <c r="H664" s="6"/>
      <c r="I664" s="6"/>
      <c r="J664" s="6"/>
      <c r="K664" s="6"/>
      <c r="L664" s="6"/>
      <c r="M664" s="6"/>
      <c r="N664" s="6"/>
      <c r="O664" s="6"/>
      <c r="P664" s="6"/>
    </row>
    <row r="665" spans="1:16" x14ac:dyDescent="0.2">
      <c r="A665" s="6"/>
      <c r="B665" s="6"/>
      <c r="C665" s="6"/>
      <c r="D665" s="6"/>
      <c r="E665" s="6"/>
      <c r="F665" s="6"/>
      <c r="G665" s="6"/>
      <c r="H665" s="6"/>
      <c r="I665" s="6"/>
      <c r="J665" s="6"/>
      <c r="K665" s="6"/>
      <c r="L665" s="6"/>
      <c r="M665" s="6"/>
      <c r="N665" s="6"/>
      <c r="O665" s="6"/>
      <c r="P665" s="6"/>
    </row>
    <row r="666" spans="1:16" x14ac:dyDescent="0.2">
      <c r="A666" s="6"/>
      <c r="B666" s="6"/>
      <c r="C666" s="6"/>
      <c r="D666" s="6"/>
      <c r="E666" s="6"/>
      <c r="F666" s="6"/>
      <c r="G666" s="6"/>
      <c r="H666" s="6"/>
      <c r="I666" s="6"/>
      <c r="J666" s="6"/>
      <c r="K666" s="6"/>
      <c r="L666" s="6"/>
      <c r="M666" s="6"/>
      <c r="N666" s="6"/>
      <c r="O666" s="6"/>
      <c r="P666" s="6"/>
    </row>
    <row r="667" spans="1:16" x14ac:dyDescent="0.2">
      <c r="A667" s="6"/>
      <c r="B667" s="6"/>
      <c r="C667" s="6"/>
      <c r="D667" s="6"/>
      <c r="E667" s="6"/>
      <c r="F667" s="6"/>
      <c r="G667" s="6"/>
      <c r="H667" s="6"/>
      <c r="I667" s="6"/>
      <c r="J667" s="6"/>
      <c r="K667" s="6"/>
      <c r="L667" s="6"/>
      <c r="M667" s="6"/>
      <c r="N667" s="6"/>
      <c r="O667" s="6"/>
      <c r="P667" s="6"/>
    </row>
    <row r="668" spans="1:16" x14ac:dyDescent="0.2">
      <c r="A668" s="6"/>
      <c r="B668" s="6"/>
      <c r="C668" s="6"/>
      <c r="D668" s="6"/>
      <c r="E668" s="6"/>
      <c r="F668" s="6"/>
      <c r="G668" s="6"/>
      <c r="H668" s="6"/>
      <c r="I668" s="6"/>
      <c r="J668" s="6"/>
      <c r="K668" s="6"/>
      <c r="L668" s="6"/>
      <c r="M668" s="6"/>
      <c r="N668" s="6"/>
      <c r="O668" s="6"/>
      <c r="P668" s="6"/>
    </row>
    <row r="669" spans="1:16" x14ac:dyDescent="0.2">
      <c r="A669" s="6"/>
      <c r="B669" s="6"/>
      <c r="C669" s="6"/>
      <c r="D669" s="6"/>
      <c r="E669" s="6"/>
      <c r="F669" s="6"/>
      <c r="G669" s="6"/>
      <c r="H669" s="6"/>
      <c r="I669" s="6"/>
      <c r="J669" s="6"/>
      <c r="K669" s="6"/>
      <c r="L669" s="6"/>
      <c r="M669" s="6"/>
      <c r="N669" s="6"/>
      <c r="O669" s="6"/>
      <c r="P669" s="6"/>
    </row>
    <row r="670" spans="1:16" x14ac:dyDescent="0.2">
      <c r="A670" s="6"/>
      <c r="B670" s="6"/>
      <c r="C670" s="6"/>
      <c r="D670" s="6"/>
      <c r="E670" s="6"/>
      <c r="F670" s="6"/>
      <c r="G670" s="6"/>
      <c r="H670" s="6"/>
      <c r="I670" s="6"/>
      <c r="J670" s="6"/>
      <c r="K670" s="6"/>
      <c r="L670" s="6"/>
      <c r="M670" s="6"/>
      <c r="N670" s="6"/>
      <c r="O670" s="6"/>
      <c r="P670" s="6"/>
    </row>
    <row r="671" spans="1:16" x14ac:dyDescent="0.2">
      <c r="A671" s="6"/>
      <c r="B671" s="6"/>
      <c r="C671" s="6"/>
      <c r="D671" s="6"/>
      <c r="E671" s="6"/>
      <c r="F671" s="6"/>
      <c r="G671" s="6"/>
      <c r="H671" s="6"/>
      <c r="I671" s="6"/>
      <c r="J671" s="6"/>
      <c r="K671" s="6"/>
      <c r="L671" s="6"/>
      <c r="M671" s="6"/>
      <c r="N671" s="6"/>
      <c r="O671" s="6"/>
      <c r="P671" s="6"/>
    </row>
    <row r="672" spans="1:16" x14ac:dyDescent="0.2">
      <c r="A672" s="6"/>
      <c r="B672" s="6"/>
      <c r="C672" s="6"/>
      <c r="D672" s="6"/>
      <c r="E672" s="6"/>
      <c r="F672" s="6"/>
      <c r="G672" s="6"/>
      <c r="H672" s="6"/>
      <c r="I672" s="6"/>
      <c r="J672" s="6"/>
      <c r="K672" s="6"/>
      <c r="L672" s="6"/>
      <c r="M672" s="6"/>
      <c r="N672" s="6"/>
      <c r="O672" s="6"/>
      <c r="P672" s="6"/>
    </row>
    <row r="673" spans="1:16" x14ac:dyDescent="0.2">
      <c r="A673" s="6"/>
      <c r="B673" s="6"/>
      <c r="C673" s="6"/>
      <c r="D673" s="6"/>
      <c r="E673" s="6"/>
      <c r="F673" s="6"/>
      <c r="G673" s="6"/>
      <c r="H673" s="6"/>
      <c r="I673" s="6"/>
      <c r="J673" s="6"/>
      <c r="K673" s="6"/>
      <c r="L673" s="6"/>
      <c r="M673" s="6"/>
      <c r="N673" s="6"/>
      <c r="O673" s="6"/>
      <c r="P673" s="6"/>
    </row>
    <row r="674" spans="1:16" x14ac:dyDescent="0.2">
      <c r="A674" s="6"/>
      <c r="B674" s="6"/>
      <c r="C674" s="6"/>
      <c r="D674" s="6"/>
      <c r="E674" s="6"/>
      <c r="F674" s="6"/>
      <c r="G674" s="6"/>
      <c r="H674" s="6"/>
      <c r="I674" s="6"/>
      <c r="J674" s="6"/>
      <c r="K674" s="6"/>
      <c r="L674" s="6"/>
      <c r="M674" s="6"/>
      <c r="N674" s="6"/>
      <c r="O674" s="6"/>
      <c r="P674" s="6"/>
    </row>
    <row r="675" spans="1:16" x14ac:dyDescent="0.2">
      <c r="A675" s="6"/>
      <c r="B675" s="6"/>
      <c r="C675" s="6"/>
      <c r="D675" s="6"/>
      <c r="E675" s="6"/>
      <c r="F675" s="6"/>
      <c r="G675" s="6"/>
      <c r="H675" s="6"/>
      <c r="I675" s="6"/>
      <c r="J675" s="6"/>
      <c r="K675" s="6"/>
      <c r="L675" s="6"/>
      <c r="M675" s="6"/>
      <c r="N675" s="6"/>
      <c r="O675" s="6"/>
      <c r="P675" s="6"/>
    </row>
    <row r="676" spans="1:16" x14ac:dyDescent="0.2">
      <c r="A676" s="6"/>
      <c r="B676" s="6"/>
      <c r="C676" s="6"/>
      <c r="D676" s="6"/>
      <c r="E676" s="6"/>
      <c r="F676" s="6"/>
      <c r="G676" s="6"/>
      <c r="H676" s="6"/>
      <c r="I676" s="6"/>
      <c r="J676" s="6"/>
      <c r="K676" s="6"/>
      <c r="L676" s="6"/>
      <c r="M676" s="6"/>
      <c r="N676" s="6"/>
      <c r="O676" s="6"/>
      <c r="P676" s="6"/>
    </row>
    <row r="677" spans="1:16" x14ac:dyDescent="0.2">
      <c r="A677" s="6"/>
      <c r="B677" s="6"/>
      <c r="C677" s="6"/>
      <c r="D677" s="6"/>
      <c r="E677" s="6"/>
      <c r="F677" s="6"/>
      <c r="G677" s="6"/>
      <c r="H677" s="6"/>
      <c r="I677" s="6"/>
      <c r="J677" s="6"/>
      <c r="K677" s="6"/>
      <c r="L677" s="6"/>
      <c r="M677" s="6"/>
      <c r="N677" s="6"/>
      <c r="O677" s="6"/>
      <c r="P677" s="6"/>
    </row>
    <row r="678" spans="1:16" x14ac:dyDescent="0.2">
      <c r="A678" s="6"/>
      <c r="B678" s="6"/>
      <c r="C678" s="6"/>
      <c r="D678" s="6"/>
      <c r="E678" s="6"/>
      <c r="F678" s="6"/>
      <c r="G678" s="6"/>
      <c r="H678" s="6"/>
      <c r="I678" s="6"/>
      <c r="J678" s="6"/>
      <c r="K678" s="6"/>
      <c r="L678" s="6"/>
      <c r="M678" s="6"/>
      <c r="N678" s="6"/>
      <c r="O678" s="6"/>
      <c r="P678" s="6"/>
    </row>
    <row r="679" spans="1:16" x14ac:dyDescent="0.2">
      <c r="A679" s="6"/>
      <c r="B679" s="6"/>
      <c r="C679" s="6"/>
      <c r="D679" s="6"/>
      <c r="E679" s="6"/>
      <c r="F679" s="6"/>
      <c r="G679" s="6"/>
      <c r="H679" s="6"/>
      <c r="I679" s="6"/>
      <c r="J679" s="6"/>
      <c r="K679" s="6"/>
      <c r="L679" s="6"/>
      <c r="M679" s="6"/>
      <c r="N679" s="6"/>
      <c r="O679" s="6"/>
      <c r="P679" s="6"/>
    </row>
    <row r="680" spans="1:16" x14ac:dyDescent="0.2">
      <c r="A680" s="6"/>
      <c r="B680" s="6"/>
      <c r="C680" s="6"/>
      <c r="D680" s="6"/>
      <c r="E680" s="6"/>
      <c r="F680" s="6"/>
      <c r="G680" s="6"/>
      <c r="H680" s="6"/>
      <c r="I680" s="6"/>
      <c r="J680" s="6"/>
      <c r="K680" s="6"/>
      <c r="L680" s="6"/>
      <c r="M680" s="6"/>
      <c r="N680" s="6"/>
      <c r="O680" s="6"/>
      <c r="P680" s="6"/>
    </row>
    <row r="681" spans="1:16" x14ac:dyDescent="0.2">
      <c r="A681" s="6"/>
      <c r="B681" s="6"/>
      <c r="C681" s="6"/>
      <c r="D681" s="6"/>
      <c r="E681" s="6"/>
      <c r="F681" s="6"/>
      <c r="G681" s="6"/>
      <c r="H681" s="6"/>
      <c r="I681" s="6"/>
      <c r="J681" s="6"/>
      <c r="K681" s="6"/>
      <c r="L681" s="6"/>
      <c r="M681" s="6"/>
      <c r="N681" s="6"/>
      <c r="O681" s="6"/>
      <c r="P681" s="6"/>
    </row>
    <row r="682" spans="1:16" x14ac:dyDescent="0.2">
      <c r="A682" s="6"/>
      <c r="B682" s="6"/>
      <c r="C682" s="6"/>
      <c r="D682" s="6"/>
      <c r="E682" s="6"/>
      <c r="F682" s="6"/>
      <c r="G682" s="6"/>
      <c r="H682" s="6"/>
      <c r="I682" s="6"/>
      <c r="J682" s="6"/>
      <c r="K682" s="6"/>
      <c r="L682" s="6"/>
      <c r="M682" s="6"/>
      <c r="N682" s="6"/>
      <c r="O682" s="6"/>
      <c r="P682" s="6"/>
    </row>
    <row r="683" spans="1:16" x14ac:dyDescent="0.2">
      <c r="A683" s="6"/>
      <c r="B683" s="6"/>
      <c r="C683" s="6"/>
      <c r="D683" s="6"/>
      <c r="E683" s="6"/>
      <c r="F683" s="6"/>
      <c r="G683" s="6"/>
      <c r="H683" s="6"/>
      <c r="I683" s="6"/>
      <c r="J683" s="6"/>
      <c r="K683" s="6"/>
      <c r="L683" s="6"/>
      <c r="M683" s="6"/>
      <c r="N683" s="6"/>
      <c r="O683" s="6"/>
      <c r="P683" s="6"/>
    </row>
    <row r="684" spans="1:16" x14ac:dyDescent="0.2">
      <c r="A684" s="6"/>
      <c r="B684" s="6"/>
      <c r="C684" s="6"/>
      <c r="D684" s="6"/>
      <c r="E684" s="6"/>
      <c r="F684" s="6"/>
      <c r="G684" s="6"/>
      <c r="H684" s="6"/>
      <c r="I684" s="6"/>
      <c r="J684" s="6"/>
      <c r="K684" s="6"/>
      <c r="L684" s="6"/>
      <c r="M684" s="6"/>
      <c r="N684" s="6"/>
      <c r="O684" s="6"/>
      <c r="P684" s="6"/>
    </row>
    <row r="685" spans="1:16" x14ac:dyDescent="0.2">
      <c r="A685" s="6"/>
      <c r="B685" s="6"/>
      <c r="C685" s="6"/>
      <c r="D685" s="6"/>
      <c r="E685" s="6"/>
      <c r="F685" s="6"/>
      <c r="G685" s="6"/>
      <c r="H685" s="6"/>
      <c r="I685" s="6"/>
      <c r="J685" s="6"/>
      <c r="K685" s="6"/>
      <c r="L685" s="6"/>
      <c r="M685" s="6"/>
      <c r="N685" s="6"/>
      <c r="O685" s="6"/>
      <c r="P685" s="6"/>
    </row>
    <row r="686" spans="1:16" x14ac:dyDescent="0.2">
      <c r="A686" s="6"/>
      <c r="B686" s="6"/>
      <c r="C686" s="6"/>
      <c r="D686" s="6"/>
      <c r="E686" s="6"/>
      <c r="F686" s="6"/>
      <c r="G686" s="6"/>
      <c r="H686" s="6"/>
      <c r="I686" s="6"/>
      <c r="J686" s="6"/>
      <c r="K686" s="6"/>
      <c r="L686" s="6"/>
      <c r="M686" s="6"/>
      <c r="N686" s="6"/>
      <c r="O686" s="6"/>
      <c r="P686" s="6"/>
    </row>
    <row r="687" spans="1:16" x14ac:dyDescent="0.2">
      <c r="A687" s="6"/>
      <c r="B687" s="6"/>
      <c r="C687" s="6"/>
      <c r="D687" s="6"/>
      <c r="E687" s="6"/>
      <c r="F687" s="6"/>
      <c r="G687" s="6"/>
      <c r="H687" s="6"/>
      <c r="I687" s="6"/>
      <c r="J687" s="6"/>
      <c r="K687" s="6"/>
      <c r="L687" s="6"/>
      <c r="M687" s="6"/>
      <c r="N687" s="6"/>
      <c r="O687" s="6"/>
      <c r="P687" s="6"/>
    </row>
    <row r="688" spans="1:16" x14ac:dyDescent="0.2">
      <c r="A688" s="6"/>
      <c r="B688" s="6"/>
      <c r="C688" s="6"/>
      <c r="D688" s="6"/>
      <c r="E688" s="6"/>
      <c r="F688" s="6"/>
      <c r="G688" s="6"/>
      <c r="H688" s="6"/>
      <c r="I688" s="6"/>
      <c r="J688" s="6"/>
      <c r="K688" s="6"/>
      <c r="L688" s="6"/>
      <c r="M688" s="6"/>
      <c r="N688" s="6"/>
      <c r="O688" s="6"/>
      <c r="P688" s="6"/>
    </row>
    <row r="689" spans="1:16" x14ac:dyDescent="0.2">
      <c r="A689" s="6"/>
      <c r="B689" s="6"/>
      <c r="C689" s="6"/>
      <c r="D689" s="6"/>
      <c r="E689" s="6"/>
      <c r="F689" s="6"/>
      <c r="G689" s="6"/>
      <c r="H689" s="6"/>
      <c r="I689" s="6"/>
      <c r="J689" s="6"/>
      <c r="K689" s="6"/>
      <c r="L689" s="6"/>
      <c r="M689" s="6"/>
      <c r="N689" s="6"/>
      <c r="O689" s="6"/>
      <c r="P689" s="6"/>
    </row>
    <row r="690" spans="1:16" x14ac:dyDescent="0.2">
      <c r="A690" s="6"/>
      <c r="B690" s="6"/>
      <c r="C690" s="6"/>
      <c r="D690" s="6"/>
      <c r="E690" s="6"/>
      <c r="F690" s="6"/>
      <c r="G690" s="6"/>
      <c r="H690" s="6"/>
      <c r="I690" s="6"/>
      <c r="J690" s="6"/>
      <c r="K690" s="6"/>
      <c r="L690" s="6"/>
      <c r="M690" s="6"/>
      <c r="N690" s="6"/>
      <c r="O690" s="6"/>
      <c r="P690" s="6"/>
    </row>
    <row r="691" spans="1:16" x14ac:dyDescent="0.2">
      <c r="A691" s="6"/>
      <c r="B691" s="6"/>
      <c r="C691" s="6"/>
      <c r="D691" s="6"/>
      <c r="E691" s="6"/>
      <c r="F691" s="6"/>
      <c r="G691" s="6"/>
      <c r="H691" s="6"/>
      <c r="I691" s="6"/>
      <c r="J691" s="6"/>
      <c r="K691" s="6"/>
      <c r="L691" s="6"/>
      <c r="M691" s="6"/>
      <c r="N691" s="6"/>
      <c r="O691" s="6"/>
      <c r="P691" s="6"/>
    </row>
    <row r="692" spans="1:16" x14ac:dyDescent="0.2">
      <c r="A692" s="6"/>
      <c r="B692" s="6"/>
      <c r="C692" s="6"/>
      <c r="D692" s="6"/>
      <c r="E692" s="6"/>
      <c r="F692" s="6"/>
      <c r="G692" s="6"/>
      <c r="H692" s="6"/>
      <c r="I692" s="6"/>
      <c r="J692" s="6"/>
      <c r="K692" s="6"/>
      <c r="L692" s="6"/>
      <c r="M692" s="6"/>
      <c r="N692" s="6"/>
      <c r="O692" s="6"/>
      <c r="P692" s="6"/>
    </row>
    <row r="693" spans="1:16" x14ac:dyDescent="0.2">
      <c r="A693" s="6"/>
      <c r="B693" s="6"/>
      <c r="C693" s="6"/>
      <c r="D693" s="6"/>
      <c r="E693" s="6"/>
      <c r="F693" s="6"/>
      <c r="G693" s="6"/>
      <c r="H693" s="6"/>
      <c r="I693" s="6"/>
      <c r="J693" s="6"/>
      <c r="K693" s="6"/>
      <c r="L693" s="6"/>
      <c r="M693" s="6"/>
      <c r="N693" s="6"/>
      <c r="O693" s="6"/>
      <c r="P693" s="6"/>
    </row>
    <row r="694" spans="1:16" x14ac:dyDescent="0.2">
      <c r="A694" s="6"/>
      <c r="B694" s="6"/>
      <c r="C694" s="6"/>
      <c r="D694" s="6"/>
      <c r="E694" s="6"/>
      <c r="F694" s="6"/>
      <c r="G694" s="6"/>
      <c r="H694" s="6"/>
      <c r="I694" s="6"/>
      <c r="J694" s="6"/>
      <c r="K694" s="6"/>
      <c r="L694" s="6"/>
      <c r="M694" s="6"/>
      <c r="N694" s="6"/>
      <c r="O694" s="6"/>
      <c r="P694" s="6"/>
    </row>
    <row r="695" spans="1:16" x14ac:dyDescent="0.2">
      <c r="A695" s="6"/>
      <c r="B695" s="6"/>
      <c r="C695" s="6"/>
      <c r="D695" s="6"/>
      <c r="E695" s="6"/>
      <c r="F695" s="6"/>
      <c r="G695" s="6"/>
      <c r="H695" s="6"/>
      <c r="I695" s="6"/>
      <c r="J695" s="6"/>
      <c r="K695" s="6"/>
      <c r="L695" s="6"/>
      <c r="M695" s="6"/>
      <c r="N695" s="6"/>
      <c r="O695" s="6"/>
      <c r="P695" s="6"/>
    </row>
    <row r="696" spans="1:16" x14ac:dyDescent="0.2">
      <c r="A696" s="6"/>
      <c r="B696" s="6"/>
      <c r="C696" s="6"/>
      <c r="D696" s="6"/>
      <c r="E696" s="6"/>
      <c r="F696" s="6"/>
      <c r="G696" s="6"/>
      <c r="H696" s="6"/>
      <c r="I696" s="6"/>
      <c r="J696" s="6"/>
      <c r="K696" s="6"/>
      <c r="L696" s="6"/>
      <c r="M696" s="6"/>
      <c r="N696" s="6"/>
      <c r="O696" s="6"/>
      <c r="P696" s="6"/>
    </row>
    <row r="697" spans="1:16" x14ac:dyDescent="0.2">
      <c r="A697" s="6"/>
      <c r="B697" s="6"/>
      <c r="C697" s="6"/>
      <c r="D697" s="6"/>
      <c r="E697" s="6"/>
      <c r="F697" s="6"/>
      <c r="G697" s="6"/>
      <c r="H697" s="6"/>
      <c r="I697" s="6"/>
      <c r="J697" s="6"/>
      <c r="K697" s="6"/>
      <c r="L697" s="6"/>
      <c r="M697" s="6"/>
      <c r="N697" s="6"/>
      <c r="O697" s="6"/>
      <c r="P697" s="6"/>
    </row>
    <row r="698" spans="1:16" x14ac:dyDescent="0.2">
      <c r="A698" s="6"/>
      <c r="B698" s="6"/>
      <c r="C698" s="6"/>
      <c r="D698" s="6"/>
      <c r="E698" s="6"/>
      <c r="F698" s="6"/>
      <c r="G698" s="6"/>
      <c r="H698" s="6"/>
      <c r="I698" s="6"/>
      <c r="J698" s="6"/>
      <c r="K698" s="6"/>
      <c r="L698" s="6"/>
      <c r="M698" s="6"/>
      <c r="N698" s="6"/>
      <c r="O698" s="6"/>
      <c r="P698" s="6"/>
    </row>
    <row r="699" spans="1:16" x14ac:dyDescent="0.2">
      <c r="A699" s="6"/>
      <c r="B699" s="6"/>
      <c r="C699" s="6"/>
      <c r="D699" s="6"/>
      <c r="E699" s="6"/>
      <c r="F699" s="6"/>
      <c r="G699" s="6"/>
      <c r="H699" s="6"/>
      <c r="I699" s="6"/>
      <c r="J699" s="6"/>
      <c r="K699" s="6"/>
      <c r="L699" s="6"/>
      <c r="M699" s="6"/>
      <c r="N699" s="6"/>
      <c r="O699" s="6"/>
      <c r="P699" s="6"/>
    </row>
    <row r="700" spans="1:16" x14ac:dyDescent="0.2">
      <c r="A700" s="6"/>
      <c r="B700" s="6"/>
      <c r="C700" s="6"/>
      <c r="D700" s="6"/>
      <c r="E700" s="6"/>
      <c r="F700" s="6"/>
      <c r="G700" s="6"/>
      <c r="H700" s="6"/>
      <c r="I700" s="6"/>
      <c r="J700" s="6"/>
      <c r="K700" s="6"/>
      <c r="L700" s="6"/>
      <c r="M700" s="6"/>
      <c r="N700" s="6"/>
      <c r="O700" s="6"/>
      <c r="P700" s="6"/>
    </row>
    <row r="701" spans="1:16" x14ac:dyDescent="0.2">
      <c r="A701" s="6"/>
      <c r="B701" s="6"/>
      <c r="C701" s="6"/>
      <c r="D701" s="6"/>
      <c r="E701" s="6"/>
      <c r="F701" s="6"/>
      <c r="G701" s="6"/>
      <c r="H701" s="6"/>
      <c r="I701" s="6"/>
      <c r="J701" s="6"/>
      <c r="K701" s="6"/>
      <c r="L701" s="6"/>
      <c r="M701" s="6"/>
      <c r="N701" s="6"/>
      <c r="O701" s="6"/>
      <c r="P701" s="6"/>
    </row>
    <row r="702" spans="1:16" x14ac:dyDescent="0.2">
      <c r="A702" s="6"/>
      <c r="B702" s="6"/>
      <c r="C702" s="6"/>
      <c r="D702" s="6"/>
      <c r="E702" s="6"/>
      <c r="F702" s="6"/>
      <c r="G702" s="6"/>
      <c r="H702" s="6"/>
      <c r="I702" s="6"/>
      <c r="J702" s="6"/>
      <c r="K702" s="6"/>
      <c r="L702" s="6"/>
      <c r="M702" s="6"/>
      <c r="N702" s="6"/>
      <c r="O702" s="6"/>
      <c r="P702" s="6"/>
    </row>
    <row r="703" spans="1:16" x14ac:dyDescent="0.2">
      <c r="A703" s="6"/>
      <c r="B703" s="6"/>
      <c r="C703" s="6"/>
      <c r="D703" s="6"/>
      <c r="E703" s="6"/>
      <c r="F703" s="6"/>
      <c r="G703" s="6"/>
      <c r="H703" s="6"/>
      <c r="I703" s="6"/>
      <c r="J703" s="6"/>
      <c r="K703" s="6"/>
      <c r="L703" s="6"/>
      <c r="M703" s="6"/>
      <c r="N703" s="6"/>
      <c r="O703" s="6"/>
      <c r="P703" s="6"/>
    </row>
    <row r="704" spans="1:16" x14ac:dyDescent="0.2">
      <c r="A704" s="6"/>
      <c r="B704" s="6"/>
      <c r="C704" s="6"/>
      <c r="D704" s="6"/>
      <c r="E704" s="6"/>
      <c r="F704" s="6"/>
      <c r="G704" s="6"/>
      <c r="H704" s="6"/>
      <c r="I704" s="6"/>
      <c r="J704" s="6"/>
      <c r="K704" s="6"/>
      <c r="L704" s="6"/>
      <c r="M704" s="6"/>
      <c r="N704" s="6"/>
      <c r="O704" s="6"/>
      <c r="P704" s="6"/>
    </row>
    <row r="705" spans="1:16" x14ac:dyDescent="0.2">
      <c r="A705" s="6"/>
      <c r="B705" s="6"/>
      <c r="C705" s="6"/>
      <c r="D705" s="6"/>
      <c r="E705" s="6"/>
      <c r="F705" s="6"/>
      <c r="G705" s="6"/>
      <c r="H705" s="6"/>
      <c r="I705" s="6"/>
      <c r="J705" s="6"/>
      <c r="K705" s="6"/>
      <c r="L705" s="6"/>
      <c r="M705" s="6"/>
      <c r="N705" s="6"/>
      <c r="O705" s="6"/>
      <c r="P705" s="6"/>
    </row>
    <row r="706" spans="1:16" x14ac:dyDescent="0.2">
      <c r="A706" s="6"/>
      <c r="B706" s="6"/>
      <c r="C706" s="6"/>
      <c r="D706" s="6"/>
      <c r="E706" s="6"/>
      <c r="F706" s="6"/>
      <c r="G706" s="6"/>
      <c r="H706" s="6"/>
      <c r="I706" s="6"/>
      <c r="J706" s="6"/>
      <c r="K706" s="6"/>
      <c r="L706" s="6"/>
      <c r="M706" s="6"/>
      <c r="N706" s="6"/>
      <c r="O706" s="6"/>
      <c r="P706" s="6"/>
    </row>
    <row r="707" spans="1:16" x14ac:dyDescent="0.2">
      <c r="A707" s="6"/>
      <c r="B707" s="6"/>
      <c r="C707" s="6"/>
      <c r="D707" s="6"/>
      <c r="E707" s="6"/>
      <c r="F707" s="6"/>
      <c r="G707" s="6"/>
      <c r="H707" s="6"/>
      <c r="I707" s="6"/>
      <c r="J707" s="6"/>
      <c r="K707" s="6"/>
      <c r="L707" s="6"/>
      <c r="M707" s="6"/>
      <c r="N707" s="6"/>
      <c r="O707" s="6"/>
      <c r="P707" s="6"/>
    </row>
    <row r="708" spans="1:16" x14ac:dyDescent="0.2">
      <c r="A708" s="6"/>
      <c r="B708" s="6"/>
      <c r="C708" s="6"/>
      <c r="D708" s="6"/>
      <c r="E708" s="6"/>
      <c r="F708" s="6"/>
      <c r="G708" s="6"/>
      <c r="H708" s="6"/>
      <c r="I708" s="6"/>
      <c r="J708" s="6"/>
      <c r="K708" s="6"/>
      <c r="L708" s="6"/>
      <c r="M708" s="6"/>
      <c r="N708" s="6"/>
      <c r="O708" s="6"/>
      <c r="P708" s="6"/>
    </row>
    <row r="709" spans="1:16" x14ac:dyDescent="0.2">
      <c r="A709" s="6"/>
      <c r="B709" s="6"/>
      <c r="C709" s="6"/>
      <c r="D709" s="6"/>
      <c r="E709" s="6"/>
      <c r="F709" s="6"/>
      <c r="G709" s="6"/>
      <c r="H709" s="6"/>
      <c r="I709" s="6"/>
      <c r="J709" s="6"/>
      <c r="K709" s="6"/>
      <c r="L709" s="6"/>
      <c r="M709" s="6"/>
      <c r="N709" s="6"/>
      <c r="O709" s="6"/>
      <c r="P709" s="6"/>
    </row>
    <row r="710" spans="1:16" x14ac:dyDescent="0.2">
      <c r="A710" s="6"/>
      <c r="B710" s="6"/>
      <c r="C710" s="6"/>
      <c r="D710" s="6"/>
      <c r="E710" s="6"/>
      <c r="F710" s="6"/>
      <c r="G710" s="6"/>
      <c r="H710" s="6"/>
      <c r="I710" s="6"/>
      <c r="J710" s="6"/>
      <c r="K710" s="6"/>
      <c r="L710" s="6"/>
      <c r="M710" s="6"/>
      <c r="N710" s="6"/>
      <c r="O710" s="6"/>
      <c r="P710" s="6"/>
    </row>
    <row r="711" spans="1:16" x14ac:dyDescent="0.2">
      <c r="A711" s="6"/>
      <c r="B711" s="6"/>
      <c r="C711" s="6"/>
      <c r="D711" s="6"/>
      <c r="E711" s="6"/>
      <c r="F711" s="6"/>
      <c r="G711" s="6"/>
      <c r="H711" s="6"/>
      <c r="I711" s="6"/>
      <c r="J711" s="6"/>
      <c r="K711" s="6"/>
      <c r="L711" s="6"/>
      <c r="M711" s="6"/>
      <c r="N711" s="6"/>
      <c r="O711" s="6"/>
      <c r="P711" s="6"/>
    </row>
    <row r="712" spans="1:16" x14ac:dyDescent="0.2">
      <c r="A712" s="6"/>
      <c r="B712" s="6"/>
      <c r="C712" s="6"/>
      <c r="D712" s="6"/>
      <c r="E712" s="6"/>
      <c r="F712" s="6"/>
      <c r="G712" s="6"/>
      <c r="H712" s="6"/>
      <c r="I712" s="6"/>
      <c r="J712" s="6"/>
      <c r="K712" s="6"/>
      <c r="L712" s="6"/>
      <c r="M712" s="6"/>
      <c r="N712" s="6"/>
      <c r="O712" s="6"/>
      <c r="P712" s="6"/>
    </row>
    <row r="713" spans="1:16" x14ac:dyDescent="0.2">
      <c r="A713" s="6"/>
      <c r="B713" s="6"/>
      <c r="C713" s="6"/>
      <c r="D713" s="6"/>
      <c r="E713" s="6"/>
      <c r="F713" s="6"/>
      <c r="G713" s="6"/>
      <c r="H713" s="6"/>
      <c r="I713" s="6"/>
      <c r="J713" s="6"/>
      <c r="K713" s="6"/>
      <c r="L713" s="6"/>
      <c r="M713" s="6"/>
      <c r="N713" s="6"/>
      <c r="O713" s="6"/>
      <c r="P713" s="6"/>
    </row>
    <row r="714" spans="1:16" x14ac:dyDescent="0.2">
      <c r="A714" s="6"/>
      <c r="B714" s="6"/>
      <c r="C714" s="6"/>
      <c r="D714" s="6"/>
      <c r="E714" s="6"/>
      <c r="F714" s="6"/>
      <c r="G714" s="6"/>
      <c r="H714" s="6"/>
      <c r="I714" s="6"/>
      <c r="J714" s="6"/>
      <c r="K714" s="6"/>
      <c r="L714" s="6"/>
      <c r="M714" s="6"/>
      <c r="N714" s="6"/>
      <c r="O714" s="6"/>
      <c r="P714" s="6"/>
    </row>
    <row r="715" spans="1:16" x14ac:dyDescent="0.2">
      <c r="A715" s="6"/>
      <c r="B715" s="6"/>
      <c r="C715" s="6"/>
      <c r="D715" s="6"/>
      <c r="E715" s="6"/>
      <c r="F715" s="6"/>
      <c r="G715" s="6"/>
      <c r="H715" s="6"/>
      <c r="I715" s="6"/>
      <c r="J715" s="6"/>
      <c r="K715" s="6"/>
      <c r="L715" s="6"/>
      <c r="M715" s="6"/>
      <c r="N715" s="6"/>
      <c r="O715" s="6"/>
      <c r="P715" s="6"/>
    </row>
    <row r="716" spans="1:16" x14ac:dyDescent="0.2">
      <c r="A716" s="6"/>
      <c r="B716" s="6"/>
      <c r="C716" s="6"/>
      <c r="D716" s="6"/>
      <c r="E716" s="6"/>
      <c r="F716" s="6"/>
      <c r="G716" s="6"/>
      <c r="H716" s="6"/>
      <c r="I716" s="6"/>
      <c r="J716" s="6"/>
      <c r="K716" s="6"/>
      <c r="L716" s="6"/>
      <c r="M716" s="6"/>
      <c r="N716" s="6"/>
      <c r="O716" s="6"/>
      <c r="P716" s="6"/>
    </row>
    <row r="717" spans="1:16" x14ac:dyDescent="0.2">
      <c r="A717" s="6"/>
      <c r="B717" s="6"/>
      <c r="C717" s="6"/>
      <c r="D717" s="6"/>
      <c r="E717" s="6"/>
      <c r="F717" s="6"/>
      <c r="G717" s="6"/>
      <c r="H717" s="6"/>
      <c r="I717" s="6"/>
      <c r="J717" s="6"/>
      <c r="K717" s="6"/>
      <c r="L717" s="6"/>
      <c r="M717" s="6"/>
      <c r="N717" s="6"/>
      <c r="O717" s="6"/>
      <c r="P717" s="6"/>
    </row>
    <row r="718" spans="1:16" x14ac:dyDescent="0.2">
      <c r="A718" s="6"/>
      <c r="B718" s="6"/>
      <c r="C718" s="6"/>
      <c r="D718" s="6"/>
      <c r="E718" s="6"/>
      <c r="F718" s="6"/>
      <c r="G718" s="6"/>
      <c r="H718" s="6"/>
      <c r="I718" s="6"/>
      <c r="J718" s="6"/>
      <c r="K718" s="6"/>
      <c r="L718" s="6"/>
      <c r="M718" s="6"/>
      <c r="N718" s="6"/>
      <c r="O718" s="6"/>
      <c r="P718" s="6"/>
    </row>
    <row r="719" spans="1:16" x14ac:dyDescent="0.2">
      <c r="A719" s="6"/>
      <c r="B719" s="6"/>
      <c r="C719" s="6"/>
      <c r="D719" s="6"/>
      <c r="E719" s="6"/>
      <c r="F719" s="6"/>
      <c r="G719" s="6"/>
      <c r="H719" s="6"/>
      <c r="I719" s="6"/>
      <c r="J719" s="6"/>
      <c r="K719" s="6"/>
      <c r="L719" s="6"/>
      <c r="M719" s="6"/>
      <c r="N719" s="6"/>
      <c r="O719" s="6"/>
      <c r="P719" s="6"/>
    </row>
    <row r="720" spans="1:16" x14ac:dyDescent="0.2">
      <c r="A720" s="6"/>
      <c r="B720" s="6"/>
      <c r="C720" s="6"/>
      <c r="D720" s="6"/>
      <c r="E720" s="6"/>
      <c r="F720" s="6"/>
      <c r="G720" s="6"/>
      <c r="H720" s="6"/>
      <c r="I720" s="6"/>
      <c r="J720" s="6"/>
      <c r="K720" s="6"/>
      <c r="L720" s="6"/>
      <c r="M720" s="6"/>
      <c r="N720" s="6"/>
      <c r="O720" s="6"/>
      <c r="P720" s="6"/>
    </row>
    <row r="721" spans="1:16" x14ac:dyDescent="0.2">
      <c r="A721" s="6"/>
      <c r="B721" s="6"/>
      <c r="C721" s="6"/>
      <c r="D721" s="6"/>
      <c r="E721" s="6"/>
      <c r="F721" s="6"/>
      <c r="G721" s="6"/>
      <c r="H721" s="6"/>
      <c r="I721" s="6"/>
      <c r="J721" s="6"/>
      <c r="K721" s="6"/>
      <c r="L721" s="6"/>
      <c r="M721" s="6"/>
      <c r="N721" s="6"/>
      <c r="O721" s="6"/>
      <c r="P721" s="6"/>
    </row>
    <row r="722" spans="1:16" x14ac:dyDescent="0.2">
      <c r="A722" s="6"/>
      <c r="B722" s="6"/>
      <c r="C722" s="6"/>
      <c r="D722" s="6"/>
      <c r="E722" s="6"/>
      <c r="F722" s="6"/>
      <c r="G722" s="6"/>
      <c r="H722" s="6"/>
      <c r="I722" s="6"/>
      <c r="J722" s="6"/>
      <c r="K722" s="6"/>
      <c r="L722" s="6"/>
      <c r="M722" s="6"/>
      <c r="N722" s="6"/>
      <c r="O722" s="6"/>
      <c r="P722" s="6"/>
    </row>
    <row r="723" spans="1:16" x14ac:dyDescent="0.2">
      <c r="A723" s="6"/>
      <c r="B723" s="6"/>
      <c r="C723" s="6"/>
      <c r="D723" s="6"/>
      <c r="E723" s="6"/>
      <c r="F723" s="6"/>
      <c r="G723" s="6"/>
      <c r="H723" s="6"/>
      <c r="I723" s="6"/>
      <c r="J723" s="6"/>
      <c r="K723" s="6"/>
      <c r="L723" s="6"/>
      <c r="M723" s="6"/>
      <c r="N723" s="6"/>
      <c r="O723" s="6"/>
      <c r="P723" s="6"/>
    </row>
    <row r="724" spans="1:16" x14ac:dyDescent="0.2">
      <c r="A724" s="6"/>
      <c r="B724" s="6"/>
      <c r="C724" s="6"/>
      <c r="D724" s="6"/>
      <c r="E724" s="6"/>
      <c r="F724" s="6"/>
      <c r="G724" s="6"/>
      <c r="H724" s="6"/>
      <c r="I724" s="6"/>
      <c r="J724" s="6"/>
      <c r="K724" s="6"/>
      <c r="L724" s="6"/>
      <c r="M724" s="6"/>
      <c r="N724" s="6"/>
      <c r="O724" s="6"/>
      <c r="P724" s="6"/>
    </row>
    <row r="725" spans="1:16" x14ac:dyDescent="0.2">
      <c r="A725" s="6"/>
      <c r="B725" s="6"/>
      <c r="C725" s="6"/>
      <c r="D725" s="6"/>
      <c r="E725" s="6"/>
      <c r="F725" s="6"/>
      <c r="G725" s="6"/>
      <c r="H725" s="6"/>
      <c r="I725" s="6"/>
      <c r="J725" s="6"/>
      <c r="K725" s="6"/>
      <c r="L725" s="6"/>
      <c r="M725" s="6"/>
      <c r="N725" s="6"/>
      <c r="O725" s="6"/>
      <c r="P725" s="6"/>
    </row>
    <row r="726" spans="1:16" x14ac:dyDescent="0.2">
      <c r="A726" s="6"/>
      <c r="B726" s="6"/>
      <c r="C726" s="6"/>
      <c r="D726" s="6"/>
      <c r="E726" s="6"/>
      <c r="F726" s="6"/>
      <c r="G726" s="6"/>
      <c r="H726" s="6"/>
      <c r="I726" s="6"/>
      <c r="J726" s="6"/>
      <c r="K726" s="6"/>
      <c r="L726" s="6"/>
      <c r="M726" s="6"/>
      <c r="N726" s="6"/>
      <c r="O726" s="6"/>
      <c r="P726" s="6"/>
    </row>
    <row r="727" spans="1:16" x14ac:dyDescent="0.2">
      <c r="A727" s="6"/>
      <c r="B727" s="6"/>
      <c r="C727" s="6"/>
      <c r="D727" s="6"/>
      <c r="E727" s="6"/>
      <c r="F727" s="6"/>
      <c r="G727" s="6"/>
      <c r="H727" s="6"/>
      <c r="I727" s="6"/>
      <c r="J727" s="6"/>
      <c r="K727" s="6"/>
      <c r="L727" s="6"/>
      <c r="M727" s="6"/>
      <c r="N727" s="6"/>
      <c r="O727" s="6"/>
      <c r="P727" s="6"/>
    </row>
    <row r="728" spans="1:16" x14ac:dyDescent="0.2">
      <c r="A728" s="6"/>
      <c r="B728" s="6"/>
      <c r="C728" s="6"/>
      <c r="D728" s="6"/>
      <c r="E728" s="6"/>
      <c r="F728" s="6"/>
      <c r="G728" s="6"/>
      <c r="H728" s="6"/>
      <c r="I728" s="6"/>
      <c r="J728" s="6"/>
      <c r="K728" s="6"/>
      <c r="L728" s="6"/>
      <c r="M728" s="6"/>
      <c r="N728" s="6"/>
      <c r="O728" s="6"/>
      <c r="P728" s="6"/>
    </row>
    <row r="729" spans="1:16" x14ac:dyDescent="0.2">
      <c r="A729" s="6"/>
      <c r="B729" s="6"/>
      <c r="C729" s="6"/>
      <c r="D729" s="6"/>
      <c r="E729" s="6"/>
      <c r="F729" s="6"/>
      <c r="G729" s="6"/>
      <c r="H729" s="6"/>
      <c r="I729" s="6"/>
      <c r="J729" s="6"/>
      <c r="K729" s="6"/>
      <c r="L729" s="6"/>
      <c r="M729" s="6"/>
      <c r="N729" s="6"/>
      <c r="O729" s="6"/>
      <c r="P729" s="6"/>
    </row>
    <row r="730" spans="1:16" x14ac:dyDescent="0.2">
      <c r="A730" s="6"/>
      <c r="B730" s="6"/>
      <c r="C730" s="6"/>
      <c r="D730" s="6"/>
      <c r="E730" s="6"/>
      <c r="F730" s="6"/>
      <c r="G730" s="6"/>
      <c r="H730" s="6"/>
      <c r="I730" s="6"/>
      <c r="J730" s="6"/>
      <c r="K730" s="6"/>
      <c r="L730" s="6"/>
      <c r="M730" s="6"/>
      <c r="N730" s="6"/>
      <c r="O730" s="6"/>
      <c r="P730" s="6"/>
    </row>
    <row r="731" spans="1:16" x14ac:dyDescent="0.2">
      <c r="A731" s="6"/>
      <c r="B731" s="6"/>
      <c r="C731" s="6"/>
      <c r="D731" s="6"/>
      <c r="E731" s="6"/>
      <c r="F731" s="6"/>
      <c r="G731" s="6"/>
      <c r="H731" s="6"/>
      <c r="I731" s="6"/>
      <c r="J731" s="6"/>
      <c r="K731" s="6"/>
      <c r="L731" s="6"/>
      <c r="M731" s="6"/>
      <c r="N731" s="6"/>
      <c r="O731" s="6"/>
      <c r="P731" s="6"/>
    </row>
    <row r="732" spans="1:16" x14ac:dyDescent="0.2">
      <c r="A732" s="6"/>
      <c r="B732" s="6"/>
      <c r="C732" s="6"/>
      <c r="D732" s="6"/>
      <c r="E732" s="6"/>
      <c r="F732" s="6"/>
      <c r="G732" s="6"/>
      <c r="H732" s="6"/>
      <c r="I732" s="6"/>
      <c r="J732" s="6"/>
      <c r="K732" s="6"/>
      <c r="L732" s="6"/>
      <c r="M732" s="6"/>
      <c r="N732" s="6"/>
      <c r="O732" s="6"/>
      <c r="P732" s="6"/>
    </row>
    <row r="733" spans="1:16" x14ac:dyDescent="0.2">
      <c r="A733" s="6"/>
      <c r="B733" s="6"/>
      <c r="C733" s="6"/>
      <c r="D733" s="6"/>
      <c r="E733" s="6"/>
      <c r="F733" s="6"/>
      <c r="G733" s="6"/>
      <c r="H733" s="6"/>
      <c r="I733" s="6"/>
      <c r="J733" s="6"/>
      <c r="K733" s="6"/>
      <c r="L733" s="6"/>
      <c r="M733" s="6"/>
      <c r="N733" s="6"/>
      <c r="O733" s="6"/>
      <c r="P733" s="6"/>
    </row>
    <row r="734" spans="1:16" x14ac:dyDescent="0.2">
      <c r="A734" s="6"/>
      <c r="B734" s="6"/>
      <c r="C734" s="6"/>
      <c r="D734" s="6"/>
      <c r="E734" s="6"/>
      <c r="F734" s="6"/>
      <c r="G734" s="6"/>
      <c r="H734" s="6"/>
      <c r="I734" s="6"/>
      <c r="J734" s="6"/>
      <c r="K734" s="6"/>
      <c r="L734" s="6"/>
      <c r="M734" s="6"/>
      <c r="N734" s="6"/>
      <c r="O734" s="6"/>
      <c r="P734" s="6"/>
    </row>
    <row r="735" spans="1:16" x14ac:dyDescent="0.2">
      <c r="A735" s="6"/>
      <c r="B735" s="6"/>
      <c r="C735" s="6"/>
      <c r="D735" s="6"/>
      <c r="E735" s="6"/>
      <c r="F735" s="6"/>
      <c r="G735" s="6"/>
      <c r="H735" s="6"/>
      <c r="I735" s="6"/>
      <c r="J735" s="6"/>
      <c r="K735" s="6"/>
      <c r="L735" s="6"/>
      <c r="M735" s="6"/>
      <c r="N735" s="6"/>
      <c r="O735" s="6"/>
      <c r="P735" s="6"/>
    </row>
    <row r="736" spans="1:16" x14ac:dyDescent="0.2">
      <c r="A736" s="6"/>
      <c r="B736" s="6"/>
      <c r="C736" s="6"/>
      <c r="D736" s="6"/>
      <c r="E736" s="6"/>
      <c r="F736" s="6"/>
      <c r="G736" s="6"/>
      <c r="H736" s="6"/>
      <c r="I736" s="6"/>
      <c r="J736" s="6"/>
      <c r="K736" s="6"/>
      <c r="L736" s="6"/>
      <c r="M736" s="6"/>
      <c r="N736" s="6"/>
      <c r="O736" s="6"/>
      <c r="P736" s="6"/>
    </row>
    <row r="737" spans="1:16" x14ac:dyDescent="0.2">
      <c r="A737" s="6"/>
      <c r="B737" s="6"/>
      <c r="C737" s="6"/>
      <c r="D737" s="6"/>
      <c r="E737" s="6"/>
      <c r="F737" s="6"/>
      <c r="G737" s="6"/>
      <c r="H737" s="6"/>
      <c r="I737" s="6"/>
      <c r="J737" s="6"/>
      <c r="K737" s="6"/>
      <c r="L737" s="6"/>
      <c r="M737" s="6"/>
      <c r="N737" s="6"/>
      <c r="O737" s="6"/>
      <c r="P737" s="6"/>
    </row>
    <row r="738" spans="1:16" x14ac:dyDescent="0.2">
      <c r="A738" s="6"/>
      <c r="B738" s="6"/>
      <c r="C738" s="6"/>
      <c r="D738" s="6"/>
      <c r="E738" s="6"/>
      <c r="F738" s="6"/>
      <c r="G738" s="6"/>
      <c r="H738" s="6"/>
      <c r="I738" s="6"/>
      <c r="J738" s="6"/>
      <c r="K738" s="6"/>
      <c r="L738" s="6"/>
      <c r="M738" s="6"/>
      <c r="N738" s="6"/>
      <c r="O738" s="6"/>
      <c r="P738" s="6"/>
    </row>
    <row r="739" spans="1:16" x14ac:dyDescent="0.2">
      <c r="A739" s="6"/>
      <c r="B739" s="6"/>
      <c r="C739" s="6"/>
      <c r="D739" s="6"/>
      <c r="E739" s="6"/>
      <c r="F739" s="6"/>
      <c r="G739" s="6"/>
      <c r="H739" s="6"/>
      <c r="I739" s="6"/>
      <c r="J739" s="6"/>
      <c r="K739" s="6"/>
      <c r="L739" s="6"/>
      <c r="M739" s="6"/>
      <c r="N739" s="6"/>
      <c r="O739" s="6"/>
      <c r="P739" s="6"/>
    </row>
    <row r="740" spans="1:16" x14ac:dyDescent="0.2">
      <c r="A740" s="6"/>
      <c r="B740" s="6"/>
      <c r="C740" s="6"/>
      <c r="D740" s="6"/>
      <c r="E740" s="6"/>
      <c r="F740" s="6"/>
      <c r="G740" s="6"/>
      <c r="H740" s="6"/>
      <c r="I740" s="6"/>
      <c r="J740" s="6"/>
      <c r="K740" s="6"/>
      <c r="L740" s="6"/>
      <c r="M740" s="6"/>
      <c r="N740" s="6"/>
      <c r="O740" s="6"/>
      <c r="P740" s="6"/>
    </row>
    <row r="741" spans="1:16" x14ac:dyDescent="0.2">
      <c r="A741" s="6"/>
      <c r="B741" s="6"/>
      <c r="C741" s="6"/>
      <c r="D741" s="6"/>
      <c r="E741" s="6"/>
      <c r="F741" s="6"/>
      <c r="G741" s="6"/>
      <c r="H741" s="6"/>
      <c r="I741" s="6"/>
      <c r="J741" s="6"/>
      <c r="K741" s="6"/>
      <c r="L741" s="6"/>
      <c r="M741" s="6"/>
      <c r="N741" s="6"/>
      <c r="O741" s="6"/>
      <c r="P741" s="6"/>
    </row>
    <row r="742" spans="1:16" x14ac:dyDescent="0.2">
      <c r="A742" s="6"/>
      <c r="B742" s="6"/>
      <c r="C742" s="6"/>
      <c r="D742" s="6"/>
      <c r="E742" s="6"/>
      <c r="F742" s="6"/>
      <c r="G742" s="6"/>
      <c r="H742" s="6"/>
      <c r="I742" s="6"/>
      <c r="J742" s="6"/>
      <c r="K742" s="6"/>
      <c r="L742" s="6"/>
      <c r="M742" s="6"/>
      <c r="N742" s="6"/>
      <c r="O742" s="6"/>
      <c r="P742" s="6"/>
    </row>
    <row r="743" spans="1:16" x14ac:dyDescent="0.2">
      <c r="A743" s="6"/>
      <c r="B743" s="6"/>
      <c r="C743" s="6"/>
      <c r="D743" s="6"/>
      <c r="E743" s="6"/>
      <c r="F743" s="6"/>
      <c r="G743" s="6"/>
      <c r="H743" s="6"/>
      <c r="I743" s="6"/>
      <c r="J743" s="6"/>
      <c r="K743" s="6"/>
      <c r="L743" s="6"/>
      <c r="M743" s="6"/>
      <c r="N743" s="6"/>
      <c r="O743" s="6"/>
      <c r="P743" s="6"/>
    </row>
    <row r="744" spans="1:16" x14ac:dyDescent="0.2">
      <c r="A744" s="6"/>
      <c r="B744" s="6"/>
      <c r="C744" s="6"/>
      <c r="D744" s="6"/>
      <c r="E744" s="6"/>
      <c r="F744" s="6"/>
      <c r="G744" s="6"/>
      <c r="H744" s="6"/>
      <c r="I744" s="6"/>
      <c r="J744" s="6"/>
      <c r="K744" s="6"/>
      <c r="L744" s="6"/>
      <c r="M744" s="6"/>
      <c r="N744" s="6"/>
      <c r="O744" s="6"/>
      <c r="P744" s="6"/>
    </row>
    <row r="745" spans="1:16" x14ac:dyDescent="0.2">
      <c r="A745" s="6"/>
      <c r="B745" s="6"/>
      <c r="C745" s="6"/>
      <c r="D745" s="6"/>
      <c r="E745" s="6"/>
      <c r="F745" s="6"/>
      <c r="G745" s="6"/>
      <c r="H745" s="6"/>
      <c r="I745" s="6"/>
      <c r="J745" s="6"/>
      <c r="K745" s="6"/>
      <c r="L745" s="6"/>
      <c r="M745" s="6"/>
      <c r="N745" s="6"/>
      <c r="O745" s="6"/>
      <c r="P745" s="6"/>
    </row>
    <row r="746" spans="1:16" x14ac:dyDescent="0.2">
      <c r="A746" s="6"/>
      <c r="B746" s="6"/>
      <c r="C746" s="6"/>
      <c r="D746" s="6"/>
      <c r="E746" s="6"/>
      <c r="F746" s="6"/>
      <c r="G746" s="6"/>
      <c r="H746" s="6"/>
      <c r="I746" s="6"/>
      <c r="J746" s="6"/>
      <c r="K746" s="6"/>
      <c r="L746" s="6"/>
      <c r="M746" s="6"/>
      <c r="N746" s="6"/>
      <c r="O746" s="6"/>
      <c r="P746" s="6"/>
    </row>
    <row r="747" spans="1:16" x14ac:dyDescent="0.2">
      <c r="A747" s="6"/>
      <c r="B747" s="6"/>
      <c r="C747" s="6"/>
      <c r="D747" s="6"/>
      <c r="E747" s="6"/>
      <c r="F747" s="6"/>
      <c r="G747" s="6"/>
      <c r="H747" s="6"/>
      <c r="I747" s="6"/>
      <c r="J747" s="6"/>
      <c r="K747" s="6"/>
      <c r="L747" s="6"/>
      <c r="M747" s="6"/>
      <c r="N747" s="6"/>
      <c r="O747" s="6"/>
      <c r="P747" s="6"/>
    </row>
    <row r="748" spans="1:16" x14ac:dyDescent="0.2">
      <c r="A748" s="6"/>
      <c r="B748" s="6"/>
      <c r="C748" s="6"/>
      <c r="D748" s="6"/>
      <c r="E748" s="6"/>
      <c r="F748" s="6"/>
      <c r="G748" s="6"/>
      <c r="H748" s="6"/>
      <c r="I748" s="6"/>
      <c r="J748" s="6"/>
      <c r="K748" s="6"/>
      <c r="L748" s="6"/>
      <c r="M748" s="6"/>
      <c r="N748" s="6"/>
      <c r="O748" s="6"/>
      <c r="P748" s="6"/>
    </row>
    <row r="749" spans="1:16" x14ac:dyDescent="0.2">
      <c r="A749" s="6"/>
      <c r="B749" s="6"/>
      <c r="C749" s="6"/>
      <c r="D749" s="6"/>
      <c r="E749" s="6"/>
      <c r="F749" s="6"/>
      <c r="G749" s="6"/>
      <c r="H749" s="6"/>
      <c r="I749" s="6"/>
      <c r="J749" s="6"/>
      <c r="K749" s="6"/>
      <c r="L749" s="6"/>
      <c r="M749" s="6"/>
      <c r="N749" s="6"/>
      <c r="O749" s="6"/>
      <c r="P749" s="6"/>
    </row>
    <row r="750" spans="1:16" x14ac:dyDescent="0.2">
      <c r="A750" s="6"/>
      <c r="B750" s="6"/>
      <c r="C750" s="6"/>
      <c r="D750" s="6"/>
      <c r="E750" s="6"/>
      <c r="F750" s="6"/>
      <c r="G750" s="6"/>
      <c r="H750" s="6"/>
      <c r="I750" s="6"/>
      <c r="J750" s="6"/>
      <c r="K750" s="6"/>
      <c r="L750" s="6"/>
      <c r="M750" s="6"/>
      <c r="N750" s="6"/>
      <c r="O750" s="6"/>
      <c r="P750" s="6"/>
    </row>
    <row r="751" spans="1:16" x14ac:dyDescent="0.2">
      <c r="A751" s="6"/>
      <c r="B751" s="6"/>
      <c r="C751" s="6"/>
      <c r="D751" s="6"/>
      <c r="E751" s="6"/>
      <c r="F751" s="6"/>
      <c r="G751" s="6"/>
      <c r="H751" s="6"/>
      <c r="I751" s="6"/>
      <c r="J751" s="6"/>
      <c r="K751" s="6"/>
      <c r="L751" s="6"/>
      <c r="M751" s="6"/>
      <c r="N751" s="6"/>
      <c r="O751" s="6"/>
      <c r="P751" s="6"/>
    </row>
    <row r="752" spans="1:16" x14ac:dyDescent="0.2">
      <c r="A752" s="6"/>
      <c r="B752" s="6"/>
      <c r="C752" s="6"/>
      <c r="D752" s="6"/>
      <c r="E752" s="6"/>
      <c r="F752" s="6"/>
      <c r="G752" s="6"/>
      <c r="H752" s="6"/>
      <c r="I752" s="6"/>
      <c r="J752" s="6"/>
      <c r="K752" s="6"/>
      <c r="L752" s="6"/>
      <c r="M752" s="6"/>
      <c r="N752" s="6"/>
      <c r="O752" s="6"/>
      <c r="P752" s="6"/>
    </row>
    <row r="753" spans="1:16" x14ac:dyDescent="0.2">
      <c r="A753" s="6"/>
      <c r="B753" s="6"/>
      <c r="C753" s="6"/>
      <c r="D753" s="6"/>
      <c r="E753" s="6"/>
      <c r="F753" s="6"/>
      <c r="G753" s="6"/>
      <c r="H753" s="6"/>
      <c r="I753" s="6"/>
      <c r="J753" s="6"/>
      <c r="K753" s="6"/>
      <c r="L753" s="6"/>
      <c r="M753" s="6"/>
      <c r="N753" s="6"/>
      <c r="O753" s="6"/>
      <c r="P753" s="6"/>
    </row>
    <row r="754" spans="1:16" x14ac:dyDescent="0.2">
      <c r="A754" s="6"/>
      <c r="B754" s="6"/>
      <c r="C754" s="6"/>
      <c r="D754" s="6"/>
      <c r="E754" s="6"/>
      <c r="F754" s="6"/>
      <c r="G754" s="6"/>
      <c r="H754" s="6"/>
      <c r="I754" s="6"/>
      <c r="J754" s="6"/>
      <c r="K754" s="6"/>
      <c r="L754" s="6"/>
      <c r="M754" s="6"/>
      <c r="N754" s="6"/>
      <c r="O754" s="6"/>
      <c r="P754" s="6"/>
    </row>
    <row r="755" spans="1:16" x14ac:dyDescent="0.2">
      <c r="A755" s="6"/>
      <c r="B755" s="6"/>
      <c r="C755" s="6"/>
      <c r="D755" s="6"/>
      <c r="E755" s="6"/>
      <c r="F755" s="6"/>
      <c r="G755" s="6"/>
      <c r="H755" s="6"/>
      <c r="I755" s="6"/>
      <c r="J755" s="6"/>
      <c r="K755" s="6"/>
      <c r="L755" s="6"/>
      <c r="M755" s="6"/>
      <c r="N755" s="6"/>
      <c r="O755" s="6"/>
      <c r="P755" s="6"/>
    </row>
    <row r="756" spans="1:16" x14ac:dyDescent="0.2">
      <c r="A756" s="6"/>
      <c r="B756" s="6"/>
      <c r="C756" s="6"/>
      <c r="D756" s="6"/>
      <c r="E756" s="6"/>
      <c r="F756" s="6"/>
      <c r="G756" s="6"/>
      <c r="H756" s="6"/>
      <c r="I756" s="6"/>
      <c r="J756" s="6"/>
      <c r="K756" s="6"/>
      <c r="L756" s="6"/>
      <c r="M756" s="6"/>
      <c r="N756" s="6"/>
      <c r="O756" s="6"/>
      <c r="P756" s="6"/>
    </row>
    <row r="757" spans="1:16" x14ac:dyDescent="0.2">
      <c r="A757" s="6"/>
      <c r="B757" s="6"/>
      <c r="C757" s="6"/>
      <c r="D757" s="6"/>
      <c r="E757" s="6"/>
      <c r="F757" s="6"/>
      <c r="G757" s="6"/>
      <c r="H757" s="6"/>
      <c r="I757" s="6"/>
      <c r="J757" s="6"/>
      <c r="K757" s="6"/>
      <c r="L757" s="6"/>
      <c r="M757" s="6"/>
      <c r="N757" s="6"/>
      <c r="O757" s="6"/>
      <c r="P757" s="6"/>
    </row>
    <row r="758" spans="1:16" x14ac:dyDescent="0.2">
      <c r="A758" s="6"/>
      <c r="B758" s="6"/>
      <c r="C758" s="6"/>
      <c r="D758" s="6"/>
      <c r="E758" s="6"/>
      <c r="F758" s="6"/>
      <c r="G758" s="6"/>
      <c r="H758" s="6"/>
      <c r="I758" s="6"/>
      <c r="J758" s="6"/>
      <c r="K758" s="6"/>
      <c r="L758" s="6"/>
      <c r="M758" s="6"/>
      <c r="N758" s="6"/>
      <c r="O758" s="6"/>
      <c r="P758" s="6"/>
    </row>
    <row r="759" spans="1:16" x14ac:dyDescent="0.2">
      <c r="A759" s="6"/>
      <c r="B759" s="6"/>
      <c r="C759" s="6"/>
      <c r="D759" s="6"/>
      <c r="E759" s="6"/>
      <c r="F759" s="6"/>
      <c r="G759" s="6"/>
      <c r="H759" s="6"/>
      <c r="I759" s="6"/>
      <c r="J759" s="6"/>
      <c r="K759" s="6"/>
      <c r="L759" s="6"/>
      <c r="M759" s="6"/>
      <c r="N759" s="6"/>
      <c r="O759" s="6"/>
      <c r="P759" s="6"/>
    </row>
    <row r="760" spans="1:16" x14ac:dyDescent="0.2">
      <c r="A760" s="6"/>
      <c r="B760" s="6"/>
      <c r="C760" s="6"/>
      <c r="D760" s="6"/>
      <c r="E760" s="6"/>
      <c r="F760" s="6"/>
      <c r="G760" s="6"/>
      <c r="H760" s="6"/>
      <c r="I760" s="6"/>
      <c r="J760" s="6"/>
      <c r="K760" s="6"/>
      <c r="L760" s="6"/>
      <c r="M760" s="6"/>
      <c r="N760" s="6"/>
      <c r="O760" s="6"/>
      <c r="P760" s="6"/>
    </row>
    <row r="761" spans="1:16" x14ac:dyDescent="0.2">
      <c r="A761" s="6"/>
      <c r="B761" s="6"/>
      <c r="C761" s="6"/>
      <c r="D761" s="6"/>
      <c r="E761" s="6"/>
      <c r="F761" s="6"/>
      <c r="G761" s="6"/>
      <c r="H761" s="6"/>
      <c r="I761" s="6"/>
      <c r="J761" s="6"/>
      <c r="K761" s="6"/>
      <c r="L761" s="6"/>
      <c r="M761" s="6"/>
      <c r="N761" s="6"/>
      <c r="O761" s="6"/>
      <c r="P761" s="6"/>
    </row>
    <row r="762" spans="1:16" x14ac:dyDescent="0.2">
      <c r="A762" s="6"/>
      <c r="B762" s="6"/>
      <c r="C762" s="6"/>
      <c r="D762" s="6"/>
      <c r="E762" s="6"/>
      <c r="F762" s="6"/>
      <c r="G762" s="6"/>
      <c r="H762" s="6"/>
      <c r="I762" s="6"/>
      <c r="J762" s="6"/>
      <c r="K762" s="6"/>
      <c r="L762" s="6"/>
      <c r="M762" s="6"/>
      <c r="N762" s="6"/>
      <c r="O762" s="6"/>
      <c r="P762" s="6"/>
    </row>
    <row r="763" spans="1:16" x14ac:dyDescent="0.2">
      <c r="A763" s="6"/>
      <c r="B763" s="6"/>
      <c r="C763" s="6"/>
      <c r="D763" s="6"/>
      <c r="E763" s="6"/>
      <c r="F763" s="6"/>
      <c r="G763" s="6"/>
      <c r="H763" s="6"/>
      <c r="I763" s="6"/>
      <c r="J763" s="6"/>
      <c r="K763" s="6"/>
      <c r="L763" s="6"/>
      <c r="M763" s="6"/>
      <c r="N763" s="6"/>
      <c r="O763" s="6"/>
      <c r="P763" s="6"/>
    </row>
    <row r="764" spans="1:16" x14ac:dyDescent="0.2">
      <c r="A764" s="6"/>
      <c r="B764" s="6"/>
      <c r="C764" s="6"/>
      <c r="D764" s="6"/>
      <c r="E764" s="6"/>
      <c r="F764" s="6"/>
      <c r="G764" s="6"/>
      <c r="H764" s="6"/>
      <c r="I764" s="6"/>
      <c r="J764" s="6"/>
      <c r="K764" s="6"/>
      <c r="L764" s="6"/>
      <c r="M764" s="6"/>
      <c r="N764" s="6"/>
      <c r="O764" s="6"/>
      <c r="P764" s="6"/>
    </row>
    <row r="765" spans="1:16" x14ac:dyDescent="0.2">
      <c r="A765" s="6"/>
      <c r="B765" s="6"/>
      <c r="C765" s="6"/>
      <c r="D765" s="6"/>
      <c r="E765" s="6"/>
      <c r="F765" s="6"/>
      <c r="G765" s="6"/>
      <c r="H765" s="6"/>
      <c r="I765" s="6"/>
      <c r="J765" s="6"/>
      <c r="K765" s="6"/>
      <c r="L765" s="6"/>
      <c r="M765" s="6"/>
      <c r="N765" s="6"/>
      <c r="O765" s="6"/>
      <c r="P765" s="6"/>
    </row>
    <row r="766" spans="1:16" x14ac:dyDescent="0.2">
      <c r="A766" s="6"/>
      <c r="B766" s="6"/>
      <c r="C766" s="6"/>
      <c r="D766" s="6"/>
      <c r="E766" s="6"/>
      <c r="F766" s="6"/>
      <c r="G766" s="6"/>
      <c r="H766" s="6"/>
      <c r="I766" s="6"/>
      <c r="J766" s="6"/>
      <c r="K766" s="6"/>
      <c r="L766" s="6"/>
      <c r="M766" s="6"/>
      <c r="N766" s="6"/>
      <c r="O766" s="6"/>
      <c r="P766" s="6"/>
    </row>
    <row r="767" spans="1:16" x14ac:dyDescent="0.2">
      <c r="A767" s="6"/>
      <c r="B767" s="6"/>
      <c r="C767" s="6"/>
      <c r="D767" s="6"/>
      <c r="E767" s="6"/>
      <c r="F767" s="6"/>
      <c r="G767" s="6"/>
      <c r="H767" s="6"/>
      <c r="I767" s="6"/>
      <c r="J767" s="6"/>
      <c r="K767" s="6"/>
      <c r="L767" s="6"/>
      <c r="M767" s="6"/>
      <c r="N767" s="6"/>
      <c r="O767" s="6"/>
      <c r="P767" s="6"/>
    </row>
    <row r="768" spans="1:16" x14ac:dyDescent="0.2">
      <c r="A768" s="6"/>
      <c r="B768" s="6"/>
      <c r="C768" s="6"/>
      <c r="D768" s="6"/>
      <c r="E768" s="6"/>
      <c r="F768" s="6"/>
      <c r="G768" s="6"/>
      <c r="H768" s="6"/>
      <c r="I768" s="6"/>
      <c r="J768" s="6"/>
      <c r="K768" s="6"/>
      <c r="L768" s="6"/>
      <c r="M768" s="6"/>
      <c r="N768" s="6"/>
      <c r="O768" s="6"/>
      <c r="P768" s="6"/>
    </row>
    <row r="769" spans="1:16" x14ac:dyDescent="0.2">
      <c r="A769" s="6"/>
      <c r="B769" s="6"/>
      <c r="C769" s="6"/>
      <c r="D769" s="6"/>
      <c r="E769" s="6"/>
      <c r="F769" s="6"/>
      <c r="G769" s="6"/>
      <c r="H769" s="6"/>
      <c r="I769" s="6"/>
      <c r="J769" s="6"/>
      <c r="K769" s="6"/>
      <c r="L769" s="6"/>
      <c r="M769" s="6"/>
      <c r="N769" s="6"/>
      <c r="O769" s="6"/>
      <c r="P769" s="6"/>
    </row>
    <row r="770" spans="1:16" x14ac:dyDescent="0.2">
      <c r="A770" s="6"/>
      <c r="B770" s="6"/>
      <c r="C770" s="6"/>
      <c r="D770" s="6"/>
      <c r="E770" s="6"/>
      <c r="F770" s="6"/>
      <c r="G770" s="6"/>
      <c r="H770" s="6"/>
      <c r="I770" s="6"/>
      <c r="J770" s="6"/>
      <c r="K770" s="6"/>
      <c r="L770" s="6"/>
      <c r="M770" s="6"/>
      <c r="N770" s="6"/>
      <c r="O770" s="6"/>
      <c r="P770" s="6"/>
    </row>
    <row r="771" spans="1:16" x14ac:dyDescent="0.2">
      <c r="A771" s="6"/>
      <c r="B771" s="6"/>
      <c r="C771" s="6"/>
      <c r="D771" s="6"/>
      <c r="E771" s="6"/>
      <c r="F771" s="6"/>
      <c r="G771" s="6"/>
      <c r="H771" s="6"/>
      <c r="I771" s="6"/>
      <c r="J771" s="6"/>
      <c r="K771" s="6"/>
      <c r="L771" s="6"/>
      <c r="M771" s="6"/>
      <c r="N771" s="6"/>
      <c r="O771" s="6"/>
      <c r="P771" s="6"/>
    </row>
    <row r="772" spans="1:16" x14ac:dyDescent="0.2">
      <c r="A772" s="6"/>
      <c r="B772" s="6"/>
      <c r="C772" s="6"/>
      <c r="D772" s="6"/>
      <c r="E772" s="6"/>
      <c r="F772" s="6"/>
      <c r="G772" s="6"/>
      <c r="H772" s="6"/>
      <c r="I772" s="6"/>
      <c r="J772" s="6"/>
      <c r="K772" s="6"/>
      <c r="L772" s="6"/>
      <c r="M772" s="6"/>
      <c r="N772" s="6"/>
      <c r="O772" s="6"/>
      <c r="P772" s="6"/>
    </row>
    <row r="773" spans="1:16" x14ac:dyDescent="0.2">
      <c r="A773" s="6"/>
      <c r="B773" s="6"/>
      <c r="C773" s="6"/>
      <c r="D773" s="6"/>
      <c r="E773" s="6"/>
      <c r="F773" s="6"/>
      <c r="G773" s="6"/>
      <c r="H773" s="6"/>
      <c r="I773" s="6"/>
      <c r="J773" s="6"/>
      <c r="K773" s="6"/>
      <c r="L773" s="6"/>
      <c r="M773" s="6"/>
      <c r="N773" s="6"/>
      <c r="O773" s="6"/>
      <c r="P773" s="6"/>
    </row>
    <row r="774" spans="1:16" x14ac:dyDescent="0.2">
      <c r="A774" s="6"/>
      <c r="B774" s="6"/>
      <c r="C774" s="6"/>
      <c r="D774" s="6"/>
      <c r="E774" s="6"/>
      <c r="F774" s="6"/>
      <c r="G774" s="6"/>
      <c r="H774" s="6"/>
      <c r="I774" s="6"/>
      <c r="J774" s="6"/>
      <c r="K774" s="6"/>
      <c r="L774" s="6"/>
      <c r="M774" s="6"/>
      <c r="N774" s="6"/>
      <c r="O774" s="6"/>
      <c r="P774" s="6"/>
    </row>
    <row r="775" spans="1:16" x14ac:dyDescent="0.2">
      <c r="A775" s="6"/>
      <c r="B775" s="6"/>
      <c r="C775" s="6"/>
      <c r="D775" s="6"/>
      <c r="E775" s="6"/>
      <c r="F775" s="6"/>
      <c r="G775" s="6"/>
      <c r="H775" s="6"/>
      <c r="I775" s="6"/>
      <c r="J775" s="6"/>
      <c r="K775" s="6"/>
      <c r="L775" s="6"/>
      <c r="M775" s="6"/>
      <c r="N775" s="6"/>
      <c r="O775" s="6"/>
      <c r="P775" s="6"/>
    </row>
    <row r="776" spans="1:16" x14ac:dyDescent="0.2">
      <c r="A776" s="6"/>
      <c r="B776" s="6"/>
      <c r="C776" s="6"/>
      <c r="D776" s="6"/>
      <c r="E776" s="6"/>
      <c r="F776" s="6"/>
      <c r="G776" s="6"/>
      <c r="H776" s="6"/>
      <c r="I776" s="6"/>
      <c r="J776" s="6"/>
      <c r="K776" s="6"/>
      <c r="L776" s="6"/>
      <c r="M776" s="6"/>
      <c r="N776" s="6"/>
      <c r="O776" s="6"/>
      <c r="P776" s="6"/>
    </row>
    <row r="777" spans="1:16" x14ac:dyDescent="0.2">
      <c r="A777" s="6"/>
      <c r="B777" s="6"/>
      <c r="C777" s="6"/>
      <c r="D777" s="6"/>
      <c r="E777" s="6"/>
      <c r="F777" s="6"/>
      <c r="G777" s="6"/>
      <c r="H777" s="6"/>
      <c r="I777" s="6"/>
      <c r="J777" s="6"/>
      <c r="K777" s="6"/>
      <c r="L777" s="6"/>
      <c r="M777" s="6"/>
      <c r="N777" s="6"/>
      <c r="O777" s="6"/>
      <c r="P777" s="6"/>
    </row>
    <row r="778" spans="1:16" x14ac:dyDescent="0.2">
      <c r="A778" s="6"/>
      <c r="B778" s="6"/>
      <c r="C778" s="6"/>
      <c r="D778" s="6"/>
      <c r="E778" s="6"/>
      <c r="F778" s="6"/>
      <c r="G778" s="6"/>
      <c r="H778" s="6"/>
      <c r="I778" s="6"/>
      <c r="J778" s="6"/>
      <c r="K778" s="6"/>
      <c r="L778" s="6"/>
      <c r="M778" s="6"/>
      <c r="N778" s="6"/>
      <c r="O778" s="6"/>
      <c r="P778" s="6"/>
    </row>
    <row r="779" spans="1:16" x14ac:dyDescent="0.2">
      <c r="A779" s="6"/>
      <c r="B779" s="6"/>
      <c r="C779" s="6"/>
      <c r="D779" s="6"/>
      <c r="E779" s="6"/>
      <c r="F779" s="6"/>
      <c r="G779" s="6"/>
      <c r="H779" s="6"/>
      <c r="I779" s="6"/>
      <c r="J779" s="6"/>
      <c r="K779" s="6"/>
      <c r="L779" s="6"/>
      <c r="M779" s="6"/>
      <c r="N779" s="6"/>
      <c r="O779" s="6"/>
      <c r="P779" s="6"/>
    </row>
    <row r="780" spans="1:16" x14ac:dyDescent="0.2">
      <c r="A780" s="6"/>
      <c r="B780" s="6"/>
      <c r="C780" s="6"/>
      <c r="D780" s="6"/>
      <c r="E780" s="6"/>
      <c r="F780" s="6"/>
      <c r="G780" s="6"/>
      <c r="H780" s="6"/>
      <c r="I780" s="6"/>
      <c r="J780" s="6"/>
      <c r="K780" s="6"/>
      <c r="L780" s="6"/>
      <c r="M780" s="6"/>
      <c r="N780" s="6"/>
      <c r="O780" s="6"/>
      <c r="P780" s="6"/>
    </row>
    <row r="781" spans="1:16" x14ac:dyDescent="0.2">
      <c r="A781" s="6"/>
      <c r="B781" s="6"/>
      <c r="C781" s="6"/>
      <c r="D781" s="6"/>
      <c r="E781" s="6"/>
      <c r="F781" s="6"/>
      <c r="G781" s="6"/>
      <c r="H781" s="6"/>
      <c r="I781" s="6"/>
      <c r="J781" s="6"/>
      <c r="K781" s="6"/>
      <c r="L781" s="6"/>
      <c r="M781" s="6"/>
      <c r="N781" s="6"/>
      <c r="O781" s="6"/>
      <c r="P781" s="6"/>
    </row>
    <row r="782" spans="1:16" x14ac:dyDescent="0.2">
      <c r="A782" s="6"/>
      <c r="B782" s="6"/>
      <c r="C782" s="6"/>
      <c r="D782" s="6"/>
      <c r="E782" s="6"/>
      <c r="F782" s="6"/>
      <c r="G782" s="6"/>
      <c r="H782" s="6"/>
      <c r="I782" s="6"/>
      <c r="J782" s="6"/>
      <c r="K782" s="6"/>
      <c r="L782" s="6"/>
      <c r="M782" s="6"/>
      <c r="N782" s="6"/>
      <c r="O782" s="6"/>
      <c r="P782" s="6"/>
    </row>
    <row r="783" spans="1:16" x14ac:dyDescent="0.2">
      <c r="A783" s="6"/>
      <c r="B783" s="6"/>
      <c r="C783" s="6"/>
      <c r="D783" s="6"/>
      <c r="E783" s="6"/>
      <c r="F783" s="6"/>
      <c r="G783" s="6"/>
      <c r="H783" s="6"/>
      <c r="I783" s="6"/>
      <c r="J783" s="6"/>
      <c r="K783" s="6"/>
      <c r="L783" s="6"/>
      <c r="M783" s="6"/>
      <c r="N783" s="6"/>
      <c r="O783" s="6"/>
      <c r="P783" s="6"/>
    </row>
    <row r="784" spans="1:16" x14ac:dyDescent="0.2">
      <c r="A784" s="6"/>
      <c r="B784" s="6"/>
      <c r="C784" s="6"/>
      <c r="D784" s="6"/>
      <c r="E784" s="6"/>
      <c r="F784" s="6"/>
      <c r="G784" s="6"/>
      <c r="H784" s="6"/>
      <c r="I784" s="6"/>
      <c r="J784" s="6"/>
      <c r="K784" s="6"/>
      <c r="L784" s="6"/>
      <c r="M784" s="6"/>
      <c r="N784" s="6"/>
      <c r="O784" s="6"/>
      <c r="P784" s="6"/>
    </row>
    <row r="785" spans="1:16" x14ac:dyDescent="0.2">
      <c r="A785" s="6"/>
      <c r="B785" s="6"/>
      <c r="C785" s="6"/>
      <c r="D785" s="6"/>
      <c r="E785" s="6"/>
      <c r="F785" s="6"/>
      <c r="G785" s="6"/>
      <c r="H785" s="6"/>
      <c r="I785" s="6"/>
      <c r="J785" s="6"/>
      <c r="K785" s="6"/>
      <c r="L785" s="6"/>
      <c r="M785" s="6"/>
      <c r="N785" s="6"/>
      <c r="O785" s="6"/>
      <c r="P785" s="6"/>
    </row>
    <row r="786" spans="1:16" x14ac:dyDescent="0.2">
      <c r="A786" s="6"/>
      <c r="B786" s="6"/>
      <c r="C786" s="6"/>
      <c r="D786" s="6"/>
      <c r="E786" s="6"/>
      <c r="F786" s="6"/>
      <c r="G786" s="6"/>
      <c r="H786" s="6"/>
      <c r="I786" s="6"/>
      <c r="J786" s="6"/>
      <c r="K786" s="6"/>
      <c r="L786" s="6"/>
      <c r="M786" s="6"/>
      <c r="N786" s="6"/>
      <c r="O786" s="6"/>
      <c r="P786" s="6"/>
    </row>
    <row r="787" spans="1:16" x14ac:dyDescent="0.2">
      <c r="A787" s="6"/>
      <c r="B787" s="6"/>
      <c r="C787" s="6"/>
      <c r="D787" s="6"/>
      <c r="E787" s="6"/>
      <c r="F787" s="6"/>
      <c r="G787" s="6"/>
      <c r="H787" s="6"/>
      <c r="I787" s="6"/>
      <c r="J787" s="6"/>
      <c r="K787" s="6"/>
      <c r="L787" s="6"/>
      <c r="M787" s="6"/>
      <c r="N787" s="6"/>
      <c r="O787" s="6"/>
      <c r="P787" s="6"/>
    </row>
    <row r="788" spans="1:16" x14ac:dyDescent="0.2">
      <c r="A788" s="6"/>
      <c r="B788" s="6"/>
      <c r="C788" s="6"/>
      <c r="D788" s="6"/>
      <c r="E788" s="6"/>
      <c r="F788" s="6"/>
      <c r="G788" s="6"/>
      <c r="H788" s="6"/>
      <c r="I788" s="6"/>
      <c r="J788" s="6"/>
      <c r="K788" s="6"/>
      <c r="L788" s="6"/>
      <c r="M788" s="6"/>
      <c r="N788" s="6"/>
      <c r="O788" s="6"/>
      <c r="P788" s="6"/>
    </row>
    <row r="789" spans="1:16" x14ac:dyDescent="0.2">
      <c r="A789" s="6"/>
      <c r="B789" s="6"/>
      <c r="C789" s="6"/>
      <c r="D789" s="6"/>
      <c r="E789" s="6"/>
      <c r="F789" s="6"/>
      <c r="G789" s="6"/>
      <c r="H789" s="6"/>
      <c r="I789" s="6"/>
      <c r="J789" s="6"/>
      <c r="K789" s="6"/>
      <c r="L789" s="6"/>
      <c r="M789" s="6"/>
      <c r="N789" s="6"/>
      <c r="O789" s="6"/>
      <c r="P789" s="6"/>
    </row>
    <row r="790" spans="1:16" x14ac:dyDescent="0.2">
      <c r="A790" s="6"/>
      <c r="B790" s="6"/>
      <c r="C790" s="6"/>
      <c r="D790" s="6"/>
      <c r="E790" s="6"/>
      <c r="F790" s="6"/>
      <c r="G790" s="6"/>
      <c r="H790" s="6"/>
      <c r="I790" s="6"/>
      <c r="J790" s="6"/>
      <c r="K790" s="6"/>
      <c r="L790" s="6"/>
      <c r="M790" s="6"/>
      <c r="N790" s="6"/>
      <c r="O790" s="6"/>
      <c r="P790" s="6"/>
    </row>
    <row r="791" spans="1:16" x14ac:dyDescent="0.2">
      <c r="A791" s="6"/>
      <c r="B791" s="6"/>
      <c r="C791" s="6"/>
      <c r="D791" s="6"/>
      <c r="E791" s="6"/>
      <c r="F791" s="6"/>
      <c r="G791" s="6"/>
      <c r="H791" s="6"/>
      <c r="I791" s="6"/>
      <c r="J791" s="6"/>
      <c r="K791" s="6"/>
      <c r="L791" s="6"/>
      <c r="M791" s="6"/>
      <c r="N791" s="6"/>
      <c r="O791" s="6"/>
      <c r="P791" s="6"/>
    </row>
    <row r="792" spans="1:16" x14ac:dyDescent="0.2">
      <c r="A792" s="6"/>
      <c r="B792" s="6"/>
      <c r="C792" s="6"/>
      <c r="D792" s="6"/>
      <c r="E792" s="6"/>
      <c r="F792" s="6"/>
      <c r="G792" s="6"/>
      <c r="H792" s="6"/>
      <c r="I792" s="6"/>
      <c r="J792" s="6"/>
      <c r="K792" s="6"/>
      <c r="L792" s="6"/>
      <c r="M792" s="6"/>
      <c r="N792" s="6"/>
      <c r="O792" s="6"/>
      <c r="P792" s="6"/>
    </row>
    <row r="793" spans="1:16" x14ac:dyDescent="0.2">
      <c r="A793" s="6"/>
      <c r="B793" s="6"/>
      <c r="C793" s="6"/>
      <c r="D793" s="6"/>
      <c r="E793" s="6"/>
      <c r="F793" s="6"/>
      <c r="G793" s="6"/>
      <c r="H793" s="6"/>
      <c r="I793" s="6"/>
      <c r="J793" s="6"/>
      <c r="K793" s="6"/>
      <c r="L793" s="6"/>
      <c r="M793" s="6"/>
      <c r="N793" s="6"/>
      <c r="O793" s="6"/>
      <c r="P793" s="6"/>
    </row>
    <row r="794" spans="1:16" x14ac:dyDescent="0.2">
      <c r="A794" s="6"/>
      <c r="B794" s="6"/>
      <c r="C794" s="6"/>
      <c r="D794" s="6"/>
      <c r="E794" s="6"/>
      <c r="F794" s="6"/>
      <c r="G794" s="6"/>
      <c r="H794" s="6"/>
      <c r="I794" s="6"/>
      <c r="J794" s="6"/>
      <c r="K794" s="6"/>
      <c r="L794" s="6"/>
      <c r="M794" s="6"/>
      <c r="N794" s="6"/>
      <c r="O794" s="6"/>
      <c r="P794" s="6"/>
    </row>
    <row r="795" spans="1:16" x14ac:dyDescent="0.2">
      <c r="A795" s="6"/>
      <c r="B795" s="6"/>
      <c r="C795" s="6"/>
      <c r="D795" s="6"/>
      <c r="E795" s="6"/>
      <c r="F795" s="6"/>
      <c r="G795" s="6"/>
      <c r="H795" s="6"/>
      <c r="I795" s="6"/>
      <c r="J795" s="6"/>
      <c r="K795" s="6"/>
      <c r="L795" s="6"/>
      <c r="M795" s="6"/>
      <c r="N795" s="6"/>
      <c r="O795" s="6"/>
      <c r="P795" s="6"/>
    </row>
    <row r="796" spans="1:16" x14ac:dyDescent="0.2">
      <c r="A796" s="6"/>
      <c r="B796" s="6"/>
      <c r="C796" s="6"/>
      <c r="D796" s="6"/>
      <c r="E796" s="6"/>
      <c r="F796" s="6"/>
      <c r="G796" s="6"/>
      <c r="H796" s="6"/>
      <c r="I796" s="6"/>
      <c r="J796" s="6"/>
      <c r="K796" s="6"/>
      <c r="L796" s="6"/>
      <c r="M796" s="6"/>
      <c r="N796" s="6"/>
      <c r="O796" s="6"/>
      <c r="P796" s="6"/>
    </row>
    <row r="797" spans="1:16" x14ac:dyDescent="0.2">
      <c r="A797" s="6"/>
      <c r="B797" s="6"/>
      <c r="C797" s="6"/>
      <c r="D797" s="6"/>
      <c r="E797" s="6"/>
      <c r="F797" s="6"/>
      <c r="G797" s="6"/>
      <c r="H797" s="6"/>
      <c r="I797" s="6"/>
      <c r="J797" s="6"/>
      <c r="K797" s="6"/>
      <c r="L797" s="6"/>
      <c r="M797" s="6"/>
      <c r="N797" s="6"/>
      <c r="O797" s="6"/>
      <c r="P797" s="6"/>
    </row>
    <row r="798" spans="1:16" x14ac:dyDescent="0.2">
      <c r="A798" s="6"/>
      <c r="B798" s="6"/>
      <c r="C798" s="6"/>
      <c r="D798" s="6"/>
      <c r="E798" s="6"/>
      <c r="F798" s="6"/>
      <c r="G798" s="6"/>
      <c r="H798" s="6"/>
      <c r="I798" s="6"/>
      <c r="J798" s="6"/>
      <c r="K798" s="6"/>
      <c r="L798" s="6"/>
      <c r="M798" s="6"/>
      <c r="N798" s="6"/>
      <c r="O798" s="6"/>
      <c r="P798" s="6"/>
    </row>
    <row r="799" spans="1:16" x14ac:dyDescent="0.2">
      <c r="A799" s="6"/>
      <c r="B799" s="6"/>
      <c r="C799" s="6"/>
      <c r="D799" s="6"/>
      <c r="E799" s="6"/>
      <c r="F799" s="6"/>
      <c r="G799" s="6"/>
      <c r="H799" s="6"/>
      <c r="I799" s="6"/>
      <c r="J799" s="6"/>
      <c r="K799" s="6"/>
      <c r="L799" s="6"/>
      <c r="M799" s="6"/>
      <c r="N799" s="6"/>
      <c r="O799" s="6"/>
      <c r="P799" s="6"/>
    </row>
    <row r="800" spans="1:16" x14ac:dyDescent="0.2">
      <c r="A800" s="6"/>
      <c r="B800" s="6"/>
      <c r="C800" s="6"/>
      <c r="D800" s="6"/>
      <c r="E800" s="6"/>
      <c r="F800" s="6"/>
      <c r="G800" s="6"/>
      <c r="H800" s="6"/>
      <c r="I800" s="6"/>
      <c r="J800" s="6"/>
      <c r="K800" s="6"/>
      <c r="L800" s="6"/>
      <c r="M800" s="6"/>
      <c r="N800" s="6"/>
      <c r="O800" s="6"/>
      <c r="P800" s="6"/>
    </row>
    <row r="801" spans="1:16" x14ac:dyDescent="0.2">
      <c r="A801" s="6"/>
      <c r="B801" s="6"/>
      <c r="C801" s="6"/>
      <c r="D801" s="6"/>
      <c r="E801" s="6"/>
      <c r="F801" s="6"/>
      <c r="G801" s="6"/>
      <c r="H801" s="6"/>
      <c r="I801" s="6"/>
      <c r="J801" s="6"/>
      <c r="K801" s="6"/>
      <c r="L801" s="6"/>
      <c r="M801" s="6"/>
      <c r="N801" s="6"/>
      <c r="O801" s="6"/>
      <c r="P801" s="6"/>
    </row>
    <row r="802" spans="1:16" x14ac:dyDescent="0.2">
      <c r="A802" s="6"/>
      <c r="B802" s="6"/>
      <c r="C802" s="6"/>
      <c r="D802" s="6"/>
      <c r="E802" s="6"/>
      <c r="F802" s="6"/>
      <c r="G802" s="6"/>
      <c r="H802" s="6"/>
      <c r="I802" s="6"/>
      <c r="J802" s="6"/>
      <c r="K802" s="6"/>
      <c r="L802" s="6"/>
      <c r="M802" s="6"/>
      <c r="N802" s="6"/>
      <c r="O802" s="6"/>
      <c r="P802" s="6"/>
    </row>
    <row r="803" spans="1:16" x14ac:dyDescent="0.2">
      <c r="A803" s="6"/>
      <c r="B803" s="6"/>
      <c r="C803" s="6"/>
      <c r="D803" s="6"/>
      <c r="E803" s="6"/>
      <c r="F803" s="6"/>
      <c r="G803" s="6"/>
      <c r="H803" s="6"/>
      <c r="I803" s="6"/>
      <c r="J803" s="6"/>
      <c r="K803" s="6"/>
      <c r="L803" s="6"/>
      <c r="M803" s="6"/>
      <c r="N803" s="6"/>
      <c r="O803" s="6"/>
      <c r="P803" s="6"/>
    </row>
    <row r="804" spans="1:16" x14ac:dyDescent="0.2">
      <c r="A804" s="6"/>
      <c r="B804" s="6"/>
      <c r="C804" s="6"/>
      <c r="D804" s="6"/>
      <c r="E804" s="6"/>
      <c r="F804" s="6"/>
      <c r="G804" s="6"/>
      <c r="H804" s="6"/>
      <c r="I804" s="6"/>
      <c r="J804" s="6"/>
      <c r="K804" s="6"/>
      <c r="L804" s="6"/>
      <c r="M804" s="6"/>
      <c r="N804" s="6"/>
      <c r="O804" s="6"/>
      <c r="P804" s="6"/>
    </row>
    <row r="805" spans="1:16" x14ac:dyDescent="0.2">
      <c r="A805" s="6"/>
      <c r="B805" s="6"/>
      <c r="C805" s="6"/>
      <c r="D805" s="6"/>
      <c r="E805" s="6"/>
      <c r="F805" s="6"/>
      <c r="G805" s="6"/>
      <c r="H805" s="6"/>
      <c r="I805" s="6"/>
      <c r="J805" s="6"/>
      <c r="K805" s="6"/>
      <c r="L805" s="6"/>
      <c r="M805" s="6"/>
      <c r="N805" s="6"/>
      <c r="O805" s="6"/>
      <c r="P805" s="6"/>
    </row>
    <row r="806" spans="1:16" x14ac:dyDescent="0.2">
      <c r="A806" s="6"/>
      <c r="B806" s="6"/>
      <c r="C806" s="6"/>
      <c r="D806" s="6"/>
      <c r="E806" s="6"/>
      <c r="F806" s="6"/>
      <c r="G806" s="6"/>
      <c r="H806" s="6"/>
      <c r="I806" s="6"/>
      <c r="J806" s="6"/>
      <c r="K806" s="6"/>
      <c r="L806" s="6"/>
      <c r="M806" s="6"/>
      <c r="N806" s="6"/>
      <c r="O806" s="6"/>
      <c r="P806" s="6"/>
    </row>
    <row r="807" spans="1:16" x14ac:dyDescent="0.2">
      <c r="A807" s="6"/>
      <c r="B807" s="6"/>
      <c r="C807" s="6"/>
      <c r="D807" s="6"/>
      <c r="E807" s="6"/>
      <c r="F807" s="6"/>
      <c r="G807" s="6"/>
      <c r="H807" s="6"/>
      <c r="I807" s="6"/>
      <c r="J807" s="6"/>
      <c r="K807" s="6"/>
      <c r="L807" s="6"/>
      <c r="M807" s="6"/>
      <c r="N807" s="6"/>
      <c r="O807" s="6"/>
      <c r="P807" s="6"/>
    </row>
    <row r="808" spans="1:16" x14ac:dyDescent="0.2">
      <c r="A808" s="6"/>
      <c r="B808" s="6"/>
      <c r="C808" s="6"/>
      <c r="D808" s="6"/>
      <c r="E808" s="6"/>
      <c r="F808" s="6"/>
      <c r="G808" s="6"/>
      <c r="H808" s="6"/>
      <c r="I808" s="6"/>
      <c r="J808" s="6"/>
      <c r="K808" s="6"/>
      <c r="L808" s="6"/>
      <c r="M808" s="6"/>
      <c r="N808" s="6"/>
      <c r="O808" s="6"/>
      <c r="P808" s="6"/>
    </row>
    <row r="809" spans="1:16" x14ac:dyDescent="0.2">
      <c r="A809" s="6"/>
      <c r="B809" s="6"/>
      <c r="C809" s="6"/>
      <c r="D809" s="6"/>
      <c r="E809" s="6"/>
      <c r="F809" s="6"/>
      <c r="G809" s="6"/>
      <c r="H809" s="6"/>
      <c r="I809" s="6"/>
      <c r="J809" s="6"/>
      <c r="K809" s="6"/>
      <c r="L809" s="6"/>
      <c r="M809" s="6"/>
      <c r="N809" s="6"/>
      <c r="O809" s="6"/>
      <c r="P809" s="6"/>
    </row>
    <row r="810" spans="1:16" x14ac:dyDescent="0.2">
      <c r="A810" s="6"/>
      <c r="B810" s="6"/>
      <c r="C810" s="6"/>
      <c r="D810" s="6"/>
      <c r="E810" s="6"/>
      <c r="F810" s="6"/>
      <c r="G810" s="6"/>
      <c r="H810" s="6"/>
      <c r="I810" s="6"/>
      <c r="J810" s="6"/>
      <c r="K810" s="6"/>
      <c r="L810" s="6"/>
      <c r="M810" s="6"/>
      <c r="N810" s="6"/>
      <c r="O810" s="6"/>
      <c r="P810" s="6"/>
    </row>
    <row r="811" spans="1:16" x14ac:dyDescent="0.2">
      <c r="A811" s="6"/>
      <c r="B811" s="6"/>
      <c r="C811" s="6"/>
      <c r="D811" s="6"/>
      <c r="E811" s="6"/>
      <c r="F811" s="6"/>
      <c r="G811" s="6"/>
      <c r="H811" s="6"/>
      <c r="I811" s="6"/>
      <c r="J811" s="6"/>
      <c r="K811" s="6"/>
      <c r="L811" s="6"/>
      <c r="M811" s="6"/>
      <c r="N811" s="6"/>
      <c r="O811" s="6"/>
      <c r="P811" s="6"/>
    </row>
    <row r="812" spans="1:16" x14ac:dyDescent="0.2">
      <c r="A812" s="6"/>
      <c r="B812" s="6"/>
      <c r="C812" s="6"/>
      <c r="D812" s="6"/>
      <c r="E812" s="6"/>
      <c r="F812" s="6"/>
      <c r="G812" s="6"/>
      <c r="H812" s="6"/>
      <c r="I812" s="6"/>
      <c r="J812" s="6"/>
      <c r="K812" s="6"/>
      <c r="L812" s="6"/>
      <c r="M812" s="6"/>
      <c r="N812" s="6"/>
      <c r="O812" s="6"/>
      <c r="P812" s="6"/>
    </row>
    <row r="813" spans="1:16" x14ac:dyDescent="0.2">
      <c r="A813" s="6"/>
      <c r="B813" s="6"/>
      <c r="C813" s="6"/>
      <c r="D813" s="6"/>
      <c r="E813" s="6"/>
      <c r="F813" s="6"/>
      <c r="G813" s="6"/>
      <c r="H813" s="6"/>
      <c r="I813" s="6"/>
      <c r="J813" s="6"/>
      <c r="K813" s="6"/>
      <c r="L813" s="6"/>
      <c r="M813" s="6"/>
      <c r="N813" s="6"/>
      <c r="O813" s="6"/>
      <c r="P813" s="6"/>
    </row>
    <row r="814" spans="1:16" x14ac:dyDescent="0.2">
      <c r="A814" s="6"/>
      <c r="B814" s="6"/>
      <c r="C814" s="6"/>
      <c r="D814" s="6"/>
      <c r="E814" s="6"/>
      <c r="F814" s="6"/>
      <c r="G814" s="6"/>
      <c r="H814" s="6"/>
      <c r="I814" s="6"/>
      <c r="J814" s="6"/>
      <c r="K814" s="6"/>
      <c r="L814" s="6"/>
      <c r="M814" s="6"/>
      <c r="N814" s="6"/>
      <c r="O814" s="6"/>
      <c r="P814" s="6"/>
    </row>
    <row r="815" spans="1:16" x14ac:dyDescent="0.2">
      <c r="A815" s="6"/>
      <c r="B815" s="6"/>
      <c r="C815" s="6"/>
      <c r="D815" s="6"/>
      <c r="E815" s="6"/>
      <c r="F815" s="6"/>
      <c r="G815" s="6"/>
      <c r="H815" s="6"/>
      <c r="I815" s="6"/>
      <c r="J815" s="6"/>
      <c r="K815" s="6"/>
      <c r="L815" s="6"/>
      <c r="M815" s="6"/>
      <c r="N815" s="6"/>
      <c r="O815" s="6"/>
      <c r="P815" s="6"/>
    </row>
    <row r="816" spans="1:16" x14ac:dyDescent="0.2">
      <c r="A816" s="6"/>
      <c r="B816" s="6"/>
      <c r="C816" s="6"/>
      <c r="D816" s="6"/>
      <c r="E816" s="6"/>
      <c r="F816" s="6"/>
      <c r="G816" s="6"/>
      <c r="H816" s="6"/>
      <c r="I816" s="6"/>
      <c r="J816" s="6"/>
      <c r="K816" s="6"/>
      <c r="L816" s="6"/>
      <c r="M816" s="6"/>
      <c r="N816" s="6"/>
      <c r="O816" s="6"/>
      <c r="P816" s="6"/>
    </row>
    <row r="817" spans="1:16" x14ac:dyDescent="0.2">
      <c r="A817" s="6"/>
      <c r="B817" s="6"/>
      <c r="C817" s="6"/>
      <c r="D817" s="6"/>
      <c r="E817" s="6"/>
      <c r="F817" s="6"/>
      <c r="G817" s="6"/>
      <c r="H817" s="6"/>
      <c r="I817" s="6"/>
      <c r="J817" s="6"/>
      <c r="K817" s="6"/>
      <c r="L817" s="6"/>
      <c r="M817" s="6"/>
      <c r="N817" s="6"/>
      <c r="O817" s="6"/>
      <c r="P817" s="6"/>
    </row>
    <row r="818" spans="1:16" x14ac:dyDescent="0.2">
      <c r="A818" s="6"/>
      <c r="B818" s="6"/>
      <c r="C818" s="6"/>
      <c r="D818" s="6"/>
      <c r="E818" s="6"/>
      <c r="F818" s="6"/>
      <c r="G818" s="6"/>
      <c r="H818" s="6"/>
      <c r="I818" s="6"/>
      <c r="J818" s="6"/>
      <c r="K818" s="6"/>
      <c r="L818" s="6"/>
      <c r="M818" s="6"/>
      <c r="N818" s="6"/>
      <c r="O818" s="6"/>
      <c r="P818" s="6"/>
    </row>
    <row r="819" spans="1:16" x14ac:dyDescent="0.2">
      <c r="A819" s="6"/>
      <c r="B819" s="6"/>
      <c r="C819" s="6"/>
      <c r="D819" s="6"/>
      <c r="E819" s="6"/>
      <c r="F819" s="6"/>
      <c r="G819" s="6"/>
      <c r="H819" s="6"/>
      <c r="I819" s="6"/>
      <c r="J819" s="6"/>
      <c r="K819" s="6"/>
      <c r="L819" s="6"/>
      <c r="M819" s="6"/>
      <c r="N819" s="6"/>
      <c r="O819" s="6"/>
      <c r="P819" s="6"/>
    </row>
    <row r="820" spans="1:16" x14ac:dyDescent="0.2">
      <c r="A820" s="6"/>
      <c r="B820" s="6"/>
      <c r="C820" s="6"/>
      <c r="D820" s="6"/>
      <c r="E820" s="6"/>
      <c r="F820" s="6"/>
      <c r="G820" s="6"/>
      <c r="H820" s="6"/>
      <c r="I820" s="6"/>
      <c r="J820" s="6"/>
      <c r="K820" s="6"/>
      <c r="L820" s="6"/>
      <c r="M820" s="6"/>
      <c r="N820" s="6"/>
      <c r="O820" s="6"/>
      <c r="P820" s="6"/>
    </row>
    <row r="821" spans="1:16" x14ac:dyDescent="0.2">
      <c r="A821" s="6"/>
      <c r="B821" s="6"/>
      <c r="C821" s="6"/>
      <c r="D821" s="6"/>
      <c r="E821" s="6"/>
      <c r="F821" s="6"/>
      <c r="G821" s="6"/>
      <c r="H821" s="6"/>
      <c r="I821" s="6"/>
      <c r="J821" s="6"/>
      <c r="K821" s="6"/>
      <c r="L821" s="6"/>
      <c r="M821" s="6"/>
      <c r="N821" s="6"/>
      <c r="O821" s="6"/>
      <c r="P821" s="6"/>
    </row>
    <row r="822" spans="1:16" x14ac:dyDescent="0.2">
      <c r="A822" s="6"/>
      <c r="B822" s="6"/>
      <c r="C822" s="6"/>
      <c r="D822" s="6"/>
      <c r="E822" s="6"/>
      <c r="F822" s="6"/>
      <c r="G822" s="6"/>
      <c r="H822" s="6"/>
      <c r="I822" s="6"/>
      <c r="J822" s="6"/>
      <c r="K822" s="6"/>
      <c r="L822" s="6"/>
      <c r="M822" s="6"/>
      <c r="N822" s="6"/>
      <c r="O822" s="6"/>
      <c r="P822" s="6"/>
    </row>
    <row r="823" spans="1:16" x14ac:dyDescent="0.2">
      <c r="A823" s="6"/>
      <c r="B823" s="6"/>
      <c r="C823" s="6"/>
      <c r="D823" s="6"/>
      <c r="E823" s="6"/>
      <c r="F823" s="6"/>
      <c r="G823" s="6"/>
      <c r="H823" s="6"/>
      <c r="I823" s="6"/>
      <c r="J823" s="6"/>
      <c r="K823" s="6"/>
      <c r="L823" s="6"/>
      <c r="M823" s="6"/>
      <c r="N823" s="6"/>
      <c r="O823" s="6"/>
      <c r="P823" s="6"/>
    </row>
    <row r="824" spans="1:16" x14ac:dyDescent="0.2">
      <c r="A824" s="6"/>
      <c r="B824" s="6"/>
      <c r="C824" s="6"/>
      <c r="D824" s="6"/>
      <c r="E824" s="6"/>
      <c r="F824" s="6"/>
      <c r="G824" s="6"/>
      <c r="H824" s="6"/>
      <c r="I824" s="6"/>
      <c r="J824" s="6"/>
      <c r="K824" s="6"/>
      <c r="L824" s="6"/>
      <c r="M824" s="6"/>
      <c r="N824" s="6"/>
      <c r="O824" s="6"/>
      <c r="P824" s="6"/>
    </row>
    <row r="825" spans="1:16" x14ac:dyDescent="0.2">
      <c r="A825" s="6"/>
      <c r="B825" s="6"/>
      <c r="C825" s="6"/>
      <c r="D825" s="6"/>
      <c r="E825" s="6"/>
      <c r="F825" s="6"/>
      <c r="G825" s="6"/>
      <c r="H825" s="6"/>
      <c r="I825" s="6"/>
      <c r="J825" s="6"/>
      <c r="K825" s="6"/>
      <c r="L825" s="6"/>
      <c r="M825" s="6"/>
      <c r="N825" s="6"/>
      <c r="O825" s="6"/>
      <c r="P825" s="6"/>
    </row>
    <row r="826" spans="1:16" x14ac:dyDescent="0.2">
      <c r="A826" s="6"/>
      <c r="B826" s="6"/>
      <c r="C826" s="6"/>
      <c r="D826" s="6"/>
      <c r="E826" s="6"/>
      <c r="F826" s="6"/>
      <c r="G826" s="6"/>
      <c r="H826" s="6"/>
      <c r="I826" s="6"/>
      <c r="J826" s="6"/>
      <c r="K826" s="6"/>
      <c r="L826" s="6"/>
      <c r="M826" s="6"/>
      <c r="N826" s="6"/>
      <c r="O826" s="6"/>
      <c r="P826" s="6"/>
    </row>
    <row r="827" spans="1:16" x14ac:dyDescent="0.2">
      <c r="A827" s="6"/>
      <c r="B827" s="6"/>
      <c r="C827" s="6"/>
      <c r="D827" s="6"/>
      <c r="E827" s="6"/>
      <c r="F827" s="6"/>
      <c r="G827" s="6"/>
      <c r="H827" s="6"/>
      <c r="I827" s="6"/>
      <c r="J827" s="6"/>
      <c r="K827" s="6"/>
      <c r="L827" s="6"/>
      <c r="M827" s="6"/>
      <c r="N827" s="6"/>
      <c r="O827" s="6"/>
      <c r="P827" s="6"/>
    </row>
    <row r="828" spans="1:16" x14ac:dyDescent="0.2">
      <c r="A828" s="6"/>
      <c r="B828" s="6"/>
      <c r="C828" s="6"/>
      <c r="D828" s="6"/>
      <c r="E828" s="6"/>
      <c r="F828" s="6"/>
      <c r="G828" s="6"/>
      <c r="H828" s="6"/>
      <c r="I828" s="6"/>
      <c r="J828" s="6"/>
      <c r="K828" s="6"/>
      <c r="L828" s="6"/>
      <c r="M828" s="6"/>
      <c r="N828" s="6"/>
      <c r="O828" s="6"/>
      <c r="P828" s="6"/>
    </row>
    <row r="829" spans="1:16" x14ac:dyDescent="0.2">
      <c r="A829" s="6"/>
      <c r="B829" s="6"/>
      <c r="C829" s="6"/>
      <c r="D829" s="6"/>
      <c r="E829" s="6"/>
      <c r="F829" s="6"/>
      <c r="G829" s="6"/>
      <c r="H829" s="6"/>
      <c r="I829" s="6"/>
      <c r="J829" s="6"/>
      <c r="K829" s="6"/>
      <c r="L829" s="6"/>
      <c r="M829" s="6"/>
      <c r="N829" s="6"/>
      <c r="O829" s="6"/>
      <c r="P829" s="6"/>
    </row>
    <row r="830" spans="1:16" x14ac:dyDescent="0.2">
      <c r="A830" s="6"/>
      <c r="B830" s="6"/>
      <c r="C830" s="6"/>
      <c r="D830" s="6"/>
      <c r="E830" s="6"/>
      <c r="F830" s="6"/>
      <c r="G830" s="6"/>
      <c r="H830" s="6"/>
      <c r="I830" s="6"/>
      <c r="J830" s="6"/>
      <c r="K830" s="6"/>
      <c r="L830" s="6"/>
      <c r="M830" s="6"/>
      <c r="N830" s="6"/>
      <c r="O830" s="6"/>
      <c r="P830" s="6"/>
    </row>
    <row r="831" spans="1:16" x14ac:dyDescent="0.2">
      <c r="A831" s="6"/>
      <c r="B831" s="6"/>
      <c r="C831" s="6"/>
      <c r="D831" s="6"/>
      <c r="E831" s="6"/>
      <c r="F831" s="6"/>
      <c r="G831" s="6"/>
      <c r="H831" s="6"/>
      <c r="I831" s="6"/>
      <c r="J831" s="6"/>
      <c r="K831" s="6"/>
      <c r="L831" s="6"/>
      <c r="M831" s="6"/>
      <c r="N831" s="6"/>
      <c r="O831" s="6"/>
      <c r="P831" s="6"/>
    </row>
    <row r="832" spans="1:16" x14ac:dyDescent="0.2">
      <c r="A832" s="6"/>
      <c r="B832" s="6"/>
      <c r="C832" s="6"/>
      <c r="D832" s="6"/>
      <c r="E832" s="6"/>
      <c r="F832" s="6"/>
      <c r="G832" s="6"/>
      <c r="H832" s="6"/>
      <c r="I832" s="6"/>
      <c r="J832" s="6"/>
      <c r="K832" s="6"/>
      <c r="L832" s="6"/>
      <c r="M832" s="6"/>
      <c r="N832" s="6"/>
      <c r="O832" s="6"/>
      <c r="P832" s="6"/>
    </row>
    <row r="833" spans="1:16" x14ac:dyDescent="0.2">
      <c r="A833" s="6"/>
      <c r="B833" s="6"/>
      <c r="C833" s="6"/>
      <c r="D833" s="6"/>
      <c r="E833" s="6"/>
      <c r="F833" s="6"/>
      <c r="G833" s="6"/>
      <c r="H833" s="6"/>
      <c r="I833" s="6"/>
      <c r="J833" s="6"/>
      <c r="K833" s="6"/>
      <c r="L833" s="6"/>
      <c r="M833" s="6"/>
      <c r="N833" s="6"/>
      <c r="O833" s="6"/>
      <c r="P833" s="6"/>
    </row>
    <row r="834" spans="1:16" x14ac:dyDescent="0.2">
      <c r="A834" s="6"/>
      <c r="B834" s="6"/>
      <c r="C834" s="6"/>
      <c r="D834" s="6"/>
      <c r="E834" s="6"/>
      <c r="F834" s="6"/>
      <c r="G834" s="6"/>
      <c r="H834" s="6"/>
      <c r="I834" s="6"/>
      <c r="J834" s="6"/>
      <c r="K834" s="6"/>
      <c r="L834" s="6"/>
      <c r="M834" s="6"/>
      <c r="N834" s="6"/>
      <c r="O834" s="6"/>
      <c r="P834" s="6"/>
    </row>
    <row r="835" spans="1:16" x14ac:dyDescent="0.2">
      <c r="A835" s="6"/>
      <c r="B835" s="6"/>
      <c r="C835" s="6"/>
      <c r="D835" s="6"/>
      <c r="E835" s="6"/>
      <c r="F835" s="6"/>
      <c r="G835" s="6"/>
      <c r="H835" s="6"/>
      <c r="I835" s="6"/>
      <c r="J835" s="6"/>
      <c r="K835" s="6"/>
      <c r="L835" s="6"/>
      <c r="M835" s="6"/>
      <c r="N835" s="6"/>
      <c r="O835" s="6"/>
      <c r="P835" s="6"/>
    </row>
    <row r="836" spans="1:16" x14ac:dyDescent="0.2">
      <c r="A836" s="6"/>
      <c r="B836" s="6"/>
      <c r="C836" s="6"/>
      <c r="D836" s="6"/>
      <c r="E836" s="6"/>
      <c r="F836" s="6"/>
      <c r="G836" s="6"/>
      <c r="H836" s="6"/>
      <c r="I836" s="6"/>
      <c r="J836" s="6"/>
      <c r="K836" s="6"/>
      <c r="L836" s="6"/>
      <c r="M836" s="6"/>
      <c r="N836" s="6"/>
      <c r="O836" s="6"/>
      <c r="P836" s="6"/>
    </row>
    <row r="837" spans="1:16" x14ac:dyDescent="0.2">
      <c r="A837" s="6"/>
      <c r="B837" s="6"/>
      <c r="C837" s="6"/>
      <c r="D837" s="6"/>
      <c r="E837" s="6"/>
      <c r="F837" s="6"/>
      <c r="G837" s="6"/>
      <c r="H837" s="6"/>
      <c r="I837" s="6"/>
      <c r="J837" s="6"/>
      <c r="K837" s="6"/>
      <c r="L837" s="6"/>
      <c r="M837" s="6"/>
      <c r="N837" s="6"/>
      <c r="O837" s="6"/>
      <c r="P837" s="6"/>
    </row>
    <row r="838" spans="1:16" x14ac:dyDescent="0.2">
      <c r="A838" s="6"/>
      <c r="B838" s="6"/>
      <c r="C838" s="6"/>
      <c r="D838" s="6"/>
      <c r="E838" s="6"/>
      <c r="F838" s="6"/>
      <c r="G838" s="6"/>
      <c r="H838" s="6"/>
      <c r="I838" s="6"/>
      <c r="J838" s="6"/>
      <c r="K838" s="6"/>
      <c r="L838" s="6"/>
      <c r="M838" s="6"/>
      <c r="N838" s="6"/>
      <c r="O838" s="6"/>
      <c r="P838" s="6"/>
    </row>
    <row r="839" spans="1:16" x14ac:dyDescent="0.2">
      <c r="A839" s="6"/>
      <c r="B839" s="6"/>
      <c r="C839" s="6"/>
      <c r="D839" s="6"/>
      <c r="E839" s="6"/>
      <c r="F839" s="6"/>
      <c r="G839" s="6"/>
      <c r="H839" s="6"/>
      <c r="I839" s="6"/>
      <c r="J839" s="6"/>
      <c r="K839" s="6"/>
      <c r="L839" s="6"/>
      <c r="M839" s="6"/>
      <c r="N839" s="6"/>
      <c r="O839" s="6"/>
      <c r="P839" s="6"/>
    </row>
    <row r="840" spans="1:16" x14ac:dyDescent="0.2">
      <c r="A840" s="6"/>
      <c r="B840" s="6"/>
      <c r="C840" s="6"/>
      <c r="D840" s="6"/>
      <c r="E840" s="6"/>
      <c r="F840" s="6"/>
      <c r="G840" s="6"/>
      <c r="H840" s="6"/>
      <c r="I840" s="6"/>
      <c r="J840" s="6"/>
      <c r="K840" s="6"/>
      <c r="L840" s="6"/>
      <c r="M840" s="6"/>
      <c r="N840" s="6"/>
      <c r="O840" s="6"/>
      <c r="P840" s="6"/>
    </row>
    <row r="841" spans="1:16" x14ac:dyDescent="0.2">
      <c r="A841" s="6"/>
      <c r="B841" s="6"/>
      <c r="C841" s="6"/>
      <c r="D841" s="6"/>
      <c r="E841" s="6"/>
      <c r="F841" s="6"/>
      <c r="G841" s="6"/>
      <c r="H841" s="6"/>
      <c r="I841" s="6"/>
      <c r="J841" s="6"/>
      <c r="K841" s="6"/>
      <c r="L841" s="6"/>
      <c r="M841" s="6"/>
      <c r="N841" s="6"/>
      <c r="O841" s="6"/>
      <c r="P841" s="6"/>
    </row>
    <row r="842" spans="1:16" x14ac:dyDescent="0.2">
      <c r="A842" s="6"/>
      <c r="B842" s="6"/>
      <c r="C842" s="6"/>
      <c r="D842" s="6"/>
      <c r="E842" s="6"/>
      <c r="F842" s="6"/>
      <c r="G842" s="6"/>
      <c r="H842" s="6"/>
      <c r="I842" s="6"/>
      <c r="J842" s="6"/>
      <c r="K842" s="6"/>
      <c r="L842" s="6"/>
      <c r="M842" s="6"/>
      <c r="N842" s="6"/>
      <c r="O842" s="6"/>
      <c r="P842" s="6"/>
    </row>
    <row r="843" spans="1:16" x14ac:dyDescent="0.2">
      <c r="A843" s="6"/>
      <c r="B843" s="6"/>
      <c r="C843" s="6"/>
      <c r="D843" s="6"/>
      <c r="E843" s="6"/>
      <c r="F843" s="6"/>
      <c r="G843" s="6"/>
      <c r="H843" s="6"/>
      <c r="I843" s="6"/>
      <c r="J843" s="6"/>
      <c r="K843" s="6"/>
      <c r="L843" s="6"/>
      <c r="M843" s="6"/>
      <c r="N843" s="6"/>
      <c r="O843" s="6"/>
      <c r="P843" s="6"/>
    </row>
    <row r="844" spans="1:16" x14ac:dyDescent="0.2">
      <c r="A844" s="6"/>
      <c r="B844" s="6"/>
      <c r="C844" s="6"/>
      <c r="D844" s="6"/>
      <c r="E844" s="6"/>
      <c r="F844" s="6"/>
      <c r="G844" s="6"/>
      <c r="H844" s="6"/>
      <c r="I844" s="6"/>
      <c r="J844" s="6"/>
      <c r="K844" s="6"/>
      <c r="L844" s="6"/>
      <c r="M844" s="6"/>
      <c r="N844" s="6"/>
      <c r="O844" s="6"/>
      <c r="P844" s="6"/>
    </row>
    <row r="845" spans="1:16" x14ac:dyDescent="0.2">
      <c r="A845" s="6"/>
      <c r="B845" s="6"/>
      <c r="C845" s="6"/>
      <c r="D845" s="6"/>
      <c r="E845" s="6"/>
      <c r="F845" s="6"/>
      <c r="G845" s="6"/>
      <c r="H845" s="6"/>
      <c r="I845" s="6"/>
      <c r="J845" s="6"/>
      <c r="K845" s="6"/>
      <c r="L845" s="6"/>
      <c r="M845" s="6"/>
      <c r="N845" s="6"/>
      <c r="O845" s="6"/>
      <c r="P845" s="6"/>
    </row>
    <row r="846" spans="1:16" x14ac:dyDescent="0.2">
      <c r="A846" s="6"/>
      <c r="B846" s="6"/>
      <c r="C846" s="6"/>
      <c r="D846" s="6"/>
      <c r="E846" s="6"/>
      <c r="F846" s="6"/>
      <c r="G846" s="6"/>
      <c r="H846" s="6"/>
      <c r="I846" s="6"/>
      <c r="J846" s="6"/>
      <c r="K846" s="6"/>
      <c r="L846" s="6"/>
      <c r="M846" s="6"/>
      <c r="N846" s="6"/>
      <c r="O846" s="6"/>
      <c r="P846" s="6"/>
    </row>
    <row r="847" spans="1:16" x14ac:dyDescent="0.2">
      <c r="A847" s="6"/>
      <c r="B847" s="6"/>
      <c r="C847" s="6"/>
      <c r="D847" s="6"/>
      <c r="E847" s="6"/>
      <c r="F847" s="6"/>
      <c r="G847" s="6"/>
      <c r="H847" s="6"/>
      <c r="I847" s="6"/>
      <c r="J847" s="6"/>
      <c r="K847" s="6"/>
      <c r="L847" s="6"/>
      <c r="M847" s="6"/>
      <c r="N847" s="6"/>
      <c r="O847" s="6"/>
      <c r="P847" s="6"/>
    </row>
    <row r="848" spans="1:16" x14ac:dyDescent="0.2">
      <c r="A848" s="6"/>
      <c r="B848" s="6"/>
      <c r="C848" s="6"/>
      <c r="D848" s="6"/>
      <c r="E848" s="6"/>
      <c r="F848" s="6"/>
      <c r="G848" s="6"/>
      <c r="H848" s="6"/>
      <c r="I848" s="6"/>
      <c r="J848" s="6"/>
      <c r="K848" s="6"/>
      <c r="L848" s="6"/>
      <c r="M848" s="6"/>
      <c r="N848" s="6"/>
      <c r="O848" s="6"/>
      <c r="P848" s="6"/>
    </row>
    <row r="849" spans="1:16" x14ac:dyDescent="0.2">
      <c r="A849" s="6"/>
      <c r="B849" s="6"/>
      <c r="C849" s="6"/>
      <c r="D849" s="6"/>
      <c r="E849" s="6"/>
      <c r="F849" s="6"/>
      <c r="G849" s="6"/>
      <c r="H849" s="6"/>
      <c r="I849" s="6"/>
      <c r="J849" s="6"/>
      <c r="K849" s="6"/>
      <c r="L849" s="6"/>
      <c r="M849" s="6"/>
      <c r="N849" s="6"/>
      <c r="O849" s="6"/>
      <c r="P849" s="6"/>
    </row>
    <row r="850" spans="1:16" x14ac:dyDescent="0.2">
      <c r="A850" s="6"/>
      <c r="B850" s="6"/>
      <c r="C850" s="6"/>
      <c r="D850" s="6"/>
      <c r="E850" s="6"/>
      <c r="F850" s="6"/>
      <c r="G850" s="6"/>
      <c r="H850" s="6"/>
      <c r="I850" s="6"/>
      <c r="J850" s="6"/>
      <c r="K850" s="6"/>
      <c r="L850" s="6"/>
      <c r="M850" s="6"/>
      <c r="N850" s="6"/>
      <c r="O850" s="6"/>
      <c r="P850" s="6"/>
    </row>
    <row r="851" spans="1:16" x14ac:dyDescent="0.2">
      <c r="A851" s="6"/>
      <c r="B851" s="6"/>
      <c r="C851" s="6"/>
      <c r="D851" s="6"/>
      <c r="E851" s="6"/>
      <c r="F851" s="6"/>
      <c r="G851" s="6"/>
      <c r="H851" s="6"/>
      <c r="I851" s="6"/>
      <c r="J851" s="6"/>
      <c r="K851" s="6"/>
      <c r="L851" s="6"/>
      <c r="M851" s="6"/>
      <c r="N851" s="6"/>
      <c r="O851" s="6"/>
      <c r="P851" s="6"/>
    </row>
    <row r="852" spans="1:16" x14ac:dyDescent="0.2">
      <c r="A852" s="6"/>
      <c r="B852" s="6"/>
      <c r="C852" s="6"/>
      <c r="D852" s="6"/>
      <c r="E852" s="6"/>
      <c r="F852" s="6"/>
      <c r="G852" s="6"/>
      <c r="H852" s="6"/>
      <c r="I852" s="6"/>
      <c r="J852" s="6"/>
      <c r="K852" s="6"/>
      <c r="L852" s="6"/>
      <c r="M852" s="6"/>
      <c r="N852" s="6"/>
      <c r="O852" s="6"/>
      <c r="P852" s="6"/>
    </row>
    <row r="853" spans="1:16" x14ac:dyDescent="0.2">
      <c r="A853" s="6"/>
      <c r="B853" s="6"/>
      <c r="C853" s="6"/>
      <c r="D853" s="6"/>
      <c r="E853" s="6"/>
      <c r="F853" s="6"/>
      <c r="G853" s="6"/>
      <c r="H853" s="6"/>
      <c r="I853" s="6"/>
      <c r="J853" s="6"/>
      <c r="K853" s="6"/>
      <c r="L853" s="6"/>
      <c r="M853" s="6"/>
      <c r="N853" s="6"/>
      <c r="O853" s="6"/>
      <c r="P853" s="6"/>
    </row>
    <row r="854" spans="1:16" x14ac:dyDescent="0.2">
      <c r="A854" s="6"/>
      <c r="B854" s="6"/>
      <c r="C854" s="6"/>
      <c r="D854" s="6"/>
      <c r="E854" s="6"/>
      <c r="F854" s="6"/>
      <c r="G854" s="6"/>
      <c r="H854" s="6"/>
      <c r="I854" s="6"/>
      <c r="J854" s="6"/>
      <c r="K854" s="6"/>
      <c r="L854" s="6"/>
      <c r="M854" s="6"/>
      <c r="N854" s="6"/>
      <c r="O854" s="6"/>
      <c r="P854" s="6"/>
    </row>
    <row r="855" spans="1:16" x14ac:dyDescent="0.2">
      <c r="A855" s="6"/>
      <c r="B855" s="6"/>
      <c r="C855" s="6"/>
      <c r="D855" s="6"/>
      <c r="E855" s="6"/>
      <c r="F855" s="6"/>
      <c r="G855" s="6"/>
      <c r="H855" s="6"/>
      <c r="I855" s="6"/>
      <c r="J855" s="6"/>
      <c r="K855" s="6"/>
      <c r="L855" s="6"/>
      <c r="M855" s="6"/>
      <c r="N855" s="6"/>
      <c r="O855" s="6"/>
      <c r="P855" s="6"/>
    </row>
    <row r="856" spans="1:16" x14ac:dyDescent="0.2">
      <c r="A856" s="6"/>
      <c r="B856" s="6"/>
      <c r="C856" s="6"/>
      <c r="D856" s="6"/>
      <c r="E856" s="6"/>
      <c r="F856" s="6"/>
      <c r="G856" s="6"/>
      <c r="H856" s="6"/>
      <c r="I856" s="6"/>
      <c r="J856" s="6"/>
      <c r="K856" s="6"/>
      <c r="L856" s="6"/>
      <c r="M856" s="6"/>
      <c r="N856" s="6"/>
      <c r="O856" s="6"/>
      <c r="P856" s="6"/>
    </row>
    <row r="857" spans="1:16" x14ac:dyDescent="0.2">
      <c r="A857" s="6"/>
      <c r="B857" s="6"/>
      <c r="C857" s="6"/>
      <c r="D857" s="6"/>
      <c r="E857" s="6"/>
      <c r="F857" s="6"/>
      <c r="G857" s="6"/>
      <c r="H857" s="6"/>
      <c r="I857" s="6"/>
      <c r="J857" s="6"/>
      <c r="K857" s="6"/>
      <c r="L857" s="6"/>
      <c r="M857" s="6"/>
      <c r="N857" s="6"/>
      <c r="O857" s="6"/>
      <c r="P857" s="6"/>
    </row>
    <row r="858" spans="1:16" x14ac:dyDescent="0.2">
      <c r="A858" s="6"/>
      <c r="B858" s="6"/>
      <c r="C858" s="6"/>
      <c r="D858" s="6"/>
      <c r="E858" s="6"/>
      <c r="F858" s="6"/>
      <c r="G858" s="6"/>
      <c r="H858" s="6"/>
      <c r="I858" s="6"/>
      <c r="J858" s="6"/>
      <c r="K858" s="6"/>
      <c r="L858" s="6"/>
      <c r="M858" s="6"/>
      <c r="N858" s="6"/>
      <c r="O858" s="6"/>
      <c r="P858" s="6"/>
    </row>
    <row r="859" spans="1:16" x14ac:dyDescent="0.2">
      <c r="A859" s="6"/>
      <c r="B859" s="6"/>
      <c r="C859" s="6"/>
      <c r="D859" s="6"/>
      <c r="E859" s="6"/>
      <c r="F859" s="6"/>
      <c r="G859" s="6"/>
      <c r="H859" s="6"/>
      <c r="I859" s="6"/>
      <c r="J859" s="6"/>
      <c r="K859" s="6"/>
      <c r="L859" s="6"/>
      <c r="M859" s="6"/>
      <c r="N859" s="6"/>
      <c r="O859" s="6"/>
      <c r="P859" s="6"/>
    </row>
    <row r="860" spans="1:16" x14ac:dyDescent="0.2">
      <c r="A860" s="6"/>
      <c r="B860" s="6"/>
      <c r="C860" s="6"/>
      <c r="D860" s="6"/>
      <c r="E860" s="6"/>
      <c r="F860" s="6"/>
      <c r="G860" s="6"/>
      <c r="H860" s="6"/>
      <c r="I860" s="6"/>
      <c r="J860" s="6"/>
      <c r="K860" s="6"/>
      <c r="L860" s="6"/>
      <c r="M860" s="6"/>
      <c r="N860" s="6"/>
      <c r="O860" s="6"/>
      <c r="P860" s="6"/>
    </row>
    <row r="861" spans="1:16" x14ac:dyDescent="0.2">
      <c r="A861" s="6"/>
      <c r="B861" s="6"/>
      <c r="C861" s="6"/>
      <c r="D861" s="6"/>
      <c r="E861" s="6"/>
      <c r="F861" s="6"/>
      <c r="G861" s="6"/>
      <c r="H861" s="6"/>
      <c r="I861" s="6"/>
      <c r="J861" s="6"/>
      <c r="K861" s="6"/>
      <c r="L861" s="6"/>
      <c r="M861" s="6"/>
      <c r="N861" s="6"/>
      <c r="O861" s="6"/>
      <c r="P861" s="6"/>
    </row>
    <row r="862" spans="1:16" x14ac:dyDescent="0.2">
      <c r="A862" s="6"/>
      <c r="B862" s="6"/>
      <c r="C862" s="6"/>
      <c r="D862" s="6"/>
      <c r="E862" s="6"/>
      <c r="F862" s="6"/>
      <c r="G862" s="6"/>
      <c r="H862" s="6"/>
      <c r="I862" s="6"/>
      <c r="J862" s="6"/>
      <c r="K862" s="6"/>
      <c r="L862" s="6"/>
      <c r="M862" s="6"/>
      <c r="N862" s="6"/>
      <c r="O862" s="6"/>
      <c r="P862" s="6"/>
    </row>
    <row r="863" spans="1:16" x14ac:dyDescent="0.2">
      <c r="A863" s="6"/>
      <c r="B863" s="6"/>
      <c r="C863" s="6"/>
      <c r="D863" s="6"/>
      <c r="E863" s="6"/>
      <c r="F863" s="6"/>
      <c r="G863" s="6"/>
      <c r="H863" s="6"/>
      <c r="I863" s="6"/>
      <c r="J863" s="6"/>
      <c r="K863" s="6"/>
      <c r="L863" s="6"/>
      <c r="M863" s="6"/>
      <c r="N863" s="6"/>
      <c r="O863" s="6"/>
      <c r="P863" s="6"/>
    </row>
    <row r="864" spans="1:16" x14ac:dyDescent="0.2">
      <c r="A864" s="6"/>
      <c r="B864" s="6"/>
      <c r="C864" s="6"/>
      <c r="D864" s="6"/>
      <c r="E864" s="6"/>
      <c r="F864" s="6"/>
      <c r="G864" s="6"/>
      <c r="H864" s="6"/>
      <c r="I864" s="6"/>
      <c r="J864" s="6"/>
      <c r="K864" s="6"/>
      <c r="L864" s="6"/>
      <c r="M864" s="6"/>
      <c r="N864" s="6"/>
      <c r="O864" s="6"/>
      <c r="P864" s="6"/>
    </row>
    <row r="865" spans="1:16" x14ac:dyDescent="0.2">
      <c r="A865" s="6"/>
      <c r="B865" s="6"/>
      <c r="C865" s="6"/>
      <c r="D865" s="6"/>
      <c r="E865" s="6"/>
      <c r="F865" s="6"/>
      <c r="G865" s="6"/>
      <c r="H865" s="6"/>
      <c r="I865" s="6"/>
      <c r="J865" s="6"/>
      <c r="K865" s="6"/>
      <c r="L865" s="6"/>
      <c r="M865" s="6"/>
      <c r="N865" s="6"/>
      <c r="O865" s="6"/>
      <c r="P865" s="6"/>
    </row>
    <row r="866" spans="1:16" x14ac:dyDescent="0.2">
      <c r="A866" s="6"/>
      <c r="B866" s="6"/>
      <c r="C866" s="6"/>
      <c r="D866" s="6"/>
      <c r="E866" s="6"/>
      <c r="F866" s="6"/>
      <c r="G866" s="6"/>
      <c r="H866" s="6"/>
      <c r="I866" s="6"/>
      <c r="J866" s="6"/>
      <c r="K866" s="6"/>
      <c r="L866" s="6"/>
      <c r="M866" s="6"/>
      <c r="N866" s="6"/>
      <c r="O866" s="6"/>
      <c r="P866" s="6"/>
    </row>
    <row r="867" spans="1:16" x14ac:dyDescent="0.2">
      <c r="A867" s="6"/>
      <c r="B867" s="6"/>
      <c r="C867" s="6"/>
      <c r="D867" s="6"/>
      <c r="E867" s="6"/>
      <c r="F867" s="6"/>
      <c r="G867" s="6"/>
      <c r="H867" s="6"/>
      <c r="I867" s="6"/>
      <c r="J867" s="6"/>
      <c r="K867" s="6"/>
      <c r="L867" s="6"/>
      <c r="M867" s="6"/>
      <c r="N867" s="6"/>
      <c r="O867" s="6"/>
      <c r="P867" s="6"/>
    </row>
    <row r="868" spans="1:16" x14ac:dyDescent="0.2">
      <c r="A868" s="6"/>
      <c r="B868" s="6"/>
      <c r="C868" s="6"/>
      <c r="D868" s="6"/>
      <c r="E868" s="6"/>
      <c r="F868" s="6"/>
      <c r="G868" s="6"/>
      <c r="H868" s="6"/>
      <c r="I868" s="6"/>
      <c r="J868" s="6"/>
      <c r="K868" s="6"/>
      <c r="L868" s="6"/>
      <c r="M868" s="6"/>
      <c r="N868" s="6"/>
      <c r="O868" s="6"/>
      <c r="P868" s="6"/>
    </row>
    <row r="869" spans="1:16" x14ac:dyDescent="0.2">
      <c r="A869" s="6"/>
      <c r="B869" s="6"/>
      <c r="C869" s="6"/>
      <c r="D869" s="6"/>
      <c r="E869" s="6"/>
      <c r="F869" s="6"/>
      <c r="G869" s="6"/>
      <c r="H869" s="6"/>
      <c r="I869" s="6"/>
      <c r="J869" s="6"/>
      <c r="K869" s="6"/>
      <c r="L869" s="6"/>
      <c r="M869" s="6"/>
      <c r="N869" s="6"/>
      <c r="O869" s="6"/>
      <c r="P869" s="6"/>
    </row>
    <row r="870" spans="1:16" x14ac:dyDescent="0.2">
      <c r="A870" s="6"/>
      <c r="B870" s="6"/>
      <c r="C870" s="6"/>
      <c r="D870" s="6"/>
      <c r="E870" s="6"/>
      <c r="F870" s="6"/>
      <c r="G870" s="6"/>
      <c r="H870" s="6"/>
      <c r="I870" s="6"/>
      <c r="J870" s="6"/>
      <c r="K870" s="6"/>
      <c r="L870" s="6"/>
      <c r="M870" s="6"/>
      <c r="N870" s="6"/>
      <c r="O870" s="6"/>
      <c r="P870" s="6"/>
    </row>
    <row r="871" spans="1:16" x14ac:dyDescent="0.2">
      <c r="A871" s="6"/>
      <c r="B871" s="6"/>
      <c r="C871" s="6"/>
      <c r="D871" s="6"/>
      <c r="E871" s="6"/>
      <c r="F871" s="6"/>
      <c r="G871" s="6"/>
      <c r="H871" s="6"/>
      <c r="I871" s="6"/>
      <c r="J871" s="6"/>
      <c r="K871" s="6"/>
      <c r="L871" s="6"/>
      <c r="M871" s="6"/>
      <c r="N871" s="6"/>
      <c r="O871" s="6"/>
      <c r="P871" s="6"/>
    </row>
    <row r="872" spans="1:16" x14ac:dyDescent="0.2">
      <c r="A872" s="6"/>
      <c r="B872" s="6"/>
      <c r="C872" s="6"/>
      <c r="D872" s="6"/>
      <c r="E872" s="6"/>
      <c r="F872" s="6"/>
      <c r="G872" s="6"/>
      <c r="H872" s="6"/>
      <c r="I872" s="6"/>
      <c r="J872" s="6"/>
      <c r="K872" s="6"/>
      <c r="L872" s="6"/>
      <c r="M872" s="6"/>
      <c r="N872" s="6"/>
      <c r="O872" s="6"/>
      <c r="P872" s="6"/>
    </row>
    <row r="873" spans="1:16" x14ac:dyDescent="0.2">
      <c r="A873" s="6"/>
      <c r="B873" s="6"/>
      <c r="C873" s="6"/>
      <c r="D873" s="6"/>
      <c r="E873" s="6"/>
      <c r="F873" s="6"/>
      <c r="G873" s="6"/>
      <c r="H873" s="6"/>
      <c r="I873" s="6"/>
      <c r="J873" s="6"/>
      <c r="K873" s="6"/>
      <c r="L873" s="6"/>
      <c r="M873" s="6"/>
      <c r="N873" s="6"/>
      <c r="O873" s="6"/>
      <c r="P873" s="6"/>
    </row>
    <row r="874" spans="1:16" x14ac:dyDescent="0.2">
      <c r="A874" s="6"/>
      <c r="B874" s="6"/>
      <c r="C874" s="6"/>
      <c r="D874" s="6"/>
      <c r="E874" s="6"/>
      <c r="F874" s="6"/>
      <c r="G874" s="6"/>
      <c r="H874" s="6"/>
      <c r="I874" s="6"/>
      <c r="J874" s="6"/>
      <c r="K874" s="6"/>
      <c r="L874" s="6"/>
      <c r="M874" s="6"/>
      <c r="N874" s="6"/>
      <c r="O874" s="6"/>
      <c r="P874" s="6"/>
    </row>
    <row r="875" spans="1:16" x14ac:dyDescent="0.2">
      <c r="A875" s="6"/>
      <c r="B875" s="6"/>
      <c r="C875" s="6"/>
      <c r="D875" s="6"/>
      <c r="E875" s="6"/>
      <c r="F875" s="6"/>
      <c r="G875" s="6"/>
      <c r="H875" s="6"/>
      <c r="I875" s="6"/>
      <c r="J875" s="6"/>
      <c r="K875" s="6"/>
      <c r="L875" s="6"/>
      <c r="M875" s="6"/>
      <c r="N875" s="6"/>
      <c r="O875" s="6"/>
      <c r="P875" s="6"/>
    </row>
    <row r="876" spans="1:16" x14ac:dyDescent="0.2">
      <c r="A876" s="6"/>
      <c r="B876" s="6"/>
      <c r="C876" s="6"/>
      <c r="D876" s="6"/>
      <c r="E876" s="6"/>
      <c r="F876" s="6"/>
      <c r="G876" s="6"/>
      <c r="H876" s="6"/>
      <c r="I876" s="6"/>
      <c r="J876" s="6"/>
      <c r="K876" s="6"/>
      <c r="L876" s="6"/>
      <c r="M876" s="6"/>
      <c r="N876" s="6"/>
      <c r="O876" s="6"/>
      <c r="P876" s="6"/>
    </row>
    <row r="877" spans="1:16" x14ac:dyDescent="0.2">
      <c r="A877" s="6"/>
      <c r="B877" s="6"/>
      <c r="C877" s="6"/>
      <c r="D877" s="6"/>
      <c r="E877" s="6"/>
      <c r="F877" s="6"/>
      <c r="G877" s="6"/>
      <c r="H877" s="6"/>
      <c r="I877" s="6"/>
      <c r="J877" s="6"/>
      <c r="K877" s="6"/>
      <c r="L877" s="6"/>
      <c r="M877" s="6"/>
      <c r="N877" s="6"/>
      <c r="O877" s="6"/>
      <c r="P877" s="6"/>
    </row>
    <row r="878" spans="1:16" x14ac:dyDescent="0.2">
      <c r="A878" s="6"/>
      <c r="B878" s="6"/>
      <c r="C878" s="6"/>
      <c r="D878" s="6"/>
      <c r="E878" s="6"/>
      <c r="F878" s="6"/>
      <c r="G878" s="6"/>
      <c r="H878" s="6"/>
      <c r="I878" s="6"/>
      <c r="J878" s="6"/>
      <c r="K878" s="6"/>
      <c r="L878" s="6"/>
      <c r="M878" s="6"/>
      <c r="N878" s="6"/>
      <c r="O878" s="6"/>
      <c r="P878" s="6"/>
    </row>
    <row r="879" spans="1:16" x14ac:dyDescent="0.2">
      <c r="A879" s="6"/>
      <c r="B879" s="6"/>
      <c r="C879" s="6"/>
      <c r="D879" s="6"/>
      <c r="E879" s="6"/>
      <c r="F879" s="6"/>
      <c r="G879" s="6"/>
      <c r="H879" s="6"/>
      <c r="I879" s="6"/>
      <c r="J879" s="6"/>
      <c r="K879" s="6"/>
      <c r="L879" s="6"/>
      <c r="M879" s="6"/>
      <c r="N879" s="6"/>
      <c r="O879" s="6"/>
      <c r="P879" s="6"/>
    </row>
    <row r="880" spans="1:16" x14ac:dyDescent="0.2">
      <c r="A880" s="6"/>
      <c r="B880" s="6"/>
      <c r="C880" s="6"/>
      <c r="D880" s="6"/>
      <c r="E880" s="6"/>
      <c r="F880" s="6"/>
      <c r="G880" s="6"/>
      <c r="H880" s="6"/>
      <c r="I880" s="6"/>
      <c r="J880" s="6"/>
      <c r="K880" s="6"/>
      <c r="L880" s="6"/>
      <c r="M880" s="6"/>
      <c r="N880" s="6"/>
      <c r="O880" s="6"/>
      <c r="P880" s="6"/>
    </row>
    <row r="881" spans="1:16" x14ac:dyDescent="0.2">
      <c r="A881" s="6"/>
      <c r="B881" s="6"/>
      <c r="C881" s="6"/>
      <c r="D881" s="6"/>
      <c r="E881" s="6"/>
      <c r="F881" s="6"/>
      <c r="G881" s="6"/>
      <c r="H881" s="6"/>
      <c r="I881" s="6"/>
      <c r="J881" s="6"/>
      <c r="K881" s="6"/>
      <c r="L881" s="6"/>
      <c r="M881" s="6"/>
      <c r="N881" s="6"/>
      <c r="O881" s="6"/>
      <c r="P881" s="6"/>
    </row>
    <row r="882" spans="1:16" x14ac:dyDescent="0.2">
      <c r="A882" s="6"/>
      <c r="B882" s="6"/>
      <c r="C882" s="6"/>
      <c r="D882" s="6"/>
      <c r="E882" s="6"/>
      <c r="F882" s="6"/>
      <c r="G882" s="6"/>
      <c r="H882" s="6"/>
      <c r="I882" s="6"/>
      <c r="J882" s="6"/>
      <c r="K882" s="6"/>
      <c r="L882" s="6"/>
      <c r="M882" s="6"/>
      <c r="N882" s="6"/>
      <c r="O882" s="6"/>
      <c r="P882" s="6"/>
    </row>
    <row r="883" spans="1:16" x14ac:dyDescent="0.2">
      <c r="A883" s="6"/>
      <c r="B883" s="6"/>
      <c r="C883" s="6"/>
      <c r="D883" s="6"/>
      <c r="E883" s="6"/>
      <c r="F883" s="6"/>
      <c r="G883" s="6"/>
      <c r="H883" s="6"/>
      <c r="I883" s="6"/>
      <c r="J883" s="6"/>
      <c r="K883" s="6"/>
      <c r="L883" s="6"/>
      <c r="M883" s="6"/>
      <c r="N883" s="6"/>
      <c r="O883" s="6"/>
      <c r="P883" s="6"/>
    </row>
    <row r="884" spans="1:16" x14ac:dyDescent="0.2">
      <c r="A884" s="6"/>
      <c r="B884" s="6"/>
      <c r="C884" s="6"/>
      <c r="D884" s="6"/>
      <c r="E884" s="6"/>
      <c r="F884" s="6"/>
      <c r="G884" s="6"/>
      <c r="H884" s="6"/>
      <c r="I884" s="6"/>
      <c r="J884" s="6"/>
      <c r="K884" s="6"/>
      <c r="L884" s="6"/>
      <c r="M884" s="6"/>
      <c r="N884" s="6"/>
      <c r="O884" s="6"/>
      <c r="P884" s="6"/>
    </row>
    <row r="885" spans="1:16" x14ac:dyDescent="0.2">
      <c r="A885" s="6"/>
      <c r="B885" s="6"/>
      <c r="C885" s="6"/>
      <c r="D885" s="6"/>
      <c r="E885" s="6"/>
      <c r="F885" s="6"/>
      <c r="G885" s="6"/>
      <c r="H885" s="6"/>
      <c r="I885" s="6"/>
      <c r="J885" s="6"/>
      <c r="K885" s="6"/>
      <c r="L885" s="6"/>
      <c r="M885" s="6"/>
      <c r="N885" s="6"/>
      <c r="O885" s="6"/>
      <c r="P885" s="6"/>
    </row>
    <row r="886" spans="1:16" x14ac:dyDescent="0.2">
      <c r="A886" s="6"/>
      <c r="B886" s="6"/>
      <c r="C886" s="6"/>
      <c r="D886" s="6"/>
      <c r="E886" s="6"/>
      <c r="F886" s="6"/>
      <c r="G886" s="6"/>
      <c r="H886" s="6"/>
      <c r="I886" s="6"/>
      <c r="J886" s="6"/>
      <c r="K886" s="6"/>
      <c r="L886" s="6"/>
      <c r="M886" s="6"/>
      <c r="N886" s="6"/>
      <c r="O886" s="6"/>
      <c r="P886" s="6"/>
    </row>
    <row r="887" spans="1:16" x14ac:dyDescent="0.2">
      <c r="A887" s="6"/>
      <c r="B887" s="6"/>
      <c r="C887" s="6"/>
      <c r="D887" s="6"/>
      <c r="E887" s="6"/>
      <c r="F887" s="6"/>
      <c r="G887" s="6"/>
      <c r="H887" s="6"/>
      <c r="I887" s="6"/>
      <c r="J887" s="6"/>
      <c r="K887" s="6"/>
      <c r="L887" s="6"/>
      <c r="M887" s="6"/>
      <c r="N887" s="6"/>
      <c r="O887" s="6"/>
      <c r="P887" s="6"/>
    </row>
    <row r="888" spans="1:16" x14ac:dyDescent="0.2">
      <c r="A888" s="6"/>
      <c r="B888" s="6"/>
      <c r="C888" s="6"/>
      <c r="D888" s="6"/>
      <c r="E888" s="6"/>
      <c r="F888" s="6"/>
      <c r="G888" s="6"/>
      <c r="H888" s="6"/>
      <c r="I888" s="6"/>
      <c r="J888" s="6"/>
      <c r="K888" s="6"/>
      <c r="L888" s="6"/>
      <c r="M888" s="6"/>
      <c r="N888" s="6"/>
      <c r="O888" s="6"/>
      <c r="P888" s="6"/>
    </row>
    <row r="889" spans="1:16" x14ac:dyDescent="0.2">
      <c r="A889" s="6"/>
      <c r="B889" s="6"/>
      <c r="C889" s="6"/>
      <c r="D889" s="6"/>
      <c r="E889" s="6"/>
      <c r="F889" s="6"/>
      <c r="G889" s="6"/>
      <c r="H889" s="6"/>
      <c r="I889" s="6"/>
      <c r="J889" s="6"/>
      <c r="K889" s="6"/>
      <c r="L889" s="6"/>
      <c r="M889" s="6"/>
      <c r="N889" s="6"/>
      <c r="O889" s="6"/>
      <c r="P889" s="6"/>
    </row>
    <row r="890" spans="1:16" x14ac:dyDescent="0.2">
      <c r="A890" s="6"/>
      <c r="B890" s="6"/>
      <c r="C890" s="6"/>
      <c r="D890" s="6"/>
      <c r="E890" s="6"/>
      <c r="F890" s="6"/>
      <c r="G890" s="6"/>
      <c r="H890" s="6"/>
      <c r="I890" s="6"/>
      <c r="J890" s="6"/>
      <c r="K890" s="6"/>
      <c r="L890" s="6"/>
      <c r="M890" s="6"/>
      <c r="N890" s="6"/>
      <c r="O890" s="6"/>
      <c r="P890" s="6"/>
    </row>
    <row r="891" spans="1:16" x14ac:dyDescent="0.2">
      <c r="A891" s="6"/>
      <c r="B891" s="6"/>
      <c r="C891" s="6"/>
      <c r="D891" s="6"/>
      <c r="E891" s="6"/>
      <c r="F891" s="6"/>
      <c r="G891" s="6"/>
      <c r="H891" s="6"/>
      <c r="I891" s="6"/>
      <c r="J891" s="6"/>
      <c r="K891" s="6"/>
      <c r="L891" s="6"/>
      <c r="M891" s="6"/>
      <c r="N891" s="6"/>
      <c r="O891" s="6"/>
      <c r="P891" s="6"/>
    </row>
    <row r="892" spans="1:16" x14ac:dyDescent="0.2">
      <c r="A892" s="6"/>
      <c r="B892" s="6"/>
      <c r="C892" s="6"/>
      <c r="D892" s="6"/>
      <c r="E892" s="6"/>
      <c r="F892" s="6"/>
      <c r="G892" s="6"/>
      <c r="H892" s="6"/>
      <c r="I892" s="6"/>
      <c r="J892" s="6"/>
      <c r="K892" s="6"/>
      <c r="L892" s="6"/>
      <c r="M892" s="6"/>
      <c r="N892" s="6"/>
      <c r="O892" s="6"/>
      <c r="P892" s="6"/>
    </row>
    <row r="893" spans="1:16" x14ac:dyDescent="0.2">
      <c r="A893" s="6"/>
      <c r="B893" s="6"/>
      <c r="C893" s="6"/>
      <c r="D893" s="6"/>
      <c r="E893" s="6"/>
      <c r="F893" s="6"/>
      <c r="G893" s="6"/>
      <c r="H893" s="6"/>
      <c r="I893" s="6"/>
      <c r="J893" s="6"/>
      <c r="K893" s="6"/>
      <c r="L893" s="6"/>
      <c r="M893" s="6"/>
      <c r="N893" s="6"/>
      <c r="O893" s="6"/>
      <c r="P893" s="6"/>
    </row>
    <row r="894" spans="1:16" x14ac:dyDescent="0.2">
      <c r="A894" s="6"/>
      <c r="B894" s="6"/>
      <c r="C894" s="6"/>
      <c r="D894" s="6"/>
      <c r="E894" s="6"/>
      <c r="F894" s="6"/>
      <c r="G894" s="6"/>
      <c r="H894" s="6"/>
      <c r="I894" s="6"/>
      <c r="J894" s="6"/>
      <c r="K894" s="6"/>
      <c r="L894" s="6"/>
      <c r="M894" s="6"/>
      <c r="N894" s="6"/>
      <c r="O894" s="6"/>
      <c r="P894" s="6"/>
    </row>
    <row r="895" spans="1:16" x14ac:dyDescent="0.2">
      <c r="A895" s="6"/>
      <c r="B895" s="6"/>
      <c r="C895" s="6"/>
      <c r="D895" s="6"/>
      <c r="E895" s="6"/>
      <c r="F895" s="6"/>
      <c r="G895" s="6"/>
      <c r="H895" s="6"/>
      <c r="I895" s="6"/>
      <c r="J895" s="6"/>
      <c r="K895" s="6"/>
      <c r="L895" s="6"/>
      <c r="M895" s="6"/>
      <c r="N895" s="6"/>
      <c r="O895" s="6"/>
      <c r="P895" s="6"/>
    </row>
    <row r="896" spans="1:16" x14ac:dyDescent="0.2">
      <c r="A896" s="6"/>
      <c r="B896" s="6"/>
      <c r="C896" s="6"/>
      <c r="D896" s="6"/>
      <c r="E896" s="6"/>
      <c r="F896" s="6"/>
      <c r="G896" s="6"/>
      <c r="H896" s="6"/>
      <c r="I896" s="6"/>
      <c r="J896" s="6"/>
      <c r="K896" s="6"/>
      <c r="L896" s="6"/>
      <c r="M896" s="6"/>
      <c r="N896" s="6"/>
      <c r="O896" s="6"/>
      <c r="P896" s="6"/>
    </row>
    <row r="897" spans="1:16" x14ac:dyDescent="0.2">
      <c r="A897" s="6"/>
      <c r="B897" s="6"/>
      <c r="C897" s="6"/>
      <c r="D897" s="6"/>
      <c r="E897" s="6"/>
      <c r="F897" s="6"/>
      <c r="G897" s="6"/>
      <c r="H897" s="6"/>
      <c r="I897" s="6"/>
      <c r="J897" s="6"/>
      <c r="K897" s="6"/>
      <c r="L897" s="6"/>
      <c r="M897" s="6"/>
      <c r="N897" s="6"/>
      <c r="O897" s="6"/>
      <c r="P897" s="6"/>
    </row>
    <row r="898" spans="1:16" x14ac:dyDescent="0.2">
      <c r="A898" s="6"/>
      <c r="B898" s="6"/>
      <c r="C898" s="6"/>
      <c r="D898" s="6"/>
      <c r="E898" s="6"/>
      <c r="F898" s="6"/>
      <c r="G898" s="6"/>
      <c r="H898" s="6"/>
      <c r="I898" s="6"/>
      <c r="J898" s="6"/>
      <c r="K898" s="6"/>
      <c r="L898" s="6"/>
      <c r="M898" s="6"/>
      <c r="N898" s="6"/>
      <c r="O898" s="6"/>
      <c r="P898" s="6"/>
    </row>
    <row r="899" spans="1:16" x14ac:dyDescent="0.2">
      <c r="A899" s="6"/>
      <c r="B899" s="6"/>
      <c r="C899" s="6"/>
      <c r="D899" s="6"/>
      <c r="E899" s="6"/>
      <c r="F899" s="6"/>
      <c r="G899" s="6"/>
      <c r="H899" s="6"/>
      <c r="I899" s="6"/>
      <c r="J899" s="6"/>
      <c r="K899" s="6"/>
      <c r="L899" s="6"/>
      <c r="M899" s="6"/>
      <c r="N899" s="6"/>
      <c r="O899" s="6"/>
      <c r="P899" s="6"/>
    </row>
    <row r="900" spans="1:16" x14ac:dyDescent="0.2">
      <c r="A900" s="6"/>
      <c r="B900" s="6"/>
      <c r="C900" s="6"/>
      <c r="D900" s="6"/>
      <c r="E900" s="6"/>
      <c r="F900" s="6"/>
      <c r="G900" s="6"/>
      <c r="H900" s="6"/>
      <c r="I900" s="6"/>
      <c r="J900" s="6"/>
      <c r="K900" s="6"/>
      <c r="L900" s="6"/>
      <c r="M900" s="6"/>
      <c r="N900" s="6"/>
      <c r="O900" s="6"/>
      <c r="P900" s="6"/>
    </row>
    <row r="901" spans="1:16" x14ac:dyDescent="0.2">
      <c r="A901" s="6"/>
      <c r="B901" s="6"/>
      <c r="C901" s="6"/>
      <c r="D901" s="6"/>
      <c r="E901" s="6"/>
      <c r="F901" s="6"/>
      <c r="G901" s="6"/>
      <c r="H901" s="6"/>
      <c r="I901" s="6"/>
      <c r="J901" s="6"/>
      <c r="K901" s="6"/>
      <c r="L901" s="6"/>
      <c r="M901" s="6"/>
      <c r="N901" s="6"/>
      <c r="O901" s="6"/>
      <c r="P901" s="6"/>
    </row>
    <row r="902" spans="1:16" x14ac:dyDescent="0.2">
      <c r="A902" s="6"/>
      <c r="B902" s="6"/>
      <c r="C902" s="6"/>
      <c r="D902" s="6"/>
      <c r="E902" s="6"/>
      <c r="F902" s="6"/>
      <c r="G902" s="6"/>
      <c r="H902" s="6"/>
      <c r="I902" s="6"/>
      <c r="J902" s="6"/>
      <c r="K902" s="6"/>
      <c r="L902" s="6"/>
      <c r="M902" s="6"/>
      <c r="N902" s="6"/>
      <c r="O902" s="6"/>
      <c r="P902" s="6"/>
    </row>
    <row r="903" spans="1:16" x14ac:dyDescent="0.2">
      <c r="A903" s="6"/>
      <c r="B903" s="6"/>
      <c r="C903" s="6"/>
      <c r="D903" s="6"/>
      <c r="E903" s="6"/>
      <c r="F903" s="6"/>
      <c r="G903" s="6"/>
      <c r="H903" s="6"/>
      <c r="I903" s="6"/>
      <c r="J903" s="6"/>
      <c r="K903" s="6"/>
      <c r="L903" s="6"/>
      <c r="M903" s="6"/>
      <c r="N903" s="6"/>
      <c r="O903" s="6"/>
      <c r="P903" s="6"/>
    </row>
    <row r="904" spans="1:16" x14ac:dyDescent="0.2">
      <c r="A904" s="6"/>
      <c r="B904" s="6"/>
      <c r="C904" s="6"/>
      <c r="D904" s="6"/>
      <c r="E904" s="6"/>
      <c r="F904" s="6"/>
      <c r="G904" s="6"/>
      <c r="H904" s="6"/>
      <c r="I904" s="6"/>
      <c r="J904" s="6"/>
      <c r="K904" s="6"/>
      <c r="L904" s="6"/>
      <c r="M904" s="6"/>
      <c r="N904" s="6"/>
      <c r="O904" s="6"/>
      <c r="P904" s="6"/>
    </row>
    <row r="905" spans="1:16" x14ac:dyDescent="0.2">
      <c r="A905" s="6"/>
      <c r="B905" s="6"/>
      <c r="C905" s="6"/>
      <c r="D905" s="6"/>
      <c r="E905" s="6"/>
      <c r="F905" s="6"/>
      <c r="G905" s="6"/>
      <c r="H905" s="6"/>
      <c r="I905" s="6"/>
      <c r="J905" s="6"/>
      <c r="K905" s="6"/>
      <c r="L905" s="6"/>
      <c r="M905" s="6"/>
      <c r="N905" s="6"/>
      <c r="O905" s="6"/>
      <c r="P905" s="6"/>
    </row>
    <row r="906" spans="1:16" x14ac:dyDescent="0.2">
      <c r="A906" s="6"/>
      <c r="B906" s="6"/>
      <c r="C906" s="6"/>
      <c r="D906" s="6"/>
      <c r="E906" s="6"/>
      <c r="F906" s="6"/>
      <c r="G906" s="6"/>
      <c r="H906" s="6"/>
      <c r="I906" s="6"/>
      <c r="J906" s="6"/>
      <c r="K906" s="6"/>
      <c r="L906" s="6"/>
      <c r="M906" s="6"/>
      <c r="N906" s="6"/>
      <c r="O906" s="6"/>
      <c r="P906" s="6"/>
    </row>
    <row r="907" spans="1:16" x14ac:dyDescent="0.2">
      <c r="A907" s="6"/>
      <c r="B907" s="6"/>
      <c r="C907" s="6"/>
      <c r="D907" s="6"/>
      <c r="E907" s="6"/>
      <c r="F907" s="6"/>
      <c r="G907" s="6"/>
      <c r="H907" s="6"/>
      <c r="I907" s="6"/>
      <c r="J907" s="6"/>
      <c r="K907" s="6"/>
      <c r="L907" s="6"/>
      <c r="M907" s="6"/>
      <c r="N907" s="6"/>
      <c r="O907" s="6"/>
      <c r="P907" s="6"/>
    </row>
    <row r="908" spans="1:16" x14ac:dyDescent="0.2">
      <c r="A908" s="6"/>
      <c r="B908" s="6"/>
      <c r="C908" s="6"/>
      <c r="D908" s="6"/>
      <c r="E908" s="6"/>
      <c r="F908" s="6"/>
      <c r="G908" s="6"/>
      <c r="H908" s="6"/>
      <c r="I908" s="6"/>
      <c r="J908" s="6"/>
      <c r="K908" s="6"/>
      <c r="L908" s="6"/>
      <c r="M908" s="6"/>
      <c r="N908" s="6"/>
      <c r="O908" s="6"/>
      <c r="P908" s="6"/>
    </row>
    <row r="909" spans="1:16" x14ac:dyDescent="0.2">
      <c r="A909" s="6"/>
      <c r="B909" s="6"/>
      <c r="C909" s="6"/>
      <c r="D909" s="6"/>
      <c r="E909" s="6"/>
      <c r="F909" s="6"/>
      <c r="G909" s="6"/>
      <c r="H909" s="6"/>
      <c r="I909" s="6"/>
      <c r="J909" s="6"/>
      <c r="K909" s="6"/>
      <c r="L909" s="6"/>
      <c r="M909" s="6"/>
      <c r="N909" s="6"/>
      <c r="O909" s="6"/>
      <c r="P909" s="6"/>
    </row>
    <row r="910" spans="1:16" x14ac:dyDescent="0.2">
      <c r="A910" s="6"/>
      <c r="B910" s="6"/>
      <c r="C910" s="6"/>
      <c r="D910" s="6"/>
      <c r="E910" s="6"/>
      <c r="F910" s="6"/>
      <c r="G910" s="6"/>
      <c r="H910" s="6"/>
      <c r="I910" s="6"/>
      <c r="J910" s="6"/>
      <c r="K910" s="6"/>
      <c r="L910" s="6"/>
      <c r="M910" s="6"/>
      <c r="N910" s="6"/>
      <c r="O910" s="6"/>
      <c r="P910" s="6"/>
    </row>
    <row r="911" spans="1:16" x14ac:dyDescent="0.2">
      <c r="A911" s="6"/>
      <c r="B911" s="6"/>
      <c r="C911" s="6"/>
      <c r="D911" s="6"/>
      <c r="E911" s="6"/>
      <c r="F911" s="6"/>
      <c r="G911" s="6"/>
      <c r="H911" s="6"/>
      <c r="I911" s="6"/>
      <c r="J911" s="6"/>
      <c r="K911" s="6"/>
      <c r="L911" s="6"/>
      <c r="M911" s="6"/>
      <c r="N911" s="6"/>
      <c r="O911" s="6"/>
      <c r="P911" s="6"/>
    </row>
    <row r="912" spans="1:16" x14ac:dyDescent="0.2">
      <c r="A912" s="6"/>
      <c r="B912" s="6"/>
      <c r="C912" s="6"/>
      <c r="D912" s="6"/>
      <c r="E912" s="6"/>
      <c r="F912" s="6"/>
      <c r="G912" s="6"/>
      <c r="H912" s="6"/>
      <c r="I912" s="6"/>
      <c r="J912" s="6"/>
      <c r="K912" s="6"/>
      <c r="L912" s="6"/>
      <c r="M912" s="6"/>
      <c r="N912" s="6"/>
      <c r="O912" s="6"/>
      <c r="P912" s="6"/>
    </row>
    <row r="913" spans="1:16" x14ac:dyDescent="0.2">
      <c r="A913" s="6"/>
      <c r="B913" s="6"/>
      <c r="C913" s="6"/>
      <c r="D913" s="6"/>
      <c r="E913" s="6"/>
      <c r="F913" s="6"/>
      <c r="G913" s="6"/>
      <c r="H913" s="6"/>
      <c r="I913" s="6"/>
      <c r="J913" s="6"/>
      <c r="K913" s="6"/>
      <c r="L913" s="6"/>
      <c r="M913" s="6"/>
      <c r="N913" s="6"/>
      <c r="O913" s="6"/>
      <c r="P913" s="6"/>
    </row>
    <row r="914" spans="1:16" x14ac:dyDescent="0.2">
      <c r="A914" s="6"/>
      <c r="B914" s="6"/>
      <c r="C914" s="6"/>
      <c r="D914" s="6"/>
      <c r="E914" s="6"/>
      <c r="F914" s="6"/>
      <c r="G914" s="6"/>
      <c r="H914" s="6"/>
      <c r="I914" s="6"/>
      <c r="J914" s="6"/>
      <c r="K914" s="6"/>
      <c r="L914" s="6"/>
      <c r="M914" s="6"/>
      <c r="N914" s="6"/>
      <c r="O914" s="6"/>
      <c r="P914" s="6"/>
    </row>
    <row r="915" spans="1:16" x14ac:dyDescent="0.2">
      <c r="A915" s="6"/>
      <c r="B915" s="6"/>
      <c r="C915" s="6"/>
      <c r="D915" s="6"/>
      <c r="E915" s="6"/>
      <c r="F915" s="6"/>
      <c r="G915" s="6"/>
      <c r="H915" s="6"/>
      <c r="I915" s="6"/>
      <c r="J915" s="6"/>
      <c r="K915" s="6"/>
      <c r="L915" s="6"/>
      <c r="M915" s="6"/>
      <c r="N915" s="6"/>
      <c r="O915" s="6"/>
      <c r="P915" s="6"/>
    </row>
    <row r="916" spans="1:16" x14ac:dyDescent="0.2">
      <c r="A916" s="6"/>
      <c r="B916" s="6"/>
      <c r="C916" s="6"/>
      <c r="D916" s="6"/>
      <c r="E916" s="6"/>
      <c r="F916" s="6"/>
      <c r="G916" s="6"/>
      <c r="H916" s="6"/>
      <c r="I916" s="6"/>
      <c r="J916" s="6"/>
      <c r="K916" s="6"/>
      <c r="L916" s="6"/>
      <c r="M916" s="6"/>
      <c r="N916" s="6"/>
      <c r="O916" s="6"/>
      <c r="P916" s="6"/>
    </row>
    <row r="917" spans="1:16" x14ac:dyDescent="0.2">
      <c r="A917" s="6"/>
      <c r="B917" s="6"/>
      <c r="C917" s="6"/>
      <c r="D917" s="6"/>
      <c r="E917" s="6"/>
      <c r="F917" s="6"/>
      <c r="G917" s="6"/>
      <c r="H917" s="6"/>
      <c r="I917" s="6"/>
      <c r="J917" s="6"/>
      <c r="K917" s="6"/>
      <c r="L917" s="6"/>
      <c r="M917" s="6"/>
      <c r="N917" s="6"/>
      <c r="O917" s="6"/>
      <c r="P917" s="6"/>
    </row>
    <row r="918" spans="1:16" x14ac:dyDescent="0.2">
      <c r="A918" s="6"/>
      <c r="B918" s="6"/>
      <c r="C918" s="6"/>
      <c r="D918" s="6"/>
      <c r="E918" s="6"/>
      <c r="F918" s="6"/>
      <c r="G918" s="6"/>
      <c r="H918" s="6"/>
      <c r="I918" s="6"/>
      <c r="J918" s="6"/>
      <c r="K918" s="6"/>
      <c r="L918" s="6"/>
      <c r="M918" s="6"/>
      <c r="N918" s="6"/>
      <c r="O918" s="6"/>
      <c r="P918" s="6"/>
    </row>
    <row r="919" spans="1:16" x14ac:dyDescent="0.2">
      <c r="A919" s="6"/>
      <c r="B919" s="6"/>
      <c r="C919" s="6"/>
      <c r="D919" s="6"/>
      <c r="E919" s="6"/>
      <c r="F919" s="6"/>
      <c r="G919" s="6"/>
      <c r="H919" s="6"/>
      <c r="I919" s="6"/>
      <c r="J919" s="6"/>
      <c r="K919" s="6"/>
      <c r="L919" s="6"/>
      <c r="M919" s="6"/>
      <c r="N919" s="6"/>
      <c r="O919" s="6"/>
      <c r="P919" s="6"/>
    </row>
    <row r="920" spans="1:16" x14ac:dyDescent="0.2">
      <c r="A920" s="6"/>
      <c r="B920" s="6"/>
      <c r="C920" s="6"/>
      <c r="D920" s="6"/>
      <c r="E920" s="6"/>
      <c r="F920" s="6"/>
      <c r="G920" s="6"/>
      <c r="H920" s="6"/>
      <c r="I920" s="6"/>
      <c r="J920" s="6"/>
      <c r="K920" s="6"/>
      <c r="L920" s="6"/>
      <c r="M920" s="6"/>
      <c r="N920" s="6"/>
      <c r="O920" s="6"/>
      <c r="P920" s="6"/>
    </row>
    <row r="921" spans="1:16" x14ac:dyDescent="0.2">
      <c r="A921" s="6"/>
      <c r="B921" s="6"/>
      <c r="C921" s="6"/>
      <c r="D921" s="6"/>
      <c r="E921" s="6"/>
      <c r="F921" s="6"/>
      <c r="G921" s="6"/>
      <c r="H921" s="6"/>
      <c r="I921" s="6"/>
      <c r="J921" s="6"/>
      <c r="K921" s="6"/>
      <c r="L921" s="6"/>
      <c r="M921" s="6"/>
      <c r="N921" s="6"/>
      <c r="O921" s="6"/>
      <c r="P921" s="6"/>
    </row>
    <row r="922" spans="1:16" x14ac:dyDescent="0.2">
      <c r="A922" s="6"/>
      <c r="B922" s="6"/>
      <c r="C922" s="6"/>
      <c r="D922" s="6"/>
      <c r="E922" s="6"/>
      <c r="F922" s="6"/>
      <c r="G922" s="6"/>
      <c r="H922" s="6"/>
      <c r="I922" s="6"/>
      <c r="J922" s="6"/>
      <c r="K922" s="6"/>
      <c r="L922" s="6"/>
      <c r="M922" s="6"/>
      <c r="N922" s="6"/>
      <c r="O922" s="6"/>
      <c r="P922" s="6"/>
    </row>
    <row r="923" spans="1:16" x14ac:dyDescent="0.2">
      <c r="A923" s="6"/>
      <c r="B923" s="6"/>
      <c r="C923" s="6"/>
      <c r="D923" s="6"/>
      <c r="E923" s="6"/>
      <c r="F923" s="6"/>
      <c r="G923" s="6"/>
      <c r="H923" s="6"/>
      <c r="I923" s="6"/>
      <c r="J923" s="6"/>
      <c r="K923" s="6"/>
      <c r="L923" s="6"/>
      <c r="M923" s="6"/>
      <c r="N923" s="6"/>
      <c r="O923" s="6"/>
      <c r="P923" s="6"/>
    </row>
    <row r="924" spans="1:16" x14ac:dyDescent="0.2">
      <c r="A924" s="6"/>
      <c r="B924" s="6"/>
      <c r="C924" s="6"/>
      <c r="D924" s="6"/>
      <c r="E924" s="6"/>
      <c r="F924" s="6"/>
      <c r="G924" s="6"/>
      <c r="H924" s="6"/>
      <c r="I924" s="6"/>
      <c r="J924" s="6"/>
      <c r="K924" s="6"/>
      <c r="L924" s="6"/>
      <c r="M924" s="6"/>
      <c r="N924" s="6"/>
      <c r="O924" s="6"/>
      <c r="P924" s="6"/>
    </row>
    <row r="925" spans="1:16" x14ac:dyDescent="0.2">
      <c r="A925" s="6"/>
      <c r="B925" s="6"/>
      <c r="C925" s="6"/>
      <c r="D925" s="6"/>
      <c r="E925" s="6"/>
      <c r="F925" s="6"/>
      <c r="G925" s="6"/>
      <c r="H925" s="6"/>
      <c r="I925" s="6"/>
      <c r="J925" s="6"/>
      <c r="K925" s="6"/>
      <c r="L925" s="6"/>
      <c r="M925" s="6"/>
      <c r="N925" s="6"/>
      <c r="O925" s="6"/>
      <c r="P925" s="6"/>
    </row>
    <row r="926" spans="1:16" x14ac:dyDescent="0.2">
      <c r="A926" s="6"/>
      <c r="B926" s="6"/>
      <c r="C926" s="6"/>
      <c r="D926" s="6"/>
      <c r="E926" s="6"/>
      <c r="F926" s="6"/>
      <c r="G926" s="6"/>
      <c r="H926" s="6"/>
      <c r="I926" s="6"/>
      <c r="J926" s="6"/>
      <c r="K926" s="6"/>
      <c r="L926" s="6"/>
      <c r="M926" s="6"/>
      <c r="N926" s="6"/>
      <c r="O926" s="6"/>
      <c r="P926" s="6"/>
    </row>
    <row r="927" spans="1:16" x14ac:dyDescent="0.2">
      <c r="A927" s="6"/>
      <c r="B927" s="6"/>
      <c r="C927" s="6"/>
      <c r="D927" s="6"/>
      <c r="E927" s="6"/>
      <c r="F927" s="6"/>
      <c r="G927" s="6"/>
      <c r="H927" s="6"/>
      <c r="I927" s="6"/>
      <c r="J927" s="6"/>
      <c r="K927" s="6"/>
      <c r="L927" s="6"/>
      <c r="M927" s="6"/>
      <c r="N927" s="6"/>
      <c r="O927" s="6"/>
      <c r="P927" s="6"/>
    </row>
    <row r="928" spans="1:16" x14ac:dyDescent="0.2">
      <c r="A928" s="6"/>
      <c r="B928" s="6"/>
      <c r="C928" s="6"/>
      <c r="D928" s="6"/>
      <c r="E928" s="6"/>
      <c r="F928" s="6"/>
      <c r="G928" s="6"/>
      <c r="H928" s="6"/>
      <c r="I928" s="6"/>
      <c r="J928" s="6"/>
      <c r="K928" s="6"/>
      <c r="L928" s="6"/>
      <c r="M928" s="6"/>
      <c r="N928" s="6"/>
      <c r="O928" s="6"/>
      <c r="P928" s="6"/>
    </row>
    <row r="929" spans="1:16" x14ac:dyDescent="0.2">
      <c r="A929" s="6"/>
      <c r="B929" s="6"/>
      <c r="C929" s="6"/>
      <c r="D929" s="6"/>
      <c r="E929" s="6"/>
      <c r="F929" s="6"/>
      <c r="G929" s="6"/>
      <c r="H929" s="6"/>
      <c r="I929" s="6"/>
      <c r="J929" s="6"/>
      <c r="K929" s="6"/>
      <c r="L929" s="6"/>
      <c r="M929" s="6"/>
      <c r="N929" s="6"/>
      <c r="O929" s="6"/>
      <c r="P929" s="6"/>
    </row>
    <row r="930" spans="1:16" x14ac:dyDescent="0.2">
      <c r="A930" s="6"/>
      <c r="B930" s="6"/>
      <c r="C930" s="6"/>
      <c r="D930" s="6"/>
      <c r="E930" s="6"/>
      <c r="F930" s="6"/>
      <c r="G930" s="6"/>
      <c r="H930" s="6"/>
      <c r="I930" s="6"/>
      <c r="J930" s="6"/>
      <c r="K930" s="6"/>
      <c r="L930" s="6"/>
      <c r="M930" s="6"/>
      <c r="N930" s="6"/>
      <c r="O930" s="6"/>
      <c r="P930" s="6"/>
    </row>
    <row r="931" spans="1:16" x14ac:dyDescent="0.2">
      <c r="A931" s="6"/>
      <c r="B931" s="6"/>
      <c r="C931" s="6"/>
      <c r="D931" s="6"/>
      <c r="E931" s="6"/>
      <c r="F931" s="6"/>
      <c r="G931" s="6"/>
      <c r="H931" s="6"/>
      <c r="I931" s="6"/>
      <c r="J931" s="6"/>
      <c r="K931" s="6"/>
      <c r="L931" s="6"/>
      <c r="M931" s="6"/>
      <c r="N931" s="6"/>
      <c r="O931" s="6"/>
      <c r="P931" s="6"/>
    </row>
    <row r="932" spans="1:16" x14ac:dyDescent="0.2">
      <c r="A932" s="6"/>
      <c r="B932" s="6"/>
      <c r="C932" s="6"/>
      <c r="D932" s="6"/>
      <c r="E932" s="6"/>
      <c r="F932" s="6"/>
      <c r="G932" s="6"/>
      <c r="H932" s="6"/>
      <c r="I932" s="6"/>
      <c r="J932" s="6"/>
      <c r="K932" s="6"/>
      <c r="L932" s="6"/>
      <c r="M932" s="6"/>
      <c r="N932" s="6"/>
      <c r="O932" s="6"/>
      <c r="P932" s="6"/>
    </row>
    <row r="933" spans="1:16" x14ac:dyDescent="0.2">
      <c r="A933" s="6"/>
      <c r="B933" s="6"/>
      <c r="C933" s="6"/>
      <c r="D933" s="6"/>
      <c r="E933" s="6"/>
      <c r="F933" s="6"/>
      <c r="G933" s="6"/>
      <c r="H933" s="6"/>
      <c r="I933" s="6"/>
      <c r="J933" s="6"/>
      <c r="K933" s="6"/>
      <c r="L933" s="6"/>
      <c r="M933" s="6"/>
      <c r="N933" s="6"/>
      <c r="O933" s="6"/>
      <c r="P933" s="6"/>
    </row>
    <row r="934" spans="1:16" x14ac:dyDescent="0.2">
      <c r="A934" s="6"/>
      <c r="B934" s="6"/>
      <c r="C934" s="6"/>
      <c r="D934" s="6"/>
      <c r="E934" s="6"/>
      <c r="F934" s="6"/>
      <c r="G934" s="6"/>
      <c r="H934" s="6"/>
      <c r="I934" s="6"/>
      <c r="J934" s="6"/>
      <c r="K934" s="6"/>
      <c r="L934" s="6"/>
      <c r="M934" s="6"/>
      <c r="N934" s="6"/>
      <c r="O934" s="6"/>
      <c r="P934" s="6"/>
    </row>
    <row r="935" spans="1:16" x14ac:dyDescent="0.2">
      <c r="A935" s="6"/>
      <c r="B935" s="6"/>
      <c r="C935" s="6"/>
      <c r="D935" s="6"/>
      <c r="E935" s="6"/>
      <c r="F935" s="6"/>
      <c r="G935" s="6"/>
      <c r="H935" s="6"/>
      <c r="I935" s="6"/>
      <c r="J935" s="6"/>
      <c r="K935" s="6"/>
      <c r="L935" s="6"/>
      <c r="M935" s="6"/>
      <c r="N935" s="6"/>
      <c r="O935" s="6"/>
      <c r="P935" s="6"/>
    </row>
    <row r="936" spans="1:16" x14ac:dyDescent="0.2">
      <c r="A936" s="6"/>
      <c r="B936" s="6"/>
      <c r="C936" s="6"/>
      <c r="D936" s="6"/>
      <c r="E936" s="6"/>
      <c r="F936" s="6"/>
      <c r="G936" s="6"/>
      <c r="H936" s="6"/>
      <c r="I936" s="6"/>
      <c r="J936" s="6"/>
      <c r="K936" s="6"/>
      <c r="L936" s="6"/>
      <c r="M936" s="6"/>
      <c r="N936" s="6"/>
      <c r="O936" s="6"/>
      <c r="P936" s="6"/>
    </row>
    <row r="937" spans="1:16" x14ac:dyDescent="0.2">
      <c r="A937" s="6"/>
      <c r="B937" s="6"/>
      <c r="C937" s="6"/>
      <c r="D937" s="6"/>
      <c r="E937" s="6"/>
      <c r="F937" s="6"/>
      <c r="G937" s="6"/>
      <c r="H937" s="6"/>
      <c r="I937" s="6"/>
      <c r="J937" s="6"/>
      <c r="K937" s="6"/>
      <c r="L937" s="6"/>
      <c r="M937" s="6"/>
      <c r="N937" s="6"/>
      <c r="O937" s="6"/>
      <c r="P937" s="6"/>
    </row>
    <row r="938" spans="1:16" x14ac:dyDescent="0.2">
      <c r="A938" s="6"/>
      <c r="B938" s="6"/>
      <c r="C938" s="6"/>
      <c r="D938" s="6"/>
      <c r="E938" s="6"/>
      <c r="F938" s="6"/>
      <c r="G938" s="6"/>
      <c r="H938" s="6"/>
      <c r="I938" s="6"/>
      <c r="J938" s="6"/>
      <c r="K938" s="6"/>
      <c r="L938" s="6"/>
      <c r="M938" s="6"/>
      <c r="N938" s="6"/>
      <c r="O938" s="6"/>
      <c r="P938" s="6"/>
    </row>
    <row r="939" spans="1:16" x14ac:dyDescent="0.2">
      <c r="A939" s="6"/>
      <c r="B939" s="6"/>
      <c r="C939" s="6"/>
      <c r="D939" s="6"/>
      <c r="E939" s="6"/>
      <c r="F939" s="6"/>
      <c r="G939" s="6"/>
      <c r="H939" s="6"/>
      <c r="I939" s="6"/>
      <c r="J939" s="6"/>
      <c r="K939" s="6"/>
      <c r="L939" s="6"/>
      <c r="M939" s="6"/>
      <c r="N939" s="6"/>
      <c r="O939" s="6"/>
      <c r="P939" s="6"/>
    </row>
    <row r="940" spans="1:16" x14ac:dyDescent="0.2">
      <c r="A940" s="6"/>
      <c r="B940" s="6"/>
      <c r="C940" s="6"/>
      <c r="D940" s="6"/>
      <c r="E940" s="6"/>
      <c r="F940" s="6"/>
      <c r="G940" s="6"/>
      <c r="H940" s="6"/>
      <c r="I940" s="6"/>
      <c r="J940" s="6"/>
      <c r="K940" s="6"/>
      <c r="L940" s="6"/>
      <c r="M940" s="6"/>
      <c r="N940" s="6"/>
      <c r="O940" s="6"/>
      <c r="P940" s="6"/>
    </row>
    <row r="941" spans="1:16" x14ac:dyDescent="0.2">
      <c r="A941" s="6"/>
      <c r="B941" s="6"/>
      <c r="C941" s="6"/>
      <c r="D941" s="6"/>
      <c r="E941" s="6"/>
      <c r="F941" s="6"/>
      <c r="G941" s="6"/>
      <c r="H941" s="6"/>
      <c r="I941" s="6"/>
      <c r="J941" s="6"/>
      <c r="K941" s="6"/>
      <c r="L941" s="6"/>
      <c r="M941" s="6"/>
      <c r="N941" s="6"/>
      <c r="O941" s="6"/>
      <c r="P941" s="6"/>
    </row>
    <row r="942" spans="1:16" x14ac:dyDescent="0.2">
      <c r="A942" s="6"/>
      <c r="B942" s="6"/>
      <c r="C942" s="6"/>
      <c r="D942" s="6"/>
      <c r="E942" s="6"/>
      <c r="F942" s="6"/>
      <c r="G942" s="6"/>
      <c r="H942" s="6"/>
      <c r="I942" s="6"/>
      <c r="J942" s="6"/>
      <c r="K942" s="6"/>
      <c r="L942" s="6"/>
      <c r="M942" s="6"/>
      <c r="N942" s="6"/>
      <c r="O942" s="6"/>
      <c r="P942" s="6"/>
    </row>
    <row r="943" spans="1:16" x14ac:dyDescent="0.2">
      <c r="A943" s="6"/>
      <c r="B943" s="6"/>
      <c r="C943" s="6"/>
      <c r="D943" s="6"/>
      <c r="E943" s="6"/>
      <c r="F943" s="6"/>
      <c r="G943" s="6"/>
      <c r="H943" s="6"/>
      <c r="I943" s="6"/>
      <c r="J943" s="6"/>
      <c r="K943" s="6"/>
      <c r="L943" s="6"/>
      <c r="M943" s="6"/>
      <c r="N943" s="6"/>
      <c r="O943" s="6"/>
      <c r="P943" s="6"/>
    </row>
    <row r="944" spans="1:16" x14ac:dyDescent="0.2">
      <c r="A944" s="6"/>
      <c r="B944" s="6"/>
      <c r="C944" s="6"/>
      <c r="D944" s="6"/>
      <c r="E944" s="6"/>
      <c r="F944" s="6"/>
      <c r="G944" s="6"/>
      <c r="H944" s="6"/>
      <c r="I944" s="6"/>
      <c r="J944" s="6"/>
      <c r="K944" s="6"/>
      <c r="L944" s="6"/>
      <c r="M944" s="6"/>
      <c r="N944" s="6"/>
      <c r="O944" s="6"/>
      <c r="P944" s="6"/>
    </row>
    <row r="945" spans="1:16" x14ac:dyDescent="0.2">
      <c r="A945" s="6"/>
      <c r="B945" s="6"/>
      <c r="C945" s="6"/>
      <c r="D945" s="6"/>
      <c r="E945" s="6"/>
      <c r="F945" s="6"/>
      <c r="G945" s="6"/>
      <c r="H945" s="6"/>
      <c r="I945" s="6"/>
      <c r="J945" s="6"/>
      <c r="K945" s="6"/>
      <c r="L945" s="6"/>
      <c r="M945" s="6"/>
      <c r="N945" s="6"/>
      <c r="O945" s="6"/>
      <c r="P945" s="6"/>
    </row>
    <row r="946" spans="1:16" x14ac:dyDescent="0.2">
      <c r="A946" s="6"/>
      <c r="B946" s="6"/>
      <c r="C946" s="6"/>
      <c r="D946" s="6"/>
      <c r="E946" s="6"/>
      <c r="F946" s="6"/>
      <c r="G946" s="6"/>
      <c r="H946" s="6"/>
      <c r="I946" s="6"/>
      <c r="J946" s="6"/>
      <c r="K946" s="6"/>
      <c r="L946" s="6"/>
      <c r="M946" s="6"/>
      <c r="N946" s="6"/>
      <c r="O946" s="6"/>
      <c r="P946" s="6"/>
    </row>
    <row r="947" spans="1:16" x14ac:dyDescent="0.2">
      <c r="A947" s="6"/>
      <c r="B947" s="6"/>
      <c r="C947" s="6"/>
      <c r="D947" s="6"/>
      <c r="E947" s="6"/>
      <c r="F947" s="6"/>
      <c r="G947" s="6"/>
      <c r="H947" s="6"/>
      <c r="I947" s="6"/>
      <c r="J947" s="6"/>
      <c r="K947" s="6"/>
      <c r="L947" s="6"/>
      <c r="M947" s="6"/>
      <c r="N947" s="6"/>
      <c r="O947" s="6"/>
      <c r="P947" s="6"/>
    </row>
    <row r="948" spans="1:16" x14ac:dyDescent="0.2">
      <c r="A948" s="6"/>
      <c r="B948" s="6"/>
      <c r="C948" s="6"/>
      <c r="D948" s="6"/>
      <c r="E948" s="6"/>
      <c r="F948" s="6"/>
      <c r="G948" s="6"/>
      <c r="H948" s="6"/>
      <c r="I948" s="6"/>
      <c r="J948" s="6"/>
      <c r="K948" s="6"/>
      <c r="L948" s="6"/>
      <c r="M948" s="6"/>
      <c r="N948" s="6"/>
      <c r="O948" s="6"/>
      <c r="P948" s="6"/>
    </row>
    <row r="949" spans="1:16" x14ac:dyDescent="0.2">
      <c r="A949" s="6"/>
      <c r="B949" s="6"/>
      <c r="C949" s="6"/>
      <c r="D949" s="6"/>
      <c r="E949" s="6"/>
      <c r="F949" s="6"/>
      <c r="G949" s="6"/>
      <c r="H949" s="6"/>
      <c r="I949" s="6"/>
      <c r="J949" s="6"/>
      <c r="K949" s="6"/>
      <c r="L949" s="6"/>
      <c r="M949" s="6"/>
      <c r="N949" s="6"/>
      <c r="O949" s="6"/>
      <c r="P949" s="6"/>
    </row>
    <row r="950" spans="1:16" x14ac:dyDescent="0.2">
      <c r="A950" s="6"/>
      <c r="B950" s="6"/>
      <c r="C950" s="6"/>
      <c r="D950" s="6"/>
      <c r="E950" s="6"/>
      <c r="F950" s="6"/>
      <c r="G950" s="6"/>
      <c r="H950" s="6"/>
      <c r="I950" s="6"/>
      <c r="J950" s="6"/>
      <c r="K950" s="6"/>
      <c r="L950" s="6"/>
      <c r="M950" s="6"/>
      <c r="N950" s="6"/>
      <c r="O950" s="6"/>
      <c r="P950" s="6"/>
    </row>
    <row r="951" spans="1:16" x14ac:dyDescent="0.2">
      <c r="A951" s="6"/>
      <c r="B951" s="6"/>
      <c r="C951" s="6"/>
      <c r="D951" s="6"/>
      <c r="E951" s="6"/>
      <c r="F951" s="6"/>
      <c r="G951" s="6"/>
      <c r="H951" s="6"/>
      <c r="I951" s="6"/>
      <c r="J951" s="6"/>
      <c r="K951" s="6"/>
      <c r="L951" s="6"/>
      <c r="M951" s="6"/>
      <c r="N951" s="6"/>
      <c r="O951" s="6"/>
      <c r="P951" s="6"/>
    </row>
    <row r="952" spans="1:16" x14ac:dyDescent="0.2">
      <c r="A952" s="6"/>
      <c r="B952" s="6"/>
      <c r="C952" s="6"/>
      <c r="D952" s="6"/>
      <c r="E952" s="6"/>
      <c r="F952" s="6"/>
      <c r="G952" s="6"/>
      <c r="H952" s="6"/>
      <c r="I952" s="6"/>
      <c r="J952" s="6"/>
      <c r="K952" s="6"/>
      <c r="L952" s="6"/>
      <c r="M952" s="6"/>
      <c r="N952" s="6"/>
      <c r="O952" s="6"/>
      <c r="P952" s="6"/>
    </row>
    <row r="953" spans="1:16" x14ac:dyDescent="0.2">
      <c r="A953" s="6"/>
      <c r="B953" s="6"/>
      <c r="C953" s="6"/>
      <c r="D953" s="6"/>
      <c r="E953" s="6"/>
      <c r="F953" s="6"/>
      <c r="G953" s="6"/>
      <c r="H953" s="6"/>
      <c r="I953" s="6"/>
      <c r="J953" s="6"/>
      <c r="K953" s="6"/>
      <c r="L953" s="6"/>
      <c r="M953" s="6"/>
      <c r="N953" s="6"/>
      <c r="O953" s="6"/>
      <c r="P953" s="6"/>
    </row>
    <row r="954" spans="1:16" x14ac:dyDescent="0.2">
      <c r="A954" s="6"/>
      <c r="B954" s="6"/>
      <c r="C954" s="6"/>
      <c r="D954" s="6"/>
      <c r="E954" s="6"/>
      <c r="F954" s="6"/>
      <c r="G954" s="6"/>
      <c r="H954" s="6"/>
      <c r="I954" s="6"/>
      <c r="J954" s="6"/>
      <c r="K954" s="6"/>
      <c r="L954" s="6"/>
      <c r="M954" s="6"/>
      <c r="N954" s="6"/>
      <c r="O954" s="6"/>
      <c r="P954" s="6"/>
    </row>
    <row r="955" spans="1:16" x14ac:dyDescent="0.2">
      <c r="A955" s="6"/>
      <c r="B955" s="6"/>
      <c r="C955" s="6"/>
      <c r="D955" s="6"/>
      <c r="E955" s="6"/>
      <c r="F955" s="6"/>
      <c r="G955" s="6"/>
      <c r="H955" s="6"/>
      <c r="I955" s="6"/>
      <c r="J955" s="6"/>
      <c r="K955" s="6"/>
      <c r="L955" s="6"/>
      <c r="M955" s="6"/>
      <c r="N955" s="6"/>
      <c r="O955" s="6"/>
      <c r="P955" s="6"/>
    </row>
    <row r="956" spans="1:16" x14ac:dyDescent="0.2">
      <c r="A956" s="6"/>
      <c r="B956" s="6"/>
      <c r="C956" s="6"/>
      <c r="D956" s="6"/>
      <c r="E956" s="6"/>
      <c r="F956" s="6"/>
      <c r="G956" s="6"/>
      <c r="H956" s="6"/>
      <c r="I956" s="6"/>
      <c r="J956" s="6"/>
      <c r="K956" s="6"/>
      <c r="L956" s="6"/>
      <c r="M956" s="6"/>
      <c r="N956" s="6"/>
      <c r="O956" s="6"/>
      <c r="P956" s="6"/>
    </row>
    <row r="957" spans="1:16" x14ac:dyDescent="0.2">
      <c r="A957" s="6"/>
      <c r="B957" s="6"/>
      <c r="C957" s="6"/>
      <c r="D957" s="6"/>
      <c r="E957" s="6"/>
      <c r="F957" s="6"/>
      <c r="G957" s="6"/>
      <c r="H957" s="6"/>
      <c r="I957" s="6"/>
      <c r="J957" s="6"/>
      <c r="K957" s="6"/>
      <c r="L957" s="6"/>
      <c r="M957" s="6"/>
      <c r="N957" s="6"/>
      <c r="O957" s="6"/>
      <c r="P957" s="6"/>
    </row>
    <row r="958" spans="1:16" x14ac:dyDescent="0.2">
      <c r="A958" s="6"/>
      <c r="B958" s="6"/>
      <c r="C958" s="6"/>
      <c r="D958" s="6"/>
      <c r="E958" s="6"/>
      <c r="F958" s="6"/>
      <c r="G958" s="6"/>
      <c r="H958" s="6"/>
      <c r="I958" s="6"/>
      <c r="J958" s="6"/>
      <c r="K958" s="6"/>
      <c r="L958" s="6"/>
      <c r="M958" s="6"/>
      <c r="N958" s="6"/>
      <c r="O958" s="6"/>
      <c r="P958" s="6"/>
    </row>
    <row r="959" spans="1:16" x14ac:dyDescent="0.2">
      <c r="A959" s="6"/>
      <c r="B959" s="6"/>
      <c r="C959" s="6"/>
      <c r="D959" s="6"/>
      <c r="E959" s="6"/>
      <c r="F959" s="6"/>
      <c r="G959" s="6"/>
      <c r="H959" s="6"/>
      <c r="I959" s="6"/>
      <c r="J959" s="6"/>
      <c r="K959" s="6"/>
      <c r="L959" s="6"/>
      <c r="M959" s="6"/>
      <c r="N959" s="6"/>
      <c r="O959" s="6"/>
      <c r="P959" s="6"/>
    </row>
    <row r="960" spans="1:16" x14ac:dyDescent="0.2">
      <c r="A960" s="6"/>
      <c r="B960" s="6"/>
      <c r="C960" s="6"/>
      <c r="D960" s="6"/>
      <c r="E960" s="6"/>
      <c r="F960" s="6"/>
      <c r="G960" s="6"/>
      <c r="H960" s="6"/>
      <c r="I960" s="6"/>
      <c r="J960" s="6"/>
      <c r="K960" s="6"/>
      <c r="L960" s="6"/>
      <c r="M960" s="6"/>
      <c r="N960" s="6"/>
      <c r="O960" s="6"/>
      <c r="P960" s="6"/>
    </row>
    <row r="961" spans="1:16" x14ac:dyDescent="0.2">
      <c r="A961" s="6"/>
      <c r="B961" s="6"/>
      <c r="C961" s="6"/>
      <c r="D961" s="6"/>
      <c r="E961" s="6"/>
      <c r="F961" s="6"/>
      <c r="G961" s="6"/>
      <c r="H961" s="6"/>
      <c r="I961" s="6"/>
      <c r="J961" s="6"/>
      <c r="K961" s="6"/>
      <c r="L961" s="6"/>
      <c r="M961" s="6"/>
      <c r="N961" s="6"/>
      <c r="O961" s="6"/>
      <c r="P961" s="6"/>
    </row>
    <row r="962" spans="1:16" x14ac:dyDescent="0.2">
      <c r="A962" s="6"/>
      <c r="B962" s="6"/>
      <c r="C962" s="6"/>
      <c r="D962" s="6"/>
      <c r="E962" s="6"/>
      <c r="F962" s="6"/>
      <c r="G962" s="6"/>
      <c r="H962" s="6"/>
      <c r="I962" s="6"/>
      <c r="J962" s="6"/>
      <c r="K962" s="6"/>
      <c r="L962" s="6"/>
      <c r="M962" s="6"/>
      <c r="N962" s="6"/>
      <c r="O962" s="6"/>
      <c r="P962" s="6"/>
    </row>
    <row r="963" spans="1:16" x14ac:dyDescent="0.2">
      <c r="A963" s="6"/>
      <c r="B963" s="6"/>
      <c r="C963" s="6"/>
      <c r="D963" s="6"/>
      <c r="E963" s="6"/>
      <c r="F963" s="6"/>
      <c r="G963" s="6"/>
      <c r="H963" s="6"/>
      <c r="I963" s="6"/>
      <c r="J963" s="6"/>
      <c r="K963" s="6"/>
      <c r="L963" s="6"/>
      <c r="M963" s="6"/>
      <c r="N963" s="6"/>
      <c r="O963" s="6"/>
      <c r="P963" s="6"/>
    </row>
    <row r="964" spans="1:16" x14ac:dyDescent="0.2">
      <c r="A964" s="6"/>
      <c r="B964" s="6"/>
      <c r="C964" s="6"/>
      <c r="D964" s="6"/>
      <c r="E964" s="6"/>
      <c r="F964" s="6"/>
      <c r="G964" s="6"/>
      <c r="H964" s="6"/>
      <c r="I964" s="6"/>
      <c r="J964" s="6"/>
      <c r="K964" s="6"/>
      <c r="L964" s="6"/>
      <c r="M964" s="6"/>
      <c r="N964" s="6"/>
      <c r="O964" s="6"/>
      <c r="P964" s="6"/>
    </row>
    <row r="965" spans="1:16" x14ac:dyDescent="0.2">
      <c r="A965" s="6"/>
      <c r="B965" s="6"/>
      <c r="C965" s="6"/>
      <c r="D965" s="6"/>
      <c r="E965" s="6"/>
      <c r="F965" s="6"/>
      <c r="G965" s="6"/>
      <c r="H965" s="6"/>
      <c r="I965" s="6"/>
      <c r="J965" s="6"/>
      <c r="K965" s="6"/>
      <c r="L965" s="6"/>
      <c r="M965" s="6"/>
      <c r="N965" s="6"/>
      <c r="O965" s="6"/>
      <c r="P965" s="6"/>
    </row>
    <row r="966" spans="1:16" x14ac:dyDescent="0.2">
      <c r="A966" s="6"/>
      <c r="B966" s="6"/>
      <c r="C966" s="6"/>
      <c r="D966" s="6"/>
      <c r="E966" s="6"/>
      <c r="F966" s="6"/>
      <c r="G966" s="6"/>
      <c r="H966" s="6"/>
      <c r="I966" s="6"/>
      <c r="J966" s="6"/>
      <c r="K966" s="6"/>
      <c r="L966" s="6"/>
      <c r="M966" s="6"/>
      <c r="N966" s="6"/>
      <c r="O966" s="6"/>
      <c r="P966" s="6"/>
    </row>
    <row r="967" spans="1:16" x14ac:dyDescent="0.2">
      <c r="A967" s="6"/>
      <c r="B967" s="6"/>
      <c r="C967" s="6"/>
      <c r="D967" s="6"/>
      <c r="E967" s="6"/>
      <c r="F967" s="6"/>
      <c r="G967" s="6"/>
      <c r="H967" s="6"/>
      <c r="I967" s="6"/>
      <c r="J967" s="6"/>
      <c r="K967" s="6"/>
      <c r="L967" s="6"/>
      <c r="M967" s="6"/>
      <c r="N967" s="6"/>
      <c r="O967" s="6"/>
      <c r="P967" s="6"/>
    </row>
    <row r="968" spans="1:16" x14ac:dyDescent="0.2">
      <c r="A968" s="6"/>
      <c r="B968" s="6"/>
      <c r="C968" s="6"/>
      <c r="D968" s="6"/>
      <c r="E968" s="6"/>
      <c r="F968" s="6"/>
      <c r="G968" s="6"/>
      <c r="H968" s="6"/>
      <c r="I968" s="6"/>
      <c r="J968" s="6"/>
      <c r="K968" s="6"/>
      <c r="L968" s="6"/>
      <c r="M968" s="6"/>
      <c r="N968" s="6"/>
      <c r="O968" s="6"/>
      <c r="P968" s="6"/>
    </row>
    <row r="969" spans="1:16" x14ac:dyDescent="0.2">
      <c r="A969" s="6"/>
      <c r="B969" s="6"/>
      <c r="C969" s="6"/>
      <c r="D969" s="6"/>
      <c r="E969" s="6"/>
      <c r="F969" s="6"/>
      <c r="G969" s="6"/>
      <c r="H969" s="6"/>
      <c r="I969" s="6"/>
      <c r="J969" s="6"/>
      <c r="K969" s="6"/>
      <c r="L969" s="6"/>
      <c r="M969" s="6"/>
      <c r="N969" s="6"/>
      <c r="O969" s="6"/>
      <c r="P969" s="6"/>
    </row>
    <row r="970" spans="1:16" x14ac:dyDescent="0.2">
      <c r="A970" s="6"/>
      <c r="B970" s="6"/>
      <c r="C970" s="6"/>
      <c r="D970" s="6"/>
      <c r="E970" s="6"/>
      <c r="F970" s="6"/>
      <c r="G970" s="6"/>
      <c r="H970" s="6"/>
      <c r="I970" s="6"/>
      <c r="J970" s="6"/>
      <c r="K970" s="6"/>
      <c r="L970" s="6"/>
      <c r="M970" s="6"/>
      <c r="N970" s="6"/>
      <c r="O970" s="6"/>
      <c r="P970" s="6"/>
    </row>
    <row r="971" spans="1:16" x14ac:dyDescent="0.2">
      <c r="A971" s="6"/>
      <c r="B971" s="6"/>
      <c r="C971" s="6"/>
      <c r="D971" s="6"/>
      <c r="E971" s="6"/>
      <c r="F971" s="6"/>
      <c r="G971" s="6"/>
      <c r="H971" s="6"/>
      <c r="I971" s="6"/>
      <c r="J971" s="6"/>
      <c r="K971" s="6"/>
      <c r="L971" s="6"/>
      <c r="M971" s="6"/>
      <c r="N971" s="6"/>
      <c r="O971" s="6"/>
      <c r="P971" s="6"/>
    </row>
    <row r="972" spans="1:16" x14ac:dyDescent="0.2">
      <c r="A972" s="6"/>
      <c r="B972" s="6"/>
      <c r="C972" s="6"/>
      <c r="D972" s="6"/>
      <c r="E972" s="6"/>
      <c r="F972" s="6"/>
      <c r="G972" s="6"/>
      <c r="H972" s="6"/>
      <c r="I972" s="6"/>
      <c r="J972" s="6"/>
      <c r="K972" s="6"/>
      <c r="L972" s="6"/>
      <c r="M972" s="6"/>
      <c r="N972" s="6"/>
      <c r="O972" s="6"/>
      <c r="P972" s="6"/>
    </row>
    <row r="973" spans="1:16" x14ac:dyDescent="0.2">
      <c r="A973" s="6"/>
      <c r="B973" s="6"/>
      <c r="C973" s="6"/>
      <c r="D973" s="6"/>
      <c r="E973" s="6"/>
      <c r="F973" s="6"/>
      <c r="G973" s="6"/>
      <c r="H973" s="6"/>
      <c r="I973" s="6"/>
      <c r="J973" s="6"/>
      <c r="K973" s="6"/>
      <c r="L973" s="6"/>
      <c r="M973" s="6"/>
      <c r="N973" s="6"/>
      <c r="O973" s="6"/>
      <c r="P973" s="6"/>
    </row>
    <row r="974" spans="1:16" x14ac:dyDescent="0.2">
      <c r="A974" s="6"/>
      <c r="B974" s="6"/>
      <c r="C974" s="6"/>
      <c r="D974" s="6"/>
      <c r="E974" s="6"/>
      <c r="F974" s="6"/>
      <c r="G974" s="6"/>
      <c r="H974" s="6"/>
      <c r="I974" s="6"/>
      <c r="J974" s="6"/>
      <c r="K974" s="6"/>
      <c r="L974" s="6"/>
      <c r="M974" s="6"/>
      <c r="N974" s="6"/>
      <c r="O974" s="6"/>
      <c r="P974" s="6"/>
    </row>
    <row r="975" spans="1:16" x14ac:dyDescent="0.2">
      <c r="A975" s="6"/>
      <c r="B975" s="6"/>
      <c r="C975" s="6"/>
      <c r="D975" s="6"/>
      <c r="E975" s="6"/>
      <c r="F975" s="6"/>
      <c r="G975" s="6"/>
      <c r="H975" s="6"/>
      <c r="I975" s="6"/>
      <c r="J975" s="6"/>
      <c r="K975" s="6"/>
      <c r="L975" s="6"/>
      <c r="M975" s="6"/>
      <c r="N975" s="6"/>
      <c r="O975" s="6"/>
      <c r="P975" s="6"/>
    </row>
    <row r="976" spans="1:16" x14ac:dyDescent="0.2">
      <c r="A976" s="6"/>
      <c r="B976" s="6"/>
      <c r="C976" s="6"/>
      <c r="D976" s="6"/>
      <c r="E976" s="6"/>
      <c r="F976" s="6"/>
      <c r="G976" s="6"/>
      <c r="H976" s="6"/>
      <c r="I976" s="6"/>
      <c r="J976" s="6"/>
      <c r="K976" s="6"/>
      <c r="L976" s="6"/>
      <c r="M976" s="6"/>
      <c r="N976" s="6"/>
      <c r="O976" s="6"/>
      <c r="P976" s="6"/>
    </row>
    <row r="977" spans="1:16" x14ac:dyDescent="0.2">
      <c r="A977" s="6"/>
      <c r="B977" s="6"/>
      <c r="C977" s="6"/>
      <c r="D977" s="6"/>
      <c r="E977" s="6"/>
      <c r="F977" s="6"/>
      <c r="G977" s="6"/>
      <c r="H977" s="6"/>
      <c r="I977" s="6"/>
      <c r="J977" s="6"/>
      <c r="K977" s="6"/>
      <c r="L977" s="6"/>
      <c r="M977" s="6"/>
      <c r="N977" s="6"/>
      <c r="O977" s="6"/>
      <c r="P977" s="6"/>
    </row>
    <row r="978" spans="1:16" x14ac:dyDescent="0.2">
      <c r="A978" s="6"/>
      <c r="B978" s="6"/>
      <c r="C978" s="6"/>
      <c r="D978" s="6"/>
      <c r="E978" s="6"/>
      <c r="F978" s="6"/>
      <c r="G978" s="6"/>
      <c r="H978" s="6"/>
      <c r="I978" s="6"/>
      <c r="J978" s="6"/>
      <c r="K978" s="6"/>
      <c r="L978" s="6"/>
      <c r="M978" s="6"/>
      <c r="N978" s="6"/>
      <c r="O978" s="6"/>
      <c r="P978" s="6"/>
    </row>
    <row r="979" spans="1:16" x14ac:dyDescent="0.2">
      <c r="A979" s="6"/>
      <c r="B979" s="6"/>
      <c r="C979" s="6"/>
      <c r="D979" s="6"/>
      <c r="E979" s="6"/>
      <c r="F979" s="6"/>
      <c r="G979" s="6"/>
      <c r="H979" s="6"/>
      <c r="I979" s="6"/>
      <c r="J979" s="6"/>
      <c r="K979" s="6"/>
      <c r="L979" s="6"/>
      <c r="M979" s="6"/>
      <c r="N979" s="6"/>
      <c r="O979" s="6"/>
      <c r="P979" s="6"/>
    </row>
    <row r="980" spans="1:16" x14ac:dyDescent="0.2">
      <c r="A980" s="6"/>
      <c r="B980" s="6"/>
      <c r="C980" s="6"/>
      <c r="D980" s="6"/>
      <c r="E980" s="6"/>
      <c r="F980" s="6"/>
      <c r="G980" s="6"/>
      <c r="H980" s="6"/>
      <c r="I980" s="6"/>
      <c r="J980" s="6"/>
      <c r="K980" s="6"/>
      <c r="L980" s="6"/>
      <c r="M980" s="6"/>
      <c r="N980" s="6"/>
      <c r="O980" s="6"/>
      <c r="P980" s="6"/>
    </row>
    <row r="981" spans="1:16" x14ac:dyDescent="0.2">
      <c r="A981" s="6"/>
      <c r="B981" s="6"/>
      <c r="C981" s="6"/>
      <c r="D981" s="6"/>
      <c r="E981" s="6"/>
      <c r="F981" s="6"/>
      <c r="G981" s="6"/>
      <c r="H981" s="6"/>
      <c r="I981" s="6"/>
      <c r="J981" s="6"/>
      <c r="K981" s="6"/>
      <c r="L981" s="6"/>
      <c r="M981" s="6"/>
      <c r="N981" s="6"/>
      <c r="O981" s="6"/>
      <c r="P981" s="6"/>
    </row>
    <row r="982" spans="1:16" x14ac:dyDescent="0.2">
      <c r="A982" s="6"/>
      <c r="B982" s="6"/>
      <c r="C982" s="6"/>
      <c r="D982" s="6"/>
      <c r="E982" s="6"/>
      <c r="F982" s="6"/>
      <c r="G982" s="6"/>
      <c r="H982" s="6"/>
      <c r="I982" s="6"/>
      <c r="J982" s="6"/>
      <c r="K982" s="6"/>
      <c r="L982" s="6"/>
      <c r="M982" s="6"/>
      <c r="N982" s="6"/>
      <c r="O982" s="6"/>
      <c r="P982" s="6"/>
    </row>
    <row r="983" spans="1:16" x14ac:dyDescent="0.2">
      <c r="A983" s="6"/>
      <c r="B983" s="6"/>
      <c r="C983" s="6"/>
      <c r="D983" s="6"/>
      <c r="E983" s="6"/>
      <c r="F983" s="6"/>
      <c r="G983" s="6"/>
      <c r="H983" s="6"/>
      <c r="I983" s="6"/>
      <c r="J983" s="6"/>
      <c r="K983" s="6"/>
      <c r="L983" s="6"/>
      <c r="M983" s="6"/>
      <c r="N983" s="6"/>
      <c r="O983" s="6"/>
      <c r="P983" s="6"/>
    </row>
    <row r="984" spans="1:16" x14ac:dyDescent="0.2">
      <c r="A984" s="6"/>
      <c r="B984" s="6"/>
      <c r="C984" s="6"/>
      <c r="D984" s="6"/>
      <c r="E984" s="6"/>
      <c r="F984" s="6"/>
      <c r="G984" s="6"/>
      <c r="H984" s="6"/>
      <c r="I984" s="6"/>
      <c r="J984" s="6"/>
      <c r="K984" s="6"/>
      <c r="L984" s="6"/>
      <c r="M984" s="6"/>
      <c r="N984" s="6"/>
      <c r="O984" s="6"/>
      <c r="P984" s="6"/>
    </row>
    <row r="985" spans="1:16" x14ac:dyDescent="0.2">
      <c r="A985" s="6"/>
      <c r="B985" s="6"/>
      <c r="C985" s="6"/>
      <c r="D985" s="6"/>
      <c r="E985" s="6"/>
      <c r="F985" s="6"/>
      <c r="G985" s="6"/>
      <c r="H985" s="6"/>
      <c r="I985" s="6"/>
      <c r="J985" s="6"/>
      <c r="K985" s="6"/>
      <c r="L985" s="6"/>
      <c r="M985" s="6"/>
      <c r="N985" s="6"/>
      <c r="O985" s="6"/>
      <c r="P985" s="6"/>
    </row>
    <row r="986" spans="1:16" x14ac:dyDescent="0.2">
      <c r="A986" s="6"/>
      <c r="B986" s="6"/>
      <c r="C986" s="6"/>
      <c r="D986" s="6"/>
      <c r="E986" s="6"/>
      <c r="F986" s="6"/>
      <c r="G986" s="6"/>
      <c r="H986" s="6"/>
      <c r="I986" s="6"/>
      <c r="J986" s="6"/>
      <c r="K986" s="6"/>
      <c r="L986" s="6"/>
      <c r="M986" s="6"/>
      <c r="N986" s="6"/>
      <c r="O986" s="6"/>
      <c r="P986" s="6"/>
    </row>
    <row r="987" spans="1:16" x14ac:dyDescent="0.2">
      <c r="A987" s="6"/>
      <c r="B987" s="6"/>
      <c r="C987" s="6"/>
      <c r="D987" s="6"/>
      <c r="E987" s="6"/>
      <c r="F987" s="6"/>
      <c r="G987" s="6"/>
      <c r="H987" s="6"/>
      <c r="I987" s="6"/>
      <c r="J987" s="6"/>
      <c r="K987" s="6"/>
      <c r="L987" s="6"/>
      <c r="M987" s="6"/>
      <c r="N987" s="6"/>
      <c r="O987" s="6"/>
      <c r="P987" s="6"/>
    </row>
    <row r="988" spans="1:16" x14ac:dyDescent="0.2">
      <c r="A988" s="6"/>
      <c r="B988" s="6"/>
      <c r="C988" s="6"/>
      <c r="D988" s="6"/>
      <c r="E988" s="6"/>
      <c r="F988" s="6"/>
      <c r="G988" s="6"/>
      <c r="H988" s="6"/>
      <c r="I988" s="6"/>
      <c r="J988" s="6"/>
      <c r="K988" s="6"/>
      <c r="L988" s="6"/>
      <c r="M988" s="6"/>
      <c r="N988" s="6"/>
      <c r="O988" s="6"/>
      <c r="P988" s="6"/>
    </row>
    <row r="989" spans="1:16" x14ac:dyDescent="0.2">
      <c r="A989" s="6"/>
      <c r="B989" s="6"/>
      <c r="C989" s="6"/>
      <c r="D989" s="6"/>
      <c r="E989" s="6"/>
      <c r="F989" s="6"/>
      <c r="G989" s="6"/>
      <c r="H989" s="6"/>
      <c r="I989" s="6"/>
      <c r="J989" s="6"/>
      <c r="K989" s="6"/>
      <c r="L989" s="6"/>
      <c r="M989" s="6"/>
      <c r="N989" s="6"/>
      <c r="O989" s="6"/>
      <c r="P989" s="6"/>
    </row>
    <row r="990" spans="1:16" x14ac:dyDescent="0.2">
      <c r="A990" s="6"/>
      <c r="B990" s="6"/>
      <c r="C990" s="6"/>
      <c r="D990" s="6"/>
      <c r="E990" s="6"/>
      <c r="F990" s="6"/>
      <c r="G990" s="6"/>
      <c r="H990" s="6"/>
      <c r="I990" s="6"/>
      <c r="J990" s="6"/>
      <c r="K990" s="6"/>
      <c r="L990" s="6"/>
      <c r="M990" s="6"/>
      <c r="N990" s="6"/>
      <c r="O990" s="6"/>
      <c r="P990" s="6"/>
    </row>
    <row r="991" spans="1:16" x14ac:dyDescent="0.2">
      <c r="A991" s="6"/>
      <c r="B991" s="6"/>
      <c r="C991" s="6"/>
      <c r="D991" s="6"/>
      <c r="E991" s="6"/>
      <c r="F991" s="6"/>
      <c r="G991" s="6"/>
      <c r="H991" s="6"/>
      <c r="I991" s="6"/>
      <c r="J991" s="6"/>
      <c r="K991" s="6"/>
      <c r="L991" s="6"/>
      <c r="M991" s="6"/>
      <c r="N991" s="6"/>
      <c r="O991" s="6"/>
      <c r="P991" s="6"/>
    </row>
    <row r="992" spans="1:16" x14ac:dyDescent="0.2">
      <c r="A992" s="6"/>
      <c r="B992" s="6"/>
      <c r="C992" s="6"/>
      <c r="D992" s="6"/>
      <c r="E992" s="6"/>
      <c r="F992" s="6"/>
      <c r="G992" s="6"/>
      <c r="H992" s="6"/>
      <c r="I992" s="6"/>
      <c r="J992" s="6"/>
      <c r="K992" s="6"/>
      <c r="L992" s="6"/>
      <c r="M992" s="6"/>
      <c r="N992" s="6"/>
      <c r="O992" s="6"/>
      <c r="P992" s="6"/>
    </row>
    <row r="993" spans="1:16" x14ac:dyDescent="0.2">
      <c r="A993" s="6"/>
      <c r="B993" s="6"/>
      <c r="C993" s="6"/>
      <c r="D993" s="6"/>
      <c r="E993" s="6"/>
      <c r="F993" s="6"/>
      <c r="G993" s="6"/>
      <c r="H993" s="6"/>
      <c r="I993" s="6"/>
      <c r="J993" s="6"/>
      <c r="K993" s="6"/>
      <c r="L993" s="6"/>
      <c r="M993" s="6"/>
      <c r="N993" s="6"/>
      <c r="O993" s="6"/>
      <c r="P993" s="6"/>
    </row>
    <row r="994" spans="1:16" x14ac:dyDescent="0.2">
      <c r="A994" s="6"/>
      <c r="B994" s="6"/>
      <c r="C994" s="6"/>
      <c r="D994" s="6"/>
      <c r="E994" s="6"/>
      <c r="F994" s="6"/>
      <c r="G994" s="6"/>
      <c r="H994" s="6"/>
      <c r="I994" s="6"/>
      <c r="J994" s="6"/>
      <c r="K994" s="6"/>
      <c r="L994" s="6"/>
      <c r="M994" s="6"/>
      <c r="N994" s="6"/>
      <c r="O994" s="6"/>
      <c r="P994" s="6"/>
    </row>
    <row r="995" spans="1:16" x14ac:dyDescent="0.2">
      <c r="A995" s="6"/>
      <c r="B995" s="6"/>
      <c r="C995" s="6"/>
      <c r="D995" s="6"/>
      <c r="E995" s="6"/>
      <c r="F995" s="6"/>
      <c r="G995" s="6"/>
      <c r="H995" s="6"/>
      <c r="I995" s="6"/>
      <c r="J995" s="6"/>
      <c r="K995" s="6"/>
      <c r="L995" s="6"/>
      <c r="M995" s="6"/>
      <c r="N995" s="6"/>
      <c r="O995" s="6"/>
      <c r="P995" s="6"/>
    </row>
    <row r="996" spans="1:16" x14ac:dyDescent="0.2">
      <c r="A996" s="6"/>
      <c r="B996" s="6"/>
      <c r="C996" s="6"/>
      <c r="D996" s="6"/>
      <c r="E996" s="6"/>
      <c r="F996" s="6"/>
      <c r="G996" s="6"/>
      <c r="H996" s="6"/>
      <c r="I996" s="6"/>
      <c r="J996" s="6"/>
      <c r="K996" s="6"/>
      <c r="L996" s="6"/>
      <c r="M996" s="6"/>
      <c r="N996" s="6"/>
      <c r="O996" s="6"/>
      <c r="P996" s="6"/>
    </row>
    <row r="997" spans="1:16" x14ac:dyDescent="0.2">
      <c r="A997" s="6"/>
      <c r="B997" s="6"/>
      <c r="C997" s="6"/>
      <c r="D997" s="6"/>
      <c r="E997" s="6"/>
      <c r="F997" s="6"/>
      <c r="G997" s="6"/>
      <c r="H997" s="6"/>
      <c r="I997" s="6"/>
      <c r="J997" s="6"/>
      <c r="K997" s="6"/>
      <c r="L997" s="6"/>
      <c r="M997" s="6"/>
      <c r="N997" s="6"/>
      <c r="O997" s="6"/>
      <c r="P997" s="6"/>
    </row>
    <row r="998" spans="1:16" x14ac:dyDescent="0.2">
      <c r="A998" s="6"/>
      <c r="B998" s="6"/>
      <c r="C998" s="6"/>
      <c r="D998" s="6"/>
      <c r="E998" s="6"/>
      <c r="F998" s="6"/>
      <c r="G998" s="6"/>
      <c r="H998" s="6"/>
      <c r="I998" s="6"/>
      <c r="J998" s="6"/>
      <c r="K998" s="6"/>
      <c r="L998" s="6"/>
      <c r="M998" s="6"/>
      <c r="N998" s="6"/>
      <c r="O998" s="6"/>
      <c r="P998" s="6"/>
    </row>
    <row r="999" spans="1:16" x14ac:dyDescent="0.2">
      <c r="A999" s="6"/>
      <c r="B999" s="6"/>
      <c r="C999" s="6"/>
      <c r="D999" s="6"/>
      <c r="E999" s="6"/>
      <c r="F999" s="6"/>
      <c r="G999" s="6"/>
      <c r="H999" s="6"/>
      <c r="I999" s="6"/>
      <c r="J999" s="6"/>
      <c r="K999" s="6"/>
      <c r="L999" s="6"/>
      <c r="M999" s="6"/>
      <c r="N999" s="6"/>
      <c r="O999" s="6"/>
      <c r="P999" s="6"/>
    </row>
    <row r="1000" spans="1:16" x14ac:dyDescent="0.2">
      <c r="A1000" s="6"/>
      <c r="B1000" s="6"/>
      <c r="C1000" s="6"/>
      <c r="D1000" s="6"/>
      <c r="E1000" s="6"/>
      <c r="F1000" s="6"/>
      <c r="G1000" s="6"/>
      <c r="H1000" s="6"/>
      <c r="I1000" s="6"/>
      <c r="J1000" s="6"/>
      <c r="K1000" s="6"/>
      <c r="L1000" s="6"/>
      <c r="M1000" s="6"/>
      <c r="N1000" s="6"/>
      <c r="O1000" s="6"/>
      <c r="P1000" s="6"/>
    </row>
    <row r="1001" spans="1:16" x14ac:dyDescent="0.2">
      <c r="A1001" s="6"/>
      <c r="B1001" s="6"/>
      <c r="C1001" s="6"/>
      <c r="D1001" s="6"/>
      <c r="E1001" s="6"/>
      <c r="F1001" s="6"/>
      <c r="G1001" s="6"/>
      <c r="H1001" s="6"/>
      <c r="I1001" s="6"/>
      <c r="J1001" s="6"/>
      <c r="K1001" s="6"/>
      <c r="L1001" s="6"/>
      <c r="M1001" s="6"/>
      <c r="N1001" s="6"/>
      <c r="O1001" s="6"/>
      <c r="P1001" s="6"/>
    </row>
    <row r="1002" spans="1:16" x14ac:dyDescent="0.2">
      <c r="A1002" s="6"/>
      <c r="B1002" s="6"/>
      <c r="C1002" s="6"/>
      <c r="D1002" s="6"/>
      <c r="E1002" s="6"/>
      <c r="F1002" s="6"/>
      <c r="G1002" s="6"/>
      <c r="H1002" s="6"/>
      <c r="I1002" s="6"/>
      <c r="J1002" s="6"/>
      <c r="K1002" s="6"/>
      <c r="L1002" s="6"/>
      <c r="M1002" s="6"/>
      <c r="N1002" s="6"/>
      <c r="O1002" s="6"/>
      <c r="P1002" s="6"/>
    </row>
    <row r="1003" spans="1:16" x14ac:dyDescent="0.2">
      <c r="A1003" s="6"/>
      <c r="B1003" s="6"/>
      <c r="C1003" s="6"/>
      <c r="D1003" s="6"/>
      <c r="E1003" s="6"/>
      <c r="F1003" s="6"/>
      <c r="G1003" s="6"/>
      <c r="H1003" s="6"/>
      <c r="I1003" s="6"/>
      <c r="J1003" s="6"/>
      <c r="K1003" s="6"/>
      <c r="L1003" s="6"/>
      <c r="M1003" s="6"/>
      <c r="N1003" s="6"/>
      <c r="O1003" s="6"/>
      <c r="P1003" s="6"/>
    </row>
    <row r="1004" spans="1:16" x14ac:dyDescent="0.2">
      <c r="A1004" s="6"/>
      <c r="B1004" s="6"/>
      <c r="C1004" s="6"/>
      <c r="D1004" s="6"/>
      <c r="E1004" s="6"/>
      <c r="F1004" s="6"/>
      <c r="G1004" s="6"/>
      <c r="H1004" s="6"/>
      <c r="I1004" s="6"/>
      <c r="J1004" s="6"/>
      <c r="K1004" s="6"/>
      <c r="L1004" s="6"/>
      <c r="M1004" s="6"/>
      <c r="N1004" s="6"/>
      <c r="O1004" s="6"/>
      <c r="P1004" s="6"/>
    </row>
    <row r="1005" spans="1:16" x14ac:dyDescent="0.2">
      <c r="A1005" s="6"/>
      <c r="B1005" s="6"/>
      <c r="C1005" s="6"/>
      <c r="D1005" s="6"/>
      <c r="E1005" s="6"/>
      <c r="F1005" s="6"/>
      <c r="G1005" s="6"/>
      <c r="H1005" s="6"/>
      <c r="I1005" s="6"/>
      <c r="J1005" s="6"/>
      <c r="K1005" s="6"/>
      <c r="L1005" s="6"/>
      <c r="M1005" s="6"/>
      <c r="N1005" s="6"/>
      <c r="O1005" s="6"/>
      <c r="P1005" s="6"/>
    </row>
    <row r="1006" spans="1:16" x14ac:dyDescent="0.2">
      <c r="A1006" s="6"/>
      <c r="B1006" s="6"/>
      <c r="C1006" s="6"/>
      <c r="D1006" s="6"/>
      <c r="E1006" s="6"/>
      <c r="F1006" s="6"/>
      <c r="G1006" s="6"/>
      <c r="H1006" s="6"/>
      <c r="I1006" s="6"/>
      <c r="J1006" s="6"/>
      <c r="K1006" s="6"/>
      <c r="L1006" s="6"/>
      <c r="M1006" s="6"/>
      <c r="N1006" s="6"/>
      <c r="O1006" s="6"/>
      <c r="P1006" s="6"/>
    </row>
    <row r="1007" spans="1:16" x14ac:dyDescent="0.2">
      <c r="A1007" s="6"/>
      <c r="B1007" s="6"/>
      <c r="C1007" s="6"/>
      <c r="D1007" s="6"/>
      <c r="E1007" s="6"/>
      <c r="F1007" s="6"/>
      <c r="G1007" s="6"/>
      <c r="H1007" s="6"/>
      <c r="I1007" s="6"/>
      <c r="J1007" s="6"/>
      <c r="K1007" s="6"/>
      <c r="L1007" s="6"/>
      <c r="M1007" s="6"/>
      <c r="N1007" s="6"/>
      <c r="O1007" s="6"/>
      <c r="P1007" s="6"/>
    </row>
    <row r="1008" spans="1:16" x14ac:dyDescent="0.2">
      <c r="A1008" s="6"/>
      <c r="B1008" s="6"/>
      <c r="C1008" s="6"/>
      <c r="D1008" s="6"/>
      <c r="E1008" s="6"/>
      <c r="F1008" s="6"/>
      <c r="G1008" s="6"/>
      <c r="H1008" s="6"/>
      <c r="I1008" s="6"/>
      <c r="J1008" s="6"/>
      <c r="K1008" s="6"/>
      <c r="L1008" s="6"/>
      <c r="M1008" s="6"/>
      <c r="N1008" s="6"/>
      <c r="O1008" s="6"/>
      <c r="P1008" s="6"/>
    </row>
    <row r="1009" spans="1:16" x14ac:dyDescent="0.2">
      <c r="A1009" s="6"/>
      <c r="B1009" s="6"/>
      <c r="C1009" s="6"/>
      <c r="D1009" s="6"/>
      <c r="E1009" s="6"/>
      <c r="F1009" s="6"/>
      <c r="G1009" s="6"/>
      <c r="H1009" s="6"/>
      <c r="I1009" s="6"/>
      <c r="J1009" s="6"/>
      <c r="K1009" s="6"/>
      <c r="L1009" s="6"/>
      <c r="M1009" s="6"/>
      <c r="N1009" s="6"/>
      <c r="O1009" s="6"/>
      <c r="P1009" s="6"/>
    </row>
    <row r="1010" spans="1:16" x14ac:dyDescent="0.2">
      <c r="A1010" s="6"/>
      <c r="B1010" s="6"/>
      <c r="C1010" s="6"/>
      <c r="D1010" s="6"/>
      <c r="E1010" s="6"/>
      <c r="F1010" s="6"/>
      <c r="G1010" s="6"/>
      <c r="H1010" s="6"/>
      <c r="I1010" s="6"/>
      <c r="J1010" s="6"/>
      <c r="K1010" s="6"/>
      <c r="L1010" s="6"/>
      <c r="M1010" s="6"/>
      <c r="N1010" s="6"/>
      <c r="O1010" s="6"/>
      <c r="P1010" s="6"/>
    </row>
    <row r="1011" spans="1:16" x14ac:dyDescent="0.2">
      <c r="A1011" s="6"/>
      <c r="B1011" s="6"/>
      <c r="C1011" s="6"/>
      <c r="D1011" s="6"/>
      <c r="E1011" s="6"/>
      <c r="F1011" s="6"/>
      <c r="G1011" s="6"/>
      <c r="H1011" s="6"/>
      <c r="I1011" s="6"/>
      <c r="J1011" s="6"/>
      <c r="K1011" s="6"/>
      <c r="L1011" s="6"/>
      <c r="M1011" s="6"/>
      <c r="N1011" s="6"/>
      <c r="O1011" s="6"/>
      <c r="P1011" s="6"/>
    </row>
    <row r="1012" spans="1:16" x14ac:dyDescent="0.2">
      <c r="A1012" s="6"/>
      <c r="B1012" s="6"/>
      <c r="C1012" s="6"/>
      <c r="D1012" s="6"/>
      <c r="E1012" s="6"/>
      <c r="F1012" s="6"/>
      <c r="G1012" s="6"/>
      <c r="H1012" s="6"/>
      <c r="I1012" s="6"/>
      <c r="J1012" s="6"/>
      <c r="K1012" s="6"/>
      <c r="L1012" s="6"/>
      <c r="M1012" s="6"/>
      <c r="N1012" s="6"/>
      <c r="O1012" s="6"/>
      <c r="P1012" s="6"/>
    </row>
    <row r="1013" spans="1:16" x14ac:dyDescent="0.2">
      <c r="A1013" s="6"/>
      <c r="B1013" s="6"/>
      <c r="C1013" s="6"/>
      <c r="D1013" s="6"/>
      <c r="E1013" s="6"/>
      <c r="F1013" s="6"/>
      <c r="G1013" s="6"/>
      <c r="H1013" s="6"/>
      <c r="I1013" s="6"/>
      <c r="J1013" s="6"/>
      <c r="K1013" s="6"/>
      <c r="L1013" s="6"/>
      <c r="M1013" s="6"/>
      <c r="N1013" s="6"/>
      <c r="O1013" s="6"/>
      <c r="P1013" s="6"/>
    </row>
    <row r="1014" spans="1:16" x14ac:dyDescent="0.2">
      <c r="A1014" s="6"/>
      <c r="B1014" s="6"/>
      <c r="C1014" s="6"/>
      <c r="D1014" s="6"/>
      <c r="E1014" s="6"/>
      <c r="F1014" s="6"/>
      <c r="G1014" s="6"/>
      <c r="H1014" s="6"/>
      <c r="I1014" s="6"/>
      <c r="J1014" s="6"/>
      <c r="K1014" s="6"/>
      <c r="L1014" s="6"/>
      <c r="M1014" s="6"/>
      <c r="N1014" s="6"/>
      <c r="O1014" s="6"/>
      <c r="P1014" s="6"/>
    </row>
    <row r="1015" spans="1:16" x14ac:dyDescent="0.2">
      <c r="A1015" s="6"/>
      <c r="B1015" s="6"/>
      <c r="C1015" s="6"/>
      <c r="D1015" s="6"/>
      <c r="E1015" s="6"/>
      <c r="F1015" s="6"/>
      <c r="G1015" s="6"/>
      <c r="H1015" s="6"/>
      <c r="I1015" s="6"/>
      <c r="J1015" s="6"/>
      <c r="K1015" s="6"/>
      <c r="L1015" s="6"/>
      <c r="M1015" s="6"/>
      <c r="N1015" s="6"/>
      <c r="O1015" s="6"/>
      <c r="P1015" s="6"/>
    </row>
    <row r="1016" spans="1:16" x14ac:dyDescent="0.2">
      <c r="A1016" s="6"/>
      <c r="B1016" s="6"/>
      <c r="C1016" s="6"/>
      <c r="D1016" s="6"/>
      <c r="E1016" s="6"/>
      <c r="F1016" s="6"/>
      <c r="G1016" s="6"/>
      <c r="H1016" s="6"/>
      <c r="I1016" s="6"/>
      <c r="J1016" s="6"/>
      <c r="K1016" s="6"/>
      <c r="L1016" s="6"/>
      <c r="M1016" s="6"/>
      <c r="N1016" s="6"/>
      <c r="O1016" s="6"/>
      <c r="P1016" s="6"/>
    </row>
    <row r="1017" spans="1:16" x14ac:dyDescent="0.2">
      <c r="A1017" s="6"/>
      <c r="B1017" s="6"/>
      <c r="C1017" s="6"/>
      <c r="D1017" s="6"/>
      <c r="E1017" s="6"/>
      <c r="F1017" s="6"/>
      <c r="G1017" s="6"/>
      <c r="H1017" s="6"/>
      <c r="I1017" s="6"/>
      <c r="J1017" s="6"/>
      <c r="K1017" s="6"/>
      <c r="L1017" s="6"/>
      <c r="M1017" s="6"/>
      <c r="N1017" s="6"/>
      <c r="O1017" s="6"/>
      <c r="P1017" s="6"/>
    </row>
    <row r="1018" spans="1:16" x14ac:dyDescent="0.2">
      <c r="A1018" s="6"/>
      <c r="B1018" s="6"/>
      <c r="C1018" s="6"/>
      <c r="D1018" s="6"/>
      <c r="E1018" s="6"/>
      <c r="F1018" s="6"/>
      <c r="G1018" s="6"/>
      <c r="H1018" s="6"/>
      <c r="I1018" s="6"/>
      <c r="J1018" s="6"/>
      <c r="K1018" s="6"/>
      <c r="L1018" s="6"/>
      <c r="M1018" s="6"/>
      <c r="N1018" s="6"/>
      <c r="O1018" s="6"/>
      <c r="P1018" s="6"/>
    </row>
    <row r="1019" spans="1:16" x14ac:dyDescent="0.2">
      <c r="A1019" s="6"/>
      <c r="B1019" s="6"/>
      <c r="C1019" s="6"/>
      <c r="D1019" s="6"/>
      <c r="E1019" s="6"/>
      <c r="F1019" s="6"/>
      <c r="G1019" s="6"/>
      <c r="H1019" s="6"/>
      <c r="I1019" s="6"/>
      <c r="J1019" s="6"/>
      <c r="K1019" s="6"/>
      <c r="L1019" s="6"/>
      <c r="M1019" s="6"/>
      <c r="N1019" s="6"/>
      <c r="O1019" s="6"/>
      <c r="P1019" s="6"/>
    </row>
    <row r="1020" spans="1:16" x14ac:dyDescent="0.2">
      <c r="A1020" s="6"/>
      <c r="B1020" s="6"/>
      <c r="C1020" s="6"/>
      <c r="D1020" s="6"/>
      <c r="E1020" s="6"/>
      <c r="F1020" s="6"/>
      <c r="G1020" s="6"/>
      <c r="H1020" s="6"/>
      <c r="I1020" s="6"/>
      <c r="J1020" s="6"/>
      <c r="K1020" s="6"/>
      <c r="L1020" s="6"/>
      <c r="M1020" s="6"/>
      <c r="N1020" s="6"/>
      <c r="O1020" s="6"/>
      <c r="P1020" s="6"/>
    </row>
    <row r="1021" spans="1:16" x14ac:dyDescent="0.2">
      <c r="A1021" s="6"/>
      <c r="B1021" s="6"/>
      <c r="C1021" s="6"/>
      <c r="D1021" s="6"/>
      <c r="E1021" s="6"/>
      <c r="F1021" s="6"/>
      <c r="G1021" s="6"/>
      <c r="H1021" s="6"/>
      <c r="I1021" s="6"/>
      <c r="J1021" s="6"/>
      <c r="K1021" s="6"/>
      <c r="L1021" s="6"/>
      <c r="M1021" s="6"/>
      <c r="N1021" s="6"/>
      <c r="O1021" s="6"/>
      <c r="P1021" s="6"/>
    </row>
    <row r="1022" spans="1:16" x14ac:dyDescent="0.2">
      <c r="A1022" s="6"/>
      <c r="B1022" s="6"/>
      <c r="C1022" s="6"/>
      <c r="D1022" s="6"/>
      <c r="E1022" s="6"/>
      <c r="F1022" s="6"/>
      <c r="G1022" s="6"/>
      <c r="H1022" s="6"/>
      <c r="I1022" s="6"/>
      <c r="J1022" s="6"/>
      <c r="K1022" s="6"/>
      <c r="L1022" s="6"/>
      <c r="M1022" s="6"/>
      <c r="N1022" s="6"/>
      <c r="O1022" s="6"/>
      <c r="P1022" s="6"/>
    </row>
    <row r="1023" spans="1:16" x14ac:dyDescent="0.2">
      <c r="A1023" s="6"/>
      <c r="B1023" s="6"/>
      <c r="C1023" s="6"/>
      <c r="D1023" s="6"/>
      <c r="E1023" s="6"/>
      <c r="F1023" s="6"/>
      <c r="G1023" s="6"/>
      <c r="H1023" s="6"/>
      <c r="I1023" s="6"/>
      <c r="J1023" s="6"/>
      <c r="K1023" s="6"/>
      <c r="L1023" s="6"/>
      <c r="M1023" s="6"/>
      <c r="N1023" s="6"/>
      <c r="O1023" s="6"/>
      <c r="P1023" s="6"/>
    </row>
    <row r="1024" spans="1:16" x14ac:dyDescent="0.2">
      <c r="A1024" s="6"/>
      <c r="B1024" s="6"/>
      <c r="C1024" s="6"/>
      <c r="D1024" s="6"/>
      <c r="E1024" s="6"/>
      <c r="F1024" s="6"/>
      <c r="G1024" s="6"/>
      <c r="H1024" s="6"/>
      <c r="I1024" s="6"/>
      <c r="J1024" s="6"/>
      <c r="K1024" s="6"/>
      <c r="L1024" s="6"/>
      <c r="M1024" s="6"/>
      <c r="N1024" s="6"/>
      <c r="O1024" s="6"/>
      <c r="P1024" s="6"/>
    </row>
    <row r="1025" spans="1:16" x14ac:dyDescent="0.2">
      <c r="A1025" s="6"/>
      <c r="B1025" s="6"/>
      <c r="C1025" s="6"/>
      <c r="D1025" s="6"/>
      <c r="E1025" s="6"/>
      <c r="F1025" s="6"/>
      <c r="G1025" s="6"/>
      <c r="H1025" s="6"/>
      <c r="I1025" s="6"/>
      <c r="J1025" s="6"/>
      <c r="K1025" s="6"/>
      <c r="L1025" s="6"/>
      <c r="M1025" s="6"/>
      <c r="N1025" s="6"/>
      <c r="O1025" s="6"/>
      <c r="P1025" s="6"/>
    </row>
    <row r="1026" spans="1:16" x14ac:dyDescent="0.2">
      <c r="A1026" s="6"/>
      <c r="B1026" s="6"/>
      <c r="C1026" s="6"/>
      <c r="D1026" s="6"/>
      <c r="E1026" s="6"/>
      <c r="F1026" s="6"/>
      <c r="G1026" s="6"/>
      <c r="H1026" s="6"/>
      <c r="I1026" s="6"/>
      <c r="J1026" s="6"/>
      <c r="K1026" s="6"/>
      <c r="L1026" s="6"/>
      <c r="M1026" s="6"/>
      <c r="N1026" s="6"/>
      <c r="O1026" s="6"/>
      <c r="P1026" s="6"/>
    </row>
    <row r="1027" spans="1:16" x14ac:dyDescent="0.2">
      <c r="A1027" s="6"/>
      <c r="B1027" s="6"/>
      <c r="C1027" s="6"/>
      <c r="D1027" s="6"/>
      <c r="E1027" s="6"/>
      <c r="F1027" s="6"/>
      <c r="G1027" s="6"/>
      <c r="H1027" s="6"/>
      <c r="I1027" s="6"/>
      <c r="J1027" s="6"/>
      <c r="K1027" s="6"/>
      <c r="L1027" s="6"/>
      <c r="M1027" s="6"/>
      <c r="N1027" s="6"/>
      <c r="O1027" s="6"/>
      <c r="P1027" s="6"/>
    </row>
    <row r="1028" spans="1:16" x14ac:dyDescent="0.2">
      <c r="A1028" s="6"/>
      <c r="B1028" s="6"/>
      <c r="C1028" s="6"/>
      <c r="D1028" s="6"/>
      <c r="E1028" s="6"/>
      <c r="F1028" s="6"/>
      <c r="G1028" s="6"/>
      <c r="H1028" s="6"/>
      <c r="I1028" s="6"/>
      <c r="J1028" s="6"/>
      <c r="K1028" s="6"/>
      <c r="L1028" s="6"/>
      <c r="M1028" s="6"/>
      <c r="N1028" s="6"/>
      <c r="O1028" s="6"/>
      <c r="P1028" s="6"/>
    </row>
    <row r="1029" spans="1:16" x14ac:dyDescent="0.2">
      <c r="A1029" s="6"/>
      <c r="B1029" s="6"/>
      <c r="C1029" s="6"/>
      <c r="D1029" s="6"/>
      <c r="E1029" s="6"/>
      <c r="F1029" s="6"/>
      <c r="G1029" s="6"/>
      <c r="H1029" s="6"/>
      <c r="I1029" s="6"/>
      <c r="J1029" s="6"/>
      <c r="K1029" s="6"/>
      <c r="L1029" s="6"/>
      <c r="M1029" s="6"/>
      <c r="N1029" s="6"/>
      <c r="O1029" s="6"/>
      <c r="P1029" s="6"/>
    </row>
    <row r="1030" spans="1:16" x14ac:dyDescent="0.2">
      <c r="A1030" s="6"/>
      <c r="B1030" s="6"/>
      <c r="C1030" s="6"/>
      <c r="D1030" s="6"/>
      <c r="E1030" s="6"/>
      <c r="F1030" s="6"/>
      <c r="G1030" s="6"/>
      <c r="H1030" s="6"/>
      <c r="I1030" s="6"/>
      <c r="J1030" s="6"/>
      <c r="K1030" s="6"/>
      <c r="L1030" s="6"/>
      <c r="M1030" s="6"/>
      <c r="N1030" s="6"/>
      <c r="O1030" s="6"/>
      <c r="P1030" s="6"/>
    </row>
    <row r="1031" spans="1:16" x14ac:dyDescent="0.2">
      <c r="A1031" s="6"/>
      <c r="B1031" s="6"/>
      <c r="C1031" s="6"/>
      <c r="D1031" s="6"/>
      <c r="E1031" s="6"/>
      <c r="F1031" s="6"/>
      <c r="G1031" s="6"/>
      <c r="H1031" s="6"/>
      <c r="I1031" s="6"/>
      <c r="J1031" s="6"/>
      <c r="K1031" s="6"/>
      <c r="L1031" s="6"/>
      <c r="M1031" s="6"/>
      <c r="N1031" s="6"/>
      <c r="O1031" s="6"/>
      <c r="P1031" s="6"/>
    </row>
    <row r="1032" spans="1:16" x14ac:dyDescent="0.2">
      <c r="A1032" s="6"/>
      <c r="B1032" s="6"/>
      <c r="C1032" s="6"/>
      <c r="D1032" s="6"/>
      <c r="E1032" s="6"/>
      <c r="F1032" s="6"/>
      <c r="G1032" s="6"/>
      <c r="H1032" s="6"/>
      <c r="I1032" s="6"/>
      <c r="J1032" s="6"/>
      <c r="K1032" s="6"/>
      <c r="L1032" s="6"/>
      <c r="M1032" s="6"/>
      <c r="N1032" s="6"/>
      <c r="O1032" s="6"/>
      <c r="P1032" s="6"/>
    </row>
    <row r="1033" spans="1:16" x14ac:dyDescent="0.2">
      <c r="A1033" s="6"/>
      <c r="B1033" s="6"/>
      <c r="C1033" s="6"/>
      <c r="D1033" s="6"/>
      <c r="E1033" s="6"/>
      <c r="F1033" s="6"/>
      <c r="G1033" s="6"/>
      <c r="H1033" s="6"/>
      <c r="I1033" s="6"/>
      <c r="J1033" s="6"/>
      <c r="K1033" s="6"/>
      <c r="L1033" s="6"/>
      <c r="M1033" s="6"/>
      <c r="N1033" s="6"/>
      <c r="O1033" s="6"/>
      <c r="P1033" s="6"/>
    </row>
    <row r="1034" spans="1:16" x14ac:dyDescent="0.2">
      <c r="A1034" s="6"/>
      <c r="B1034" s="6"/>
      <c r="C1034" s="6"/>
      <c r="D1034" s="6"/>
      <c r="E1034" s="6"/>
      <c r="F1034" s="6"/>
      <c r="G1034" s="6"/>
      <c r="H1034" s="6"/>
      <c r="I1034" s="6"/>
      <c r="J1034" s="6"/>
      <c r="K1034" s="6"/>
      <c r="L1034" s="6"/>
      <c r="M1034" s="6"/>
      <c r="N1034" s="6"/>
      <c r="O1034" s="6"/>
      <c r="P1034" s="6"/>
    </row>
    <row r="1035" spans="1:16" x14ac:dyDescent="0.2">
      <c r="A1035" s="6"/>
      <c r="B1035" s="6"/>
      <c r="C1035" s="6"/>
      <c r="D1035" s="6"/>
      <c r="E1035" s="6"/>
      <c r="F1035" s="6"/>
      <c r="G1035" s="6"/>
      <c r="H1035" s="6"/>
      <c r="I1035" s="6"/>
      <c r="J1035" s="6"/>
      <c r="K1035" s="6"/>
      <c r="L1035" s="6"/>
      <c r="M1035" s="6"/>
      <c r="N1035" s="6"/>
      <c r="O1035" s="6"/>
      <c r="P1035" s="6"/>
    </row>
    <row r="1036" spans="1:16" x14ac:dyDescent="0.2">
      <c r="A1036" s="6"/>
      <c r="B1036" s="6"/>
      <c r="C1036" s="6"/>
      <c r="D1036" s="6"/>
      <c r="E1036" s="6"/>
      <c r="F1036" s="6"/>
      <c r="G1036" s="6"/>
      <c r="H1036" s="6"/>
      <c r="I1036" s="6"/>
      <c r="J1036" s="6"/>
      <c r="K1036" s="6"/>
      <c r="L1036" s="6"/>
      <c r="M1036" s="6"/>
      <c r="N1036" s="6"/>
      <c r="O1036" s="6"/>
      <c r="P1036" s="6"/>
    </row>
    <row r="1037" spans="1:16" x14ac:dyDescent="0.2">
      <c r="A1037" s="6"/>
      <c r="B1037" s="6"/>
      <c r="C1037" s="6"/>
      <c r="D1037" s="6"/>
      <c r="E1037" s="6"/>
      <c r="F1037" s="6"/>
      <c r="G1037" s="6"/>
      <c r="H1037" s="6"/>
      <c r="I1037" s="6"/>
      <c r="J1037" s="6"/>
      <c r="K1037" s="6"/>
      <c r="L1037" s="6"/>
      <c r="M1037" s="6"/>
      <c r="N1037" s="6"/>
      <c r="O1037" s="6"/>
      <c r="P1037" s="6"/>
    </row>
    <row r="1038" spans="1:16" x14ac:dyDescent="0.2">
      <c r="A1038" s="6"/>
      <c r="B1038" s="6"/>
      <c r="C1038" s="6"/>
      <c r="D1038" s="6"/>
      <c r="E1038" s="6"/>
      <c r="F1038" s="6"/>
      <c r="G1038" s="6"/>
      <c r="H1038" s="6"/>
      <c r="I1038" s="6"/>
      <c r="J1038" s="6"/>
      <c r="K1038" s="6"/>
      <c r="L1038" s="6"/>
      <c r="M1038" s="6"/>
      <c r="N1038" s="6"/>
      <c r="O1038" s="6"/>
      <c r="P1038" s="6"/>
    </row>
    <row r="1039" spans="1:16" x14ac:dyDescent="0.2">
      <c r="A1039" s="6"/>
      <c r="B1039" s="6"/>
      <c r="C1039" s="6"/>
      <c r="D1039" s="6"/>
      <c r="E1039" s="6"/>
      <c r="F1039" s="6"/>
      <c r="G1039" s="6"/>
      <c r="H1039" s="6"/>
      <c r="I1039" s="6"/>
      <c r="J1039" s="6"/>
      <c r="K1039" s="6"/>
      <c r="L1039" s="6"/>
      <c r="M1039" s="6"/>
      <c r="N1039" s="6"/>
      <c r="O1039" s="6"/>
      <c r="P1039" s="6"/>
    </row>
    <row r="1040" spans="1:16" x14ac:dyDescent="0.2">
      <c r="A1040" s="6"/>
      <c r="B1040" s="6"/>
      <c r="C1040" s="6"/>
      <c r="D1040" s="6"/>
      <c r="E1040" s="6"/>
      <c r="F1040" s="6"/>
      <c r="G1040" s="6"/>
      <c r="H1040" s="6"/>
      <c r="I1040" s="6"/>
      <c r="J1040" s="6"/>
      <c r="K1040" s="6"/>
      <c r="L1040" s="6"/>
      <c r="M1040" s="6"/>
      <c r="N1040" s="6"/>
      <c r="O1040" s="6"/>
      <c r="P1040" s="6"/>
    </row>
  </sheetData>
  <protectedRanges>
    <protectedRange sqref="D201" name="Rango4_5_1_1_1_1_1_1_8"/>
  </protectedRanges>
  <mergeCells count="16">
    <mergeCell ref="P9:P10"/>
    <mergeCell ref="A385:C385"/>
    <mergeCell ref="B387:O387"/>
    <mergeCell ref="J9:N9"/>
    <mergeCell ref="A9:A10"/>
    <mergeCell ref="B9:B10"/>
    <mergeCell ref="C9:C10"/>
    <mergeCell ref="D9:D10"/>
    <mergeCell ref="E9:I9"/>
    <mergeCell ref="O9:O10"/>
    <mergeCell ref="B2:O2"/>
    <mergeCell ref="B3:O3"/>
    <mergeCell ref="A4:O4"/>
    <mergeCell ref="A5:O5"/>
    <mergeCell ref="A6:O6"/>
    <mergeCell ref="A7:O7"/>
  </mergeCells>
  <printOptions horizontalCentered="1"/>
  <pageMargins left="1.3385826771653544" right="0.74803149606299213" top="1.1811023622047245" bottom="0.98425196850393704" header="0.78740157480314965" footer="0"/>
  <pageSetup paperSize="5" scale="45" firstPageNumber="0" orientation="landscape"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554"/>
  <sheetViews>
    <sheetView showGridLines="0" zoomScale="112" zoomScaleNormal="112" workbookViewId="0">
      <selection activeCell="C12" sqref="C12"/>
    </sheetView>
  </sheetViews>
  <sheetFormatPr baseColWidth="10" defaultColWidth="11.5703125" defaultRowHeight="12.75" x14ac:dyDescent="0.2"/>
  <cols>
    <col min="1" max="1" width="7.7109375" customWidth="1"/>
    <col min="2" max="2" width="32.140625" customWidth="1"/>
    <col min="3" max="3" width="33.140625" customWidth="1"/>
    <col min="4" max="4" width="13.42578125" customWidth="1"/>
    <col min="5" max="5" width="12.85546875" customWidth="1"/>
    <col min="6" max="6" width="13.5703125" customWidth="1"/>
    <col min="7" max="7" width="13.28515625" customWidth="1"/>
    <col min="8" max="9" width="12.140625" customWidth="1"/>
    <col min="10" max="10" width="13.42578125" customWidth="1"/>
    <col min="11" max="11" width="11.28515625" customWidth="1"/>
    <col min="12" max="12" width="12.28515625" customWidth="1"/>
    <col min="13" max="14" width="11.28515625" customWidth="1"/>
    <col min="15" max="15" width="12.28515625" customWidth="1"/>
    <col min="16" max="16" width="11.140625" customWidth="1"/>
    <col min="17" max="17" width="13.42578125" customWidth="1"/>
    <col min="18" max="18" width="13.7109375" customWidth="1"/>
    <col min="19" max="19" width="11.5703125" customWidth="1"/>
    <col min="20" max="20" width="13.5703125" customWidth="1"/>
    <col min="21" max="21" width="11.5703125" customWidth="1"/>
  </cols>
  <sheetData>
    <row r="1" spans="1:33" x14ac:dyDescent="0.2">
      <c r="A1" s="60"/>
      <c r="B1" s="60"/>
      <c r="C1" s="60"/>
      <c r="D1" s="60"/>
      <c r="E1" s="60"/>
      <c r="F1" s="60"/>
      <c r="G1" s="60"/>
      <c r="H1" s="60"/>
      <c r="I1" s="60"/>
      <c r="J1" s="60"/>
      <c r="K1" s="60"/>
      <c r="L1" s="60"/>
      <c r="M1" s="60"/>
      <c r="N1" s="60"/>
      <c r="O1" s="60"/>
      <c r="P1" s="60"/>
      <c r="Q1" s="60"/>
    </row>
    <row r="2" spans="1:33" ht="19.5" customHeight="1" x14ac:dyDescent="0.2">
      <c r="A2" s="275" t="s">
        <v>4</v>
      </c>
      <c r="B2" s="275"/>
      <c r="C2" s="275"/>
      <c r="D2" s="275"/>
      <c r="E2" s="275"/>
      <c r="F2" s="275"/>
      <c r="G2" s="275"/>
      <c r="H2" s="275"/>
      <c r="I2" s="275"/>
      <c r="J2" s="275"/>
      <c r="K2" s="275"/>
      <c r="L2" s="275"/>
      <c r="M2" s="275"/>
      <c r="N2" s="275"/>
      <c r="O2" s="275"/>
      <c r="P2" s="275"/>
      <c r="Q2" s="275"/>
    </row>
    <row r="3" spans="1:33" x14ac:dyDescent="0.2">
      <c r="A3" s="273" t="s">
        <v>5</v>
      </c>
      <c r="B3" s="273"/>
      <c r="C3" s="273"/>
      <c r="D3" s="273"/>
      <c r="E3" s="273"/>
      <c r="F3" s="273"/>
      <c r="G3" s="273"/>
      <c r="H3" s="273"/>
      <c r="I3" s="273"/>
      <c r="J3" s="273"/>
      <c r="K3" s="273"/>
      <c r="L3" s="273"/>
      <c r="M3" s="273"/>
      <c r="N3" s="273"/>
      <c r="O3" s="273"/>
      <c r="P3" s="273"/>
      <c r="Q3" s="273"/>
    </row>
    <row r="4" spans="1:33" x14ac:dyDescent="0.2">
      <c r="A4" s="274" t="s">
        <v>31</v>
      </c>
      <c r="B4" s="274"/>
      <c r="C4" s="274"/>
      <c r="D4" s="274"/>
      <c r="E4" s="274"/>
      <c r="F4" s="274"/>
      <c r="G4" s="274"/>
      <c r="H4" s="274"/>
      <c r="I4" s="274"/>
      <c r="J4" s="274"/>
      <c r="K4" s="274"/>
      <c r="L4" s="274"/>
      <c r="M4" s="274"/>
      <c r="N4" s="274"/>
      <c r="O4" s="274"/>
      <c r="P4" s="274"/>
      <c r="Q4" s="274"/>
    </row>
    <row r="5" spans="1:33" x14ac:dyDescent="0.2">
      <c r="A5" s="273" t="s">
        <v>10</v>
      </c>
      <c r="B5" s="273"/>
      <c r="C5" s="273"/>
      <c r="D5" s="273"/>
      <c r="E5" s="273"/>
      <c r="F5" s="273"/>
      <c r="G5" s="273"/>
      <c r="H5" s="273"/>
      <c r="I5" s="273"/>
      <c r="J5" s="273"/>
      <c r="K5" s="273"/>
      <c r="L5" s="273"/>
      <c r="M5" s="273"/>
      <c r="N5" s="273"/>
      <c r="O5" s="273"/>
      <c r="P5" s="273"/>
      <c r="Q5" s="273"/>
    </row>
    <row r="6" spans="1:33" ht="14.25" customHeight="1" x14ac:dyDescent="0.2">
      <c r="A6" s="273" t="s">
        <v>6</v>
      </c>
      <c r="B6" s="273"/>
      <c r="C6" s="273"/>
      <c r="D6" s="273"/>
      <c r="E6" s="273"/>
      <c r="F6" s="273"/>
      <c r="G6" s="273"/>
      <c r="H6" s="273"/>
      <c r="I6" s="273"/>
      <c r="J6" s="273"/>
      <c r="K6" s="273"/>
      <c r="L6" s="273"/>
      <c r="M6" s="273"/>
      <c r="N6" s="273"/>
      <c r="O6" s="273"/>
      <c r="P6" s="273"/>
      <c r="Q6" s="273"/>
    </row>
    <row r="7" spans="1:33" ht="14.25" customHeight="1" x14ac:dyDescent="0.2">
      <c r="A7" s="256" t="s">
        <v>1050</v>
      </c>
      <c r="B7" s="256"/>
      <c r="C7" s="256"/>
      <c r="D7" s="256"/>
      <c r="E7" s="256"/>
      <c r="F7" s="256"/>
      <c r="G7" s="256"/>
      <c r="H7" s="256"/>
      <c r="I7" s="256"/>
      <c r="J7" s="256"/>
      <c r="K7" s="256"/>
      <c r="L7" s="256"/>
      <c r="M7" s="256"/>
      <c r="N7" s="256"/>
      <c r="O7" s="256"/>
      <c r="P7" s="256"/>
      <c r="Q7" s="256"/>
    </row>
    <row r="8" spans="1:33" ht="6.75" customHeight="1" thickBot="1" x14ac:dyDescent="0.25">
      <c r="A8" s="60"/>
      <c r="B8" s="60"/>
      <c r="C8" s="60"/>
      <c r="D8" s="60"/>
      <c r="E8" s="60"/>
      <c r="F8" s="60"/>
      <c r="G8" s="60"/>
      <c r="H8" s="60"/>
      <c r="I8" s="60"/>
      <c r="J8" s="60"/>
      <c r="K8" s="60"/>
      <c r="L8" s="60"/>
      <c r="M8" s="60"/>
      <c r="N8" s="60"/>
      <c r="O8" s="60"/>
      <c r="P8" s="60"/>
      <c r="Q8" s="60"/>
    </row>
    <row r="9" spans="1:33" ht="12.95" customHeight="1" x14ac:dyDescent="0.2">
      <c r="A9" s="280" t="s">
        <v>7</v>
      </c>
      <c r="B9" s="282" t="s">
        <v>13</v>
      </c>
      <c r="C9" s="248" t="s">
        <v>14</v>
      </c>
      <c r="D9" s="276" t="s">
        <v>1000</v>
      </c>
      <c r="E9" s="276" t="s">
        <v>3</v>
      </c>
      <c r="F9" s="276"/>
      <c r="G9" s="276"/>
      <c r="H9" s="276"/>
      <c r="I9" s="276"/>
      <c r="J9" s="276"/>
      <c r="K9" s="264" t="s">
        <v>25</v>
      </c>
      <c r="L9" s="265"/>
      <c r="M9" s="265"/>
      <c r="N9" s="265"/>
      <c r="O9" s="265"/>
      <c r="P9" s="276" t="s">
        <v>24</v>
      </c>
      <c r="Q9" s="257" t="s">
        <v>959</v>
      </c>
    </row>
    <row r="10" spans="1:33" ht="33.75" customHeight="1" x14ac:dyDescent="0.2">
      <c r="A10" s="281"/>
      <c r="B10" s="283"/>
      <c r="C10" s="249"/>
      <c r="D10" s="279"/>
      <c r="E10" s="94" t="s">
        <v>16</v>
      </c>
      <c r="F10" s="94" t="s">
        <v>26</v>
      </c>
      <c r="G10" s="94" t="s">
        <v>17</v>
      </c>
      <c r="H10" s="94" t="s">
        <v>19</v>
      </c>
      <c r="I10" s="182" t="s">
        <v>985</v>
      </c>
      <c r="J10" s="94" t="s">
        <v>8</v>
      </c>
      <c r="K10" s="94" t="s">
        <v>20</v>
      </c>
      <c r="L10" s="94" t="s">
        <v>21</v>
      </c>
      <c r="M10" s="94" t="s">
        <v>22</v>
      </c>
      <c r="N10" s="94" t="s">
        <v>152</v>
      </c>
      <c r="O10" s="94" t="s">
        <v>23</v>
      </c>
      <c r="P10" s="279"/>
      <c r="Q10" s="258"/>
    </row>
    <row r="11" spans="1:33" s="6" customFormat="1" ht="27" customHeight="1" x14ac:dyDescent="0.2">
      <c r="A11" s="69">
        <v>1</v>
      </c>
      <c r="B11" s="23" t="s">
        <v>469</v>
      </c>
      <c r="C11" s="33" t="s">
        <v>470</v>
      </c>
      <c r="D11" s="57">
        <v>10261</v>
      </c>
      <c r="E11" s="57">
        <v>5000</v>
      </c>
      <c r="F11" s="29">
        <v>0</v>
      </c>
      <c r="G11" s="58">
        <v>375</v>
      </c>
      <c r="H11" s="59">
        <v>250</v>
      </c>
      <c r="I11" s="59">
        <v>0</v>
      </c>
      <c r="J11" s="28">
        <f>SUM(D11:I11)</f>
        <v>15886</v>
      </c>
      <c r="K11" s="28">
        <f>(D11+E11+G11)*3%</f>
        <v>469.08</v>
      </c>
      <c r="L11" s="28">
        <f>(D11+E11+G11)*15%</f>
        <v>2345.4</v>
      </c>
      <c r="M11" s="28">
        <v>454.34</v>
      </c>
      <c r="N11" s="28">
        <v>210.15</v>
      </c>
      <c r="O11" s="28">
        <f>SUM(K11:N11)</f>
        <v>3478.97</v>
      </c>
      <c r="P11" s="28">
        <f>J11-O11</f>
        <v>12407.03</v>
      </c>
      <c r="Q11" s="70">
        <f>1259</f>
        <v>1259</v>
      </c>
      <c r="R11" s="11"/>
      <c r="S11" s="11"/>
      <c r="T11" s="11"/>
      <c r="U11" s="11"/>
      <c r="V11" s="11"/>
      <c r="W11" s="12"/>
      <c r="X11" s="12"/>
      <c r="Y11" s="12"/>
      <c r="Z11" s="12"/>
      <c r="AA11" s="12"/>
      <c r="AB11" s="12"/>
      <c r="AC11" s="12"/>
      <c r="AD11" s="12"/>
      <c r="AE11" s="12"/>
      <c r="AF11" s="12"/>
      <c r="AG11" s="12"/>
    </row>
    <row r="12" spans="1:33" s="6" customFormat="1" ht="27" customHeight="1" x14ac:dyDescent="0.2">
      <c r="A12" s="69">
        <v>2</v>
      </c>
      <c r="B12" s="51" t="s">
        <v>477</v>
      </c>
      <c r="C12" s="33" t="s">
        <v>458</v>
      </c>
      <c r="D12" s="68">
        <v>10261</v>
      </c>
      <c r="E12" s="57">
        <v>5000</v>
      </c>
      <c r="F12" s="29">
        <v>0</v>
      </c>
      <c r="G12" s="58">
        <v>375</v>
      </c>
      <c r="H12" s="59">
        <v>250</v>
      </c>
      <c r="I12" s="59">
        <v>0</v>
      </c>
      <c r="J12" s="28">
        <f>SUM(D12:H12)</f>
        <v>15886</v>
      </c>
      <c r="K12" s="28">
        <f>(D12+E12+F12+G12)*3%</f>
        <v>469.08</v>
      </c>
      <c r="L12" s="28">
        <f>(D12+E12+F12+G12)*15%+20.16</f>
        <v>2365.56</v>
      </c>
      <c r="M12" s="28">
        <v>454.41</v>
      </c>
      <c r="N12" s="28">
        <v>205.11</v>
      </c>
      <c r="O12" s="28">
        <f>SUM(K12:N12)</f>
        <v>3494.16</v>
      </c>
      <c r="P12" s="28">
        <f>J12-O12</f>
        <v>12391.84</v>
      </c>
      <c r="Q12" s="70">
        <f>582</f>
        <v>582</v>
      </c>
      <c r="R12" s="11"/>
      <c r="S12" s="11"/>
      <c r="T12" s="11"/>
      <c r="U12" s="11"/>
      <c r="V12" s="11"/>
      <c r="W12" s="12"/>
      <c r="X12" s="12"/>
      <c r="Y12" s="12"/>
      <c r="Z12" s="12"/>
      <c r="AA12" s="12"/>
      <c r="AB12" s="12"/>
      <c r="AC12" s="12"/>
      <c r="AD12" s="12"/>
      <c r="AE12" s="12"/>
      <c r="AF12" s="12"/>
      <c r="AG12" s="12"/>
    </row>
    <row r="13" spans="1:33" s="6" customFormat="1" ht="27" customHeight="1" thickBot="1" x14ac:dyDescent="0.25">
      <c r="A13" s="69">
        <v>3</v>
      </c>
      <c r="B13" s="96" t="s">
        <v>342</v>
      </c>
      <c r="C13" s="96" t="s">
        <v>920</v>
      </c>
      <c r="D13" s="97">
        <v>10261</v>
      </c>
      <c r="E13" s="98">
        <v>5000</v>
      </c>
      <c r="F13" s="98">
        <v>0</v>
      </c>
      <c r="G13" s="98">
        <v>375</v>
      </c>
      <c r="H13" s="98">
        <v>250</v>
      </c>
      <c r="I13" s="98">
        <v>0</v>
      </c>
      <c r="J13" s="98">
        <f>SUM(D13:I13)</f>
        <v>15886</v>
      </c>
      <c r="K13" s="98">
        <f>(D13+E13+G13)*3%</f>
        <v>469.08</v>
      </c>
      <c r="L13" s="98">
        <f>(D13+E13+G13)*15%</f>
        <v>2345.4</v>
      </c>
      <c r="M13" s="98">
        <v>454.41</v>
      </c>
      <c r="N13" s="98">
        <v>210.15</v>
      </c>
      <c r="O13" s="98">
        <f>SUM(K13:N13)</f>
        <v>3479.04</v>
      </c>
      <c r="P13" s="99">
        <f>J13-O13</f>
        <v>12406.96</v>
      </c>
      <c r="Q13" s="100">
        <v>0</v>
      </c>
      <c r="R13" s="95"/>
      <c r="S13" s="95"/>
      <c r="T13" s="95"/>
      <c r="U13" s="95"/>
      <c r="V13" s="95"/>
      <c r="W13" s="95"/>
      <c r="X13" s="12"/>
      <c r="Y13" s="12"/>
      <c r="Z13" s="12"/>
      <c r="AA13" s="12"/>
      <c r="AB13" s="12"/>
      <c r="AC13" s="12"/>
      <c r="AD13" s="12"/>
      <c r="AE13" s="12"/>
      <c r="AF13" s="12"/>
      <c r="AG13" s="12"/>
    </row>
    <row r="14" spans="1:33" s="6" customFormat="1" ht="27" customHeight="1" thickBot="1" x14ac:dyDescent="0.25">
      <c r="A14" s="277" t="s">
        <v>466</v>
      </c>
      <c r="B14" s="278"/>
      <c r="C14" s="278"/>
      <c r="D14" s="129">
        <f t="shared" ref="D14:P14" si="0">SUM(D11:D13)</f>
        <v>30783</v>
      </c>
      <c r="E14" s="129">
        <f t="shared" si="0"/>
        <v>15000</v>
      </c>
      <c r="F14" s="129">
        <f t="shared" si="0"/>
        <v>0</v>
      </c>
      <c r="G14" s="129">
        <f t="shared" si="0"/>
        <v>1125</v>
      </c>
      <c r="H14" s="129">
        <f t="shared" si="0"/>
        <v>750</v>
      </c>
      <c r="I14" s="129">
        <f>SUM(I11:I13)</f>
        <v>0</v>
      </c>
      <c r="J14" s="129">
        <f t="shared" si="0"/>
        <v>47658</v>
      </c>
      <c r="K14" s="129">
        <f t="shared" si="0"/>
        <v>1407.24</v>
      </c>
      <c r="L14" s="129">
        <f t="shared" si="0"/>
        <v>7056.36</v>
      </c>
      <c r="M14" s="129">
        <f t="shared" si="0"/>
        <v>1363.16</v>
      </c>
      <c r="N14" s="129">
        <f t="shared" si="0"/>
        <v>625.41</v>
      </c>
      <c r="O14" s="129">
        <f t="shared" si="0"/>
        <v>10452.17</v>
      </c>
      <c r="P14" s="129">
        <f t="shared" si="0"/>
        <v>37205.83</v>
      </c>
      <c r="Q14" s="110">
        <v>0</v>
      </c>
      <c r="R14" s="11"/>
      <c r="S14" s="11"/>
      <c r="T14" s="11"/>
      <c r="U14" s="11"/>
      <c r="V14" s="11"/>
      <c r="W14" s="12"/>
      <c r="X14" s="12"/>
      <c r="Y14" s="12"/>
      <c r="Z14" s="12"/>
      <c r="AA14" s="12"/>
      <c r="AB14" s="12"/>
      <c r="AC14" s="12"/>
      <c r="AD14" s="12"/>
      <c r="AE14" s="12"/>
      <c r="AF14" s="12"/>
      <c r="AG14" s="12"/>
    </row>
    <row r="15" spans="1:33" s="20" customFormat="1" x14ac:dyDescent="0.2">
      <c r="A15" s="12"/>
      <c r="B15" s="18"/>
      <c r="C15" s="18"/>
      <c r="D15" s="19"/>
      <c r="E15" s="19"/>
      <c r="F15" s="19"/>
      <c r="G15" s="19"/>
      <c r="H15" s="19"/>
      <c r="I15" s="19"/>
      <c r="J15" s="19"/>
      <c r="K15" s="19"/>
      <c r="L15" s="19"/>
      <c r="M15" s="19"/>
      <c r="N15" s="19"/>
      <c r="O15" s="19"/>
      <c r="P15" s="19"/>
      <c r="Q15" s="19"/>
      <c r="R15" s="19"/>
      <c r="S15" s="19"/>
      <c r="T15" s="19"/>
      <c r="U15" s="19"/>
      <c r="V15" s="19"/>
      <c r="W15" s="18"/>
      <c r="X15" s="18"/>
      <c r="Y15" s="18"/>
      <c r="Z15" s="18"/>
    </row>
    <row r="16" spans="1:33" s="20" customFormat="1" x14ac:dyDescent="0.2">
      <c r="A16" s="12"/>
      <c r="B16" s="18"/>
      <c r="C16" s="18"/>
      <c r="D16" s="19"/>
      <c r="E16" s="19"/>
      <c r="F16" s="19"/>
      <c r="G16" s="19"/>
      <c r="H16" s="19"/>
      <c r="I16" s="19"/>
      <c r="J16" s="19"/>
      <c r="K16" s="19"/>
      <c r="L16" s="19"/>
      <c r="M16" s="19"/>
      <c r="N16" s="19"/>
      <c r="O16" s="19"/>
      <c r="P16" s="19"/>
      <c r="Q16" s="19"/>
      <c r="R16" s="19"/>
      <c r="S16" s="19"/>
      <c r="T16" s="19"/>
      <c r="U16" s="19"/>
      <c r="V16" s="19"/>
      <c r="W16" s="18"/>
      <c r="X16" s="18"/>
      <c r="Y16" s="18"/>
      <c r="Z16" s="18"/>
    </row>
    <row r="17" spans="1:26" s="20" customFormat="1" x14ac:dyDescent="0.2">
      <c r="A17" s="12"/>
      <c r="B17" s="18"/>
      <c r="C17" s="18"/>
      <c r="D17" s="19"/>
      <c r="E17" s="19"/>
      <c r="F17" s="19"/>
      <c r="G17" s="19"/>
      <c r="H17" s="19"/>
      <c r="I17" s="19"/>
      <c r="J17" s="19"/>
      <c r="K17" s="19"/>
      <c r="L17" s="19"/>
      <c r="M17" s="19"/>
      <c r="N17" s="19"/>
      <c r="O17" s="19"/>
      <c r="P17" s="19"/>
      <c r="Q17" s="19"/>
      <c r="R17" s="19"/>
      <c r="S17" s="19"/>
      <c r="T17" s="19"/>
      <c r="U17" s="19"/>
      <c r="V17" s="19"/>
      <c r="W17" s="18"/>
      <c r="X17" s="18"/>
      <c r="Y17" s="18"/>
      <c r="Z17" s="18"/>
    </row>
    <row r="18" spans="1:26" s="20" customFormat="1" x14ac:dyDescent="0.2">
      <c r="A18" s="12"/>
      <c r="B18" s="12"/>
      <c r="C18" s="18"/>
      <c r="D18" s="19"/>
      <c r="E18" s="19"/>
      <c r="F18" s="19"/>
      <c r="G18" s="19"/>
      <c r="H18" s="19"/>
      <c r="I18" s="19"/>
      <c r="J18" s="19"/>
      <c r="K18" s="19"/>
      <c r="L18" s="19"/>
      <c r="M18" s="19"/>
      <c r="N18" s="19"/>
      <c r="O18" s="19"/>
      <c r="P18" s="19"/>
      <c r="Q18" s="19"/>
      <c r="R18" s="19"/>
      <c r="S18" s="19"/>
      <c r="T18" s="19"/>
      <c r="U18" s="19"/>
      <c r="V18" s="19"/>
      <c r="W18" s="18"/>
      <c r="X18" s="18"/>
      <c r="Y18" s="18"/>
      <c r="Z18" s="18"/>
    </row>
    <row r="19" spans="1:26" s="20" customFormat="1" x14ac:dyDescent="0.2">
      <c r="A19" s="12"/>
      <c r="B19" s="18"/>
      <c r="C19" s="18"/>
      <c r="D19" s="19"/>
      <c r="E19" s="19"/>
      <c r="F19" s="19"/>
      <c r="G19" s="19"/>
      <c r="H19" s="19"/>
      <c r="I19" s="19"/>
      <c r="J19" s="19"/>
      <c r="K19" s="19"/>
      <c r="L19" s="19"/>
      <c r="M19" s="19"/>
      <c r="N19" s="19"/>
      <c r="O19" s="19"/>
      <c r="P19" s="19"/>
      <c r="Q19" s="19"/>
      <c r="R19" s="19"/>
      <c r="S19" s="19"/>
      <c r="T19" s="19"/>
      <c r="U19" s="19"/>
      <c r="V19" s="19"/>
      <c r="W19" s="18"/>
      <c r="X19" s="18"/>
      <c r="Y19" s="18"/>
      <c r="Z19" s="18"/>
    </row>
    <row r="20" spans="1:26" s="20" customFormat="1" x14ac:dyDescent="0.2">
      <c r="A20" s="12"/>
      <c r="B20" s="18"/>
      <c r="C20" s="18"/>
      <c r="D20" s="19"/>
      <c r="E20" s="19"/>
      <c r="F20" s="19"/>
      <c r="G20" s="19"/>
      <c r="H20" s="19"/>
      <c r="I20" s="19"/>
      <c r="J20" s="19"/>
      <c r="K20" s="19"/>
      <c r="L20" s="19"/>
      <c r="M20" s="19"/>
      <c r="N20" s="19"/>
      <c r="O20" s="19"/>
      <c r="P20" s="19"/>
      <c r="Q20" s="19"/>
      <c r="R20" s="19"/>
      <c r="S20" s="19"/>
      <c r="T20" s="19"/>
      <c r="U20" s="19"/>
      <c r="V20" s="19"/>
      <c r="W20" s="18"/>
      <c r="X20" s="18"/>
      <c r="Y20" s="18"/>
      <c r="Z20" s="18"/>
    </row>
    <row r="21" spans="1:26" s="20" customFormat="1" x14ac:dyDescent="0.2">
      <c r="A21" s="12"/>
      <c r="B21" s="18"/>
      <c r="C21" s="18"/>
      <c r="D21" s="19"/>
      <c r="E21" s="19"/>
      <c r="F21" s="19"/>
      <c r="G21" s="19"/>
      <c r="H21" s="19"/>
      <c r="I21" s="19"/>
      <c r="J21" s="19"/>
      <c r="K21" s="19"/>
      <c r="L21" s="19"/>
      <c r="M21" s="19"/>
      <c r="N21" s="19"/>
      <c r="O21" s="19"/>
      <c r="P21" s="19"/>
      <c r="Q21" s="19"/>
      <c r="R21" s="19"/>
      <c r="S21" s="19"/>
      <c r="T21" s="19"/>
      <c r="U21" s="19"/>
      <c r="V21" s="19"/>
      <c r="W21" s="18"/>
      <c r="X21" s="18"/>
      <c r="Y21" s="18"/>
      <c r="Z21" s="18"/>
    </row>
    <row r="22" spans="1:26" s="20" customFormat="1" x14ac:dyDescent="0.2">
      <c r="A22" s="12"/>
      <c r="B22" s="18"/>
      <c r="C22" s="18"/>
      <c r="D22" s="19"/>
      <c r="E22" s="19"/>
      <c r="F22" s="19"/>
      <c r="G22" s="19"/>
      <c r="H22" s="19"/>
      <c r="I22" s="19"/>
      <c r="J22" s="19"/>
      <c r="K22" s="19"/>
      <c r="L22" s="19"/>
      <c r="M22" s="19"/>
      <c r="N22" s="19"/>
      <c r="O22" s="19"/>
      <c r="P22" s="19"/>
      <c r="Q22" s="19"/>
      <c r="R22" s="19"/>
      <c r="S22" s="19"/>
      <c r="T22" s="19"/>
      <c r="U22" s="19"/>
      <c r="V22" s="19"/>
      <c r="W22" s="18"/>
      <c r="X22" s="18"/>
      <c r="Y22" s="18"/>
      <c r="Z22" s="18"/>
    </row>
    <row r="23" spans="1:26" s="20" customFormat="1" x14ac:dyDescent="0.2">
      <c r="A23" s="12"/>
      <c r="B23" s="18"/>
      <c r="C23" s="18"/>
      <c r="D23" s="19"/>
      <c r="E23" s="19"/>
      <c r="F23" s="19"/>
      <c r="G23" s="19"/>
      <c r="H23" s="19"/>
      <c r="I23" s="19"/>
      <c r="J23" s="19"/>
      <c r="K23" s="19"/>
      <c r="L23" s="19"/>
      <c r="M23" s="19"/>
      <c r="N23" s="19"/>
      <c r="O23" s="19"/>
      <c r="P23" s="19"/>
      <c r="Q23" s="19"/>
      <c r="R23" s="19"/>
      <c r="S23" s="19"/>
      <c r="T23" s="19"/>
      <c r="U23" s="19"/>
      <c r="V23" s="19"/>
      <c r="W23" s="18"/>
      <c r="X23" s="18"/>
      <c r="Y23" s="18"/>
      <c r="Z23" s="18"/>
    </row>
    <row r="24" spans="1:26" s="20" customFormat="1" x14ac:dyDescent="0.2">
      <c r="A24" s="12"/>
      <c r="B24" s="18"/>
      <c r="C24" s="18"/>
      <c r="D24" s="19"/>
      <c r="E24" s="19"/>
      <c r="F24" s="19"/>
      <c r="G24" s="19"/>
      <c r="H24" s="19"/>
      <c r="I24" s="19"/>
      <c r="J24" s="19"/>
      <c r="K24" s="19"/>
      <c r="L24" s="19"/>
      <c r="M24" s="19"/>
      <c r="N24" s="19"/>
      <c r="O24" s="19"/>
      <c r="P24" s="19"/>
      <c r="Q24" s="19"/>
      <c r="R24" s="19"/>
      <c r="S24" s="19"/>
      <c r="T24" s="19"/>
      <c r="U24" s="19"/>
      <c r="V24" s="19"/>
      <c r="W24" s="18"/>
      <c r="X24" s="18"/>
      <c r="Y24" s="18"/>
      <c r="Z24" s="18"/>
    </row>
    <row r="25" spans="1:26" s="20" customFormat="1" x14ac:dyDescent="0.2">
      <c r="A25" s="12"/>
      <c r="B25" s="18"/>
      <c r="C25" s="18"/>
      <c r="D25" s="18"/>
      <c r="E25" s="18"/>
      <c r="F25" s="18"/>
      <c r="G25" s="18"/>
      <c r="H25" s="18"/>
      <c r="I25" s="18"/>
      <c r="J25" s="18"/>
      <c r="K25" s="18"/>
      <c r="L25" s="18"/>
      <c r="M25" s="18"/>
      <c r="N25" s="18"/>
      <c r="O25" s="18"/>
      <c r="P25" s="18"/>
      <c r="Q25" s="18"/>
      <c r="R25" s="18"/>
      <c r="S25" s="18"/>
      <c r="T25" s="18"/>
      <c r="U25" s="18"/>
      <c r="V25" s="18"/>
      <c r="W25" s="18"/>
      <c r="X25" s="18"/>
      <c r="Y25" s="18"/>
      <c r="Z25" s="18"/>
    </row>
    <row r="26" spans="1:26" s="20" customFormat="1" x14ac:dyDescent="0.2">
      <c r="A26" s="12"/>
      <c r="B26" s="18"/>
      <c r="C26" s="18"/>
      <c r="D26" s="18"/>
      <c r="E26" s="18"/>
      <c r="F26" s="18"/>
      <c r="G26" s="18"/>
      <c r="H26" s="18"/>
      <c r="I26" s="18"/>
      <c r="J26" s="18"/>
      <c r="K26" s="18"/>
      <c r="L26" s="18"/>
      <c r="M26" s="18"/>
      <c r="N26" s="18"/>
      <c r="O26" s="18"/>
      <c r="P26" s="18"/>
      <c r="Q26" s="18"/>
      <c r="R26" s="18"/>
      <c r="S26" s="18"/>
      <c r="T26" s="18"/>
      <c r="U26" s="18"/>
      <c r="V26" s="18"/>
      <c r="W26" s="18"/>
      <c r="X26" s="18"/>
      <c r="Y26" s="18"/>
      <c r="Z26" s="18"/>
    </row>
    <row r="27" spans="1:26" s="20" customFormat="1" x14ac:dyDescent="0.2">
      <c r="A27" s="12"/>
      <c r="B27" s="18"/>
      <c r="C27" s="18"/>
      <c r="D27" s="18"/>
      <c r="E27" s="18"/>
      <c r="F27" s="18"/>
      <c r="G27" s="18"/>
      <c r="H27" s="18"/>
      <c r="I27" s="18"/>
      <c r="J27" s="18"/>
      <c r="K27" s="18"/>
      <c r="L27" s="18"/>
      <c r="M27" s="18"/>
      <c r="N27" s="18"/>
      <c r="O27" s="18"/>
      <c r="P27" s="18"/>
      <c r="Q27" s="18"/>
      <c r="R27" s="18"/>
      <c r="S27" s="18"/>
      <c r="T27" s="18"/>
      <c r="U27" s="18"/>
      <c r="V27" s="18"/>
      <c r="W27" s="18"/>
      <c r="X27" s="18"/>
      <c r="Y27" s="18"/>
      <c r="Z27" s="18"/>
    </row>
    <row r="28" spans="1:26" s="20" customFormat="1" x14ac:dyDescent="0.2">
      <c r="A28" s="12"/>
      <c r="B28" s="18"/>
      <c r="C28" s="18"/>
      <c r="D28" s="18"/>
      <c r="E28" s="18"/>
      <c r="F28" s="18"/>
      <c r="G28" s="18"/>
      <c r="H28" s="18"/>
      <c r="I28" s="18"/>
      <c r="J28" s="18"/>
      <c r="K28" s="18"/>
      <c r="L28" s="18"/>
      <c r="M28" s="18"/>
      <c r="N28" s="18"/>
      <c r="O28" s="18"/>
      <c r="P28" s="18"/>
      <c r="Q28" s="18"/>
      <c r="R28" s="18"/>
      <c r="S28" s="18"/>
      <c r="T28" s="18"/>
      <c r="U28" s="18"/>
      <c r="V28" s="18"/>
      <c r="W28" s="18"/>
      <c r="X28" s="18"/>
      <c r="Y28" s="18"/>
      <c r="Z28" s="18"/>
    </row>
    <row r="29" spans="1:26" s="20" customFormat="1" x14ac:dyDescent="0.2">
      <c r="A29" s="12"/>
      <c r="B29" s="18"/>
      <c r="C29" s="18"/>
      <c r="D29" s="18"/>
      <c r="E29" s="18"/>
      <c r="F29" s="18"/>
      <c r="G29" s="18"/>
      <c r="H29" s="18"/>
      <c r="I29" s="18"/>
      <c r="J29" s="18"/>
      <c r="K29" s="18"/>
      <c r="L29" s="18"/>
      <c r="M29" s="18"/>
      <c r="N29" s="18"/>
      <c r="O29" s="18"/>
      <c r="P29" s="18"/>
      <c r="Q29" s="18"/>
      <c r="R29" s="18"/>
      <c r="S29" s="18"/>
      <c r="T29" s="18"/>
      <c r="U29" s="18"/>
      <c r="V29" s="18"/>
      <c r="W29" s="18"/>
      <c r="X29" s="18"/>
      <c r="Y29" s="18"/>
      <c r="Z29" s="18"/>
    </row>
    <row r="30" spans="1:26" s="20" customFormat="1" x14ac:dyDescent="0.2">
      <c r="A30" s="12"/>
      <c r="B30" s="18"/>
      <c r="C30" s="18"/>
      <c r="D30" s="18"/>
      <c r="E30" s="18"/>
      <c r="F30" s="18"/>
      <c r="G30" s="18"/>
      <c r="H30" s="18"/>
      <c r="I30" s="18"/>
      <c r="J30" s="18"/>
      <c r="K30" s="18"/>
      <c r="L30" s="18"/>
      <c r="M30" s="18"/>
      <c r="N30" s="18"/>
      <c r="O30" s="18"/>
      <c r="P30" s="18"/>
      <c r="Q30" s="18"/>
      <c r="R30" s="18"/>
      <c r="S30" s="18"/>
      <c r="T30" s="18"/>
      <c r="U30" s="18"/>
      <c r="V30" s="18"/>
      <c r="W30" s="18"/>
      <c r="X30" s="18"/>
      <c r="Y30" s="18"/>
      <c r="Z30" s="18"/>
    </row>
    <row r="31" spans="1:26" s="20" customFormat="1" x14ac:dyDescent="0.2">
      <c r="A31" s="12"/>
      <c r="B31" s="18"/>
      <c r="C31" s="18"/>
      <c r="D31" s="18"/>
      <c r="E31" s="18"/>
      <c r="F31" s="18"/>
      <c r="G31" s="18"/>
      <c r="H31" s="18"/>
      <c r="I31" s="18"/>
      <c r="J31" s="18"/>
      <c r="K31" s="18"/>
      <c r="L31" s="18"/>
      <c r="M31" s="18"/>
      <c r="N31" s="18"/>
      <c r="O31" s="18"/>
      <c r="P31" s="18"/>
      <c r="Q31" s="18"/>
      <c r="R31" s="18"/>
      <c r="S31" s="18"/>
      <c r="T31" s="18"/>
      <c r="U31" s="18"/>
      <c r="V31" s="18"/>
      <c r="W31" s="18"/>
      <c r="X31" s="18"/>
      <c r="Y31" s="18"/>
      <c r="Z31" s="18"/>
    </row>
    <row r="32" spans="1:26" s="20" customFormat="1" x14ac:dyDescent="0.2">
      <c r="A32" s="12"/>
      <c r="B32" s="18"/>
      <c r="C32" s="18"/>
      <c r="D32" s="18"/>
      <c r="E32" s="18"/>
      <c r="F32" s="18"/>
      <c r="G32" s="18"/>
      <c r="H32" s="18"/>
      <c r="I32" s="18"/>
      <c r="J32" s="18"/>
      <c r="K32" s="18"/>
      <c r="L32" s="18"/>
      <c r="M32" s="18"/>
      <c r="N32" s="18"/>
      <c r="O32" s="18"/>
      <c r="P32" s="18"/>
      <c r="Q32" s="18"/>
      <c r="R32" s="18"/>
      <c r="S32" s="18"/>
      <c r="T32" s="18"/>
      <c r="U32" s="18"/>
      <c r="V32" s="18"/>
      <c r="W32" s="18"/>
      <c r="X32" s="18"/>
      <c r="Y32" s="18"/>
      <c r="Z32" s="18"/>
    </row>
    <row r="33" spans="1:26" s="20" customFormat="1" x14ac:dyDescent="0.2">
      <c r="A33" s="12"/>
      <c r="B33" s="18"/>
      <c r="C33" s="18"/>
      <c r="D33" s="18"/>
      <c r="E33" s="18"/>
      <c r="F33" s="18"/>
      <c r="G33" s="18"/>
      <c r="H33" s="18"/>
      <c r="I33" s="18"/>
      <c r="J33" s="18"/>
      <c r="K33" s="18"/>
      <c r="L33" s="18"/>
      <c r="M33" s="18"/>
      <c r="N33" s="18"/>
      <c r="O33" s="18"/>
      <c r="P33" s="18"/>
      <c r="Q33" s="18"/>
      <c r="R33" s="18"/>
      <c r="S33" s="18"/>
      <c r="T33" s="18"/>
      <c r="U33" s="18"/>
      <c r="V33" s="18"/>
      <c r="W33" s="18"/>
      <c r="X33" s="18"/>
      <c r="Y33" s="18"/>
      <c r="Z33" s="18"/>
    </row>
    <row r="34" spans="1:26" s="20" customFormat="1" x14ac:dyDescent="0.2">
      <c r="A34" s="12"/>
      <c r="B34" s="18"/>
      <c r="C34" s="18"/>
      <c r="D34" s="18"/>
      <c r="E34" s="18"/>
      <c r="F34" s="18"/>
      <c r="G34" s="18"/>
      <c r="H34" s="18"/>
      <c r="I34" s="18"/>
      <c r="J34" s="18"/>
      <c r="K34" s="18"/>
      <c r="L34" s="18"/>
      <c r="M34" s="18"/>
      <c r="N34" s="18"/>
      <c r="O34" s="18"/>
      <c r="P34" s="18"/>
      <c r="Q34" s="18"/>
      <c r="R34" s="18"/>
      <c r="S34" s="18"/>
      <c r="T34" s="18"/>
      <c r="U34" s="18"/>
      <c r="V34" s="18"/>
      <c r="W34" s="18"/>
      <c r="X34" s="18"/>
      <c r="Y34" s="18"/>
      <c r="Z34" s="18"/>
    </row>
    <row r="35" spans="1:26" s="20" customFormat="1" x14ac:dyDescent="0.2">
      <c r="A35" s="12"/>
      <c r="B35" s="18"/>
      <c r="C35" s="18"/>
      <c r="D35" s="18"/>
      <c r="E35" s="18"/>
      <c r="F35" s="18"/>
      <c r="G35" s="18"/>
      <c r="H35" s="18"/>
      <c r="I35" s="18"/>
      <c r="J35" s="18"/>
      <c r="K35" s="18"/>
      <c r="L35" s="18"/>
      <c r="M35" s="18"/>
      <c r="N35" s="18"/>
      <c r="O35" s="18"/>
      <c r="P35" s="18"/>
      <c r="Q35" s="18"/>
      <c r="R35" s="18"/>
      <c r="S35" s="18"/>
      <c r="T35" s="18"/>
      <c r="U35" s="18"/>
      <c r="V35" s="18"/>
      <c r="W35" s="18"/>
      <c r="X35" s="18"/>
      <c r="Y35" s="18"/>
      <c r="Z35" s="18"/>
    </row>
    <row r="36" spans="1:26" s="20" customFormat="1" x14ac:dyDescent="0.2">
      <c r="A36" s="12"/>
      <c r="B36" s="18"/>
      <c r="C36" s="18"/>
      <c r="D36" s="18"/>
      <c r="E36" s="18"/>
      <c r="F36" s="18"/>
      <c r="G36" s="18"/>
      <c r="H36" s="18"/>
      <c r="I36" s="18"/>
      <c r="J36" s="18"/>
      <c r="K36" s="18"/>
      <c r="L36" s="18"/>
      <c r="M36" s="18"/>
      <c r="N36" s="18"/>
      <c r="O36" s="18"/>
      <c r="P36" s="18"/>
      <c r="Q36" s="18"/>
      <c r="R36" s="18"/>
      <c r="S36" s="18"/>
      <c r="T36" s="18"/>
      <c r="U36" s="18"/>
      <c r="V36" s="18"/>
      <c r="W36" s="18"/>
      <c r="X36" s="18"/>
      <c r="Y36" s="18"/>
      <c r="Z36" s="18"/>
    </row>
    <row r="37" spans="1:26" s="20" customFormat="1" x14ac:dyDescent="0.2">
      <c r="A37" s="12"/>
      <c r="B37" s="18"/>
      <c r="C37" s="18"/>
      <c r="D37" s="18"/>
      <c r="E37" s="18"/>
      <c r="F37" s="18"/>
      <c r="G37" s="18"/>
      <c r="H37" s="18"/>
      <c r="I37" s="18"/>
      <c r="J37" s="18"/>
      <c r="K37" s="18"/>
      <c r="L37" s="18"/>
      <c r="M37" s="18"/>
      <c r="N37" s="18"/>
      <c r="O37" s="18"/>
      <c r="P37" s="18"/>
      <c r="Q37" s="18"/>
      <c r="R37" s="18"/>
      <c r="S37" s="18"/>
      <c r="T37" s="18"/>
      <c r="U37" s="18"/>
      <c r="V37" s="18"/>
      <c r="W37" s="18"/>
      <c r="X37" s="18"/>
      <c r="Y37" s="18"/>
      <c r="Z37" s="18"/>
    </row>
    <row r="38" spans="1:26" s="20" customFormat="1" x14ac:dyDescent="0.2">
      <c r="A38" s="12"/>
      <c r="B38" s="18"/>
      <c r="C38" s="18"/>
      <c r="D38" s="18"/>
      <c r="E38" s="18"/>
      <c r="F38" s="18"/>
      <c r="G38" s="18"/>
      <c r="H38" s="18"/>
      <c r="I38" s="18"/>
      <c r="J38" s="18"/>
      <c r="K38" s="18"/>
      <c r="L38" s="18"/>
      <c r="M38" s="18"/>
      <c r="N38" s="18"/>
      <c r="O38" s="18"/>
      <c r="P38" s="18"/>
      <c r="Q38" s="18"/>
      <c r="R38" s="18"/>
      <c r="S38" s="18"/>
      <c r="T38" s="18"/>
      <c r="U38" s="18"/>
      <c r="V38" s="18"/>
      <c r="W38" s="18"/>
      <c r="X38" s="18"/>
      <c r="Y38" s="18"/>
      <c r="Z38" s="18"/>
    </row>
    <row r="39" spans="1:26" s="20" customFormat="1" x14ac:dyDescent="0.2">
      <c r="A39" s="12"/>
      <c r="B39" s="18"/>
      <c r="C39" s="18"/>
      <c r="D39" s="18"/>
      <c r="E39" s="18"/>
      <c r="F39" s="18"/>
      <c r="G39" s="18"/>
      <c r="H39" s="18"/>
      <c r="I39" s="18"/>
      <c r="J39" s="18"/>
      <c r="K39" s="18"/>
      <c r="L39" s="18"/>
      <c r="M39" s="18"/>
      <c r="N39" s="18"/>
      <c r="O39" s="18"/>
      <c r="P39" s="18"/>
      <c r="Q39" s="18"/>
      <c r="R39" s="18"/>
      <c r="S39" s="18"/>
      <c r="T39" s="18"/>
      <c r="U39" s="18"/>
      <c r="V39" s="18"/>
      <c r="W39" s="18"/>
      <c r="X39" s="18"/>
      <c r="Y39" s="18"/>
      <c r="Z39" s="18"/>
    </row>
    <row r="40" spans="1:26" s="20" customFormat="1" x14ac:dyDescent="0.2">
      <c r="A40" s="12"/>
      <c r="B40" s="18"/>
      <c r="C40" s="18"/>
      <c r="D40" s="18"/>
      <c r="E40" s="18"/>
      <c r="F40" s="18"/>
      <c r="G40" s="18"/>
      <c r="H40" s="18"/>
      <c r="I40" s="18"/>
      <c r="J40" s="18"/>
      <c r="K40" s="18"/>
      <c r="L40" s="18"/>
      <c r="M40" s="18"/>
      <c r="N40" s="18"/>
      <c r="O40" s="18"/>
      <c r="P40" s="18"/>
      <c r="Q40" s="18"/>
      <c r="R40" s="18"/>
      <c r="S40" s="18"/>
      <c r="T40" s="18"/>
      <c r="U40" s="18"/>
      <c r="V40" s="18"/>
      <c r="W40" s="18"/>
      <c r="X40" s="18"/>
      <c r="Y40" s="18"/>
      <c r="Z40" s="18"/>
    </row>
    <row r="41" spans="1:26" s="20" customFormat="1" x14ac:dyDescent="0.2">
      <c r="A41" s="12"/>
      <c r="B41" s="18"/>
      <c r="C41" s="18"/>
      <c r="D41" s="18"/>
      <c r="E41" s="18"/>
      <c r="F41" s="18"/>
      <c r="G41" s="18"/>
      <c r="H41" s="18"/>
      <c r="I41" s="18"/>
      <c r="J41" s="18"/>
      <c r="K41" s="18"/>
      <c r="L41" s="18"/>
      <c r="M41" s="18"/>
      <c r="N41" s="18"/>
      <c r="O41" s="18"/>
      <c r="P41" s="18"/>
      <c r="Q41" s="18"/>
      <c r="R41" s="18"/>
      <c r="S41" s="18"/>
      <c r="T41" s="18"/>
      <c r="U41" s="18"/>
      <c r="V41" s="18"/>
      <c r="W41" s="18"/>
      <c r="X41" s="18"/>
      <c r="Y41" s="18"/>
      <c r="Z41" s="18"/>
    </row>
    <row r="42" spans="1:26" s="20" customFormat="1" x14ac:dyDescent="0.2">
      <c r="A42" s="12"/>
      <c r="B42" s="18"/>
      <c r="C42" s="18"/>
      <c r="D42" s="18"/>
      <c r="E42" s="18"/>
      <c r="F42" s="18"/>
      <c r="G42" s="18"/>
      <c r="H42" s="18"/>
      <c r="I42" s="18"/>
      <c r="J42" s="18"/>
      <c r="K42" s="18"/>
      <c r="L42" s="18"/>
      <c r="M42" s="18"/>
      <c r="N42" s="18"/>
      <c r="O42" s="18"/>
      <c r="P42" s="18"/>
      <c r="Q42" s="18"/>
      <c r="R42" s="18"/>
      <c r="S42" s="18"/>
      <c r="T42" s="18"/>
      <c r="U42" s="18"/>
      <c r="V42" s="18"/>
      <c r="W42" s="18"/>
      <c r="X42" s="18"/>
      <c r="Y42" s="18"/>
      <c r="Z42" s="18"/>
    </row>
    <row r="43" spans="1:26" s="20" customFormat="1" x14ac:dyDescent="0.2">
      <c r="A43" s="12"/>
      <c r="B43" s="18"/>
      <c r="C43" s="18"/>
      <c r="D43" s="18"/>
      <c r="E43" s="18"/>
      <c r="F43" s="18"/>
      <c r="G43" s="18"/>
      <c r="H43" s="18"/>
      <c r="I43" s="18"/>
      <c r="J43" s="18"/>
      <c r="K43" s="18"/>
      <c r="L43" s="18"/>
      <c r="M43" s="18"/>
      <c r="N43" s="18"/>
      <c r="O43" s="18"/>
      <c r="P43" s="18"/>
      <c r="Q43" s="18"/>
      <c r="R43" s="18"/>
      <c r="S43" s="18"/>
      <c r="T43" s="18"/>
      <c r="U43" s="18"/>
      <c r="V43" s="18"/>
      <c r="W43" s="18"/>
      <c r="X43" s="18"/>
      <c r="Y43" s="18"/>
      <c r="Z43" s="18"/>
    </row>
    <row r="44" spans="1:26" s="20" customFormat="1" x14ac:dyDescent="0.2">
      <c r="A44" s="12"/>
      <c r="B44" s="18"/>
      <c r="C44" s="18"/>
      <c r="D44" s="18"/>
      <c r="E44" s="18"/>
      <c r="F44" s="18"/>
      <c r="G44" s="18"/>
      <c r="H44" s="18"/>
      <c r="I44" s="18"/>
      <c r="J44" s="18"/>
      <c r="K44" s="18"/>
      <c r="L44" s="18"/>
      <c r="M44" s="18"/>
      <c r="N44" s="18"/>
      <c r="O44" s="18"/>
      <c r="P44" s="18"/>
      <c r="Q44" s="18"/>
      <c r="R44" s="18"/>
      <c r="S44" s="18"/>
      <c r="T44" s="18"/>
      <c r="U44" s="18"/>
      <c r="V44" s="18"/>
      <c r="W44" s="18"/>
      <c r="X44" s="18"/>
      <c r="Y44" s="18"/>
      <c r="Z44" s="18"/>
    </row>
    <row r="45" spans="1:26" s="20" customFormat="1" x14ac:dyDescent="0.2">
      <c r="A45" s="12"/>
      <c r="B45" s="18"/>
      <c r="C45" s="18"/>
      <c r="D45" s="18"/>
      <c r="E45" s="18"/>
      <c r="F45" s="18"/>
      <c r="G45" s="18"/>
      <c r="H45" s="18"/>
      <c r="I45" s="18"/>
      <c r="J45" s="18"/>
      <c r="K45" s="18"/>
      <c r="L45" s="18"/>
      <c r="M45" s="18"/>
      <c r="N45" s="18"/>
      <c r="O45" s="18"/>
      <c r="P45" s="18"/>
      <c r="Q45" s="18"/>
      <c r="R45" s="18"/>
      <c r="S45" s="18"/>
      <c r="T45" s="18"/>
      <c r="U45" s="18"/>
      <c r="V45" s="18"/>
      <c r="W45" s="18"/>
      <c r="X45" s="18"/>
      <c r="Y45" s="18"/>
      <c r="Z45" s="18"/>
    </row>
    <row r="46" spans="1:26" s="20" customFormat="1" x14ac:dyDescent="0.2">
      <c r="A46" s="12"/>
      <c r="B46" s="18"/>
      <c r="C46" s="18"/>
      <c r="D46" s="18"/>
      <c r="E46" s="18"/>
      <c r="F46" s="18"/>
      <c r="G46" s="18"/>
      <c r="H46" s="18"/>
      <c r="I46" s="18"/>
      <c r="J46" s="18"/>
      <c r="K46" s="18"/>
      <c r="L46" s="18"/>
      <c r="M46" s="18"/>
      <c r="N46" s="18"/>
      <c r="O46" s="18"/>
      <c r="P46" s="18"/>
      <c r="Q46" s="18"/>
      <c r="R46" s="18"/>
      <c r="S46" s="18"/>
      <c r="T46" s="18"/>
      <c r="U46" s="18"/>
      <c r="V46" s="18"/>
      <c r="W46" s="18"/>
      <c r="X46" s="18"/>
      <c r="Y46" s="18"/>
      <c r="Z46" s="18"/>
    </row>
    <row r="47" spans="1:26" s="20" customFormat="1" x14ac:dyDescent="0.2">
      <c r="A47" s="12"/>
      <c r="B47" s="18"/>
      <c r="C47" s="18"/>
      <c r="D47" s="18"/>
      <c r="E47" s="18"/>
      <c r="F47" s="18"/>
      <c r="G47" s="18"/>
      <c r="H47" s="18"/>
      <c r="I47" s="18"/>
      <c r="J47" s="18"/>
      <c r="K47" s="18"/>
      <c r="L47" s="18"/>
      <c r="M47" s="18"/>
      <c r="N47" s="18"/>
      <c r="O47" s="18"/>
      <c r="P47" s="18"/>
      <c r="Q47" s="18"/>
      <c r="R47" s="18"/>
      <c r="S47" s="18"/>
      <c r="T47" s="18"/>
      <c r="U47" s="18"/>
      <c r="V47" s="18"/>
      <c r="W47" s="18"/>
      <c r="X47" s="18"/>
      <c r="Y47" s="18"/>
      <c r="Z47" s="18"/>
    </row>
    <row r="48" spans="1:26" s="20" customFormat="1" x14ac:dyDescent="0.2">
      <c r="A48" s="12"/>
      <c r="B48" s="18"/>
      <c r="C48" s="18"/>
      <c r="D48" s="18"/>
      <c r="E48" s="18"/>
      <c r="F48" s="18"/>
      <c r="G48" s="18"/>
      <c r="H48" s="18"/>
      <c r="I48" s="18"/>
      <c r="J48" s="18"/>
      <c r="K48" s="18"/>
      <c r="L48" s="18"/>
      <c r="M48" s="18"/>
      <c r="N48" s="18"/>
      <c r="O48" s="18"/>
      <c r="P48" s="18"/>
      <c r="Q48" s="21"/>
      <c r="R48" s="18"/>
      <c r="S48" s="18"/>
      <c r="T48" s="18"/>
      <c r="U48" s="18"/>
      <c r="V48" s="18"/>
      <c r="W48" s="18"/>
      <c r="X48" s="18"/>
      <c r="Y48" s="18"/>
      <c r="Z48" s="18"/>
    </row>
    <row r="49" spans="1:26" s="20" customFormat="1" x14ac:dyDescent="0.2">
      <c r="A49" s="12"/>
      <c r="B49" s="18"/>
      <c r="C49" s="18"/>
      <c r="D49" s="18"/>
      <c r="E49" s="18"/>
      <c r="F49" s="18"/>
      <c r="G49" s="18"/>
      <c r="H49" s="18"/>
      <c r="I49" s="18"/>
      <c r="J49" s="18"/>
      <c r="K49" s="18"/>
      <c r="L49" s="18"/>
      <c r="M49" s="18"/>
      <c r="N49" s="18"/>
      <c r="O49" s="18"/>
      <c r="P49" s="18"/>
      <c r="Q49" s="18"/>
      <c r="R49" s="18"/>
      <c r="S49" s="18"/>
      <c r="T49" s="18"/>
      <c r="U49" s="18"/>
      <c r="V49" s="18"/>
      <c r="W49" s="18"/>
      <c r="X49" s="18"/>
      <c r="Y49" s="18"/>
      <c r="Z49" s="18"/>
    </row>
    <row r="50" spans="1:26" s="20" customFormat="1" x14ac:dyDescent="0.2">
      <c r="A50" s="12"/>
      <c r="B50" s="18"/>
      <c r="C50" s="18"/>
      <c r="D50" s="18"/>
      <c r="E50" s="18"/>
      <c r="F50" s="18"/>
      <c r="G50" s="18"/>
      <c r="H50" s="18"/>
      <c r="I50" s="18"/>
      <c r="J50" s="18"/>
      <c r="K50" s="18"/>
      <c r="L50" s="18"/>
      <c r="M50" s="18"/>
      <c r="N50" s="18"/>
      <c r="O50" s="18"/>
      <c r="P50" s="18"/>
      <c r="Q50" s="18"/>
      <c r="R50" s="18"/>
      <c r="S50" s="18"/>
      <c r="T50" s="18"/>
      <c r="U50" s="18"/>
      <c r="V50" s="18"/>
      <c r="W50" s="18"/>
      <c r="X50" s="18"/>
      <c r="Y50" s="18"/>
      <c r="Z50" s="18"/>
    </row>
    <row r="51" spans="1:26" s="20" customFormat="1" x14ac:dyDescent="0.2">
      <c r="A51" s="12"/>
      <c r="B51" s="18"/>
      <c r="C51" s="18"/>
      <c r="D51" s="18"/>
      <c r="E51" s="18"/>
      <c r="F51" s="18"/>
      <c r="G51" s="18"/>
      <c r="H51" s="18"/>
      <c r="I51" s="18"/>
      <c r="J51" s="18"/>
      <c r="K51" s="18"/>
      <c r="L51" s="18"/>
      <c r="M51" s="18"/>
      <c r="N51" s="18"/>
      <c r="O51" s="18"/>
      <c r="P51" s="18"/>
      <c r="Q51" s="18"/>
      <c r="R51" s="18"/>
      <c r="S51" s="18"/>
      <c r="T51" s="18"/>
      <c r="U51" s="18"/>
      <c r="V51" s="18"/>
      <c r="W51" s="18"/>
      <c r="X51" s="18"/>
      <c r="Y51" s="18"/>
      <c r="Z51" s="18"/>
    </row>
    <row r="52" spans="1:26" s="20" customFormat="1" x14ac:dyDescent="0.2">
      <c r="A52" s="12"/>
      <c r="B52" s="18"/>
      <c r="C52" s="18"/>
      <c r="D52" s="18"/>
      <c r="E52" s="18"/>
      <c r="F52" s="18"/>
      <c r="G52" s="18"/>
      <c r="H52" s="18"/>
      <c r="I52" s="18"/>
      <c r="J52" s="18"/>
      <c r="K52" s="18"/>
      <c r="L52" s="18"/>
      <c r="M52" s="18"/>
      <c r="N52" s="18"/>
      <c r="O52" s="18"/>
      <c r="P52" s="18"/>
      <c r="Q52" s="18"/>
      <c r="R52" s="18"/>
      <c r="S52" s="18"/>
      <c r="T52" s="18"/>
      <c r="U52" s="18"/>
      <c r="V52" s="18"/>
      <c r="W52" s="18"/>
      <c r="X52" s="18"/>
      <c r="Y52" s="18"/>
      <c r="Z52" s="18"/>
    </row>
    <row r="53" spans="1:26" s="20" customFormat="1" x14ac:dyDescent="0.2">
      <c r="A53" s="12"/>
      <c r="B53" s="18"/>
      <c r="C53" s="18"/>
      <c r="D53" s="18"/>
      <c r="E53" s="18"/>
      <c r="F53" s="18"/>
      <c r="G53" s="18"/>
      <c r="H53" s="18"/>
      <c r="I53" s="18"/>
      <c r="J53" s="18"/>
      <c r="K53" s="18"/>
      <c r="L53" s="18"/>
      <c r="M53" s="18"/>
      <c r="N53" s="18"/>
      <c r="O53" s="18"/>
      <c r="P53" s="18"/>
      <c r="Q53" s="18"/>
      <c r="R53" s="18"/>
      <c r="S53" s="18"/>
      <c r="T53" s="18"/>
      <c r="U53" s="18"/>
      <c r="V53" s="18"/>
      <c r="W53" s="18"/>
      <c r="X53" s="18"/>
      <c r="Y53" s="18"/>
      <c r="Z53" s="18"/>
    </row>
    <row r="54" spans="1:26" s="20" customFormat="1" x14ac:dyDescent="0.2">
      <c r="A54" s="12"/>
      <c r="B54" s="18"/>
      <c r="C54" s="18"/>
      <c r="D54" s="18"/>
      <c r="E54" s="18"/>
      <c r="F54" s="18"/>
      <c r="G54" s="18"/>
      <c r="H54" s="18"/>
      <c r="I54" s="18"/>
      <c r="J54" s="18"/>
      <c r="K54" s="18"/>
      <c r="L54" s="18"/>
      <c r="M54" s="18"/>
      <c r="N54" s="18"/>
      <c r="O54" s="18"/>
      <c r="P54" s="18"/>
      <c r="Q54" s="18"/>
      <c r="R54" s="18"/>
      <c r="S54" s="18"/>
      <c r="T54" s="18"/>
      <c r="U54" s="18"/>
      <c r="V54" s="18"/>
      <c r="W54" s="18"/>
      <c r="X54" s="18"/>
      <c r="Y54" s="18"/>
      <c r="Z54" s="18"/>
    </row>
    <row r="55" spans="1:26" s="20" customFormat="1" x14ac:dyDescent="0.2">
      <c r="A55" s="12"/>
      <c r="B55" s="18"/>
      <c r="C55" s="18"/>
      <c r="D55" s="18"/>
      <c r="E55" s="18"/>
      <c r="F55" s="18"/>
      <c r="G55" s="18"/>
      <c r="H55" s="18"/>
      <c r="I55" s="18"/>
      <c r="J55" s="18"/>
      <c r="K55" s="18"/>
      <c r="L55" s="18"/>
      <c r="M55" s="18"/>
      <c r="N55" s="18"/>
      <c r="O55" s="18"/>
      <c r="P55" s="18"/>
      <c r="Q55" s="18"/>
      <c r="R55" s="18"/>
      <c r="S55" s="18"/>
      <c r="T55" s="18"/>
      <c r="U55" s="18"/>
      <c r="V55" s="18"/>
      <c r="W55" s="18"/>
      <c r="X55" s="18"/>
      <c r="Y55" s="18"/>
      <c r="Z55" s="18"/>
    </row>
    <row r="56" spans="1:26" s="20" customFormat="1" x14ac:dyDescent="0.2">
      <c r="A56" s="12"/>
      <c r="B56" s="18"/>
      <c r="C56" s="18"/>
      <c r="D56" s="18"/>
      <c r="E56" s="18"/>
      <c r="F56" s="18"/>
      <c r="G56" s="18"/>
      <c r="H56" s="18"/>
      <c r="I56" s="18"/>
      <c r="J56" s="18"/>
      <c r="K56" s="18"/>
      <c r="L56" s="18"/>
      <c r="M56" s="18"/>
      <c r="N56" s="18"/>
      <c r="O56" s="18"/>
      <c r="P56" s="18"/>
      <c r="Q56" s="18"/>
      <c r="R56" s="18"/>
      <c r="S56" s="18"/>
      <c r="T56" s="18"/>
      <c r="U56" s="18"/>
      <c r="V56" s="18"/>
      <c r="W56" s="18"/>
      <c r="X56" s="18"/>
      <c r="Y56" s="18"/>
      <c r="Z56" s="18"/>
    </row>
    <row r="57" spans="1:26" s="20" customFormat="1" x14ac:dyDescent="0.2">
      <c r="A57" s="12"/>
      <c r="B57" s="18"/>
      <c r="C57" s="18"/>
      <c r="D57" s="18"/>
      <c r="E57" s="18"/>
      <c r="F57" s="18"/>
      <c r="G57" s="18"/>
      <c r="H57" s="18"/>
      <c r="I57" s="18"/>
      <c r="J57" s="18"/>
      <c r="K57" s="18"/>
      <c r="L57" s="18"/>
      <c r="M57" s="18"/>
      <c r="N57" s="18"/>
      <c r="O57" s="18"/>
      <c r="P57" s="18"/>
      <c r="Q57" s="18"/>
      <c r="R57" s="18"/>
      <c r="S57" s="18"/>
      <c r="T57" s="18"/>
      <c r="U57" s="18"/>
      <c r="V57" s="18"/>
      <c r="W57" s="18"/>
      <c r="X57" s="18"/>
      <c r="Y57" s="18"/>
      <c r="Z57" s="18"/>
    </row>
    <row r="58" spans="1:26" s="20" customFormat="1" x14ac:dyDescent="0.2">
      <c r="A58" s="12"/>
      <c r="B58" s="18"/>
      <c r="C58" s="18"/>
      <c r="D58" s="18"/>
      <c r="E58" s="18"/>
      <c r="F58" s="18"/>
      <c r="G58" s="18"/>
      <c r="H58" s="18"/>
      <c r="I58" s="18"/>
      <c r="J58" s="18"/>
      <c r="K58" s="18"/>
      <c r="L58" s="18"/>
      <c r="M58" s="18"/>
      <c r="N58" s="18"/>
      <c r="O58" s="18"/>
      <c r="P58" s="18"/>
      <c r="Q58" s="18"/>
      <c r="R58" s="18"/>
      <c r="S58" s="18"/>
      <c r="T58" s="18"/>
      <c r="U58" s="18"/>
      <c r="V58" s="18"/>
      <c r="W58" s="18"/>
      <c r="X58" s="18"/>
      <c r="Y58" s="18"/>
      <c r="Z58" s="18"/>
    </row>
    <row r="59" spans="1:26" s="20" customFormat="1" x14ac:dyDescent="0.2">
      <c r="A59" s="12"/>
      <c r="B59" s="18"/>
      <c r="C59" s="18"/>
      <c r="D59" s="18"/>
      <c r="E59" s="18"/>
      <c r="F59" s="18"/>
      <c r="G59" s="18"/>
      <c r="H59" s="18"/>
      <c r="I59" s="18"/>
      <c r="J59" s="18"/>
      <c r="K59" s="18"/>
      <c r="L59" s="18"/>
      <c r="M59" s="18"/>
      <c r="N59" s="18"/>
      <c r="O59" s="18"/>
      <c r="P59" s="18"/>
      <c r="Q59" s="18"/>
      <c r="R59" s="18"/>
      <c r="S59" s="18"/>
      <c r="T59" s="18"/>
      <c r="U59" s="18"/>
      <c r="V59" s="18"/>
      <c r="W59" s="18"/>
      <c r="X59" s="18"/>
      <c r="Y59" s="18"/>
      <c r="Z59" s="18"/>
    </row>
    <row r="60" spans="1:26" s="20" customFormat="1" x14ac:dyDescent="0.2">
      <c r="A60" s="12"/>
      <c r="B60" s="18"/>
      <c r="C60" s="18"/>
      <c r="D60" s="18"/>
      <c r="E60" s="18"/>
      <c r="F60" s="18"/>
      <c r="G60" s="18"/>
      <c r="H60" s="18"/>
      <c r="I60" s="18"/>
      <c r="J60" s="18"/>
      <c r="K60" s="18"/>
      <c r="L60" s="18"/>
      <c r="M60" s="18"/>
      <c r="N60" s="18"/>
      <c r="O60" s="18"/>
      <c r="P60" s="18"/>
      <c r="Q60" s="18"/>
      <c r="R60" s="18"/>
      <c r="S60" s="18"/>
      <c r="T60" s="18"/>
      <c r="U60" s="18"/>
      <c r="V60" s="18"/>
      <c r="W60" s="18"/>
      <c r="X60" s="18"/>
      <c r="Y60" s="18"/>
      <c r="Z60" s="18"/>
    </row>
    <row r="61" spans="1:26" s="20" customFormat="1" x14ac:dyDescent="0.2">
      <c r="A61" s="12"/>
      <c r="B61" s="18"/>
      <c r="C61" s="18"/>
      <c r="D61" s="18"/>
      <c r="E61" s="18"/>
      <c r="F61" s="18"/>
      <c r="G61" s="18"/>
      <c r="H61" s="18"/>
      <c r="I61" s="18"/>
      <c r="J61" s="18"/>
      <c r="K61" s="18"/>
      <c r="L61" s="18"/>
      <c r="M61" s="18"/>
      <c r="N61" s="18"/>
      <c r="O61" s="18"/>
      <c r="P61" s="18"/>
      <c r="Q61" s="18"/>
      <c r="R61" s="18"/>
      <c r="S61" s="18"/>
      <c r="T61" s="18"/>
      <c r="U61" s="18"/>
      <c r="V61" s="18"/>
      <c r="W61" s="18"/>
      <c r="X61" s="18"/>
      <c r="Y61" s="18"/>
      <c r="Z61" s="18"/>
    </row>
    <row r="62" spans="1:26" s="20" customFormat="1" x14ac:dyDescent="0.2">
      <c r="A62" s="12"/>
      <c r="B62" s="18"/>
      <c r="C62" s="18"/>
      <c r="D62" s="18"/>
      <c r="E62" s="18"/>
      <c r="F62" s="18"/>
      <c r="G62" s="18"/>
      <c r="H62" s="18"/>
      <c r="I62" s="18"/>
      <c r="J62" s="18"/>
      <c r="K62" s="18"/>
      <c r="L62" s="18"/>
      <c r="M62" s="18"/>
      <c r="N62" s="18"/>
      <c r="O62" s="18"/>
      <c r="P62" s="18"/>
      <c r="Q62" s="18"/>
      <c r="R62" s="18"/>
      <c r="S62" s="18"/>
      <c r="T62" s="18"/>
      <c r="U62" s="18"/>
      <c r="V62" s="18"/>
      <c r="W62" s="18"/>
      <c r="X62" s="18"/>
      <c r="Y62" s="18"/>
      <c r="Z62" s="18"/>
    </row>
    <row r="63" spans="1:26" s="20" customFormat="1" x14ac:dyDescent="0.2">
      <c r="A63" s="12"/>
      <c r="B63" s="18"/>
      <c r="C63" s="18"/>
      <c r="D63" s="18"/>
      <c r="E63" s="18"/>
      <c r="F63" s="18"/>
      <c r="G63" s="18"/>
      <c r="H63" s="18"/>
      <c r="I63" s="18"/>
      <c r="J63" s="18"/>
      <c r="K63" s="18"/>
      <c r="L63" s="18"/>
      <c r="M63" s="18"/>
      <c r="N63" s="18"/>
      <c r="O63" s="18"/>
      <c r="P63" s="18"/>
      <c r="Q63" s="18"/>
      <c r="R63" s="18"/>
      <c r="S63" s="18"/>
      <c r="T63" s="18"/>
      <c r="U63" s="18"/>
      <c r="V63" s="18"/>
      <c r="W63" s="18"/>
      <c r="X63" s="18"/>
      <c r="Y63" s="18"/>
      <c r="Z63" s="18"/>
    </row>
    <row r="64" spans="1:26" s="20" customFormat="1" x14ac:dyDescent="0.2">
      <c r="A64" s="12"/>
      <c r="B64" s="18"/>
      <c r="C64" s="18"/>
      <c r="D64" s="18"/>
      <c r="E64" s="18"/>
      <c r="F64" s="18"/>
      <c r="G64" s="18"/>
      <c r="H64" s="18"/>
      <c r="I64" s="18"/>
      <c r="J64" s="18"/>
      <c r="K64" s="18"/>
      <c r="L64" s="18"/>
      <c r="M64" s="18"/>
      <c r="N64" s="18"/>
      <c r="O64" s="18"/>
      <c r="P64" s="18"/>
      <c r="Q64" s="18"/>
      <c r="R64" s="18"/>
      <c r="S64" s="18"/>
      <c r="T64" s="18"/>
      <c r="U64" s="18"/>
      <c r="V64" s="18"/>
      <c r="W64" s="18"/>
      <c r="X64" s="18"/>
      <c r="Y64" s="18"/>
      <c r="Z64" s="18"/>
    </row>
    <row r="65" spans="1:26" s="20" customFormat="1" x14ac:dyDescent="0.2">
      <c r="A65" s="12"/>
      <c r="B65" s="18"/>
      <c r="C65" s="18"/>
      <c r="D65" s="18"/>
      <c r="E65" s="18"/>
      <c r="F65" s="18"/>
      <c r="G65" s="18"/>
      <c r="H65" s="18"/>
      <c r="I65" s="18"/>
      <c r="J65" s="18"/>
      <c r="K65" s="18"/>
      <c r="L65" s="18"/>
      <c r="M65" s="18"/>
      <c r="N65" s="18"/>
      <c r="O65" s="18"/>
      <c r="P65" s="18"/>
      <c r="Q65" s="18"/>
      <c r="R65" s="18"/>
      <c r="S65" s="18"/>
      <c r="T65" s="18"/>
      <c r="U65" s="18"/>
      <c r="V65" s="18"/>
      <c r="W65" s="18"/>
      <c r="X65" s="18"/>
      <c r="Y65" s="18"/>
      <c r="Z65" s="18"/>
    </row>
    <row r="66" spans="1:26" s="20" customFormat="1" x14ac:dyDescent="0.2">
      <c r="A66" s="12"/>
      <c r="B66" s="18"/>
      <c r="C66" s="18"/>
      <c r="D66" s="18"/>
      <c r="E66" s="18"/>
      <c r="F66" s="18"/>
      <c r="G66" s="18"/>
      <c r="H66" s="18"/>
      <c r="I66" s="18"/>
      <c r="J66" s="18"/>
      <c r="K66" s="18"/>
      <c r="L66" s="18"/>
      <c r="M66" s="18"/>
      <c r="N66" s="18"/>
      <c r="O66" s="18"/>
      <c r="P66" s="18"/>
      <c r="Q66" s="18"/>
      <c r="R66" s="18"/>
      <c r="S66" s="18"/>
      <c r="T66" s="18"/>
      <c r="U66" s="18"/>
      <c r="V66" s="18"/>
      <c r="W66" s="18"/>
      <c r="X66" s="18"/>
      <c r="Y66" s="18"/>
      <c r="Z66" s="18"/>
    </row>
    <row r="67" spans="1:26" s="20" customFormat="1" x14ac:dyDescent="0.2">
      <c r="A67" s="12"/>
      <c r="B67" s="18"/>
      <c r="C67" s="18"/>
      <c r="D67" s="18"/>
      <c r="E67" s="18"/>
      <c r="F67" s="18"/>
      <c r="G67" s="18"/>
      <c r="H67" s="18"/>
      <c r="I67" s="18"/>
      <c r="J67" s="18"/>
      <c r="K67" s="18"/>
      <c r="L67" s="18"/>
      <c r="M67" s="18"/>
      <c r="N67" s="18"/>
      <c r="O67" s="18"/>
      <c r="P67" s="18"/>
      <c r="Q67" s="18"/>
      <c r="R67" s="18"/>
      <c r="S67" s="18"/>
      <c r="T67" s="18"/>
      <c r="U67" s="18"/>
      <c r="V67" s="18"/>
      <c r="W67" s="18"/>
      <c r="X67" s="18"/>
      <c r="Y67" s="18"/>
      <c r="Z67" s="18"/>
    </row>
    <row r="68" spans="1:26" s="20" customFormat="1" x14ac:dyDescent="0.2">
      <c r="A68" s="12"/>
      <c r="B68" s="18"/>
      <c r="C68" s="18"/>
      <c r="D68" s="18"/>
      <c r="E68" s="18"/>
      <c r="F68" s="18"/>
      <c r="G68" s="18"/>
      <c r="H68" s="18"/>
      <c r="I68" s="18"/>
      <c r="J68" s="18"/>
      <c r="K68" s="18"/>
      <c r="L68" s="18"/>
      <c r="M68" s="18"/>
      <c r="N68" s="18"/>
      <c r="O68" s="18"/>
      <c r="P68" s="18"/>
      <c r="Q68" s="18"/>
      <c r="R68" s="18"/>
      <c r="S68" s="18"/>
      <c r="T68" s="18"/>
      <c r="U68" s="18"/>
      <c r="V68" s="18"/>
      <c r="W68" s="18"/>
      <c r="X68" s="18"/>
      <c r="Y68" s="18"/>
      <c r="Z68" s="18"/>
    </row>
    <row r="69" spans="1:26" s="20" customFormat="1" x14ac:dyDescent="0.2">
      <c r="A69" s="12"/>
      <c r="B69" s="18"/>
      <c r="C69" s="18"/>
      <c r="D69" s="18"/>
      <c r="E69" s="18"/>
      <c r="F69" s="18"/>
      <c r="G69" s="18"/>
      <c r="H69" s="18"/>
      <c r="I69" s="18"/>
      <c r="J69" s="18"/>
      <c r="K69" s="18"/>
      <c r="L69" s="18"/>
      <c r="M69" s="18"/>
      <c r="N69" s="18"/>
      <c r="O69" s="18"/>
      <c r="P69" s="18"/>
      <c r="Q69" s="18"/>
      <c r="R69" s="18"/>
      <c r="S69" s="18"/>
      <c r="T69" s="18"/>
      <c r="U69" s="18"/>
      <c r="V69" s="18"/>
      <c r="W69" s="18"/>
      <c r="X69" s="18"/>
      <c r="Y69" s="18"/>
      <c r="Z69" s="18"/>
    </row>
    <row r="70" spans="1:26" s="20" customFormat="1" x14ac:dyDescent="0.2">
      <c r="A70" s="12"/>
      <c r="B70" s="18"/>
      <c r="C70" s="18"/>
      <c r="D70" s="18"/>
      <c r="E70" s="18"/>
      <c r="F70" s="18"/>
      <c r="G70" s="18"/>
      <c r="H70" s="18"/>
      <c r="I70" s="18"/>
      <c r="J70" s="18"/>
      <c r="K70" s="18"/>
      <c r="L70" s="18"/>
      <c r="M70" s="18"/>
      <c r="N70" s="18"/>
      <c r="O70" s="18"/>
      <c r="P70" s="18"/>
      <c r="Q70" s="18"/>
      <c r="R70" s="18"/>
      <c r="S70" s="18"/>
      <c r="T70" s="18"/>
      <c r="U70" s="18"/>
      <c r="V70" s="18"/>
      <c r="W70" s="18"/>
      <c r="X70" s="18"/>
      <c r="Y70" s="18"/>
      <c r="Z70" s="18"/>
    </row>
    <row r="71" spans="1:26" s="20" customFormat="1" x14ac:dyDescent="0.2">
      <c r="A71" s="12"/>
      <c r="B71" s="18"/>
      <c r="C71" s="18"/>
      <c r="D71" s="18"/>
      <c r="E71" s="18"/>
      <c r="F71" s="18"/>
      <c r="G71" s="18"/>
      <c r="H71" s="18"/>
      <c r="I71" s="18"/>
      <c r="J71" s="18"/>
      <c r="K71" s="18"/>
      <c r="L71" s="18"/>
      <c r="M71" s="18"/>
      <c r="N71" s="18"/>
      <c r="O71" s="18"/>
      <c r="P71" s="18"/>
      <c r="Q71" s="18"/>
      <c r="R71" s="18"/>
      <c r="S71" s="18"/>
      <c r="T71" s="18"/>
      <c r="U71" s="18"/>
      <c r="V71" s="18"/>
      <c r="W71" s="18"/>
      <c r="X71" s="18"/>
      <c r="Y71" s="18"/>
      <c r="Z71" s="18"/>
    </row>
    <row r="72" spans="1:26" s="20" customFormat="1" x14ac:dyDescent="0.2">
      <c r="A72" s="12"/>
      <c r="B72" s="18"/>
      <c r="C72" s="18"/>
      <c r="D72" s="18"/>
      <c r="E72" s="18"/>
      <c r="F72" s="18"/>
      <c r="G72" s="18"/>
      <c r="H72" s="18"/>
      <c r="I72" s="18"/>
      <c r="J72" s="18"/>
      <c r="K72" s="18"/>
      <c r="L72" s="18"/>
      <c r="M72" s="18"/>
      <c r="N72" s="18"/>
      <c r="O72" s="18"/>
      <c r="P72" s="18"/>
      <c r="Q72" s="18"/>
      <c r="R72" s="18"/>
      <c r="S72" s="18"/>
      <c r="T72" s="18"/>
      <c r="U72" s="18"/>
      <c r="V72" s="18"/>
      <c r="W72" s="18"/>
      <c r="X72" s="18"/>
      <c r="Y72" s="18"/>
      <c r="Z72" s="18"/>
    </row>
    <row r="73" spans="1:26" s="20" customFormat="1" x14ac:dyDescent="0.2">
      <c r="A73" s="12"/>
      <c r="B73" s="18"/>
      <c r="C73" s="18"/>
      <c r="D73" s="18"/>
      <c r="E73" s="18"/>
      <c r="F73" s="18"/>
      <c r="G73" s="18"/>
      <c r="H73" s="18"/>
      <c r="I73" s="18"/>
      <c r="J73" s="18"/>
      <c r="K73" s="18"/>
      <c r="L73" s="18"/>
      <c r="M73" s="18"/>
      <c r="N73" s="18"/>
      <c r="O73" s="18"/>
      <c r="P73" s="18"/>
      <c r="Q73" s="18"/>
      <c r="R73" s="18"/>
      <c r="S73" s="18"/>
      <c r="T73" s="18"/>
      <c r="U73" s="18"/>
      <c r="V73" s="18"/>
      <c r="W73" s="18"/>
      <c r="X73" s="18"/>
      <c r="Y73" s="18"/>
      <c r="Z73" s="18"/>
    </row>
    <row r="74" spans="1:26" s="20" customFormat="1" x14ac:dyDescent="0.2">
      <c r="A74" s="12"/>
      <c r="B74" s="18"/>
      <c r="C74" s="18"/>
      <c r="D74" s="18"/>
      <c r="E74" s="18"/>
      <c r="F74" s="18"/>
      <c r="G74" s="18"/>
      <c r="H74" s="18"/>
      <c r="I74" s="18"/>
      <c r="J74" s="18"/>
      <c r="K74" s="18"/>
      <c r="L74" s="18"/>
      <c r="M74" s="18"/>
      <c r="N74" s="18"/>
      <c r="O74" s="18"/>
      <c r="P74" s="18"/>
      <c r="Q74" s="18"/>
      <c r="R74" s="18"/>
      <c r="S74" s="18"/>
      <c r="T74" s="18"/>
      <c r="U74" s="18"/>
      <c r="V74" s="18"/>
      <c r="W74" s="18"/>
      <c r="X74" s="18"/>
      <c r="Y74" s="18"/>
      <c r="Z74" s="18"/>
    </row>
    <row r="75" spans="1:26" s="20" customFormat="1" x14ac:dyDescent="0.2">
      <c r="A75" s="12"/>
      <c r="B75" s="18"/>
      <c r="C75" s="18"/>
      <c r="D75" s="18"/>
      <c r="E75" s="18"/>
      <c r="F75" s="18"/>
      <c r="G75" s="18"/>
      <c r="H75" s="18"/>
      <c r="I75" s="18"/>
      <c r="J75" s="18"/>
      <c r="K75" s="18"/>
      <c r="L75" s="18"/>
      <c r="M75" s="18"/>
      <c r="N75" s="18"/>
      <c r="O75" s="18"/>
      <c r="P75" s="18"/>
      <c r="Q75" s="18"/>
      <c r="R75" s="18"/>
      <c r="S75" s="18"/>
      <c r="T75" s="18"/>
      <c r="U75" s="18"/>
      <c r="V75" s="18"/>
      <c r="W75" s="18"/>
      <c r="X75" s="18"/>
      <c r="Y75" s="18"/>
      <c r="Z75" s="18"/>
    </row>
    <row r="76" spans="1:26" s="20" customFormat="1" x14ac:dyDescent="0.2">
      <c r="A76" s="12"/>
      <c r="B76" s="18"/>
      <c r="C76" s="18"/>
      <c r="D76" s="18"/>
      <c r="E76" s="18"/>
      <c r="F76" s="18"/>
      <c r="G76" s="18"/>
      <c r="H76" s="18"/>
      <c r="I76" s="18"/>
      <c r="J76" s="18"/>
      <c r="K76" s="18"/>
      <c r="L76" s="18"/>
      <c r="M76" s="18"/>
      <c r="N76" s="18"/>
      <c r="O76" s="18"/>
      <c r="P76" s="18"/>
      <c r="Q76" s="18"/>
      <c r="R76" s="18"/>
      <c r="S76" s="18"/>
      <c r="T76" s="18"/>
      <c r="U76" s="18"/>
      <c r="V76" s="18"/>
      <c r="W76" s="18"/>
      <c r="X76" s="18"/>
      <c r="Y76" s="18"/>
      <c r="Z76" s="18"/>
    </row>
    <row r="77" spans="1:26" s="20" customFormat="1" x14ac:dyDescent="0.2">
      <c r="A77" s="12"/>
      <c r="B77" s="18"/>
      <c r="C77" s="18"/>
      <c r="D77" s="18"/>
      <c r="E77" s="18"/>
      <c r="F77" s="18"/>
      <c r="G77" s="18"/>
      <c r="H77" s="18"/>
      <c r="I77" s="18"/>
      <c r="J77" s="18"/>
      <c r="K77" s="18"/>
      <c r="L77" s="18"/>
      <c r="M77" s="18"/>
      <c r="N77" s="18"/>
      <c r="O77" s="18"/>
      <c r="P77" s="18"/>
      <c r="Q77" s="18"/>
      <c r="R77" s="18"/>
      <c r="S77" s="18"/>
      <c r="T77" s="18"/>
      <c r="U77" s="18"/>
      <c r="V77" s="18"/>
      <c r="W77" s="18"/>
      <c r="X77" s="18"/>
      <c r="Y77" s="18"/>
      <c r="Z77" s="18"/>
    </row>
    <row r="78" spans="1:26" s="20" customFormat="1" x14ac:dyDescent="0.2">
      <c r="A78" s="12"/>
      <c r="B78" s="18"/>
      <c r="C78" s="18"/>
      <c r="D78" s="18"/>
      <c r="E78" s="18"/>
      <c r="F78" s="18"/>
      <c r="G78" s="18"/>
      <c r="H78" s="18"/>
      <c r="I78" s="18"/>
      <c r="J78" s="18"/>
      <c r="K78" s="18"/>
      <c r="L78" s="18"/>
      <c r="M78" s="18"/>
      <c r="N78" s="18"/>
      <c r="O78" s="18"/>
      <c r="P78" s="18"/>
      <c r="Q78" s="18"/>
      <c r="R78" s="18"/>
      <c r="S78" s="18"/>
      <c r="T78" s="18"/>
      <c r="U78" s="18"/>
      <c r="V78" s="18"/>
      <c r="W78" s="18"/>
      <c r="X78" s="18"/>
      <c r="Y78" s="18"/>
      <c r="Z78" s="18"/>
    </row>
    <row r="79" spans="1:26" s="20" customFormat="1" x14ac:dyDescent="0.2">
      <c r="A79" s="12"/>
      <c r="B79" s="18"/>
      <c r="C79" s="18"/>
      <c r="D79" s="18"/>
      <c r="E79" s="18"/>
      <c r="F79" s="18"/>
      <c r="G79" s="18"/>
      <c r="H79" s="18"/>
      <c r="I79" s="18"/>
      <c r="J79" s="18"/>
      <c r="K79" s="18"/>
      <c r="L79" s="18"/>
      <c r="M79" s="18"/>
      <c r="N79" s="18"/>
      <c r="O79" s="18"/>
      <c r="P79" s="18"/>
      <c r="Q79" s="18"/>
      <c r="R79" s="18"/>
      <c r="S79" s="18"/>
      <c r="T79" s="18"/>
      <c r="U79" s="18"/>
      <c r="V79" s="18"/>
      <c r="W79" s="18"/>
      <c r="X79" s="18"/>
      <c r="Y79" s="18"/>
      <c r="Z79" s="18"/>
    </row>
    <row r="80" spans="1:26" s="20" customFormat="1" x14ac:dyDescent="0.2">
      <c r="A80" s="12"/>
      <c r="B80" s="18"/>
      <c r="C80" s="18"/>
      <c r="D80" s="18"/>
      <c r="E80" s="18"/>
      <c r="F80" s="18"/>
      <c r="G80" s="18"/>
      <c r="H80" s="18"/>
      <c r="I80" s="18"/>
      <c r="J80" s="18"/>
      <c r="K80" s="18"/>
      <c r="L80" s="18"/>
      <c r="M80" s="18"/>
      <c r="N80" s="18"/>
      <c r="O80" s="18"/>
      <c r="P80" s="18"/>
      <c r="Q80" s="18"/>
      <c r="R80" s="18"/>
      <c r="S80" s="18"/>
      <c r="T80" s="18"/>
      <c r="U80" s="18"/>
      <c r="V80" s="18"/>
      <c r="W80" s="18"/>
      <c r="X80" s="18"/>
      <c r="Y80" s="18"/>
      <c r="Z80" s="18"/>
    </row>
    <row r="81" spans="1:26" s="20" customFormat="1" x14ac:dyDescent="0.2">
      <c r="A81" s="12"/>
      <c r="B81" s="18"/>
      <c r="C81" s="18"/>
      <c r="D81" s="18"/>
      <c r="E81" s="18"/>
      <c r="F81" s="18"/>
      <c r="G81" s="18"/>
      <c r="H81" s="18"/>
      <c r="I81" s="18"/>
      <c r="J81" s="18"/>
      <c r="K81" s="18"/>
      <c r="L81" s="18"/>
      <c r="M81" s="18"/>
      <c r="N81" s="18"/>
      <c r="O81" s="18"/>
      <c r="P81" s="18"/>
      <c r="Q81" s="18"/>
      <c r="R81" s="18"/>
      <c r="S81" s="18"/>
      <c r="T81" s="18"/>
      <c r="U81" s="18"/>
      <c r="V81" s="18"/>
      <c r="W81" s="18"/>
      <c r="X81" s="18"/>
      <c r="Y81" s="18"/>
      <c r="Z81" s="18"/>
    </row>
    <row r="82" spans="1:26" s="20" customFormat="1" x14ac:dyDescent="0.2">
      <c r="A82" s="12"/>
      <c r="B82" s="18"/>
      <c r="C82" s="18"/>
      <c r="D82" s="18"/>
      <c r="E82" s="18"/>
      <c r="F82" s="18"/>
      <c r="G82" s="18"/>
      <c r="H82" s="18"/>
      <c r="I82" s="18"/>
      <c r="J82" s="18"/>
      <c r="K82" s="18"/>
      <c r="L82" s="18"/>
      <c r="M82" s="18"/>
      <c r="N82" s="18"/>
      <c r="O82" s="18"/>
      <c r="P82" s="18"/>
      <c r="Q82" s="18"/>
      <c r="R82" s="18"/>
      <c r="S82" s="18"/>
      <c r="T82" s="18"/>
      <c r="U82" s="18"/>
      <c r="V82" s="18"/>
      <c r="W82" s="18"/>
      <c r="X82" s="18"/>
      <c r="Y82" s="18"/>
      <c r="Z82" s="18"/>
    </row>
    <row r="83" spans="1:26" s="20" customFormat="1" x14ac:dyDescent="0.2">
      <c r="A83" s="12"/>
      <c r="B83" s="18"/>
      <c r="C83" s="18"/>
      <c r="D83" s="18"/>
      <c r="E83" s="18"/>
      <c r="F83" s="18"/>
      <c r="G83" s="18"/>
      <c r="H83" s="18"/>
      <c r="I83" s="18"/>
      <c r="J83" s="18"/>
      <c r="K83" s="18"/>
      <c r="L83" s="18"/>
      <c r="M83" s="18"/>
      <c r="N83" s="18"/>
      <c r="O83" s="18"/>
      <c r="P83" s="18"/>
      <c r="Q83" s="18"/>
      <c r="R83" s="18"/>
      <c r="S83" s="18"/>
      <c r="T83" s="18"/>
      <c r="U83" s="18"/>
      <c r="V83" s="18"/>
      <c r="W83" s="18"/>
      <c r="X83" s="18"/>
      <c r="Y83" s="18"/>
      <c r="Z83" s="18"/>
    </row>
    <row r="84" spans="1:26" s="20" customFormat="1" x14ac:dyDescent="0.2">
      <c r="A84" s="12"/>
      <c r="B84" s="18"/>
      <c r="C84" s="18"/>
      <c r="D84" s="18"/>
      <c r="E84" s="18"/>
      <c r="F84" s="18"/>
      <c r="G84" s="18"/>
      <c r="H84" s="18"/>
      <c r="I84" s="18"/>
      <c r="J84" s="18"/>
      <c r="K84" s="18"/>
      <c r="L84" s="18"/>
      <c r="M84" s="18"/>
      <c r="N84" s="18"/>
      <c r="O84" s="18"/>
      <c r="P84" s="18"/>
      <c r="Q84" s="18"/>
      <c r="R84" s="18"/>
      <c r="S84" s="18"/>
      <c r="T84" s="18"/>
      <c r="U84" s="18"/>
      <c r="V84" s="18"/>
      <c r="W84" s="18"/>
      <c r="X84" s="18"/>
      <c r="Y84" s="18"/>
      <c r="Z84" s="18"/>
    </row>
    <row r="85" spans="1:26" s="20" customFormat="1" x14ac:dyDescent="0.2">
      <c r="A85" s="12"/>
      <c r="B85" s="18"/>
      <c r="C85" s="18"/>
      <c r="D85" s="18"/>
      <c r="E85" s="18"/>
      <c r="F85" s="18"/>
      <c r="G85" s="18"/>
      <c r="H85" s="18"/>
      <c r="I85" s="18"/>
      <c r="J85" s="18"/>
      <c r="K85" s="18"/>
      <c r="L85" s="18"/>
      <c r="M85" s="18"/>
      <c r="N85" s="18"/>
      <c r="O85" s="18"/>
      <c r="P85" s="18"/>
      <c r="Q85" s="18"/>
      <c r="R85" s="18"/>
      <c r="S85" s="18"/>
      <c r="T85" s="18"/>
      <c r="U85" s="18"/>
      <c r="V85" s="18"/>
      <c r="W85" s="18"/>
      <c r="X85" s="18"/>
      <c r="Y85" s="18"/>
      <c r="Z85" s="18"/>
    </row>
    <row r="86" spans="1:26" s="20" customFormat="1" x14ac:dyDescent="0.2">
      <c r="A86" s="12"/>
      <c r="B86" s="18"/>
      <c r="C86" s="18"/>
      <c r="D86" s="18"/>
      <c r="E86" s="18"/>
      <c r="F86" s="18"/>
      <c r="G86" s="18"/>
      <c r="H86" s="18"/>
      <c r="I86" s="18"/>
      <c r="J86" s="18"/>
      <c r="K86" s="18"/>
      <c r="L86" s="18"/>
      <c r="M86" s="18"/>
      <c r="N86" s="18"/>
      <c r="O86" s="18"/>
      <c r="P86" s="18"/>
      <c r="Q86" s="18"/>
      <c r="R86" s="18"/>
      <c r="S86" s="18"/>
      <c r="T86" s="18"/>
      <c r="U86" s="18"/>
      <c r="V86" s="18"/>
      <c r="W86" s="18"/>
      <c r="X86" s="18"/>
      <c r="Y86" s="18"/>
      <c r="Z86" s="18"/>
    </row>
    <row r="87" spans="1:26" s="20" customFormat="1" x14ac:dyDescent="0.2">
      <c r="A87" s="12"/>
      <c r="B87" s="18"/>
      <c r="C87" s="18"/>
      <c r="D87" s="18"/>
      <c r="E87" s="18"/>
      <c r="F87" s="18"/>
      <c r="G87" s="18"/>
      <c r="H87" s="18"/>
      <c r="I87" s="18"/>
      <c r="J87" s="18"/>
      <c r="K87" s="18"/>
      <c r="L87" s="18"/>
      <c r="M87" s="18"/>
      <c r="N87" s="18"/>
      <c r="O87" s="18"/>
      <c r="P87" s="18"/>
      <c r="Q87" s="18"/>
      <c r="R87" s="18"/>
      <c r="S87" s="18"/>
      <c r="T87" s="18"/>
      <c r="U87" s="18"/>
      <c r="V87" s="18"/>
      <c r="W87" s="18"/>
      <c r="X87" s="18"/>
      <c r="Y87" s="18"/>
      <c r="Z87" s="18"/>
    </row>
    <row r="88" spans="1:26" s="20" customFormat="1" x14ac:dyDescent="0.2">
      <c r="A88" s="12"/>
      <c r="B88" s="18"/>
      <c r="C88" s="18"/>
      <c r="D88" s="18"/>
      <c r="E88" s="18"/>
      <c r="F88" s="18"/>
      <c r="G88" s="18"/>
      <c r="H88" s="18"/>
      <c r="I88" s="18"/>
      <c r="J88" s="18"/>
      <c r="K88" s="18"/>
      <c r="L88" s="18"/>
      <c r="M88" s="18"/>
      <c r="N88" s="18"/>
      <c r="O88" s="18"/>
      <c r="P88" s="18"/>
      <c r="Q88" s="18"/>
      <c r="R88" s="18"/>
      <c r="S88" s="18"/>
      <c r="T88" s="18"/>
      <c r="U88" s="18"/>
      <c r="V88" s="18"/>
      <c r="W88" s="18"/>
      <c r="X88" s="18"/>
      <c r="Y88" s="18"/>
      <c r="Z88" s="18"/>
    </row>
    <row r="89" spans="1:26" s="20" customFormat="1" x14ac:dyDescent="0.2">
      <c r="A89" s="12"/>
      <c r="B89" s="18"/>
      <c r="C89" s="18"/>
      <c r="D89" s="18"/>
      <c r="E89" s="18"/>
      <c r="F89" s="18"/>
      <c r="G89" s="18"/>
      <c r="H89" s="18"/>
      <c r="I89" s="18"/>
      <c r="J89" s="18"/>
      <c r="K89" s="18"/>
      <c r="L89" s="18"/>
      <c r="M89" s="18"/>
      <c r="N89" s="18"/>
      <c r="O89" s="18"/>
      <c r="P89" s="18"/>
      <c r="Q89" s="18"/>
      <c r="R89" s="18"/>
      <c r="S89" s="18"/>
      <c r="T89" s="18"/>
      <c r="U89" s="18"/>
      <c r="V89" s="18"/>
      <c r="W89" s="18"/>
      <c r="X89" s="18"/>
      <c r="Y89" s="18"/>
      <c r="Z89" s="18"/>
    </row>
    <row r="90" spans="1:26" s="20" customFormat="1" x14ac:dyDescent="0.2">
      <c r="A90" s="12"/>
      <c r="B90" s="18"/>
      <c r="C90" s="18"/>
      <c r="D90" s="18"/>
      <c r="E90" s="18"/>
      <c r="F90" s="18"/>
      <c r="G90" s="18"/>
      <c r="H90" s="18"/>
      <c r="I90" s="18"/>
      <c r="J90" s="18"/>
      <c r="K90" s="18"/>
      <c r="L90" s="18"/>
      <c r="M90" s="18"/>
      <c r="N90" s="18"/>
      <c r="O90" s="18"/>
      <c r="P90" s="18"/>
      <c r="Q90" s="18"/>
      <c r="R90" s="18"/>
      <c r="S90" s="18"/>
      <c r="T90" s="18"/>
      <c r="U90" s="18"/>
      <c r="V90" s="18"/>
      <c r="W90" s="18"/>
      <c r="X90" s="18"/>
      <c r="Y90" s="18"/>
      <c r="Z90" s="18"/>
    </row>
    <row r="91" spans="1:26" s="20" customFormat="1" x14ac:dyDescent="0.2">
      <c r="A91" s="12"/>
      <c r="B91" s="18"/>
      <c r="C91" s="18"/>
      <c r="D91" s="18"/>
      <c r="E91" s="18"/>
      <c r="F91" s="18"/>
      <c r="G91" s="18"/>
      <c r="H91" s="18"/>
      <c r="I91" s="18"/>
      <c r="J91" s="18"/>
      <c r="K91" s="18"/>
      <c r="L91" s="18"/>
      <c r="M91" s="18"/>
      <c r="N91" s="18"/>
      <c r="O91" s="18"/>
      <c r="P91" s="18"/>
      <c r="Q91" s="18"/>
      <c r="R91" s="18"/>
      <c r="S91" s="18"/>
      <c r="T91" s="18"/>
      <c r="U91" s="18"/>
      <c r="V91" s="18"/>
      <c r="W91" s="18"/>
      <c r="X91" s="18"/>
      <c r="Y91" s="18"/>
      <c r="Z91" s="18"/>
    </row>
    <row r="92" spans="1:26" s="20" customFormat="1" x14ac:dyDescent="0.2">
      <c r="A92" s="12"/>
      <c r="B92" s="18"/>
      <c r="C92" s="18"/>
      <c r="D92" s="18"/>
      <c r="E92" s="18"/>
      <c r="F92" s="18"/>
      <c r="G92" s="18"/>
      <c r="H92" s="18"/>
      <c r="I92" s="18"/>
      <c r="J92" s="18"/>
      <c r="K92" s="18"/>
      <c r="L92" s="18"/>
      <c r="M92" s="18"/>
      <c r="N92" s="18"/>
      <c r="O92" s="18"/>
      <c r="P92" s="18"/>
      <c r="Q92" s="18"/>
      <c r="R92" s="18"/>
      <c r="S92" s="18"/>
      <c r="T92" s="18"/>
      <c r="U92" s="18"/>
      <c r="V92" s="18"/>
      <c r="W92" s="18"/>
      <c r="X92" s="18"/>
      <c r="Y92" s="18"/>
      <c r="Z92" s="18"/>
    </row>
    <row r="93" spans="1:26" s="20" customFormat="1" x14ac:dyDescent="0.2">
      <c r="A93" s="12"/>
      <c r="B93" s="18"/>
      <c r="C93" s="18"/>
      <c r="D93" s="18"/>
      <c r="E93" s="18"/>
      <c r="F93" s="18"/>
      <c r="G93" s="18"/>
      <c r="H93" s="18"/>
      <c r="I93" s="18"/>
      <c r="J93" s="18"/>
      <c r="K93" s="18"/>
      <c r="L93" s="18"/>
      <c r="M93" s="18"/>
      <c r="N93" s="18"/>
      <c r="O93" s="18"/>
      <c r="P93" s="18"/>
      <c r="Q93" s="18"/>
      <c r="R93" s="18"/>
      <c r="S93" s="18"/>
      <c r="T93" s="18"/>
      <c r="U93" s="18"/>
      <c r="V93" s="18"/>
      <c r="W93" s="18"/>
      <c r="X93" s="18"/>
      <c r="Y93" s="18"/>
      <c r="Z93" s="18"/>
    </row>
    <row r="94" spans="1:26" s="20" customFormat="1" x14ac:dyDescent="0.2">
      <c r="A94" s="12"/>
      <c r="B94" s="18"/>
      <c r="C94" s="18"/>
      <c r="D94" s="18"/>
      <c r="E94" s="18"/>
      <c r="F94" s="18"/>
      <c r="G94" s="18"/>
      <c r="H94" s="18"/>
      <c r="I94" s="18"/>
      <c r="J94" s="18"/>
      <c r="K94" s="18"/>
      <c r="L94" s="18"/>
      <c r="M94" s="18"/>
      <c r="N94" s="18"/>
      <c r="O94" s="18"/>
      <c r="P94" s="18"/>
      <c r="Q94" s="18"/>
      <c r="R94" s="18"/>
      <c r="S94" s="18"/>
      <c r="T94" s="18"/>
      <c r="U94" s="18"/>
      <c r="V94" s="18"/>
      <c r="W94" s="18"/>
      <c r="X94" s="18"/>
      <c r="Y94" s="18"/>
      <c r="Z94" s="18"/>
    </row>
    <row r="95" spans="1:26" s="20" customFormat="1" x14ac:dyDescent="0.2">
      <c r="A95" s="12"/>
      <c r="B95" s="18"/>
      <c r="C95" s="18"/>
      <c r="D95" s="18"/>
      <c r="E95" s="18"/>
      <c r="F95" s="18"/>
      <c r="G95" s="18"/>
      <c r="H95" s="18"/>
      <c r="I95" s="18"/>
      <c r="J95" s="18"/>
      <c r="K95" s="18"/>
      <c r="L95" s="18"/>
      <c r="M95" s="18"/>
      <c r="N95" s="18"/>
      <c r="O95" s="18"/>
      <c r="P95" s="18"/>
      <c r="Q95" s="18"/>
      <c r="R95" s="18"/>
      <c r="S95" s="18"/>
      <c r="T95" s="18"/>
      <c r="U95" s="18"/>
      <c r="V95" s="18"/>
      <c r="W95" s="18"/>
      <c r="X95" s="18"/>
      <c r="Y95" s="18"/>
      <c r="Z95" s="18"/>
    </row>
    <row r="96" spans="1:26" s="20" customFormat="1" x14ac:dyDescent="0.2">
      <c r="A96" s="12"/>
      <c r="B96" s="18"/>
      <c r="C96" s="18"/>
      <c r="D96" s="18"/>
      <c r="E96" s="18"/>
      <c r="F96" s="18"/>
      <c r="G96" s="18"/>
      <c r="H96" s="18"/>
      <c r="I96" s="18"/>
      <c r="J96" s="18"/>
      <c r="K96" s="18"/>
      <c r="L96" s="18"/>
      <c r="M96" s="18"/>
      <c r="N96" s="18"/>
      <c r="O96" s="18"/>
      <c r="P96" s="18"/>
      <c r="Q96" s="18"/>
      <c r="R96" s="18"/>
      <c r="S96" s="18"/>
      <c r="T96" s="18"/>
      <c r="U96" s="18"/>
      <c r="V96" s="18"/>
      <c r="W96" s="18"/>
      <c r="X96" s="18"/>
      <c r="Y96" s="18"/>
      <c r="Z96" s="18"/>
    </row>
    <row r="97" spans="1:26" s="20" customFormat="1" x14ac:dyDescent="0.2">
      <c r="A97" s="12"/>
      <c r="B97" s="18"/>
      <c r="C97" s="18"/>
      <c r="D97" s="18"/>
      <c r="E97" s="18"/>
      <c r="F97" s="18"/>
      <c r="G97" s="18"/>
      <c r="H97" s="18"/>
      <c r="I97" s="18"/>
      <c r="J97" s="18"/>
      <c r="K97" s="18"/>
      <c r="L97" s="18"/>
      <c r="M97" s="18"/>
      <c r="N97" s="18"/>
      <c r="O97" s="18"/>
      <c r="P97" s="18"/>
      <c r="Q97" s="18"/>
      <c r="R97" s="18"/>
      <c r="S97" s="18"/>
      <c r="T97" s="18"/>
      <c r="U97" s="18"/>
      <c r="V97" s="18"/>
      <c r="W97" s="18"/>
      <c r="X97" s="18"/>
      <c r="Y97" s="18"/>
      <c r="Z97" s="18"/>
    </row>
    <row r="98" spans="1:26" s="20" customFormat="1" x14ac:dyDescent="0.2">
      <c r="A98" s="12"/>
      <c r="B98" s="18"/>
      <c r="C98" s="18"/>
      <c r="D98" s="18"/>
      <c r="E98" s="18"/>
      <c r="F98" s="18"/>
      <c r="G98" s="18"/>
      <c r="H98" s="18"/>
      <c r="I98" s="18"/>
      <c r="J98" s="18"/>
      <c r="K98" s="18"/>
      <c r="L98" s="18"/>
      <c r="M98" s="18"/>
      <c r="N98" s="18"/>
      <c r="O98" s="18"/>
      <c r="P98" s="18"/>
      <c r="Q98" s="18"/>
      <c r="R98" s="18"/>
      <c r="S98" s="18"/>
      <c r="T98" s="18"/>
      <c r="U98" s="18"/>
      <c r="V98" s="18"/>
      <c r="W98" s="18"/>
      <c r="X98" s="18"/>
      <c r="Y98" s="18"/>
      <c r="Z98" s="18"/>
    </row>
    <row r="99" spans="1:26" s="20" customFormat="1" x14ac:dyDescent="0.2">
      <c r="A99" s="12"/>
      <c r="B99" s="18"/>
      <c r="C99" s="18"/>
      <c r="D99" s="18"/>
      <c r="E99" s="18"/>
      <c r="F99" s="18"/>
      <c r="G99" s="18"/>
      <c r="H99" s="18"/>
      <c r="I99" s="18"/>
      <c r="J99" s="18"/>
      <c r="K99" s="18"/>
      <c r="L99" s="18"/>
      <c r="M99" s="18"/>
      <c r="N99" s="18"/>
      <c r="O99" s="18"/>
      <c r="P99" s="18"/>
      <c r="Q99" s="18"/>
      <c r="R99" s="18"/>
      <c r="S99" s="18"/>
      <c r="T99" s="18"/>
      <c r="U99" s="18"/>
      <c r="V99" s="18"/>
      <c r="W99" s="18"/>
      <c r="X99" s="18"/>
      <c r="Y99" s="18"/>
      <c r="Z99" s="18"/>
    </row>
    <row r="100" spans="1:26" s="20" customFormat="1" x14ac:dyDescent="0.2">
      <c r="A100" s="12"/>
      <c r="B100" s="18"/>
      <c r="C100" s="18"/>
      <c r="D100" s="18"/>
      <c r="E100" s="18"/>
      <c r="F100" s="18"/>
      <c r="G100" s="18"/>
      <c r="H100" s="18"/>
      <c r="I100" s="18"/>
      <c r="J100" s="18"/>
      <c r="K100" s="18"/>
      <c r="L100" s="18"/>
      <c r="M100" s="18"/>
      <c r="N100" s="18"/>
      <c r="O100" s="18"/>
      <c r="P100" s="18"/>
      <c r="Q100" s="18"/>
      <c r="R100" s="18"/>
      <c r="S100" s="18"/>
      <c r="T100" s="18"/>
      <c r="U100" s="18"/>
      <c r="V100" s="18"/>
      <c r="W100" s="18"/>
      <c r="X100" s="18"/>
      <c r="Y100" s="18"/>
      <c r="Z100" s="18"/>
    </row>
    <row r="101" spans="1:26" s="20" customFormat="1" x14ac:dyDescent="0.2">
      <c r="A101" s="12"/>
      <c r="B101" s="18"/>
      <c r="C101" s="18"/>
      <c r="D101" s="18"/>
      <c r="E101" s="18"/>
      <c r="F101" s="18"/>
      <c r="G101" s="18"/>
      <c r="H101" s="18"/>
      <c r="I101" s="18"/>
      <c r="J101" s="18"/>
      <c r="K101" s="18"/>
      <c r="L101" s="18"/>
      <c r="M101" s="18"/>
      <c r="N101" s="18"/>
      <c r="O101" s="18"/>
      <c r="P101" s="18"/>
      <c r="Q101" s="18"/>
      <c r="R101" s="18"/>
      <c r="S101" s="18"/>
      <c r="T101" s="18"/>
      <c r="U101" s="18"/>
      <c r="V101" s="18"/>
      <c r="W101" s="18"/>
      <c r="X101" s="18"/>
      <c r="Y101" s="18"/>
      <c r="Z101" s="18"/>
    </row>
    <row r="102" spans="1:26" s="20" customFormat="1" x14ac:dyDescent="0.2">
      <c r="A102" s="12"/>
      <c r="B102" s="18"/>
      <c r="C102" s="18"/>
      <c r="D102" s="18"/>
      <c r="E102" s="18"/>
      <c r="F102" s="18"/>
      <c r="G102" s="18"/>
      <c r="H102" s="18"/>
      <c r="I102" s="18"/>
      <c r="J102" s="18"/>
      <c r="K102" s="18"/>
      <c r="L102" s="18"/>
      <c r="M102" s="18"/>
      <c r="N102" s="18"/>
      <c r="O102" s="18"/>
      <c r="P102" s="18"/>
      <c r="Q102" s="18"/>
      <c r="R102" s="18"/>
      <c r="S102" s="18"/>
      <c r="T102" s="18"/>
      <c r="U102" s="18"/>
      <c r="V102" s="18"/>
      <c r="W102" s="18"/>
      <c r="X102" s="18"/>
      <c r="Y102" s="18"/>
      <c r="Z102" s="18"/>
    </row>
    <row r="103" spans="1:26" s="20" customFormat="1" x14ac:dyDescent="0.2">
      <c r="A103" s="12"/>
      <c r="B103" s="18"/>
      <c r="C103" s="18"/>
      <c r="D103" s="18"/>
      <c r="E103" s="18"/>
      <c r="F103" s="18"/>
      <c r="G103" s="18"/>
      <c r="H103" s="18"/>
      <c r="I103" s="18"/>
      <c r="J103" s="18"/>
      <c r="K103" s="18"/>
      <c r="L103" s="18"/>
      <c r="M103" s="18"/>
      <c r="N103" s="18"/>
      <c r="O103" s="18"/>
      <c r="P103" s="18"/>
      <c r="Q103" s="18"/>
      <c r="R103" s="18"/>
      <c r="S103" s="18"/>
      <c r="T103" s="18"/>
      <c r="U103" s="18"/>
      <c r="V103" s="18"/>
      <c r="W103" s="18"/>
      <c r="X103" s="18"/>
      <c r="Y103" s="18"/>
      <c r="Z103" s="18"/>
    </row>
    <row r="104" spans="1:26" s="20" customFormat="1" x14ac:dyDescent="0.2">
      <c r="A104" s="12"/>
      <c r="B104" s="18"/>
      <c r="C104" s="18"/>
      <c r="D104" s="18"/>
      <c r="E104" s="18"/>
      <c r="F104" s="18"/>
      <c r="G104" s="18"/>
      <c r="H104" s="18"/>
      <c r="I104" s="18"/>
      <c r="J104" s="18"/>
      <c r="K104" s="18"/>
      <c r="L104" s="18"/>
      <c r="M104" s="18"/>
      <c r="N104" s="18"/>
      <c r="O104" s="18"/>
      <c r="P104" s="18"/>
      <c r="Q104" s="18"/>
      <c r="R104" s="18"/>
      <c r="S104" s="18"/>
      <c r="T104" s="18"/>
      <c r="U104" s="18"/>
      <c r="V104" s="18"/>
      <c r="W104" s="18"/>
      <c r="X104" s="18"/>
      <c r="Y104" s="18"/>
      <c r="Z104" s="18"/>
    </row>
    <row r="105" spans="1:26" s="20" customFormat="1" x14ac:dyDescent="0.2">
      <c r="A105" s="12"/>
      <c r="B105" s="18"/>
      <c r="C105" s="18"/>
      <c r="D105" s="18"/>
      <c r="E105" s="18"/>
      <c r="F105" s="18"/>
      <c r="G105" s="18"/>
      <c r="H105" s="18"/>
      <c r="I105" s="18"/>
      <c r="J105" s="18"/>
      <c r="K105" s="18"/>
      <c r="L105" s="18"/>
      <c r="M105" s="18"/>
      <c r="N105" s="18"/>
      <c r="O105" s="18"/>
      <c r="P105" s="18"/>
      <c r="Q105" s="18"/>
      <c r="R105" s="18"/>
      <c r="S105" s="18"/>
      <c r="T105" s="18"/>
      <c r="U105" s="18"/>
      <c r="V105" s="18"/>
      <c r="W105" s="18"/>
      <c r="X105" s="18"/>
      <c r="Y105" s="18"/>
      <c r="Z105" s="18"/>
    </row>
    <row r="106" spans="1:26" s="20" customFormat="1" x14ac:dyDescent="0.2">
      <c r="A106" s="12"/>
      <c r="B106" s="18"/>
      <c r="C106" s="18"/>
      <c r="D106" s="18"/>
      <c r="E106" s="18"/>
      <c r="F106" s="18"/>
      <c r="G106" s="18"/>
      <c r="H106" s="18"/>
      <c r="I106" s="18"/>
      <c r="J106" s="18"/>
      <c r="K106" s="18"/>
      <c r="L106" s="18"/>
      <c r="M106" s="18"/>
      <c r="N106" s="18"/>
      <c r="O106" s="18"/>
      <c r="P106" s="18"/>
      <c r="Q106" s="18"/>
      <c r="R106" s="18"/>
      <c r="S106" s="18"/>
      <c r="T106" s="18"/>
      <c r="U106" s="18"/>
      <c r="V106" s="18"/>
      <c r="W106" s="18"/>
      <c r="X106" s="18"/>
      <c r="Y106" s="18"/>
      <c r="Z106" s="18"/>
    </row>
    <row r="107" spans="1:26" s="20" customFormat="1" x14ac:dyDescent="0.2">
      <c r="A107" s="12"/>
      <c r="B107" s="18"/>
      <c r="C107" s="18"/>
      <c r="D107" s="18"/>
      <c r="E107" s="18"/>
      <c r="F107" s="18"/>
      <c r="G107" s="18"/>
      <c r="H107" s="18"/>
      <c r="I107" s="18"/>
      <c r="J107" s="18"/>
      <c r="K107" s="18"/>
      <c r="L107" s="18"/>
      <c r="M107" s="18"/>
      <c r="N107" s="18"/>
      <c r="O107" s="18"/>
      <c r="P107" s="18"/>
      <c r="Q107" s="18"/>
      <c r="R107" s="18"/>
      <c r="S107" s="18"/>
      <c r="T107" s="18"/>
      <c r="U107" s="18"/>
      <c r="V107" s="18"/>
      <c r="W107" s="18"/>
      <c r="X107" s="18"/>
      <c r="Y107" s="18"/>
      <c r="Z107" s="18"/>
    </row>
    <row r="108" spans="1:26" s="20" customFormat="1" x14ac:dyDescent="0.2">
      <c r="A108" s="12"/>
      <c r="B108" s="18"/>
      <c r="C108" s="18"/>
      <c r="D108" s="18"/>
      <c r="E108" s="18"/>
      <c r="F108" s="18"/>
      <c r="G108" s="18"/>
      <c r="H108" s="18"/>
      <c r="I108" s="18"/>
      <c r="J108" s="18"/>
      <c r="K108" s="18"/>
      <c r="L108" s="18"/>
      <c r="M108" s="18"/>
      <c r="N108" s="18"/>
      <c r="O108" s="18"/>
      <c r="P108" s="18"/>
      <c r="Q108" s="18"/>
      <c r="R108" s="18"/>
      <c r="S108" s="18"/>
      <c r="T108" s="18"/>
      <c r="U108" s="18"/>
      <c r="V108" s="18"/>
      <c r="W108" s="18"/>
      <c r="X108" s="18"/>
      <c r="Y108" s="18"/>
      <c r="Z108" s="18"/>
    </row>
    <row r="109" spans="1:26" s="20" customFormat="1" x14ac:dyDescent="0.2">
      <c r="A109" s="12"/>
      <c r="B109" s="18"/>
      <c r="C109" s="18"/>
      <c r="D109" s="18"/>
      <c r="E109" s="18"/>
      <c r="F109" s="18"/>
      <c r="G109" s="18"/>
      <c r="H109" s="18"/>
      <c r="I109" s="18"/>
      <c r="J109" s="18"/>
      <c r="K109" s="18"/>
      <c r="L109" s="18"/>
      <c r="M109" s="18"/>
      <c r="N109" s="18"/>
      <c r="O109" s="18"/>
      <c r="P109" s="18"/>
      <c r="Q109" s="18"/>
      <c r="R109" s="18"/>
      <c r="S109" s="18"/>
      <c r="T109" s="18"/>
      <c r="U109" s="18"/>
      <c r="V109" s="18"/>
      <c r="W109" s="18"/>
      <c r="X109" s="18"/>
      <c r="Y109" s="18"/>
      <c r="Z109" s="18"/>
    </row>
    <row r="110" spans="1:26" s="20" customFormat="1" x14ac:dyDescent="0.2">
      <c r="A110" s="12"/>
      <c r="B110" s="18"/>
      <c r="C110" s="18"/>
      <c r="D110" s="18"/>
      <c r="E110" s="18"/>
      <c r="F110" s="18"/>
      <c r="G110" s="18"/>
      <c r="H110" s="18"/>
      <c r="I110" s="18"/>
      <c r="J110" s="18"/>
      <c r="K110" s="18"/>
      <c r="L110" s="18"/>
      <c r="M110" s="18"/>
      <c r="N110" s="18"/>
      <c r="O110" s="18"/>
      <c r="P110" s="18"/>
      <c r="Q110" s="18"/>
      <c r="R110" s="18"/>
      <c r="S110" s="18"/>
      <c r="T110" s="18"/>
      <c r="U110" s="18"/>
      <c r="V110" s="18"/>
      <c r="W110" s="18"/>
      <c r="X110" s="18"/>
      <c r="Y110" s="18"/>
      <c r="Z110" s="18"/>
    </row>
    <row r="111" spans="1:26" s="20" customFormat="1" x14ac:dyDescent="0.2">
      <c r="A111" s="12"/>
      <c r="B111" s="18"/>
      <c r="C111" s="18"/>
      <c r="D111" s="18"/>
      <c r="E111" s="18"/>
      <c r="F111" s="18"/>
      <c r="G111" s="18"/>
      <c r="H111" s="18"/>
      <c r="I111" s="18"/>
      <c r="J111" s="18"/>
      <c r="K111" s="18"/>
      <c r="L111" s="18"/>
      <c r="M111" s="18"/>
      <c r="N111" s="18"/>
      <c r="O111" s="18"/>
      <c r="P111" s="18"/>
      <c r="Q111" s="18"/>
      <c r="R111" s="18"/>
      <c r="S111" s="18"/>
      <c r="T111" s="18"/>
      <c r="U111" s="18"/>
      <c r="V111" s="18"/>
      <c r="W111" s="18"/>
      <c r="X111" s="18"/>
      <c r="Y111" s="18"/>
      <c r="Z111" s="18"/>
    </row>
    <row r="112" spans="1:26" s="20" customFormat="1" x14ac:dyDescent="0.2">
      <c r="A112" s="12"/>
      <c r="B112" s="18"/>
      <c r="C112" s="18"/>
      <c r="D112" s="18"/>
      <c r="E112" s="18"/>
      <c r="F112" s="18"/>
      <c r="G112" s="18"/>
      <c r="H112" s="18"/>
      <c r="I112" s="18"/>
      <c r="J112" s="18"/>
      <c r="K112" s="18"/>
      <c r="L112" s="18"/>
      <c r="M112" s="18"/>
      <c r="N112" s="18"/>
      <c r="O112" s="18"/>
      <c r="P112" s="18"/>
      <c r="Q112" s="18"/>
      <c r="R112" s="18"/>
      <c r="S112" s="18"/>
      <c r="T112" s="18"/>
      <c r="U112" s="18"/>
      <c r="V112" s="18"/>
      <c r="W112" s="18"/>
      <c r="X112" s="18"/>
      <c r="Y112" s="18"/>
      <c r="Z112" s="18"/>
    </row>
    <row r="113" spans="1:26" s="20" customFormat="1" x14ac:dyDescent="0.2">
      <c r="A113" s="12"/>
      <c r="B113" s="18"/>
      <c r="C113" s="18"/>
      <c r="D113" s="18"/>
      <c r="E113" s="18"/>
      <c r="F113" s="18"/>
      <c r="G113" s="18"/>
      <c r="H113" s="18"/>
      <c r="I113" s="18"/>
      <c r="J113" s="18"/>
      <c r="K113" s="18"/>
      <c r="L113" s="18"/>
      <c r="M113" s="18"/>
      <c r="N113" s="18"/>
      <c r="O113" s="18"/>
      <c r="P113" s="18"/>
      <c r="Q113" s="18"/>
      <c r="R113" s="18"/>
      <c r="S113" s="18"/>
      <c r="T113" s="18"/>
      <c r="U113" s="18"/>
      <c r="V113" s="18"/>
      <c r="W113" s="18"/>
      <c r="X113" s="18"/>
      <c r="Y113" s="18"/>
      <c r="Z113" s="18"/>
    </row>
    <row r="114" spans="1:26" s="20" customFormat="1" x14ac:dyDescent="0.2">
      <c r="A114" s="12"/>
      <c r="B114" s="18"/>
      <c r="C114" s="18"/>
      <c r="D114" s="18"/>
      <c r="E114" s="18"/>
      <c r="F114" s="18"/>
      <c r="G114" s="18"/>
      <c r="H114" s="18"/>
      <c r="I114" s="18"/>
      <c r="J114" s="18"/>
      <c r="K114" s="18"/>
      <c r="L114" s="18"/>
      <c r="M114" s="18"/>
      <c r="N114" s="18"/>
      <c r="O114" s="18"/>
      <c r="P114" s="18"/>
      <c r="Q114" s="18"/>
      <c r="R114" s="18"/>
      <c r="S114" s="18"/>
      <c r="T114" s="18"/>
      <c r="U114" s="18"/>
      <c r="V114" s="18"/>
      <c r="W114" s="18"/>
      <c r="X114" s="18"/>
      <c r="Y114" s="18"/>
      <c r="Z114" s="18"/>
    </row>
    <row r="115" spans="1:26" s="20" customFormat="1" x14ac:dyDescent="0.2">
      <c r="A115" s="12"/>
      <c r="B115" s="18"/>
      <c r="C115" s="18"/>
      <c r="D115" s="18"/>
      <c r="E115" s="18"/>
      <c r="F115" s="18"/>
      <c r="G115" s="18"/>
      <c r="H115" s="18"/>
      <c r="I115" s="18"/>
      <c r="J115" s="18"/>
      <c r="K115" s="18"/>
      <c r="L115" s="18"/>
      <c r="M115" s="18"/>
      <c r="N115" s="18"/>
      <c r="O115" s="18"/>
      <c r="P115" s="18"/>
      <c r="Q115" s="18"/>
      <c r="R115" s="18"/>
      <c r="S115" s="18"/>
      <c r="T115" s="18"/>
      <c r="U115" s="18"/>
      <c r="V115" s="18"/>
      <c r="W115" s="18"/>
      <c r="X115" s="18"/>
      <c r="Y115" s="18"/>
      <c r="Z115" s="18"/>
    </row>
    <row r="116" spans="1:26" s="20" customFormat="1" x14ac:dyDescent="0.2">
      <c r="A116" s="12"/>
      <c r="B116" s="18"/>
      <c r="C116" s="18"/>
      <c r="D116" s="18"/>
      <c r="E116" s="18"/>
      <c r="F116" s="18"/>
      <c r="G116" s="18"/>
      <c r="H116" s="18"/>
      <c r="I116" s="18"/>
      <c r="J116" s="18"/>
      <c r="K116" s="18"/>
      <c r="L116" s="18"/>
      <c r="M116" s="18"/>
      <c r="N116" s="18"/>
      <c r="O116" s="18"/>
      <c r="P116" s="18"/>
      <c r="Q116" s="18"/>
      <c r="R116" s="18"/>
      <c r="S116" s="18"/>
      <c r="T116" s="18"/>
      <c r="U116" s="18"/>
      <c r="V116" s="18"/>
      <c r="W116" s="18"/>
      <c r="X116" s="18"/>
      <c r="Y116" s="18"/>
      <c r="Z116" s="18"/>
    </row>
    <row r="117" spans="1:26" s="20" customFormat="1" x14ac:dyDescent="0.2">
      <c r="A117" s="12"/>
      <c r="B117" s="18"/>
      <c r="C117" s="18"/>
      <c r="D117" s="18"/>
      <c r="E117" s="18"/>
      <c r="F117" s="18"/>
      <c r="G117" s="18"/>
      <c r="H117" s="18"/>
      <c r="I117" s="18"/>
      <c r="J117" s="18"/>
      <c r="K117" s="18"/>
      <c r="L117" s="18"/>
      <c r="M117" s="18"/>
      <c r="N117" s="18"/>
      <c r="O117" s="18"/>
      <c r="P117" s="18"/>
      <c r="Q117" s="18"/>
      <c r="R117" s="18"/>
      <c r="S117" s="18"/>
      <c r="T117" s="18"/>
      <c r="U117" s="18"/>
      <c r="V117" s="18"/>
      <c r="W117" s="18"/>
      <c r="X117" s="18"/>
      <c r="Y117" s="18"/>
      <c r="Z117" s="18"/>
    </row>
    <row r="118" spans="1:26" s="20" customFormat="1" x14ac:dyDescent="0.2">
      <c r="A118" s="12"/>
      <c r="B118" s="18"/>
      <c r="C118" s="18"/>
      <c r="D118" s="18"/>
      <c r="E118" s="18"/>
      <c r="F118" s="18"/>
      <c r="G118" s="18"/>
      <c r="H118" s="18"/>
      <c r="I118" s="18"/>
      <c r="J118" s="18"/>
      <c r="K118" s="18"/>
      <c r="L118" s="18"/>
      <c r="M118" s="18"/>
      <c r="N118" s="18"/>
      <c r="O118" s="18"/>
      <c r="P118" s="18"/>
      <c r="Q118" s="18"/>
      <c r="R118" s="18"/>
      <c r="S118" s="18"/>
      <c r="T118" s="18"/>
      <c r="U118" s="18"/>
      <c r="V118" s="18"/>
      <c r="W118" s="18"/>
      <c r="X118" s="18"/>
      <c r="Y118" s="18"/>
      <c r="Z118" s="18"/>
    </row>
    <row r="119" spans="1:26" s="20" customFormat="1" x14ac:dyDescent="0.2">
      <c r="A119" s="12"/>
      <c r="B119" s="18"/>
      <c r="C119" s="18"/>
      <c r="D119" s="18"/>
      <c r="E119" s="18"/>
      <c r="F119" s="18"/>
      <c r="G119" s="18"/>
      <c r="H119" s="18"/>
      <c r="I119" s="18"/>
      <c r="J119" s="18"/>
      <c r="K119" s="18"/>
      <c r="L119" s="18"/>
      <c r="M119" s="18"/>
      <c r="N119" s="18"/>
      <c r="O119" s="18"/>
      <c r="P119" s="18"/>
      <c r="Q119" s="18"/>
      <c r="R119" s="18"/>
      <c r="S119" s="18"/>
      <c r="T119" s="18"/>
      <c r="U119" s="18"/>
      <c r="V119" s="18"/>
      <c r="W119" s="18"/>
      <c r="X119" s="18"/>
      <c r="Y119" s="18"/>
      <c r="Z119" s="18"/>
    </row>
    <row r="120" spans="1:26" s="20" customFormat="1" x14ac:dyDescent="0.2">
      <c r="A120" s="12"/>
      <c r="B120" s="18"/>
      <c r="C120" s="18"/>
      <c r="D120" s="18"/>
      <c r="E120" s="18"/>
      <c r="F120" s="18"/>
      <c r="G120" s="18"/>
      <c r="H120" s="18"/>
      <c r="I120" s="18"/>
      <c r="J120" s="18"/>
      <c r="K120" s="18"/>
      <c r="L120" s="18"/>
      <c r="M120" s="18"/>
      <c r="N120" s="18"/>
      <c r="O120" s="18"/>
      <c r="P120" s="18"/>
      <c r="Q120" s="18"/>
      <c r="R120" s="18"/>
      <c r="S120" s="18"/>
      <c r="T120" s="18"/>
      <c r="U120" s="18"/>
      <c r="V120" s="18"/>
      <c r="W120" s="18"/>
      <c r="X120" s="18"/>
      <c r="Y120" s="18"/>
      <c r="Z120" s="18"/>
    </row>
    <row r="121" spans="1:26" s="20" customFormat="1" x14ac:dyDescent="0.2">
      <c r="A121" s="12"/>
      <c r="B121" s="18"/>
      <c r="C121" s="18"/>
      <c r="D121" s="18"/>
      <c r="E121" s="18"/>
      <c r="F121" s="18"/>
      <c r="G121" s="18"/>
      <c r="H121" s="18"/>
      <c r="I121" s="18"/>
      <c r="J121" s="18"/>
      <c r="K121" s="18"/>
      <c r="L121" s="18"/>
      <c r="M121" s="18"/>
      <c r="N121" s="18"/>
      <c r="O121" s="18"/>
      <c r="P121" s="18"/>
      <c r="Q121" s="18"/>
      <c r="R121" s="18"/>
      <c r="S121" s="18"/>
      <c r="T121" s="18"/>
      <c r="U121" s="18"/>
      <c r="V121" s="18"/>
      <c r="W121" s="18"/>
      <c r="X121" s="18"/>
      <c r="Y121" s="18"/>
      <c r="Z121" s="18"/>
    </row>
    <row r="122" spans="1:26" s="20" customFormat="1" x14ac:dyDescent="0.2">
      <c r="A122" s="12"/>
      <c r="B122" s="18"/>
      <c r="C122" s="18"/>
      <c r="D122" s="18"/>
      <c r="E122" s="18"/>
      <c r="F122" s="18"/>
      <c r="G122" s="18"/>
      <c r="H122" s="18"/>
      <c r="I122" s="18"/>
      <c r="J122" s="18"/>
      <c r="K122" s="18"/>
      <c r="L122" s="18"/>
      <c r="M122" s="18"/>
      <c r="N122" s="18"/>
      <c r="O122" s="18"/>
      <c r="P122" s="18"/>
      <c r="Q122" s="18"/>
      <c r="R122" s="18"/>
      <c r="S122" s="18"/>
      <c r="T122" s="18"/>
      <c r="U122" s="18"/>
      <c r="V122" s="18"/>
      <c r="W122" s="18"/>
      <c r="X122" s="18"/>
      <c r="Y122" s="18"/>
      <c r="Z122" s="18"/>
    </row>
    <row r="123" spans="1:26" s="20" customFormat="1" x14ac:dyDescent="0.2">
      <c r="A123" s="12"/>
      <c r="B123" s="18"/>
      <c r="C123" s="18"/>
      <c r="D123" s="18"/>
      <c r="E123" s="18"/>
      <c r="F123" s="18"/>
      <c r="G123" s="18"/>
      <c r="H123" s="18"/>
      <c r="I123" s="18"/>
      <c r="J123" s="18"/>
      <c r="K123" s="18"/>
      <c r="L123" s="18"/>
      <c r="M123" s="18"/>
      <c r="N123" s="18"/>
      <c r="O123" s="18"/>
      <c r="P123" s="18"/>
      <c r="Q123" s="18"/>
      <c r="R123" s="18"/>
      <c r="S123" s="18"/>
      <c r="T123" s="18"/>
      <c r="U123" s="18"/>
      <c r="V123" s="18"/>
      <c r="W123" s="18"/>
      <c r="X123" s="18"/>
      <c r="Y123" s="18"/>
      <c r="Z123" s="18"/>
    </row>
    <row r="124" spans="1:26" s="20" customFormat="1" x14ac:dyDescent="0.2">
      <c r="A124" s="12"/>
      <c r="B124" s="18"/>
      <c r="C124" s="18"/>
      <c r="D124" s="18"/>
      <c r="E124" s="18"/>
      <c r="F124" s="18"/>
      <c r="G124" s="18"/>
      <c r="H124" s="18"/>
      <c r="I124" s="18"/>
      <c r="J124" s="18"/>
      <c r="K124" s="18"/>
      <c r="L124" s="18"/>
      <c r="M124" s="18"/>
      <c r="N124" s="18"/>
      <c r="O124" s="18"/>
      <c r="P124" s="18"/>
      <c r="Q124" s="18"/>
      <c r="R124" s="18"/>
      <c r="S124" s="18"/>
      <c r="T124" s="18"/>
      <c r="U124" s="18"/>
      <c r="V124" s="18"/>
      <c r="W124" s="18"/>
      <c r="X124" s="18"/>
      <c r="Y124" s="18"/>
      <c r="Z124" s="18"/>
    </row>
    <row r="125" spans="1:26" s="20" customFormat="1" x14ac:dyDescent="0.2">
      <c r="A125" s="12"/>
      <c r="B125" s="18"/>
      <c r="C125" s="18"/>
      <c r="D125" s="18"/>
      <c r="E125" s="18"/>
      <c r="F125" s="18"/>
      <c r="G125" s="18"/>
      <c r="H125" s="18"/>
      <c r="I125" s="18"/>
      <c r="J125" s="18"/>
      <c r="K125" s="18"/>
      <c r="L125" s="18"/>
      <c r="M125" s="18"/>
      <c r="N125" s="18"/>
      <c r="O125" s="18"/>
      <c r="P125" s="18"/>
      <c r="Q125" s="18"/>
      <c r="R125" s="18"/>
      <c r="S125" s="18"/>
      <c r="T125" s="18"/>
      <c r="U125" s="18"/>
      <c r="V125" s="18"/>
      <c r="W125" s="18"/>
      <c r="X125" s="18"/>
      <c r="Y125" s="18"/>
      <c r="Z125" s="18"/>
    </row>
    <row r="126" spans="1:26" s="20" customFormat="1" x14ac:dyDescent="0.2">
      <c r="A126" s="12"/>
      <c r="B126" s="18"/>
      <c r="C126" s="18"/>
      <c r="D126" s="18"/>
      <c r="E126" s="18"/>
      <c r="F126" s="18"/>
      <c r="G126" s="18"/>
      <c r="H126" s="18"/>
      <c r="I126" s="18"/>
      <c r="J126" s="18"/>
      <c r="K126" s="18"/>
      <c r="L126" s="18"/>
      <c r="M126" s="18"/>
      <c r="N126" s="18"/>
      <c r="O126" s="18"/>
      <c r="P126" s="18"/>
      <c r="Q126" s="18"/>
      <c r="R126" s="18"/>
      <c r="S126" s="18"/>
      <c r="T126" s="18"/>
      <c r="U126" s="18"/>
      <c r="V126" s="18"/>
      <c r="W126" s="18"/>
      <c r="X126" s="18"/>
      <c r="Y126" s="18"/>
      <c r="Z126" s="18"/>
    </row>
    <row r="127" spans="1:26" s="20" customFormat="1" x14ac:dyDescent="0.2">
      <c r="A127" s="12"/>
      <c r="B127" s="18"/>
      <c r="C127" s="18"/>
      <c r="D127" s="18"/>
      <c r="E127" s="18"/>
      <c r="F127" s="18"/>
      <c r="G127" s="18"/>
      <c r="H127" s="18"/>
      <c r="I127" s="18"/>
      <c r="J127" s="18"/>
      <c r="K127" s="18"/>
      <c r="L127" s="18"/>
      <c r="M127" s="18"/>
      <c r="N127" s="18"/>
      <c r="O127" s="18"/>
      <c r="P127" s="18"/>
      <c r="Q127" s="18"/>
      <c r="R127" s="18"/>
      <c r="S127" s="18"/>
      <c r="T127" s="18"/>
      <c r="U127" s="18"/>
      <c r="V127" s="18"/>
      <c r="W127" s="18"/>
      <c r="X127" s="18"/>
      <c r="Y127" s="18"/>
      <c r="Z127" s="18"/>
    </row>
    <row r="128" spans="1:26" s="20" customFormat="1" x14ac:dyDescent="0.2">
      <c r="A128" s="12"/>
      <c r="B128" s="18"/>
      <c r="C128" s="18"/>
      <c r="D128" s="18"/>
      <c r="E128" s="18"/>
      <c r="F128" s="18"/>
      <c r="G128" s="18"/>
      <c r="H128" s="18"/>
      <c r="I128" s="18"/>
      <c r="J128" s="18"/>
      <c r="K128" s="18"/>
      <c r="L128" s="18"/>
      <c r="M128" s="18"/>
      <c r="N128" s="18"/>
      <c r="O128" s="18"/>
      <c r="P128" s="18"/>
      <c r="Q128" s="18"/>
      <c r="R128" s="18"/>
      <c r="S128" s="18"/>
      <c r="T128" s="18"/>
      <c r="U128" s="18"/>
      <c r="V128" s="18"/>
      <c r="W128" s="18"/>
      <c r="X128" s="18"/>
      <c r="Y128" s="18"/>
      <c r="Z128" s="18"/>
    </row>
    <row r="129" spans="1:26" s="20" customFormat="1" x14ac:dyDescent="0.2">
      <c r="A129" s="12"/>
      <c r="B129" s="18"/>
      <c r="C129" s="18"/>
      <c r="D129" s="18"/>
      <c r="E129" s="18"/>
      <c r="F129" s="18"/>
      <c r="G129" s="18"/>
      <c r="H129" s="18"/>
      <c r="I129" s="18"/>
      <c r="J129" s="18"/>
      <c r="K129" s="18"/>
      <c r="L129" s="18"/>
      <c r="M129" s="18"/>
      <c r="N129" s="18"/>
      <c r="O129" s="18"/>
      <c r="P129" s="18"/>
      <c r="Q129" s="18"/>
      <c r="R129" s="18"/>
      <c r="S129" s="18"/>
      <c r="T129" s="18"/>
      <c r="U129" s="18"/>
      <c r="V129" s="18"/>
      <c r="W129" s="18"/>
      <c r="X129" s="18"/>
      <c r="Y129" s="18"/>
      <c r="Z129" s="18"/>
    </row>
    <row r="130" spans="1:26" s="20" customFormat="1" x14ac:dyDescent="0.2">
      <c r="A130" s="12"/>
      <c r="B130" s="18"/>
      <c r="C130" s="18"/>
      <c r="D130" s="18"/>
      <c r="E130" s="18"/>
      <c r="F130" s="18"/>
      <c r="G130" s="18"/>
      <c r="H130" s="18"/>
      <c r="I130" s="18"/>
      <c r="J130" s="18"/>
      <c r="K130" s="18"/>
      <c r="L130" s="18"/>
      <c r="M130" s="18"/>
      <c r="N130" s="18"/>
      <c r="O130" s="18"/>
      <c r="P130" s="18"/>
      <c r="Q130" s="18"/>
      <c r="R130" s="18"/>
      <c r="S130" s="18"/>
      <c r="T130" s="18"/>
      <c r="U130" s="18"/>
      <c r="V130" s="18"/>
      <c r="W130" s="18"/>
      <c r="X130" s="18"/>
      <c r="Y130" s="18"/>
      <c r="Z130" s="18"/>
    </row>
    <row r="131" spans="1:26" s="20" customFormat="1" x14ac:dyDescent="0.2">
      <c r="A131" s="12"/>
      <c r="B131" s="18"/>
      <c r="C131" s="18"/>
      <c r="D131" s="18"/>
      <c r="E131" s="18"/>
      <c r="F131" s="18"/>
      <c r="G131" s="18"/>
      <c r="H131" s="18"/>
      <c r="I131" s="18"/>
      <c r="J131" s="18"/>
      <c r="K131" s="18"/>
      <c r="L131" s="18"/>
      <c r="M131" s="18"/>
      <c r="N131" s="18"/>
      <c r="O131" s="18"/>
      <c r="P131" s="18"/>
      <c r="Q131" s="18"/>
      <c r="R131" s="18"/>
      <c r="S131" s="18"/>
      <c r="T131" s="18"/>
      <c r="U131" s="18"/>
      <c r="V131" s="18"/>
      <c r="W131" s="18"/>
      <c r="X131" s="18"/>
      <c r="Y131" s="18"/>
      <c r="Z131" s="18"/>
    </row>
    <row r="132" spans="1:26" s="20" customFormat="1" x14ac:dyDescent="0.2">
      <c r="A132" s="12"/>
      <c r="B132" s="18"/>
      <c r="C132" s="18"/>
      <c r="D132" s="18"/>
      <c r="E132" s="18"/>
      <c r="F132" s="18"/>
      <c r="G132" s="18"/>
      <c r="H132" s="18"/>
      <c r="I132" s="18"/>
      <c r="J132" s="18"/>
      <c r="K132" s="18"/>
      <c r="L132" s="18"/>
      <c r="M132" s="18"/>
      <c r="N132" s="18"/>
      <c r="O132" s="18"/>
      <c r="P132" s="18"/>
      <c r="Q132" s="18"/>
      <c r="R132" s="18"/>
      <c r="S132" s="18"/>
      <c r="T132" s="18"/>
      <c r="U132" s="18"/>
      <c r="V132" s="18"/>
      <c r="W132" s="18"/>
      <c r="X132" s="18"/>
      <c r="Y132" s="18"/>
      <c r="Z132" s="18"/>
    </row>
    <row r="133" spans="1:26" s="20" customFormat="1" x14ac:dyDescent="0.2">
      <c r="A133" s="12"/>
      <c r="B133" s="18"/>
      <c r="C133" s="18"/>
      <c r="D133" s="18"/>
      <c r="E133" s="18"/>
      <c r="F133" s="18"/>
      <c r="G133" s="18"/>
      <c r="H133" s="18"/>
      <c r="I133" s="18"/>
      <c r="J133" s="18"/>
      <c r="K133" s="18"/>
      <c r="L133" s="18"/>
      <c r="M133" s="18"/>
      <c r="N133" s="18"/>
      <c r="O133" s="18"/>
      <c r="P133" s="18"/>
      <c r="Q133" s="18"/>
      <c r="R133" s="18"/>
      <c r="S133" s="18"/>
      <c r="T133" s="18"/>
      <c r="U133" s="18"/>
      <c r="V133" s="18"/>
      <c r="W133" s="18"/>
      <c r="X133" s="18"/>
      <c r="Y133" s="18"/>
      <c r="Z133" s="18"/>
    </row>
    <row r="134" spans="1:26" s="20" customFormat="1" x14ac:dyDescent="0.2">
      <c r="A134" s="12"/>
      <c r="B134" s="18"/>
      <c r="C134" s="18"/>
      <c r="D134" s="18"/>
      <c r="E134" s="18"/>
      <c r="F134" s="18"/>
      <c r="G134" s="18"/>
      <c r="H134" s="18"/>
      <c r="I134" s="18"/>
      <c r="J134" s="18"/>
      <c r="K134" s="18"/>
      <c r="L134" s="18"/>
      <c r="M134" s="18"/>
      <c r="N134" s="18"/>
      <c r="O134" s="18"/>
      <c r="P134" s="18"/>
      <c r="Q134" s="18"/>
      <c r="R134" s="18"/>
      <c r="S134" s="18"/>
      <c r="T134" s="18"/>
      <c r="U134" s="18"/>
      <c r="V134" s="18"/>
      <c r="W134" s="18"/>
      <c r="X134" s="18"/>
      <c r="Y134" s="18"/>
      <c r="Z134" s="18"/>
    </row>
    <row r="135" spans="1:26" s="20" customFormat="1" x14ac:dyDescent="0.2">
      <c r="A135" s="12"/>
      <c r="B135" s="18"/>
      <c r="C135" s="18"/>
      <c r="D135" s="18"/>
      <c r="E135" s="18"/>
      <c r="F135" s="18"/>
      <c r="G135" s="18"/>
      <c r="H135" s="18"/>
      <c r="I135" s="18"/>
      <c r="J135" s="18"/>
      <c r="K135" s="18"/>
      <c r="L135" s="18"/>
      <c r="M135" s="18"/>
      <c r="N135" s="18"/>
      <c r="O135" s="18"/>
      <c r="P135" s="18"/>
      <c r="Q135" s="18"/>
      <c r="R135" s="18"/>
      <c r="S135" s="18"/>
      <c r="T135" s="18"/>
      <c r="U135" s="18"/>
      <c r="V135" s="18"/>
      <c r="W135" s="18"/>
      <c r="X135" s="18"/>
      <c r="Y135" s="18"/>
      <c r="Z135" s="18"/>
    </row>
    <row r="136" spans="1:26" s="20" customFormat="1" x14ac:dyDescent="0.2">
      <c r="A136" s="12"/>
      <c r="B136" s="18"/>
      <c r="C136" s="18"/>
      <c r="D136" s="18"/>
      <c r="E136" s="18"/>
      <c r="F136" s="18"/>
      <c r="G136" s="18"/>
      <c r="H136" s="18"/>
      <c r="I136" s="18"/>
      <c r="J136" s="18"/>
      <c r="K136" s="18"/>
      <c r="L136" s="18"/>
      <c r="M136" s="18"/>
      <c r="N136" s="18"/>
      <c r="O136" s="18"/>
      <c r="P136" s="18"/>
      <c r="Q136" s="18"/>
      <c r="R136" s="18"/>
      <c r="S136" s="18"/>
      <c r="T136" s="18"/>
      <c r="U136" s="18"/>
      <c r="V136" s="18"/>
      <c r="W136" s="18"/>
      <c r="X136" s="18"/>
      <c r="Y136" s="18"/>
      <c r="Z136" s="18"/>
    </row>
    <row r="137" spans="1:26" s="20" customFormat="1" x14ac:dyDescent="0.2">
      <c r="A137" s="12"/>
      <c r="B137" s="18"/>
      <c r="C137" s="18"/>
      <c r="D137" s="18"/>
      <c r="E137" s="18"/>
      <c r="F137" s="18"/>
      <c r="G137" s="18"/>
      <c r="H137" s="18"/>
      <c r="I137" s="18"/>
      <c r="J137" s="18"/>
      <c r="K137" s="18"/>
      <c r="L137" s="18"/>
      <c r="M137" s="18"/>
      <c r="N137" s="18"/>
      <c r="O137" s="18"/>
      <c r="P137" s="18"/>
      <c r="Q137" s="18"/>
      <c r="R137" s="18"/>
      <c r="S137" s="18"/>
      <c r="T137" s="18"/>
      <c r="U137" s="18"/>
      <c r="V137" s="18"/>
      <c r="W137" s="18"/>
      <c r="X137" s="18"/>
      <c r="Y137" s="18"/>
      <c r="Z137" s="18"/>
    </row>
    <row r="138" spans="1:26" s="20" customFormat="1" x14ac:dyDescent="0.2">
      <c r="A138" s="12"/>
      <c r="B138" s="18"/>
      <c r="C138" s="18"/>
      <c r="D138" s="18"/>
      <c r="E138" s="18"/>
      <c r="F138" s="18"/>
      <c r="G138" s="18"/>
      <c r="H138" s="18"/>
      <c r="I138" s="18"/>
      <c r="J138" s="18"/>
      <c r="K138" s="18"/>
      <c r="L138" s="18"/>
      <c r="M138" s="18"/>
      <c r="N138" s="18"/>
      <c r="O138" s="18"/>
      <c r="P138" s="18"/>
      <c r="Q138" s="18"/>
      <c r="R138" s="18"/>
      <c r="S138" s="18"/>
      <c r="T138" s="18"/>
      <c r="U138" s="18"/>
      <c r="V138" s="18"/>
      <c r="W138" s="18"/>
      <c r="X138" s="18"/>
      <c r="Y138" s="18"/>
      <c r="Z138" s="18"/>
    </row>
    <row r="139" spans="1:26" s="20" customFormat="1" x14ac:dyDescent="0.2">
      <c r="A139" s="12"/>
      <c r="B139" s="18"/>
      <c r="C139" s="18"/>
      <c r="D139" s="18"/>
      <c r="E139" s="18"/>
      <c r="F139" s="18"/>
      <c r="G139" s="18"/>
      <c r="H139" s="18"/>
      <c r="I139" s="18"/>
      <c r="J139" s="18"/>
      <c r="K139" s="18"/>
      <c r="L139" s="18"/>
      <c r="M139" s="18"/>
      <c r="N139" s="18"/>
      <c r="O139" s="18"/>
      <c r="P139" s="18"/>
      <c r="Q139" s="18"/>
      <c r="R139" s="18"/>
      <c r="S139" s="18"/>
      <c r="T139" s="18"/>
      <c r="U139" s="18"/>
      <c r="V139" s="18"/>
      <c r="W139" s="18"/>
      <c r="X139" s="18"/>
      <c r="Y139" s="18"/>
      <c r="Z139" s="18"/>
    </row>
    <row r="140" spans="1:26" s="20" customFormat="1" x14ac:dyDescent="0.2">
      <c r="A140" s="12"/>
      <c r="B140" s="18"/>
      <c r="C140" s="18"/>
      <c r="D140" s="18"/>
      <c r="E140" s="18"/>
      <c r="F140" s="18"/>
      <c r="G140" s="18"/>
      <c r="H140" s="18"/>
      <c r="I140" s="18"/>
      <c r="J140" s="18"/>
      <c r="K140" s="18"/>
      <c r="L140" s="18"/>
      <c r="M140" s="18"/>
      <c r="N140" s="18"/>
      <c r="O140" s="18"/>
      <c r="P140" s="18"/>
      <c r="Q140" s="18"/>
      <c r="R140" s="18"/>
      <c r="S140" s="18"/>
      <c r="T140" s="18"/>
      <c r="U140" s="18"/>
      <c r="V140" s="18"/>
      <c r="W140" s="18"/>
      <c r="X140" s="18"/>
      <c r="Y140" s="18"/>
      <c r="Z140" s="18"/>
    </row>
    <row r="141" spans="1:26" s="20" customFormat="1" x14ac:dyDescent="0.2">
      <c r="A141" s="12"/>
      <c r="B141" s="18"/>
      <c r="C141" s="18"/>
      <c r="D141" s="18"/>
      <c r="E141" s="18"/>
      <c r="F141" s="18"/>
      <c r="G141" s="18"/>
      <c r="H141" s="18"/>
      <c r="I141" s="18"/>
      <c r="J141" s="18"/>
      <c r="K141" s="18"/>
      <c r="L141" s="18"/>
      <c r="M141" s="18"/>
      <c r="N141" s="18"/>
      <c r="O141" s="18"/>
      <c r="P141" s="18"/>
      <c r="Q141" s="18"/>
      <c r="R141" s="18"/>
      <c r="S141" s="18"/>
      <c r="T141" s="18"/>
      <c r="U141" s="18"/>
      <c r="V141" s="18"/>
      <c r="W141" s="18"/>
      <c r="X141" s="18"/>
      <c r="Y141" s="18"/>
      <c r="Z141" s="18"/>
    </row>
    <row r="142" spans="1:26" s="20" customFormat="1" x14ac:dyDescent="0.2">
      <c r="A142" s="12"/>
      <c r="B142" s="18"/>
      <c r="C142" s="18"/>
      <c r="D142" s="18"/>
      <c r="E142" s="18"/>
      <c r="F142" s="18"/>
      <c r="G142" s="18"/>
      <c r="H142" s="18"/>
      <c r="I142" s="18"/>
      <c r="J142" s="18"/>
      <c r="K142" s="18"/>
      <c r="L142" s="18"/>
      <c r="M142" s="18"/>
      <c r="N142" s="18"/>
      <c r="O142" s="18"/>
      <c r="P142" s="18"/>
      <c r="Q142" s="18"/>
      <c r="R142" s="18"/>
      <c r="S142" s="18"/>
      <c r="T142" s="18"/>
      <c r="U142" s="18"/>
      <c r="V142" s="18"/>
      <c r="W142" s="18"/>
      <c r="X142" s="18"/>
      <c r="Y142" s="18"/>
      <c r="Z142" s="18"/>
    </row>
    <row r="143" spans="1:26" s="20" customFormat="1" x14ac:dyDescent="0.2">
      <c r="A143" s="12"/>
      <c r="B143" s="18"/>
      <c r="C143" s="18"/>
      <c r="D143" s="18"/>
      <c r="E143" s="18"/>
      <c r="F143" s="18"/>
      <c r="G143" s="18"/>
      <c r="H143" s="18"/>
      <c r="I143" s="18"/>
      <c r="J143" s="18"/>
      <c r="K143" s="18"/>
      <c r="L143" s="18"/>
      <c r="M143" s="18"/>
      <c r="N143" s="18"/>
      <c r="O143" s="18"/>
      <c r="P143" s="18"/>
      <c r="Q143" s="18"/>
      <c r="R143" s="18"/>
      <c r="S143" s="18"/>
      <c r="T143" s="18"/>
      <c r="U143" s="18"/>
      <c r="V143" s="18"/>
      <c r="W143" s="18"/>
      <c r="X143" s="18"/>
      <c r="Y143" s="18"/>
      <c r="Z143" s="18"/>
    </row>
    <row r="144" spans="1:26" s="20" customFormat="1" x14ac:dyDescent="0.2">
      <c r="A144" s="12"/>
      <c r="B144" s="18"/>
      <c r="C144" s="18"/>
      <c r="D144" s="18"/>
      <c r="E144" s="18"/>
      <c r="F144" s="18"/>
      <c r="G144" s="18"/>
      <c r="H144" s="18"/>
      <c r="I144" s="18"/>
      <c r="J144" s="18"/>
      <c r="K144" s="18"/>
      <c r="L144" s="18"/>
      <c r="M144" s="18"/>
      <c r="N144" s="18"/>
      <c r="O144" s="18"/>
      <c r="P144" s="18"/>
      <c r="Q144" s="18"/>
      <c r="R144" s="18"/>
      <c r="S144" s="18"/>
      <c r="T144" s="18"/>
      <c r="U144" s="18"/>
      <c r="V144" s="18"/>
      <c r="W144" s="18"/>
      <c r="X144" s="18"/>
      <c r="Y144" s="18"/>
      <c r="Z144" s="18"/>
    </row>
    <row r="145" spans="1:26" s="20" customFormat="1" x14ac:dyDescent="0.2">
      <c r="A145" s="12"/>
      <c r="B145" s="18"/>
      <c r="C145" s="18"/>
      <c r="D145" s="18"/>
      <c r="E145" s="18"/>
      <c r="F145" s="18"/>
      <c r="G145" s="18"/>
      <c r="H145" s="18"/>
      <c r="I145" s="18"/>
      <c r="J145" s="18"/>
      <c r="K145" s="18"/>
      <c r="L145" s="18"/>
      <c r="M145" s="18"/>
      <c r="N145" s="18"/>
      <c r="O145" s="18"/>
      <c r="P145" s="18"/>
      <c r="Q145" s="18"/>
      <c r="R145" s="18"/>
      <c r="S145" s="18"/>
      <c r="T145" s="18"/>
      <c r="U145" s="18"/>
      <c r="V145" s="18"/>
      <c r="W145" s="18"/>
      <c r="X145" s="18"/>
      <c r="Y145" s="18"/>
      <c r="Z145" s="18"/>
    </row>
    <row r="146" spans="1:26" s="20" customFormat="1" x14ac:dyDescent="0.2">
      <c r="A146" s="12"/>
      <c r="B146" s="18"/>
      <c r="C146" s="18"/>
      <c r="D146" s="18"/>
      <c r="E146" s="18"/>
      <c r="F146" s="18"/>
      <c r="G146" s="18"/>
      <c r="H146" s="18"/>
      <c r="I146" s="18"/>
      <c r="J146" s="18"/>
      <c r="K146" s="18"/>
      <c r="L146" s="18"/>
      <c r="M146" s="18"/>
      <c r="N146" s="18"/>
      <c r="O146" s="18"/>
      <c r="P146" s="18"/>
      <c r="Q146" s="18"/>
      <c r="R146" s="18"/>
      <c r="S146" s="18"/>
      <c r="T146" s="18"/>
      <c r="U146" s="18"/>
      <c r="V146" s="18"/>
      <c r="W146" s="18"/>
      <c r="X146" s="18"/>
      <c r="Y146" s="18"/>
      <c r="Z146" s="18"/>
    </row>
    <row r="147" spans="1:26" s="20" customFormat="1" x14ac:dyDescent="0.2">
      <c r="A147" s="12"/>
      <c r="B147" s="18"/>
      <c r="C147" s="18"/>
      <c r="D147" s="18"/>
      <c r="E147" s="18"/>
      <c r="F147" s="18"/>
      <c r="G147" s="18"/>
      <c r="H147" s="18"/>
      <c r="I147" s="18"/>
      <c r="J147" s="18"/>
      <c r="K147" s="18"/>
      <c r="L147" s="18"/>
      <c r="M147" s="18"/>
      <c r="N147" s="18"/>
      <c r="O147" s="18"/>
      <c r="P147" s="18"/>
      <c r="Q147" s="18"/>
      <c r="R147" s="18"/>
      <c r="S147" s="18"/>
      <c r="T147" s="18"/>
      <c r="U147" s="18"/>
      <c r="V147" s="18"/>
      <c r="W147" s="18"/>
      <c r="X147" s="18"/>
      <c r="Y147" s="18"/>
      <c r="Z147" s="18"/>
    </row>
    <row r="148" spans="1:26" s="20" customFormat="1" x14ac:dyDescent="0.2">
      <c r="A148" s="12"/>
      <c r="B148" s="18"/>
      <c r="C148" s="18"/>
      <c r="D148" s="18"/>
      <c r="E148" s="18"/>
      <c r="F148" s="18"/>
      <c r="G148" s="18"/>
      <c r="H148" s="18"/>
      <c r="I148" s="18"/>
      <c r="J148" s="18"/>
      <c r="K148" s="18"/>
      <c r="L148" s="18"/>
      <c r="M148" s="18"/>
      <c r="N148" s="18"/>
      <c r="O148" s="18"/>
      <c r="P148" s="18"/>
      <c r="Q148" s="18"/>
      <c r="R148" s="18"/>
      <c r="S148" s="18"/>
      <c r="T148" s="18"/>
      <c r="U148" s="18"/>
      <c r="V148" s="18"/>
      <c r="W148" s="18"/>
      <c r="X148" s="18"/>
      <c r="Y148" s="18"/>
      <c r="Z148" s="18"/>
    </row>
    <row r="149" spans="1:26" s="20" customFormat="1" x14ac:dyDescent="0.2">
      <c r="A149" s="12"/>
      <c r="B149" s="18"/>
      <c r="C149" s="18"/>
      <c r="D149" s="18"/>
      <c r="E149" s="18"/>
      <c r="F149" s="18"/>
      <c r="G149" s="18"/>
      <c r="H149" s="18"/>
      <c r="I149" s="18"/>
      <c r="J149" s="18"/>
      <c r="K149" s="18"/>
      <c r="L149" s="18"/>
      <c r="M149" s="18"/>
      <c r="N149" s="18"/>
      <c r="O149" s="18"/>
      <c r="P149" s="18"/>
      <c r="Q149" s="18"/>
      <c r="R149" s="18"/>
      <c r="S149" s="18"/>
      <c r="T149" s="18"/>
      <c r="U149" s="18"/>
      <c r="V149" s="18"/>
      <c r="W149" s="18"/>
      <c r="X149" s="18"/>
      <c r="Y149" s="18"/>
      <c r="Z149" s="18"/>
    </row>
    <row r="150" spans="1:26" s="20" customFormat="1" x14ac:dyDescent="0.2">
      <c r="A150" s="12"/>
      <c r="B150" s="18"/>
      <c r="C150" s="18"/>
      <c r="D150" s="18"/>
      <c r="E150" s="18"/>
      <c r="F150" s="18"/>
      <c r="G150" s="18"/>
      <c r="H150" s="18"/>
      <c r="I150" s="18"/>
      <c r="J150" s="18"/>
      <c r="K150" s="18"/>
      <c r="L150" s="18"/>
      <c r="M150" s="18"/>
      <c r="N150" s="18"/>
      <c r="O150" s="18"/>
      <c r="P150" s="18"/>
      <c r="Q150" s="18"/>
      <c r="R150" s="18"/>
      <c r="S150" s="18"/>
      <c r="T150" s="18"/>
      <c r="U150" s="18"/>
      <c r="V150" s="18"/>
      <c r="W150" s="18"/>
      <c r="X150" s="18"/>
      <c r="Y150" s="18"/>
      <c r="Z150" s="18"/>
    </row>
    <row r="151" spans="1:26" s="20" customFormat="1" x14ac:dyDescent="0.2">
      <c r="A151" s="12"/>
      <c r="B151" s="18"/>
      <c r="C151" s="18"/>
      <c r="D151" s="18"/>
      <c r="E151" s="18"/>
      <c r="F151" s="18"/>
      <c r="G151" s="18"/>
      <c r="H151" s="18"/>
      <c r="I151" s="18"/>
      <c r="J151" s="18"/>
      <c r="K151" s="18"/>
      <c r="L151" s="18"/>
      <c r="M151" s="18"/>
      <c r="N151" s="18"/>
      <c r="O151" s="18"/>
      <c r="P151" s="18"/>
      <c r="Q151" s="18"/>
      <c r="R151" s="18"/>
      <c r="S151" s="18"/>
      <c r="T151" s="18"/>
      <c r="U151" s="18"/>
      <c r="V151" s="18"/>
      <c r="W151" s="18"/>
      <c r="X151" s="18"/>
      <c r="Y151" s="18"/>
      <c r="Z151" s="18"/>
    </row>
    <row r="152" spans="1:26" s="20" customFormat="1" x14ac:dyDescent="0.2">
      <c r="A152" s="12"/>
      <c r="B152" s="18"/>
      <c r="C152" s="18"/>
      <c r="D152" s="18"/>
      <c r="E152" s="18"/>
      <c r="F152" s="18"/>
      <c r="G152" s="18"/>
      <c r="H152" s="18"/>
      <c r="I152" s="18"/>
      <c r="J152" s="18"/>
      <c r="K152" s="18"/>
      <c r="L152" s="18"/>
      <c r="M152" s="18"/>
      <c r="N152" s="18"/>
      <c r="O152" s="18"/>
      <c r="P152" s="18"/>
      <c r="Q152" s="18"/>
      <c r="R152" s="18"/>
      <c r="S152" s="18"/>
      <c r="T152" s="18"/>
      <c r="U152" s="18"/>
      <c r="V152" s="18"/>
      <c r="W152" s="18"/>
      <c r="X152" s="18"/>
      <c r="Y152" s="18"/>
      <c r="Z152" s="18"/>
    </row>
    <row r="153" spans="1:26" s="20" customFormat="1" x14ac:dyDescent="0.2">
      <c r="A153" s="12"/>
      <c r="B153" s="18"/>
      <c r="C153" s="18"/>
      <c r="D153" s="18"/>
      <c r="E153" s="18"/>
      <c r="F153" s="18"/>
      <c r="G153" s="18"/>
      <c r="H153" s="18"/>
      <c r="I153" s="18"/>
      <c r="J153" s="18"/>
      <c r="K153" s="18"/>
      <c r="L153" s="18"/>
      <c r="M153" s="18"/>
      <c r="N153" s="18"/>
      <c r="O153" s="18"/>
      <c r="P153" s="18"/>
      <c r="Q153" s="18"/>
      <c r="R153" s="18"/>
      <c r="S153" s="18"/>
      <c r="T153" s="18"/>
      <c r="U153" s="18"/>
      <c r="V153" s="18"/>
      <c r="W153" s="18"/>
      <c r="X153" s="18"/>
      <c r="Y153" s="18"/>
      <c r="Z153" s="18"/>
    </row>
    <row r="154" spans="1:26" s="20" customFormat="1" x14ac:dyDescent="0.2">
      <c r="A154" s="12"/>
      <c r="B154" s="18"/>
      <c r="C154" s="18"/>
      <c r="D154" s="18"/>
      <c r="E154" s="18"/>
      <c r="F154" s="18"/>
      <c r="G154" s="18"/>
      <c r="H154" s="18"/>
      <c r="I154" s="18"/>
      <c r="J154" s="18"/>
      <c r="K154" s="18"/>
      <c r="L154" s="18"/>
      <c r="M154" s="18"/>
      <c r="N154" s="18"/>
      <c r="O154" s="18"/>
      <c r="P154" s="18"/>
      <c r="Q154" s="18"/>
      <c r="R154" s="18"/>
      <c r="S154" s="18"/>
      <c r="T154" s="18"/>
      <c r="U154" s="18"/>
      <c r="V154" s="18"/>
      <c r="W154" s="18"/>
      <c r="X154" s="18"/>
      <c r="Y154" s="18"/>
      <c r="Z154" s="18"/>
    </row>
    <row r="155" spans="1:26" s="20" customFormat="1" x14ac:dyDescent="0.2">
      <c r="A155" s="12"/>
      <c r="B155" s="18"/>
      <c r="C155" s="18"/>
      <c r="D155" s="18"/>
      <c r="E155" s="18"/>
      <c r="F155" s="18"/>
      <c r="G155" s="18"/>
      <c r="H155" s="18"/>
      <c r="I155" s="18"/>
      <c r="J155" s="18"/>
      <c r="K155" s="18"/>
      <c r="L155" s="18"/>
      <c r="M155" s="18"/>
      <c r="N155" s="18"/>
      <c r="O155" s="18"/>
      <c r="P155" s="18"/>
      <c r="Q155" s="18"/>
      <c r="R155" s="18"/>
      <c r="S155" s="18"/>
      <c r="T155" s="18"/>
      <c r="U155" s="18"/>
      <c r="V155" s="18"/>
      <c r="W155" s="18"/>
      <c r="X155" s="18"/>
      <c r="Y155" s="18"/>
      <c r="Z155" s="18"/>
    </row>
    <row r="156" spans="1:26" s="20" customFormat="1" x14ac:dyDescent="0.2">
      <c r="A156" s="12"/>
      <c r="B156" s="18"/>
      <c r="C156" s="18"/>
      <c r="D156" s="18"/>
      <c r="E156" s="18"/>
      <c r="F156" s="18"/>
      <c r="G156" s="18"/>
      <c r="H156" s="18"/>
      <c r="I156" s="18"/>
      <c r="J156" s="18"/>
      <c r="K156" s="18"/>
      <c r="L156" s="18"/>
      <c r="M156" s="18"/>
      <c r="N156" s="18"/>
      <c r="O156" s="18"/>
      <c r="P156" s="18"/>
      <c r="Q156" s="18"/>
      <c r="R156" s="18"/>
      <c r="S156" s="18"/>
      <c r="T156" s="18"/>
      <c r="U156" s="18"/>
      <c r="V156" s="18"/>
      <c r="W156" s="18"/>
      <c r="X156" s="18"/>
      <c r="Y156" s="18"/>
      <c r="Z156" s="18"/>
    </row>
    <row r="157" spans="1:26" s="20" customFormat="1" x14ac:dyDescent="0.2">
      <c r="A157" s="12"/>
      <c r="B157" s="18"/>
      <c r="C157" s="18"/>
      <c r="D157" s="18"/>
      <c r="E157" s="18"/>
      <c r="F157" s="18"/>
      <c r="G157" s="18"/>
      <c r="H157" s="18"/>
      <c r="I157" s="18"/>
      <c r="J157" s="18"/>
      <c r="K157" s="18"/>
      <c r="L157" s="18"/>
      <c r="M157" s="18"/>
      <c r="N157" s="18"/>
      <c r="O157" s="18"/>
      <c r="P157" s="18"/>
      <c r="Q157" s="18"/>
      <c r="R157" s="18"/>
      <c r="S157" s="18"/>
      <c r="T157" s="18"/>
      <c r="U157" s="18"/>
      <c r="V157" s="18"/>
      <c r="W157" s="18"/>
      <c r="X157" s="18"/>
      <c r="Y157" s="18"/>
      <c r="Z157" s="18"/>
    </row>
    <row r="158" spans="1:26" s="20" customFormat="1" x14ac:dyDescent="0.2">
      <c r="A158" s="12"/>
      <c r="B158" s="18"/>
      <c r="C158" s="18"/>
      <c r="D158" s="18"/>
      <c r="E158" s="18"/>
      <c r="F158" s="18"/>
      <c r="G158" s="18"/>
      <c r="H158" s="18"/>
      <c r="I158" s="18"/>
      <c r="J158" s="18"/>
      <c r="K158" s="18"/>
      <c r="L158" s="18"/>
      <c r="M158" s="18"/>
      <c r="N158" s="18"/>
      <c r="O158" s="18"/>
      <c r="P158" s="18"/>
      <c r="Q158" s="18"/>
      <c r="R158" s="18"/>
      <c r="S158" s="18"/>
      <c r="T158" s="18"/>
      <c r="U158" s="18"/>
      <c r="V158" s="18"/>
      <c r="W158" s="18"/>
      <c r="X158" s="18"/>
      <c r="Y158" s="18"/>
      <c r="Z158" s="18"/>
    </row>
    <row r="159" spans="1:26" s="20" customFormat="1" x14ac:dyDescent="0.2">
      <c r="A159" s="12"/>
      <c r="B159" s="18"/>
      <c r="C159" s="18"/>
      <c r="D159" s="18"/>
      <c r="E159" s="18"/>
      <c r="F159" s="18"/>
      <c r="G159" s="18"/>
      <c r="H159" s="18"/>
      <c r="I159" s="18"/>
      <c r="J159" s="18"/>
      <c r="K159" s="18"/>
      <c r="L159" s="18"/>
      <c r="M159" s="18"/>
      <c r="N159" s="18"/>
      <c r="O159" s="18"/>
      <c r="P159" s="18"/>
      <c r="Q159" s="18"/>
      <c r="R159" s="18"/>
      <c r="S159" s="18"/>
      <c r="T159" s="18"/>
      <c r="U159" s="18"/>
      <c r="V159" s="18"/>
      <c r="W159" s="18"/>
      <c r="X159" s="18"/>
      <c r="Y159" s="18"/>
      <c r="Z159" s="18"/>
    </row>
    <row r="160" spans="1:26" s="20" customFormat="1" x14ac:dyDescent="0.2">
      <c r="A160" s="12"/>
      <c r="B160" s="18"/>
      <c r="C160" s="18"/>
      <c r="D160" s="18"/>
      <c r="E160" s="18"/>
      <c r="F160" s="18"/>
      <c r="G160" s="18"/>
      <c r="H160" s="18"/>
      <c r="I160" s="18"/>
      <c r="J160" s="18"/>
      <c r="K160" s="18"/>
      <c r="L160" s="18"/>
      <c r="M160" s="18"/>
      <c r="N160" s="18"/>
      <c r="O160" s="18"/>
      <c r="P160" s="18"/>
      <c r="Q160" s="18"/>
      <c r="R160" s="18"/>
      <c r="S160" s="18"/>
      <c r="T160" s="18"/>
      <c r="U160" s="18"/>
      <c r="V160" s="18"/>
      <c r="W160" s="18"/>
      <c r="X160" s="18"/>
      <c r="Y160" s="18"/>
      <c r="Z160" s="18"/>
    </row>
    <row r="161" spans="1:26" s="20" customFormat="1" x14ac:dyDescent="0.2">
      <c r="A161" s="12"/>
      <c r="B161" s="18"/>
      <c r="C161" s="18"/>
      <c r="D161" s="18"/>
      <c r="E161" s="18"/>
      <c r="F161" s="18"/>
      <c r="G161" s="18"/>
      <c r="H161" s="18"/>
      <c r="I161" s="18"/>
      <c r="J161" s="18"/>
      <c r="K161" s="18"/>
      <c r="L161" s="18"/>
      <c r="M161" s="18"/>
      <c r="N161" s="18"/>
      <c r="O161" s="18"/>
      <c r="P161" s="18"/>
      <c r="Q161" s="18"/>
      <c r="R161" s="18"/>
      <c r="S161" s="18"/>
      <c r="T161" s="18"/>
      <c r="U161" s="18"/>
      <c r="V161" s="18"/>
      <c r="W161" s="18"/>
      <c r="X161" s="18"/>
      <c r="Y161" s="18"/>
      <c r="Z161" s="18"/>
    </row>
    <row r="162" spans="1:26" s="20" customFormat="1" x14ac:dyDescent="0.2">
      <c r="A162" s="12"/>
      <c r="B162" s="18"/>
      <c r="C162" s="18"/>
      <c r="D162" s="18"/>
      <c r="E162" s="18"/>
      <c r="F162" s="18"/>
      <c r="G162" s="18"/>
      <c r="H162" s="18"/>
      <c r="I162" s="18"/>
      <c r="J162" s="18"/>
      <c r="K162" s="18"/>
      <c r="L162" s="18"/>
      <c r="M162" s="18"/>
      <c r="N162" s="18"/>
      <c r="O162" s="18"/>
      <c r="P162" s="18"/>
      <c r="Q162" s="18"/>
      <c r="R162" s="18"/>
      <c r="S162" s="18"/>
      <c r="T162" s="18"/>
      <c r="U162" s="18"/>
      <c r="V162" s="18"/>
      <c r="W162" s="18"/>
      <c r="X162" s="18"/>
      <c r="Y162" s="18"/>
      <c r="Z162" s="18"/>
    </row>
    <row r="163" spans="1:26" s="20" customFormat="1" x14ac:dyDescent="0.2">
      <c r="A163" s="12"/>
      <c r="B163" s="18"/>
      <c r="C163" s="18"/>
      <c r="D163" s="18"/>
      <c r="E163" s="18"/>
      <c r="F163" s="18"/>
      <c r="G163" s="18"/>
      <c r="H163" s="18"/>
      <c r="I163" s="18"/>
      <c r="J163" s="18"/>
      <c r="K163" s="18"/>
      <c r="L163" s="18"/>
      <c r="M163" s="18"/>
      <c r="N163" s="18"/>
      <c r="O163" s="18"/>
      <c r="P163" s="18"/>
      <c r="Q163" s="18"/>
      <c r="R163" s="18"/>
      <c r="S163" s="18"/>
      <c r="T163" s="18"/>
      <c r="U163" s="18"/>
      <c r="V163" s="18"/>
      <c r="W163" s="18"/>
      <c r="X163" s="18"/>
      <c r="Y163" s="18"/>
      <c r="Z163" s="18"/>
    </row>
    <row r="164" spans="1:26" s="20" customFormat="1" x14ac:dyDescent="0.2">
      <c r="A164" s="12"/>
      <c r="B164" s="18"/>
      <c r="C164" s="18"/>
      <c r="D164" s="18"/>
      <c r="E164" s="18"/>
      <c r="F164" s="18"/>
      <c r="G164" s="18"/>
      <c r="H164" s="18"/>
      <c r="I164" s="18"/>
      <c r="J164" s="18"/>
      <c r="K164" s="18"/>
      <c r="L164" s="18"/>
      <c r="M164" s="18"/>
      <c r="N164" s="18"/>
      <c r="O164" s="18"/>
      <c r="P164" s="18"/>
      <c r="Q164" s="18"/>
      <c r="R164" s="18"/>
      <c r="S164" s="18"/>
      <c r="T164" s="18"/>
      <c r="U164" s="18"/>
      <c r="V164" s="18"/>
      <c r="W164" s="18"/>
      <c r="X164" s="18"/>
      <c r="Y164" s="18"/>
      <c r="Z164" s="18"/>
    </row>
    <row r="165" spans="1:26" s="20" customFormat="1" x14ac:dyDescent="0.2">
      <c r="A165" s="12"/>
      <c r="B165" s="18"/>
      <c r="C165" s="18"/>
      <c r="D165" s="18"/>
      <c r="E165" s="18"/>
      <c r="F165" s="18"/>
      <c r="G165" s="18"/>
      <c r="H165" s="18"/>
      <c r="I165" s="18"/>
      <c r="J165" s="18"/>
      <c r="K165" s="18"/>
      <c r="L165" s="18"/>
      <c r="M165" s="18"/>
      <c r="N165" s="18"/>
      <c r="O165" s="18"/>
      <c r="P165" s="18"/>
      <c r="Q165" s="18"/>
      <c r="R165" s="18"/>
      <c r="S165" s="18"/>
      <c r="T165" s="18"/>
      <c r="U165" s="18"/>
      <c r="V165" s="18"/>
      <c r="W165" s="18"/>
      <c r="X165" s="18"/>
      <c r="Y165" s="18"/>
      <c r="Z165" s="18"/>
    </row>
    <row r="166" spans="1:26" s="20" customFormat="1" x14ac:dyDescent="0.2">
      <c r="A166" s="12"/>
      <c r="B166" s="18"/>
      <c r="C166" s="18"/>
      <c r="D166" s="18"/>
      <c r="E166" s="18"/>
      <c r="F166" s="18"/>
      <c r="G166" s="18"/>
      <c r="H166" s="18"/>
      <c r="I166" s="18"/>
      <c r="J166" s="18"/>
      <c r="K166" s="18"/>
      <c r="L166" s="18"/>
      <c r="M166" s="18"/>
      <c r="N166" s="18"/>
      <c r="O166" s="18"/>
      <c r="P166" s="18"/>
      <c r="Q166" s="18"/>
      <c r="R166" s="18"/>
      <c r="S166" s="18"/>
      <c r="T166" s="18"/>
      <c r="U166" s="18"/>
      <c r="V166" s="18"/>
      <c r="W166" s="18"/>
      <c r="X166" s="18"/>
      <c r="Y166" s="18"/>
      <c r="Z166" s="18"/>
    </row>
    <row r="167" spans="1:26" s="20" customFormat="1" x14ac:dyDescent="0.2">
      <c r="A167" s="12"/>
      <c r="B167" s="18"/>
      <c r="C167" s="18"/>
      <c r="D167" s="18"/>
      <c r="E167" s="18"/>
      <c r="F167" s="18"/>
      <c r="G167" s="18"/>
      <c r="H167" s="18"/>
      <c r="I167" s="18"/>
      <c r="J167" s="18"/>
      <c r="K167" s="18"/>
      <c r="L167" s="18"/>
      <c r="M167" s="18"/>
      <c r="N167" s="18"/>
      <c r="O167" s="18"/>
      <c r="P167" s="18"/>
      <c r="Q167" s="18"/>
      <c r="R167" s="18"/>
      <c r="S167" s="18"/>
      <c r="T167" s="18"/>
      <c r="U167" s="18"/>
      <c r="V167" s="18"/>
      <c r="W167" s="18"/>
      <c r="X167" s="18"/>
      <c r="Y167" s="18"/>
      <c r="Z167" s="18"/>
    </row>
    <row r="168" spans="1:26" s="20" customFormat="1" x14ac:dyDescent="0.2">
      <c r="A168" s="12"/>
      <c r="B168" s="18"/>
      <c r="C168" s="18"/>
      <c r="D168" s="18"/>
      <c r="E168" s="18"/>
      <c r="F168" s="18"/>
      <c r="G168" s="18"/>
      <c r="H168" s="18"/>
      <c r="I168" s="18"/>
      <c r="J168" s="18"/>
      <c r="K168" s="18"/>
      <c r="L168" s="18"/>
      <c r="M168" s="18"/>
      <c r="N168" s="18"/>
      <c r="O168" s="18"/>
      <c r="P168" s="18"/>
      <c r="Q168" s="18"/>
      <c r="R168" s="18"/>
      <c r="S168" s="18"/>
      <c r="T168" s="18"/>
      <c r="U168" s="18"/>
      <c r="V168" s="18"/>
      <c r="W168" s="18"/>
      <c r="X168" s="18"/>
      <c r="Y168" s="18"/>
      <c r="Z168" s="18"/>
    </row>
    <row r="169" spans="1:26" s="20" customFormat="1" x14ac:dyDescent="0.2">
      <c r="A169" s="12"/>
      <c r="B169" s="18"/>
      <c r="C169" s="18"/>
      <c r="D169" s="18"/>
      <c r="E169" s="18"/>
      <c r="F169" s="18"/>
      <c r="G169" s="18"/>
      <c r="H169" s="18"/>
      <c r="I169" s="18"/>
      <c r="J169" s="18"/>
      <c r="K169" s="18"/>
      <c r="L169" s="18"/>
      <c r="M169" s="18"/>
      <c r="N169" s="18"/>
      <c r="O169" s="18"/>
      <c r="P169" s="18"/>
      <c r="Q169" s="18"/>
      <c r="R169" s="18"/>
      <c r="S169" s="18"/>
      <c r="T169" s="18"/>
      <c r="U169" s="18"/>
      <c r="V169" s="18"/>
      <c r="W169" s="18"/>
      <c r="X169" s="18"/>
      <c r="Y169" s="18"/>
      <c r="Z169" s="18"/>
    </row>
    <row r="170" spans="1:26" s="20" customFormat="1" x14ac:dyDescent="0.2">
      <c r="A170" s="12"/>
      <c r="B170" s="18"/>
      <c r="C170" s="18"/>
      <c r="D170" s="18"/>
      <c r="E170" s="18"/>
      <c r="F170" s="18"/>
      <c r="G170" s="18"/>
      <c r="H170" s="18"/>
      <c r="I170" s="18"/>
      <c r="J170" s="18"/>
      <c r="K170" s="18"/>
      <c r="L170" s="18"/>
      <c r="M170" s="18"/>
      <c r="N170" s="18"/>
      <c r="O170" s="18"/>
      <c r="P170" s="18"/>
      <c r="Q170" s="18"/>
      <c r="R170" s="18"/>
      <c r="S170" s="18"/>
      <c r="T170" s="18"/>
      <c r="U170" s="18"/>
      <c r="V170" s="18"/>
      <c r="W170" s="18"/>
      <c r="X170" s="18"/>
      <c r="Y170" s="18"/>
      <c r="Z170" s="18"/>
    </row>
    <row r="171" spans="1:26" s="20" customFormat="1" x14ac:dyDescent="0.2">
      <c r="A171" s="12"/>
      <c r="B171" s="18"/>
      <c r="C171" s="18"/>
      <c r="D171" s="18"/>
      <c r="E171" s="18"/>
      <c r="F171" s="18"/>
      <c r="G171" s="18"/>
      <c r="H171" s="18"/>
      <c r="I171" s="18"/>
      <c r="J171" s="18"/>
      <c r="K171" s="18"/>
      <c r="L171" s="18"/>
      <c r="M171" s="18"/>
      <c r="N171" s="18"/>
      <c r="O171" s="18"/>
      <c r="P171" s="18"/>
      <c r="Q171" s="18"/>
      <c r="R171" s="18"/>
      <c r="S171" s="18"/>
      <c r="T171" s="18"/>
      <c r="U171" s="18"/>
      <c r="V171" s="18"/>
      <c r="W171" s="18"/>
      <c r="X171" s="18"/>
      <c r="Y171" s="18"/>
      <c r="Z171" s="18"/>
    </row>
    <row r="172" spans="1:26" s="20" customFormat="1" x14ac:dyDescent="0.2">
      <c r="A172" s="12"/>
      <c r="B172" s="18"/>
      <c r="C172" s="18"/>
      <c r="D172" s="18"/>
      <c r="E172" s="18"/>
      <c r="F172" s="18"/>
      <c r="G172" s="18"/>
      <c r="H172" s="18"/>
      <c r="I172" s="18"/>
      <c r="J172" s="18"/>
      <c r="K172" s="18"/>
      <c r="L172" s="18"/>
      <c r="M172" s="18"/>
      <c r="N172" s="18"/>
      <c r="O172" s="18"/>
      <c r="P172" s="18"/>
      <c r="Q172" s="18"/>
      <c r="R172" s="18"/>
      <c r="S172" s="18"/>
      <c r="T172" s="18"/>
      <c r="U172" s="18"/>
      <c r="V172" s="18"/>
      <c r="W172" s="18"/>
      <c r="X172" s="18"/>
      <c r="Y172" s="18"/>
      <c r="Z172" s="18"/>
    </row>
    <row r="173" spans="1:26" s="20" customFormat="1" x14ac:dyDescent="0.2">
      <c r="A173" s="12"/>
      <c r="B173" s="18"/>
      <c r="C173" s="18"/>
      <c r="D173" s="18"/>
      <c r="E173" s="18"/>
      <c r="F173" s="18"/>
      <c r="G173" s="18"/>
      <c r="H173" s="18"/>
      <c r="I173" s="18"/>
      <c r="J173" s="18"/>
      <c r="K173" s="18"/>
      <c r="L173" s="18"/>
      <c r="M173" s="18"/>
      <c r="N173" s="18"/>
      <c r="O173" s="18"/>
      <c r="P173" s="18"/>
      <c r="Q173" s="18"/>
      <c r="R173" s="18"/>
      <c r="S173" s="18"/>
      <c r="T173" s="18"/>
      <c r="U173" s="18"/>
      <c r="V173" s="18"/>
      <c r="W173" s="18"/>
      <c r="X173" s="18"/>
      <c r="Y173" s="18"/>
      <c r="Z173" s="18"/>
    </row>
    <row r="174" spans="1:26" s="20" customFormat="1" x14ac:dyDescent="0.2">
      <c r="A174" s="12"/>
      <c r="B174" s="18"/>
      <c r="C174" s="18"/>
      <c r="D174" s="18"/>
      <c r="E174" s="18"/>
      <c r="F174" s="18"/>
      <c r="G174" s="18"/>
      <c r="H174" s="18"/>
      <c r="I174" s="18"/>
      <c r="J174" s="18"/>
      <c r="K174" s="18"/>
      <c r="L174" s="18"/>
      <c r="M174" s="18"/>
      <c r="N174" s="18"/>
      <c r="O174" s="18"/>
      <c r="P174" s="18"/>
      <c r="Q174" s="18"/>
      <c r="R174" s="18"/>
      <c r="S174" s="18"/>
      <c r="T174" s="18"/>
      <c r="U174" s="18"/>
      <c r="V174" s="18"/>
      <c r="W174" s="18"/>
      <c r="X174" s="18"/>
      <c r="Y174" s="18"/>
      <c r="Z174" s="18"/>
    </row>
    <row r="175" spans="1:26" s="20" customFormat="1" x14ac:dyDescent="0.2">
      <c r="A175" s="12"/>
      <c r="B175" s="18"/>
      <c r="C175" s="18"/>
      <c r="D175" s="18"/>
      <c r="E175" s="18"/>
      <c r="F175" s="18"/>
      <c r="G175" s="18"/>
      <c r="H175" s="18"/>
      <c r="I175" s="18"/>
      <c r="J175" s="18"/>
      <c r="K175" s="18"/>
      <c r="L175" s="18"/>
      <c r="M175" s="18"/>
      <c r="N175" s="18"/>
      <c r="O175" s="18"/>
      <c r="P175" s="18"/>
      <c r="Q175" s="18"/>
      <c r="R175" s="18"/>
      <c r="S175" s="18"/>
      <c r="T175" s="18"/>
      <c r="U175" s="18"/>
      <c r="V175" s="18"/>
      <c r="W175" s="18"/>
      <c r="X175" s="18"/>
      <c r="Y175" s="18"/>
      <c r="Z175" s="18"/>
    </row>
    <row r="176" spans="1:26" s="20" customFormat="1" x14ac:dyDescent="0.2">
      <c r="A176" s="12"/>
      <c r="B176" s="18"/>
      <c r="C176" s="18"/>
      <c r="D176" s="18"/>
      <c r="E176" s="18"/>
      <c r="F176" s="18"/>
      <c r="G176" s="18"/>
      <c r="H176" s="18"/>
      <c r="I176" s="18"/>
      <c r="J176" s="18"/>
      <c r="K176" s="18"/>
      <c r="L176" s="18"/>
      <c r="M176" s="18"/>
      <c r="N176" s="18"/>
      <c r="O176" s="18"/>
      <c r="P176" s="18"/>
      <c r="Q176" s="18"/>
      <c r="R176" s="18"/>
      <c r="S176" s="18"/>
      <c r="T176" s="18"/>
      <c r="U176" s="18"/>
      <c r="V176" s="18"/>
      <c r="W176" s="18"/>
      <c r="X176" s="18"/>
      <c r="Y176" s="18"/>
      <c r="Z176" s="18"/>
    </row>
    <row r="177" spans="1:26" s="20" customFormat="1" x14ac:dyDescent="0.2">
      <c r="A177" s="12"/>
      <c r="B177" s="18"/>
      <c r="C177" s="18"/>
      <c r="D177" s="18"/>
      <c r="E177" s="18"/>
      <c r="F177" s="18"/>
      <c r="G177" s="18"/>
      <c r="H177" s="18"/>
      <c r="I177" s="18"/>
      <c r="J177" s="18"/>
      <c r="K177" s="18"/>
      <c r="L177" s="18"/>
      <c r="M177" s="18"/>
      <c r="N177" s="18"/>
      <c r="O177" s="18"/>
      <c r="P177" s="18"/>
      <c r="Q177" s="18"/>
      <c r="R177" s="18"/>
      <c r="S177" s="18"/>
      <c r="T177" s="18"/>
      <c r="U177" s="18"/>
      <c r="V177" s="18"/>
      <c r="W177" s="18"/>
      <c r="X177" s="18"/>
      <c r="Y177" s="18"/>
      <c r="Z177" s="18"/>
    </row>
    <row r="178" spans="1:26" s="20" customFormat="1" x14ac:dyDescent="0.2">
      <c r="A178" s="12"/>
      <c r="B178" s="18"/>
      <c r="C178" s="18"/>
      <c r="D178" s="18"/>
      <c r="E178" s="18"/>
      <c r="F178" s="18"/>
      <c r="G178" s="18"/>
      <c r="H178" s="18"/>
      <c r="I178" s="18"/>
      <c r="J178" s="18"/>
      <c r="K178" s="18"/>
      <c r="L178" s="18"/>
      <c r="M178" s="18"/>
      <c r="N178" s="18"/>
      <c r="O178" s="18"/>
      <c r="P178" s="18"/>
      <c r="Q178" s="18"/>
      <c r="R178" s="18"/>
      <c r="S178" s="18"/>
      <c r="T178" s="18"/>
      <c r="U178" s="18"/>
      <c r="V178" s="18"/>
      <c r="W178" s="18"/>
      <c r="X178" s="18"/>
      <c r="Y178" s="18"/>
      <c r="Z178" s="18"/>
    </row>
    <row r="179" spans="1:26" s="20" customFormat="1" x14ac:dyDescent="0.2">
      <c r="A179" s="12"/>
      <c r="B179" s="18"/>
      <c r="C179" s="18"/>
      <c r="D179" s="18"/>
      <c r="E179" s="18"/>
      <c r="F179" s="18"/>
      <c r="G179" s="18"/>
      <c r="H179" s="18"/>
      <c r="I179" s="18"/>
      <c r="J179" s="18"/>
      <c r="K179" s="18"/>
      <c r="L179" s="18"/>
      <c r="M179" s="18"/>
      <c r="N179" s="18"/>
      <c r="O179" s="18"/>
      <c r="P179" s="18"/>
      <c r="Q179" s="18"/>
      <c r="R179" s="18"/>
      <c r="S179" s="18"/>
      <c r="T179" s="18"/>
      <c r="U179" s="18"/>
      <c r="V179" s="18"/>
      <c r="W179" s="18"/>
      <c r="X179" s="18"/>
      <c r="Y179" s="18"/>
      <c r="Z179" s="18"/>
    </row>
    <row r="180" spans="1:26" s="20" customFormat="1" x14ac:dyDescent="0.2">
      <c r="A180" s="12"/>
      <c r="B180" s="18"/>
      <c r="C180" s="18"/>
      <c r="D180" s="18"/>
      <c r="E180" s="18"/>
      <c r="F180" s="18"/>
      <c r="G180" s="18"/>
      <c r="H180" s="18"/>
      <c r="I180" s="18"/>
      <c r="J180" s="18"/>
      <c r="K180" s="18"/>
      <c r="L180" s="18"/>
      <c r="M180" s="18"/>
      <c r="N180" s="18"/>
      <c r="O180" s="18"/>
      <c r="P180" s="18"/>
      <c r="Q180" s="18"/>
      <c r="R180" s="18"/>
      <c r="S180" s="18"/>
      <c r="T180" s="18"/>
      <c r="U180" s="18"/>
      <c r="V180" s="18"/>
      <c r="W180" s="18"/>
      <c r="X180" s="18"/>
      <c r="Y180" s="18"/>
      <c r="Z180" s="18"/>
    </row>
    <row r="181" spans="1:26" s="20" customFormat="1" x14ac:dyDescent="0.2">
      <c r="A181" s="12"/>
      <c r="B181" s="18"/>
      <c r="C181" s="18"/>
      <c r="D181" s="18"/>
      <c r="E181" s="18"/>
      <c r="F181" s="18"/>
      <c r="G181" s="18"/>
      <c r="H181" s="18"/>
      <c r="I181" s="18"/>
      <c r="J181" s="18"/>
      <c r="K181" s="18"/>
      <c r="L181" s="18"/>
      <c r="M181" s="18"/>
      <c r="N181" s="18"/>
      <c r="O181" s="18"/>
      <c r="P181" s="18"/>
      <c r="Q181" s="18"/>
      <c r="R181" s="18"/>
      <c r="S181" s="18"/>
      <c r="T181" s="18"/>
      <c r="U181" s="18"/>
      <c r="V181" s="18"/>
      <c r="W181" s="18"/>
      <c r="X181" s="18"/>
      <c r="Y181" s="18"/>
      <c r="Z181" s="18"/>
    </row>
    <row r="182" spans="1:26" s="20" customFormat="1" x14ac:dyDescent="0.2">
      <c r="A182" s="12"/>
      <c r="B182" s="18"/>
      <c r="C182" s="18"/>
      <c r="D182" s="18"/>
      <c r="E182" s="18"/>
      <c r="F182" s="18"/>
      <c r="G182" s="18"/>
      <c r="H182" s="18"/>
      <c r="I182" s="18"/>
      <c r="J182" s="18"/>
      <c r="K182" s="18"/>
      <c r="L182" s="18"/>
      <c r="M182" s="18"/>
      <c r="N182" s="18"/>
      <c r="O182" s="18"/>
      <c r="P182" s="18"/>
      <c r="Q182" s="18"/>
      <c r="R182" s="18"/>
      <c r="S182" s="18"/>
      <c r="T182" s="18"/>
      <c r="U182" s="18"/>
      <c r="V182" s="18"/>
      <c r="W182" s="18"/>
      <c r="X182" s="18"/>
      <c r="Y182" s="18"/>
      <c r="Z182" s="18"/>
    </row>
    <row r="183" spans="1:26" s="20" customFormat="1" x14ac:dyDescent="0.2">
      <c r="A183" s="12"/>
      <c r="B183" s="18"/>
      <c r="C183" s="18"/>
      <c r="D183" s="18"/>
      <c r="E183" s="18"/>
      <c r="F183" s="18"/>
      <c r="G183" s="18"/>
      <c r="H183" s="18"/>
      <c r="I183" s="18"/>
      <c r="J183" s="18"/>
      <c r="K183" s="18"/>
      <c r="L183" s="18"/>
      <c r="M183" s="18"/>
      <c r="N183" s="18"/>
      <c r="O183" s="18"/>
      <c r="P183" s="18"/>
      <c r="Q183" s="18"/>
      <c r="R183" s="18"/>
      <c r="S183" s="18"/>
      <c r="T183" s="18"/>
      <c r="U183" s="18"/>
      <c r="V183" s="18"/>
      <c r="W183" s="18"/>
      <c r="X183" s="18"/>
      <c r="Y183" s="18"/>
      <c r="Z183" s="18"/>
    </row>
    <row r="184" spans="1:26" s="20" customFormat="1" x14ac:dyDescent="0.2">
      <c r="A184" s="12"/>
      <c r="B184" s="18"/>
      <c r="C184" s="18"/>
      <c r="D184" s="18"/>
      <c r="E184" s="18"/>
      <c r="F184" s="18"/>
      <c r="G184" s="18"/>
      <c r="H184" s="18"/>
      <c r="I184" s="18"/>
      <c r="J184" s="18"/>
      <c r="K184" s="18"/>
      <c r="L184" s="18"/>
      <c r="M184" s="18"/>
      <c r="N184" s="18"/>
      <c r="O184" s="18"/>
      <c r="P184" s="18"/>
      <c r="Q184" s="18"/>
      <c r="R184" s="18"/>
      <c r="S184" s="18"/>
      <c r="T184" s="18"/>
      <c r="U184" s="18"/>
      <c r="V184" s="18"/>
      <c r="W184" s="18"/>
      <c r="X184" s="18"/>
      <c r="Y184" s="18"/>
      <c r="Z184" s="18"/>
    </row>
    <row r="185" spans="1:26" s="20" customFormat="1" x14ac:dyDescent="0.2">
      <c r="A185" s="12"/>
      <c r="B185" s="18"/>
      <c r="C185" s="18"/>
      <c r="D185" s="18"/>
      <c r="E185" s="18"/>
      <c r="F185" s="18"/>
      <c r="G185" s="18"/>
      <c r="H185" s="18"/>
      <c r="I185" s="18"/>
      <c r="J185" s="18"/>
      <c r="K185" s="18"/>
      <c r="L185" s="18"/>
      <c r="M185" s="18"/>
      <c r="N185" s="18"/>
      <c r="O185" s="18"/>
      <c r="P185" s="18"/>
      <c r="Q185" s="18"/>
      <c r="R185" s="18"/>
      <c r="S185" s="18"/>
      <c r="T185" s="18"/>
      <c r="U185" s="18"/>
      <c r="V185" s="18"/>
      <c r="W185" s="18"/>
      <c r="X185" s="18"/>
      <c r="Y185" s="18"/>
      <c r="Z185" s="18"/>
    </row>
    <row r="186" spans="1:26" s="20" customFormat="1" x14ac:dyDescent="0.2">
      <c r="A186" s="12"/>
      <c r="B186" s="18"/>
      <c r="C186" s="18"/>
      <c r="D186" s="18"/>
      <c r="E186" s="18"/>
      <c r="F186" s="18"/>
      <c r="G186" s="18"/>
      <c r="H186" s="18"/>
      <c r="I186" s="18"/>
      <c r="J186" s="18"/>
      <c r="K186" s="18"/>
      <c r="L186" s="18"/>
      <c r="M186" s="18"/>
      <c r="N186" s="18"/>
      <c r="O186" s="18"/>
      <c r="P186" s="18"/>
      <c r="Q186" s="18"/>
      <c r="R186" s="18"/>
      <c r="S186" s="18"/>
      <c r="T186" s="18"/>
      <c r="U186" s="18"/>
      <c r="V186" s="18"/>
      <c r="W186" s="18"/>
      <c r="X186" s="18"/>
      <c r="Y186" s="18"/>
      <c r="Z186" s="18"/>
    </row>
    <row r="187" spans="1:26" s="20" customFormat="1" x14ac:dyDescent="0.2">
      <c r="A187" s="12"/>
      <c r="B187" s="18"/>
      <c r="C187" s="18"/>
      <c r="D187" s="18"/>
      <c r="E187" s="18"/>
      <c r="F187" s="18"/>
      <c r="G187" s="18"/>
      <c r="H187" s="18"/>
      <c r="I187" s="18"/>
      <c r="J187" s="18"/>
      <c r="K187" s="18"/>
      <c r="L187" s="18"/>
      <c r="M187" s="18"/>
      <c r="N187" s="18"/>
      <c r="O187" s="18"/>
      <c r="P187" s="18"/>
      <c r="Q187" s="18"/>
      <c r="R187" s="18"/>
      <c r="S187" s="18"/>
      <c r="T187" s="18"/>
      <c r="U187" s="18"/>
      <c r="V187" s="18"/>
      <c r="W187" s="18"/>
      <c r="X187" s="18"/>
      <c r="Y187" s="18"/>
      <c r="Z187" s="18"/>
    </row>
    <row r="188" spans="1:26" s="20" customFormat="1" x14ac:dyDescent="0.2">
      <c r="A188" s="12"/>
      <c r="B188" s="18"/>
      <c r="C188" s="18"/>
      <c r="D188" s="18"/>
      <c r="E188" s="18"/>
      <c r="F188" s="18"/>
      <c r="G188" s="18"/>
      <c r="H188" s="18"/>
      <c r="I188" s="18"/>
      <c r="J188" s="18"/>
      <c r="K188" s="18"/>
      <c r="L188" s="18"/>
      <c r="M188" s="18"/>
      <c r="N188" s="18"/>
      <c r="O188" s="18"/>
      <c r="P188" s="18"/>
      <c r="Q188" s="18"/>
      <c r="R188" s="18"/>
      <c r="S188" s="18"/>
      <c r="T188" s="18"/>
      <c r="U188" s="18"/>
      <c r="V188" s="18"/>
      <c r="W188" s="18"/>
      <c r="X188" s="18"/>
      <c r="Y188" s="18"/>
      <c r="Z188" s="18"/>
    </row>
    <row r="189" spans="1:26" s="20" customFormat="1" x14ac:dyDescent="0.2">
      <c r="A189" s="12"/>
      <c r="B189" s="18"/>
      <c r="C189" s="18"/>
      <c r="D189" s="18"/>
      <c r="E189" s="18"/>
      <c r="F189" s="18"/>
      <c r="G189" s="18"/>
      <c r="H189" s="18"/>
      <c r="I189" s="18"/>
      <c r="J189" s="18"/>
      <c r="K189" s="18"/>
      <c r="L189" s="18"/>
      <c r="M189" s="18"/>
      <c r="N189" s="18"/>
      <c r="O189" s="18"/>
      <c r="P189" s="18"/>
      <c r="Q189" s="18"/>
      <c r="R189" s="18"/>
      <c r="S189" s="18"/>
      <c r="T189" s="18"/>
      <c r="U189" s="18"/>
      <c r="V189" s="18"/>
      <c r="W189" s="18"/>
      <c r="X189" s="18"/>
      <c r="Y189" s="18"/>
      <c r="Z189" s="18"/>
    </row>
    <row r="190" spans="1:26" s="20" customFormat="1" x14ac:dyDescent="0.2">
      <c r="A190" s="12"/>
      <c r="B190" s="18"/>
      <c r="C190" s="18"/>
      <c r="D190" s="18"/>
      <c r="E190" s="18"/>
      <c r="F190" s="18"/>
      <c r="G190" s="18"/>
      <c r="H190" s="18"/>
      <c r="I190" s="18"/>
      <c r="J190" s="18"/>
      <c r="K190" s="18"/>
      <c r="L190" s="18"/>
      <c r="M190" s="18"/>
      <c r="N190" s="18"/>
      <c r="O190" s="18"/>
      <c r="P190" s="18"/>
      <c r="Q190" s="18"/>
      <c r="R190" s="18"/>
      <c r="S190" s="18"/>
      <c r="T190" s="18"/>
      <c r="U190" s="18"/>
      <c r="V190" s="18"/>
      <c r="W190" s="18"/>
      <c r="X190" s="18"/>
      <c r="Y190" s="18"/>
      <c r="Z190" s="18"/>
    </row>
    <row r="191" spans="1:26" s="20" customFormat="1" x14ac:dyDescent="0.2">
      <c r="A191" s="12"/>
      <c r="B191" s="18"/>
      <c r="C191" s="18"/>
      <c r="D191" s="18"/>
      <c r="E191" s="18"/>
      <c r="F191" s="18"/>
      <c r="G191" s="18"/>
      <c r="H191" s="18"/>
      <c r="I191" s="18"/>
      <c r="J191" s="18"/>
      <c r="K191" s="18"/>
      <c r="L191" s="18"/>
      <c r="M191" s="18"/>
      <c r="N191" s="18"/>
      <c r="O191" s="18"/>
      <c r="P191" s="18"/>
      <c r="Q191" s="18"/>
      <c r="R191" s="18"/>
      <c r="S191" s="18"/>
      <c r="T191" s="18"/>
      <c r="U191" s="18"/>
      <c r="V191" s="18"/>
      <c r="W191" s="18"/>
      <c r="X191" s="18"/>
      <c r="Y191" s="18"/>
      <c r="Z191" s="18"/>
    </row>
    <row r="192" spans="1:26" s="20" customFormat="1" x14ac:dyDescent="0.2">
      <c r="A192" s="12"/>
      <c r="B192" s="18"/>
      <c r="C192" s="18"/>
      <c r="D192" s="18"/>
      <c r="E192" s="18"/>
      <c r="F192" s="18"/>
      <c r="G192" s="18"/>
      <c r="H192" s="18"/>
      <c r="I192" s="18"/>
      <c r="J192" s="18"/>
      <c r="K192" s="18"/>
      <c r="L192" s="18"/>
      <c r="M192" s="18"/>
      <c r="N192" s="18"/>
      <c r="O192" s="18"/>
      <c r="P192" s="18"/>
      <c r="Q192" s="18"/>
      <c r="R192" s="18"/>
      <c r="S192" s="18"/>
      <c r="T192" s="18"/>
      <c r="U192" s="18"/>
      <c r="V192" s="18"/>
      <c r="W192" s="18"/>
      <c r="X192" s="18"/>
      <c r="Y192" s="18"/>
      <c r="Z192" s="18"/>
    </row>
    <row r="193" spans="1:26" s="20" customFormat="1" x14ac:dyDescent="0.2">
      <c r="A193" s="12"/>
      <c r="B193" s="18"/>
      <c r="C193" s="18"/>
      <c r="D193" s="18"/>
      <c r="E193" s="18"/>
      <c r="F193" s="18"/>
      <c r="G193" s="18"/>
      <c r="H193" s="18"/>
      <c r="I193" s="18"/>
      <c r="J193" s="18"/>
      <c r="K193" s="18"/>
      <c r="L193" s="18"/>
      <c r="M193" s="18"/>
      <c r="N193" s="18"/>
      <c r="O193" s="18"/>
      <c r="P193" s="18"/>
      <c r="Q193" s="18"/>
      <c r="R193" s="18"/>
      <c r="S193" s="18"/>
      <c r="T193" s="18"/>
      <c r="U193" s="18"/>
      <c r="V193" s="18"/>
      <c r="W193" s="18"/>
      <c r="X193" s="18"/>
      <c r="Y193" s="18"/>
      <c r="Z193" s="18"/>
    </row>
    <row r="194" spans="1:26" s="20" customFormat="1" x14ac:dyDescent="0.2">
      <c r="A194" s="12"/>
      <c r="B194" s="18"/>
      <c r="C194" s="18"/>
      <c r="D194" s="18"/>
      <c r="E194" s="18"/>
      <c r="F194" s="18"/>
      <c r="G194" s="18"/>
      <c r="H194" s="18"/>
      <c r="I194" s="18"/>
      <c r="J194" s="18"/>
      <c r="K194" s="18"/>
      <c r="L194" s="18"/>
      <c r="M194" s="18"/>
      <c r="N194" s="18"/>
      <c r="O194" s="18"/>
      <c r="P194" s="18"/>
      <c r="Q194" s="18"/>
      <c r="R194" s="18"/>
      <c r="S194" s="18"/>
      <c r="T194" s="18"/>
      <c r="U194" s="18"/>
      <c r="V194" s="18"/>
      <c r="W194" s="18"/>
      <c r="X194" s="18"/>
      <c r="Y194" s="18"/>
      <c r="Z194" s="18"/>
    </row>
    <row r="195" spans="1:26" s="20" customFormat="1" x14ac:dyDescent="0.2">
      <c r="A195" s="12"/>
      <c r="B195" s="18"/>
      <c r="C195" s="18"/>
      <c r="D195" s="18"/>
      <c r="E195" s="18"/>
      <c r="F195" s="18"/>
      <c r="G195" s="18"/>
      <c r="H195" s="18"/>
      <c r="I195" s="18"/>
      <c r="J195" s="18"/>
      <c r="K195" s="18"/>
      <c r="L195" s="18"/>
      <c r="M195" s="18"/>
      <c r="N195" s="18"/>
      <c r="O195" s="18"/>
      <c r="P195" s="18"/>
      <c r="Q195" s="18"/>
      <c r="R195" s="18"/>
      <c r="S195" s="18"/>
      <c r="T195" s="18"/>
      <c r="U195" s="18"/>
      <c r="V195" s="18"/>
      <c r="W195" s="18"/>
      <c r="X195" s="18"/>
      <c r="Y195" s="18"/>
      <c r="Z195" s="18"/>
    </row>
    <row r="196" spans="1:26" s="20" customFormat="1" x14ac:dyDescent="0.2">
      <c r="A196" s="12"/>
      <c r="B196" s="18"/>
      <c r="C196" s="18"/>
      <c r="D196" s="18"/>
      <c r="E196" s="18"/>
      <c r="F196" s="18"/>
      <c r="G196" s="18"/>
      <c r="H196" s="18"/>
      <c r="I196" s="18"/>
      <c r="J196" s="18"/>
      <c r="K196" s="18"/>
      <c r="L196" s="18"/>
      <c r="M196" s="18"/>
      <c r="N196" s="18"/>
      <c r="O196" s="18"/>
      <c r="P196" s="18"/>
      <c r="Q196" s="18"/>
      <c r="R196" s="18"/>
      <c r="S196" s="18"/>
      <c r="T196" s="18"/>
      <c r="U196" s="18"/>
      <c r="V196" s="18"/>
      <c r="W196" s="18"/>
      <c r="X196" s="18"/>
      <c r="Y196" s="18"/>
      <c r="Z196" s="18"/>
    </row>
    <row r="197" spans="1:26" s="20" customFormat="1" x14ac:dyDescent="0.2">
      <c r="A197" s="12"/>
      <c r="B197" s="18"/>
      <c r="C197" s="18"/>
      <c r="D197" s="18"/>
      <c r="E197" s="18"/>
      <c r="F197" s="18"/>
      <c r="G197" s="18"/>
      <c r="H197" s="18"/>
      <c r="I197" s="18"/>
      <c r="J197" s="18"/>
      <c r="K197" s="18"/>
      <c r="L197" s="18"/>
      <c r="M197" s="18"/>
      <c r="N197" s="18"/>
      <c r="O197" s="18"/>
      <c r="P197" s="18"/>
      <c r="Q197" s="18"/>
      <c r="R197" s="18"/>
      <c r="S197" s="18"/>
      <c r="T197" s="18"/>
      <c r="U197" s="18"/>
      <c r="V197" s="18"/>
      <c r="W197" s="18"/>
      <c r="X197" s="18"/>
      <c r="Y197" s="18"/>
      <c r="Z197" s="18"/>
    </row>
    <row r="198" spans="1:26" s="20" customFormat="1" x14ac:dyDescent="0.2">
      <c r="A198" s="12"/>
      <c r="B198" s="18"/>
      <c r="C198" s="18"/>
      <c r="D198" s="18"/>
      <c r="E198" s="18"/>
      <c r="F198" s="18"/>
      <c r="G198" s="18"/>
      <c r="H198" s="18"/>
      <c r="I198" s="18"/>
      <c r="J198" s="18"/>
      <c r="K198" s="18"/>
      <c r="L198" s="18"/>
      <c r="M198" s="18"/>
      <c r="N198" s="18"/>
      <c r="O198" s="18"/>
      <c r="P198" s="18"/>
      <c r="Q198" s="18"/>
      <c r="R198" s="18"/>
      <c r="S198" s="18"/>
      <c r="T198" s="18"/>
      <c r="U198" s="18"/>
      <c r="V198" s="18"/>
      <c r="W198" s="18"/>
      <c r="X198" s="18"/>
      <c r="Y198" s="18"/>
      <c r="Z198" s="18"/>
    </row>
    <row r="199" spans="1:26" s="20" customFormat="1" x14ac:dyDescent="0.2">
      <c r="A199" s="12"/>
      <c r="B199" s="18"/>
      <c r="C199" s="18"/>
      <c r="D199" s="18"/>
      <c r="E199" s="18"/>
      <c r="F199" s="18"/>
      <c r="G199" s="18"/>
      <c r="H199" s="18"/>
      <c r="I199" s="18"/>
      <c r="J199" s="18"/>
      <c r="K199" s="18"/>
      <c r="L199" s="18"/>
      <c r="M199" s="18"/>
      <c r="N199" s="18"/>
      <c r="O199" s="18"/>
      <c r="P199" s="18"/>
      <c r="Q199" s="18"/>
      <c r="R199" s="18"/>
      <c r="S199" s="18"/>
      <c r="T199" s="18"/>
      <c r="U199" s="18"/>
      <c r="V199" s="18"/>
      <c r="W199" s="18"/>
      <c r="X199" s="18"/>
      <c r="Y199" s="18"/>
      <c r="Z199" s="18"/>
    </row>
    <row r="200" spans="1:26" s="20" customFormat="1" x14ac:dyDescent="0.2">
      <c r="A200" s="12"/>
      <c r="B200" s="18"/>
      <c r="C200" s="18"/>
      <c r="D200" s="18"/>
      <c r="E200" s="18"/>
      <c r="F200" s="18"/>
      <c r="G200" s="18"/>
      <c r="H200" s="18"/>
      <c r="I200" s="18"/>
      <c r="J200" s="18"/>
      <c r="K200" s="18"/>
      <c r="L200" s="18"/>
      <c r="M200" s="18"/>
      <c r="N200" s="18"/>
      <c r="O200" s="18"/>
      <c r="P200" s="18"/>
      <c r="Q200" s="18"/>
      <c r="R200" s="18"/>
      <c r="S200" s="18"/>
      <c r="T200" s="18"/>
      <c r="U200" s="18"/>
      <c r="V200" s="18"/>
      <c r="W200" s="18"/>
      <c r="X200" s="18"/>
      <c r="Y200" s="18"/>
      <c r="Z200" s="18"/>
    </row>
    <row r="201" spans="1:26" s="20" customFormat="1" x14ac:dyDescent="0.2">
      <c r="A201" s="12"/>
      <c r="B201" s="18"/>
      <c r="C201" s="18"/>
      <c r="D201" s="18"/>
      <c r="E201" s="18"/>
      <c r="F201" s="18"/>
      <c r="G201" s="18"/>
      <c r="H201" s="18"/>
      <c r="I201" s="18"/>
      <c r="J201" s="18"/>
      <c r="K201" s="18"/>
      <c r="L201" s="18"/>
      <c r="M201" s="18"/>
      <c r="N201" s="18"/>
      <c r="O201" s="18"/>
      <c r="P201" s="18"/>
      <c r="Q201" s="18"/>
      <c r="R201" s="18"/>
      <c r="S201" s="18"/>
      <c r="T201" s="18"/>
      <c r="U201" s="18"/>
      <c r="V201" s="18"/>
      <c r="W201" s="18"/>
      <c r="X201" s="18"/>
      <c r="Y201" s="18"/>
      <c r="Z201" s="18"/>
    </row>
    <row r="202" spans="1:26" s="20" customFormat="1" x14ac:dyDescent="0.2">
      <c r="A202" s="12"/>
      <c r="B202" s="18"/>
      <c r="C202" s="18"/>
      <c r="D202" s="18"/>
      <c r="E202" s="18"/>
      <c r="F202" s="18"/>
      <c r="G202" s="18"/>
      <c r="H202" s="18"/>
      <c r="I202" s="18"/>
      <c r="J202" s="18"/>
      <c r="K202" s="18"/>
      <c r="L202" s="18"/>
      <c r="M202" s="18"/>
      <c r="N202" s="18"/>
      <c r="O202" s="18"/>
      <c r="P202" s="18"/>
      <c r="Q202" s="18"/>
      <c r="R202" s="18"/>
      <c r="S202" s="18"/>
      <c r="T202" s="18"/>
      <c r="U202" s="18"/>
      <c r="V202" s="18"/>
      <c r="W202" s="18"/>
      <c r="X202" s="18"/>
      <c r="Y202" s="18"/>
      <c r="Z202" s="18"/>
    </row>
    <row r="203" spans="1:26" s="20" customFormat="1" x14ac:dyDescent="0.2">
      <c r="A203" s="12"/>
      <c r="B203" s="18"/>
      <c r="C203" s="18"/>
      <c r="D203" s="18"/>
      <c r="E203" s="18"/>
      <c r="F203" s="18"/>
      <c r="G203" s="18"/>
      <c r="H203" s="18"/>
      <c r="I203" s="18"/>
      <c r="J203" s="18"/>
      <c r="K203" s="18"/>
      <c r="L203" s="18"/>
      <c r="M203" s="18"/>
      <c r="N203" s="18"/>
      <c r="O203" s="18"/>
      <c r="P203" s="18"/>
      <c r="Q203" s="18"/>
      <c r="R203" s="18"/>
      <c r="S203" s="18"/>
      <c r="T203" s="18"/>
      <c r="U203" s="18"/>
      <c r="V203" s="18"/>
      <c r="W203" s="18"/>
      <c r="X203" s="18"/>
      <c r="Y203" s="18"/>
      <c r="Z203" s="18"/>
    </row>
    <row r="204" spans="1:26" s="20" customFormat="1" x14ac:dyDescent="0.2">
      <c r="A204" s="12"/>
      <c r="B204" s="18"/>
      <c r="C204" s="18"/>
      <c r="D204" s="18"/>
      <c r="E204" s="18"/>
      <c r="F204" s="18"/>
      <c r="G204" s="18"/>
      <c r="H204" s="18"/>
      <c r="I204" s="18"/>
      <c r="J204" s="18"/>
      <c r="K204" s="18"/>
      <c r="L204" s="18"/>
      <c r="M204" s="18"/>
      <c r="N204" s="18"/>
      <c r="O204" s="18"/>
      <c r="P204" s="18"/>
      <c r="Q204" s="18"/>
      <c r="R204" s="18"/>
      <c r="S204" s="18"/>
      <c r="T204" s="18"/>
      <c r="U204" s="18"/>
      <c r="V204" s="18"/>
      <c r="W204" s="18"/>
      <c r="X204" s="18"/>
      <c r="Y204" s="18"/>
      <c r="Z204" s="18"/>
    </row>
    <row r="205" spans="1:26" s="20" customFormat="1" x14ac:dyDescent="0.2">
      <c r="A205" s="12"/>
      <c r="B205" s="18"/>
      <c r="C205" s="18"/>
      <c r="D205" s="18"/>
      <c r="E205" s="18"/>
      <c r="F205" s="18"/>
      <c r="G205" s="18"/>
      <c r="H205" s="18"/>
      <c r="I205" s="18"/>
      <c r="J205" s="18"/>
      <c r="K205" s="18"/>
      <c r="L205" s="18"/>
      <c r="M205" s="18"/>
      <c r="N205" s="18"/>
      <c r="O205" s="18"/>
      <c r="P205" s="18"/>
      <c r="Q205" s="18"/>
      <c r="R205" s="18"/>
      <c r="S205" s="18"/>
      <c r="T205" s="18"/>
      <c r="U205" s="18"/>
      <c r="V205" s="18"/>
      <c r="W205" s="18"/>
      <c r="X205" s="18"/>
      <c r="Y205" s="18"/>
      <c r="Z205" s="18"/>
    </row>
    <row r="206" spans="1:26" s="20" customFormat="1" x14ac:dyDescent="0.2">
      <c r="A206" s="12"/>
      <c r="B206" s="18"/>
      <c r="C206" s="18"/>
      <c r="D206" s="18"/>
      <c r="E206" s="18"/>
      <c r="F206" s="18"/>
      <c r="G206" s="18"/>
      <c r="H206" s="18"/>
      <c r="I206" s="18"/>
      <c r="J206" s="18"/>
      <c r="K206" s="18"/>
      <c r="L206" s="18"/>
      <c r="M206" s="18"/>
      <c r="N206" s="18"/>
      <c r="O206" s="18"/>
      <c r="P206" s="18"/>
      <c r="Q206" s="18"/>
      <c r="R206" s="18"/>
      <c r="S206" s="18"/>
      <c r="T206" s="18"/>
      <c r="U206" s="18"/>
      <c r="V206" s="18"/>
      <c r="W206" s="18"/>
      <c r="X206" s="18"/>
      <c r="Y206" s="18"/>
      <c r="Z206" s="18"/>
    </row>
    <row r="207" spans="1:26" s="20" customFormat="1" x14ac:dyDescent="0.2">
      <c r="A207" s="12"/>
      <c r="B207" s="18"/>
      <c r="C207" s="18"/>
      <c r="D207" s="18"/>
      <c r="E207" s="18"/>
      <c r="F207" s="18"/>
      <c r="G207" s="18"/>
      <c r="H207" s="18"/>
      <c r="I207" s="18"/>
      <c r="J207" s="18"/>
      <c r="K207" s="18"/>
      <c r="L207" s="18"/>
      <c r="M207" s="18"/>
      <c r="N207" s="18"/>
      <c r="O207" s="18"/>
      <c r="P207" s="18"/>
      <c r="Q207" s="18"/>
      <c r="R207" s="18"/>
      <c r="S207" s="18"/>
      <c r="T207" s="18"/>
      <c r="U207" s="18"/>
      <c r="V207" s="18"/>
      <c r="W207" s="18"/>
      <c r="X207" s="18"/>
      <c r="Y207" s="18"/>
      <c r="Z207" s="18"/>
    </row>
    <row r="208" spans="1:26" s="20" customFormat="1" x14ac:dyDescent="0.2">
      <c r="A208" s="12"/>
      <c r="B208" s="18"/>
      <c r="C208" s="18"/>
      <c r="D208" s="18"/>
      <c r="E208" s="18"/>
      <c r="F208" s="18"/>
      <c r="G208" s="18"/>
      <c r="H208" s="18"/>
      <c r="I208" s="18"/>
      <c r="J208" s="18"/>
      <c r="K208" s="18"/>
      <c r="L208" s="18"/>
      <c r="M208" s="18"/>
      <c r="N208" s="18"/>
      <c r="O208" s="18"/>
      <c r="P208" s="18"/>
      <c r="Q208" s="18"/>
      <c r="R208" s="18"/>
      <c r="S208" s="18"/>
      <c r="T208" s="18"/>
      <c r="U208" s="18"/>
      <c r="V208" s="18"/>
      <c r="W208" s="18"/>
      <c r="X208" s="18"/>
      <c r="Y208" s="18"/>
      <c r="Z208" s="18"/>
    </row>
    <row r="209" spans="1:26" s="20" customFormat="1" x14ac:dyDescent="0.2">
      <c r="A209" s="12"/>
      <c r="B209" s="18"/>
      <c r="C209" s="18"/>
      <c r="D209" s="18"/>
      <c r="E209" s="18"/>
      <c r="F209" s="18"/>
      <c r="G209" s="18"/>
      <c r="H209" s="18"/>
      <c r="I209" s="18"/>
      <c r="J209" s="18"/>
      <c r="K209" s="18"/>
      <c r="L209" s="18"/>
      <c r="M209" s="18"/>
      <c r="N209" s="18"/>
      <c r="O209" s="18"/>
      <c r="P209" s="18"/>
      <c r="Q209" s="18"/>
      <c r="R209" s="18"/>
      <c r="S209" s="18"/>
      <c r="T209" s="18"/>
      <c r="U209" s="18"/>
      <c r="V209" s="18"/>
      <c r="W209" s="18"/>
      <c r="X209" s="18"/>
      <c r="Y209" s="18"/>
      <c r="Z209" s="18"/>
    </row>
    <row r="210" spans="1:26" s="20" customFormat="1" x14ac:dyDescent="0.2">
      <c r="A210" s="12"/>
      <c r="B210" s="18"/>
      <c r="C210" s="18"/>
      <c r="D210" s="18"/>
      <c r="E210" s="18"/>
      <c r="F210" s="21"/>
      <c r="G210" s="18"/>
      <c r="H210" s="18"/>
      <c r="I210" s="18"/>
      <c r="J210" s="18"/>
      <c r="K210" s="18"/>
      <c r="L210" s="18"/>
      <c r="M210" s="18"/>
      <c r="N210" s="18"/>
      <c r="O210" s="18"/>
      <c r="P210" s="18"/>
      <c r="Q210" s="18"/>
      <c r="R210" s="18"/>
      <c r="S210" s="18"/>
      <c r="T210" s="18"/>
      <c r="U210" s="18"/>
      <c r="V210" s="18"/>
      <c r="W210" s="18"/>
      <c r="X210" s="18"/>
      <c r="Y210" s="18"/>
      <c r="Z210" s="18"/>
    </row>
    <row r="211" spans="1:26" s="20" customFormat="1" x14ac:dyDescent="0.2">
      <c r="A211" s="12"/>
      <c r="B211" s="18"/>
      <c r="C211" s="18"/>
      <c r="D211" s="18"/>
      <c r="E211" s="18"/>
      <c r="F211" s="18"/>
      <c r="G211" s="18"/>
      <c r="H211" s="18"/>
      <c r="I211" s="18"/>
      <c r="J211" s="18"/>
      <c r="K211" s="18"/>
      <c r="L211" s="18"/>
      <c r="M211" s="18"/>
      <c r="N211" s="18"/>
      <c r="O211" s="18"/>
      <c r="P211" s="18"/>
      <c r="Q211" s="18"/>
      <c r="R211" s="18"/>
      <c r="S211" s="18"/>
      <c r="T211" s="18"/>
      <c r="U211" s="18"/>
      <c r="V211" s="18"/>
      <c r="W211" s="18"/>
      <c r="X211" s="18"/>
      <c r="Y211" s="18"/>
      <c r="Z211" s="18"/>
    </row>
    <row r="212" spans="1:26" s="20" customFormat="1" x14ac:dyDescent="0.2">
      <c r="A212" s="12"/>
      <c r="B212" s="18"/>
      <c r="C212" s="18"/>
      <c r="D212" s="18"/>
      <c r="E212" s="18"/>
      <c r="F212" s="18"/>
      <c r="G212" s="18"/>
      <c r="H212" s="18"/>
      <c r="I212" s="18"/>
      <c r="J212" s="18"/>
      <c r="K212" s="18"/>
      <c r="L212" s="18"/>
      <c r="M212" s="18"/>
      <c r="N212" s="18"/>
      <c r="O212" s="18"/>
      <c r="P212" s="18"/>
      <c r="Q212" s="18"/>
      <c r="R212" s="18"/>
      <c r="S212" s="18"/>
      <c r="T212" s="18"/>
      <c r="U212" s="18"/>
      <c r="V212" s="18"/>
      <c r="W212" s="18"/>
      <c r="X212" s="18"/>
      <c r="Y212" s="18"/>
      <c r="Z212" s="18"/>
    </row>
    <row r="213" spans="1:26" s="20" customFormat="1" x14ac:dyDescent="0.2">
      <c r="A213" s="12"/>
      <c r="B213" s="18"/>
      <c r="C213" s="18"/>
      <c r="D213" s="18"/>
      <c r="E213" s="18"/>
      <c r="F213" s="18"/>
      <c r="G213" s="18"/>
      <c r="H213" s="18"/>
      <c r="I213" s="18"/>
      <c r="J213" s="18"/>
      <c r="K213" s="18"/>
      <c r="L213" s="18"/>
      <c r="M213" s="18"/>
      <c r="N213" s="18"/>
      <c r="O213" s="18"/>
      <c r="P213" s="18"/>
      <c r="Q213" s="18"/>
      <c r="R213" s="18"/>
      <c r="S213" s="18"/>
      <c r="T213" s="18"/>
      <c r="U213" s="18"/>
      <c r="V213" s="18"/>
      <c r="W213" s="18"/>
      <c r="X213" s="18"/>
      <c r="Y213" s="18"/>
      <c r="Z213" s="18"/>
    </row>
    <row r="214" spans="1:26" s="20" customFormat="1" x14ac:dyDescent="0.2">
      <c r="A214" s="12"/>
      <c r="B214" s="18"/>
      <c r="C214" s="18"/>
      <c r="D214" s="18"/>
      <c r="E214" s="18"/>
      <c r="F214" s="18"/>
      <c r="G214" s="18"/>
      <c r="H214" s="18"/>
      <c r="I214" s="18"/>
      <c r="J214" s="18"/>
      <c r="K214" s="18"/>
      <c r="L214" s="18"/>
      <c r="M214" s="18"/>
      <c r="N214" s="18"/>
      <c r="O214" s="18"/>
      <c r="P214" s="18"/>
      <c r="Q214" s="18"/>
      <c r="R214" s="18"/>
      <c r="S214" s="18"/>
      <c r="T214" s="18"/>
      <c r="U214" s="18"/>
      <c r="V214" s="18"/>
      <c r="W214" s="18"/>
      <c r="X214" s="18"/>
      <c r="Y214" s="18"/>
      <c r="Z214" s="18"/>
    </row>
    <row r="215" spans="1:26" s="20" customFormat="1" x14ac:dyDescent="0.2">
      <c r="A215" s="12"/>
      <c r="B215" s="18"/>
      <c r="C215" s="18"/>
      <c r="D215" s="18"/>
      <c r="E215" s="18"/>
      <c r="F215" s="18"/>
      <c r="G215" s="18"/>
      <c r="H215" s="18"/>
      <c r="I215" s="18"/>
      <c r="J215" s="18"/>
      <c r="K215" s="18"/>
      <c r="L215" s="18"/>
      <c r="M215" s="18"/>
      <c r="N215" s="18"/>
      <c r="O215" s="18"/>
      <c r="P215" s="18"/>
      <c r="Q215" s="18"/>
      <c r="R215" s="18"/>
      <c r="S215" s="18"/>
      <c r="T215" s="18"/>
      <c r="U215" s="18"/>
      <c r="V215" s="18"/>
      <c r="W215" s="18"/>
      <c r="X215" s="18"/>
      <c r="Y215" s="18"/>
      <c r="Z215" s="18"/>
    </row>
    <row r="216" spans="1:26" s="20" customFormat="1" x14ac:dyDescent="0.2">
      <c r="A216" s="12"/>
      <c r="B216" s="18"/>
      <c r="C216" s="18"/>
      <c r="D216" s="18"/>
      <c r="E216" s="18"/>
      <c r="F216" s="18"/>
      <c r="G216" s="18"/>
      <c r="H216" s="18"/>
      <c r="I216" s="18"/>
      <c r="J216" s="18"/>
      <c r="K216" s="18"/>
      <c r="L216" s="18"/>
      <c r="M216" s="18"/>
      <c r="N216" s="18"/>
      <c r="O216" s="18"/>
      <c r="P216" s="18"/>
      <c r="Q216" s="18"/>
      <c r="R216" s="18"/>
      <c r="S216" s="18"/>
      <c r="T216" s="18"/>
      <c r="U216" s="18"/>
      <c r="V216" s="18"/>
      <c r="W216" s="18"/>
      <c r="X216" s="18"/>
      <c r="Y216" s="18"/>
      <c r="Z216" s="18"/>
    </row>
    <row r="217" spans="1:26" s="20" customFormat="1" x14ac:dyDescent="0.2">
      <c r="A217" s="12"/>
      <c r="B217" s="18"/>
      <c r="C217" s="18"/>
      <c r="D217" s="18"/>
      <c r="E217" s="18"/>
      <c r="F217" s="18"/>
      <c r="G217" s="18"/>
      <c r="H217" s="18"/>
      <c r="I217" s="18"/>
      <c r="J217" s="18"/>
      <c r="K217" s="18"/>
      <c r="L217" s="18"/>
      <c r="M217" s="18"/>
      <c r="N217" s="18"/>
      <c r="O217" s="18"/>
      <c r="P217" s="18"/>
      <c r="Q217" s="18"/>
      <c r="R217" s="18"/>
      <c r="S217" s="18"/>
      <c r="T217" s="18"/>
      <c r="U217" s="18"/>
      <c r="V217" s="18"/>
      <c r="W217" s="18"/>
      <c r="X217" s="18"/>
      <c r="Y217" s="18"/>
      <c r="Z217" s="18"/>
    </row>
    <row r="218" spans="1:26" s="20" customFormat="1" x14ac:dyDescent="0.2">
      <c r="A218" s="12"/>
      <c r="B218" s="18"/>
      <c r="C218" s="18"/>
      <c r="D218" s="18"/>
      <c r="E218" s="18"/>
      <c r="F218" s="18"/>
      <c r="G218" s="18"/>
      <c r="H218" s="18"/>
      <c r="I218" s="18"/>
      <c r="J218" s="18"/>
      <c r="K218" s="18"/>
      <c r="L218" s="18"/>
      <c r="M218" s="18"/>
      <c r="N218" s="18"/>
      <c r="O218" s="18"/>
      <c r="P218" s="18"/>
      <c r="Q218" s="18"/>
      <c r="R218" s="18"/>
      <c r="S218" s="18"/>
      <c r="T218" s="18"/>
      <c r="U218" s="18"/>
      <c r="V218" s="18"/>
      <c r="W218" s="18"/>
      <c r="X218" s="18"/>
      <c r="Y218" s="18"/>
      <c r="Z218" s="18"/>
    </row>
    <row r="219" spans="1:26" s="20" customFormat="1" x14ac:dyDescent="0.2">
      <c r="A219" s="12"/>
      <c r="B219" s="18"/>
      <c r="C219" s="18"/>
      <c r="D219" s="18"/>
      <c r="E219" s="18"/>
      <c r="F219" s="18"/>
      <c r="G219" s="18"/>
      <c r="H219" s="18"/>
      <c r="I219" s="18"/>
      <c r="J219" s="18"/>
      <c r="K219" s="18"/>
      <c r="L219" s="18"/>
      <c r="M219" s="18"/>
      <c r="N219" s="18"/>
      <c r="O219" s="18"/>
      <c r="P219" s="18"/>
      <c r="Q219" s="18"/>
      <c r="R219" s="18"/>
      <c r="S219" s="18"/>
      <c r="T219" s="18"/>
      <c r="U219" s="18"/>
      <c r="V219" s="18"/>
      <c r="W219" s="18"/>
      <c r="X219" s="18"/>
      <c r="Y219" s="18"/>
      <c r="Z219" s="18"/>
    </row>
    <row r="220" spans="1:26" s="20" customFormat="1" x14ac:dyDescent="0.2">
      <c r="A220" s="12"/>
      <c r="B220" s="18"/>
      <c r="C220" s="18"/>
      <c r="D220" s="18"/>
      <c r="E220" s="18"/>
      <c r="F220" s="18"/>
      <c r="G220" s="18"/>
      <c r="H220" s="18"/>
      <c r="I220" s="18"/>
      <c r="J220" s="18"/>
      <c r="K220" s="18"/>
      <c r="L220" s="18"/>
      <c r="M220" s="18"/>
      <c r="N220" s="18"/>
      <c r="O220" s="18"/>
      <c r="P220" s="18"/>
      <c r="Q220" s="21"/>
      <c r="R220" s="18"/>
      <c r="S220" s="18"/>
      <c r="T220" s="18"/>
      <c r="U220" s="18"/>
      <c r="V220" s="18"/>
      <c r="W220" s="18"/>
      <c r="X220" s="18"/>
      <c r="Y220" s="18"/>
      <c r="Z220" s="18"/>
    </row>
    <row r="221" spans="1:26" s="20" customFormat="1" x14ac:dyDescent="0.2">
      <c r="A221" s="12"/>
      <c r="B221" s="18"/>
      <c r="C221" s="18"/>
      <c r="D221" s="18"/>
      <c r="E221" s="18"/>
      <c r="F221" s="18"/>
      <c r="G221" s="18"/>
      <c r="H221" s="18"/>
      <c r="I221" s="18"/>
      <c r="J221" s="18"/>
      <c r="K221" s="18"/>
      <c r="L221" s="18"/>
      <c r="M221" s="18"/>
      <c r="N221" s="18"/>
      <c r="O221" s="18"/>
      <c r="P221" s="18"/>
      <c r="Q221" s="18"/>
      <c r="R221" s="18"/>
      <c r="S221" s="18"/>
      <c r="T221" s="18"/>
      <c r="U221" s="18"/>
      <c r="V221" s="18"/>
      <c r="W221" s="18"/>
      <c r="X221" s="18"/>
      <c r="Y221" s="18"/>
      <c r="Z221" s="18"/>
    </row>
    <row r="222" spans="1:26" s="20" customFormat="1" x14ac:dyDescent="0.2">
      <c r="A222" s="12"/>
      <c r="B222" s="18"/>
      <c r="C222" s="18"/>
      <c r="D222" s="18"/>
      <c r="E222" s="18"/>
      <c r="F222" s="18"/>
      <c r="G222" s="18"/>
      <c r="H222" s="18"/>
      <c r="I222" s="18"/>
      <c r="J222" s="18"/>
      <c r="K222" s="18"/>
      <c r="L222" s="18"/>
      <c r="M222" s="18"/>
      <c r="N222" s="18"/>
      <c r="O222" s="18"/>
      <c r="P222" s="18"/>
      <c r="Q222" s="18"/>
      <c r="R222" s="18"/>
      <c r="S222" s="18"/>
      <c r="T222" s="18"/>
      <c r="U222" s="18"/>
      <c r="V222" s="18"/>
      <c r="W222" s="18"/>
      <c r="X222" s="18"/>
      <c r="Y222" s="18"/>
      <c r="Z222" s="18"/>
    </row>
    <row r="223" spans="1:26" s="20" customFormat="1" x14ac:dyDescent="0.2">
      <c r="A223" s="12"/>
      <c r="B223" s="18"/>
      <c r="C223" s="18"/>
      <c r="D223" s="18"/>
      <c r="E223" s="18"/>
      <c r="F223" s="18"/>
      <c r="G223" s="18"/>
      <c r="H223" s="18"/>
      <c r="I223" s="18"/>
      <c r="J223" s="18"/>
      <c r="K223" s="18"/>
      <c r="L223" s="18"/>
      <c r="M223" s="18"/>
      <c r="N223" s="18"/>
      <c r="O223" s="18"/>
      <c r="P223" s="18"/>
      <c r="Q223" s="18"/>
      <c r="R223" s="18"/>
      <c r="S223" s="18"/>
      <c r="T223" s="18"/>
      <c r="U223" s="18"/>
      <c r="V223" s="18"/>
      <c r="W223" s="18"/>
      <c r="X223" s="18"/>
      <c r="Y223" s="18"/>
      <c r="Z223" s="18"/>
    </row>
    <row r="224" spans="1:26" s="20" customFormat="1" x14ac:dyDescent="0.2">
      <c r="A224" s="12"/>
      <c r="B224" s="18"/>
      <c r="C224" s="18"/>
      <c r="D224" s="18"/>
      <c r="E224" s="18"/>
      <c r="F224" s="18"/>
      <c r="G224" s="18"/>
      <c r="H224" s="18"/>
      <c r="I224" s="18"/>
      <c r="J224" s="18"/>
      <c r="K224" s="18"/>
      <c r="L224" s="18"/>
      <c r="M224" s="18"/>
      <c r="N224" s="18"/>
      <c r="O224" s="18"/>
      <c r="P224" s="18"/>
      <c r="Q224" s="18"/>
      <c r="R224" s="18"/>
      <c r="S224" s="18"/>
      <c r="T224" s="18"/>
      <c r="U224" s="18"/>
      <c r="V224" s="18"/>
      <c r="W224" s="18"/>
      <c r="X224" s="18"/>
      <c r="Y224" s="18"/>
      <c r="Z224" s="18"/>
    </row>
    <row r="225" spans="1:26" s="20" customFormat="1" x14ac:dyDescent="0.2">
      <c r="A225" s="12"/>
      <c r="B225" s="18"/>
      <c r="C225" s="18"/>
      <c r="D225" s="18"/>
      <c r="E225" s="18"/>
      <c r="F225" s="18"/>
      <c r="G225" s="18"/>
      <c r="H225" s="18"/>
      <c r="I225" s="18"/>
      <c r="J225" s="18"/>
      <c r="K225" s="18"/>
      <c r="L225" s="18"/>
      <c r="M225" s="18"/>
      <c r="N225" s="18"/>
      <c r="O225" s="18"/>
      <c r="P225" s="18"/>
      <c r="Q225" s="18"/>
      <c r="R225" s="18"/>
      <c r="S225" s="18"/>
      <c r="T225" s="18"/>
      <c r="U225" s="18"/>
      <c r="V225" s="18"/>
      <c r="W225" s="18"/>
      <c r="X225" s="18"/>
      <c r="Y225" s="18"/>
      <c r="Z225" s="18"/>
    </row>
    <row r="226" spans="1:26" s="20" customFormat="1" x14ac:dyDescent="0.2">
      <c r="A226" s="12"/>
      <c r="B226" s="18"/>
      <c r="C226" s="18"/>
      <c r="D226" s="18"/>
      <c r="E226" s="18"/>
      <c r="F226" s="18"/>
      <c r="G226" s="18"/>
      <c r="H226" s="18"/>
      <c r="I226" s="18"/>
      <c r="J226" s="18"/>
      <c r="K226" s="18"/>
      <c r="L226" s="18"/>
      <c r="M226" s="18"/>
      <c r="N226" s="18"/>
      <c r="O226" s="18"/>
      <c r="P226" s="18"/>
      <c r="Q226" s="18"/>
      <c r="R226" s="18"/>
      <c r="S226" s="18"/>
      <c r="T226" s="18"/>
      <c r="U226" s="18"/>
      <c r="V226" s="18"/>
      <c r="W226" s="18"/>
      <c r="X226" s="18"/>
      <c r="Y226" s="18"/>
      <c r="Z226" s="18"/>
    </row>
    <row r="227" spans="1:26" s="20" customFormat="1" x14ac:dyDescent="0.2">
      <c r="A227" s="12"/>
      <c r="B227" s="18"/>
      <c r="C227" s="18"/>
      <c r="D227" s="18"/>
      <c r="E227" s="18"/>
      <c r="F227" s="18"/>
      <c r="G227" s="18"/>
      <c r="H227" s="18"/>
      <c r="I227" s="18"/>
      <c r="J227" s="18"/>
      <c r="K227" s="18"/>
      <c r="L227" s="18"/>
      <c r="M227" s="18"/>
      <c r="N227" s="18"/>
      <c r="O227" s="18"/>
      <c r="P227" s="18"/>
      <c r="Q227" s="18"/>
      <c r="R227" s="18"/>
      <c r="S227" s="18"/>
      <c r="T227" s="18"/>
      <c r="U227" s="18"/>
      <c r="V227" s="18"/>
      <c r="W227" s="18"/>
      <c r="X227" s="18"/>
      <c r="Y227" s="18"/>
      <c r="Z227" s="18"/>
    </row>
    <row r="228" spans="1:26" s="20" customFormat="1" x14ac:dyDescent="0.2">
      <c r="A228" s="12"/>
      <c r="B228" s="18"/>
      <c r="C228" s="18"/>
      <c r="D228" s="18"/>
      <c r="E228" s="18"/>
      <c r="F228" s="18"/>
      <c r="G228" s="18"/>
      <c r="H228" s="18"/>
      <c r="I228" s="18"/>
      <c r="J228" s="18"/>
      <c r="K228" s="18"/>
      <c r="L228" s="18"/>
      <c r="M228" s="18"/>
      <c r="N228" s="18"/>
      <c r="O228" s="18"/>
      <c r="P228" s="18"/>
      <c r="Q228" s="18"/>
      <c r="R228" s="18"/>
      <c r="S228" s="18"/>
      <c r="T228" s="18"/>
      <c r="U228" s="18"/>
      <c r="V228" s="18"/>
      <c r="W228" s="18"/>
      <c r="X228" s="18"/>
      <c r="Y228" s="18"/>
      <c r="Z228" s="18"/>
    </row>
    <row r="229" spans="1:26" s="20" customFormat="1" x14ac:dyDescent="0.2">
      <c r="A229" s="12"/>
      <c r="B229" s="18"/>
      <c r="C229" s="18"/>
      <c r="D229" s="18"/>
      <c r="E229" s="18"/>
      <c r="F229" s="18"/>
      <c r="G229" s="18"/>
      <c r="H229" s="18"/>
      <c r="I229" s="18"/>
      <c r="J229" s="18"/>
      <c r="K229" s="18"/>
      <c r="L229" s="18"/>
      <c r="M229" s="18"/>
      <c r="N229" s="18"/>
      <c r="O229" s="18"/>
      <c r="P229" s="18"/>
      <c r="Q229" s="18"/>
      <c r="R229" s="18"/>
      <c r="S229" s="18"/>
      <c r="T229" s="18"/>
      <c r="U229" s="18"/>
      <c r="V229" s="18"/>
      <c r="W229" s="18"/>
      <c r="X229" s="18"/>
      <c r="Y229" s="18"/>
      <c r="Z229" s="18"/>
    </row>
    <row r="230" spans="1:26" s="20" customFormat="1" x14ac:dyDescent="0.2">
      <c r="A230" s="12"/>
      <c r="B230" s="18"/>
      <c r="C230" s="18"/>
      <c r="D230" s="18"/>
      <c r="E230" s="18"/>
      <c r="F230" s="18"/>
      <c r="G230" s="18"/>
      <c r="H230" s="18"/>
      <c r="I230" s="18"/>
      <c r="J230" s="18"/>
      <c r="K230" s="18"/>
      <c r="L230" s="18"/>
      <c r="M230" s="18"/>
      <c r="N230" s="18"/>
      <c r="O230" s="18"/>
      <c r="P230" s="18"/>
      <c r="Q230" s="18"/>
      <c r="R230" s="18"/>
      <c r="S230" s="18"/>
      <c r="T230" s="18"/>
      <c r="U230" s="18"/>
      <c r="V230" s="18"/>
      <c r="W230" s="18"/>
      <c r="X230" s="18"/>
      <c r="Y230" s="18"/>
      <c r="Z230" s="18"/>
    </row>
    <row r="231" spans="1:26" s="20" customFormat="1" x14ac:dyDescent="0.2">
      <c r="A231" s="12"/>
      <c r="B231" s="18"/>
      <c r="C231" s="18"/>
      <c r="D231" s="18"/>
      <c r="E231" s="18"/>
      <c r="F231" s="18"/>
      <c r="G231" s="18"/>
      <c r="H231" s="18"/>
      <c r="I231" s="18"/>
      <c r="J231" s="18"/>
      <c r="K231" s="18"/>
      <c r="L231" s="18"/>
      <c r="M231" s="18"/>
      <c r="N231" s="18"/>
      <c r="O231" s="18"/>
      <c r="P231" s="18"/>
      <c r="Q231" s="18"/>
      <c r="R231" s="18"/>
      <c r="S231" s="18"/>
      <c r="T231" s="18"/>
      <c r="U231" s="18"/>
      <c r="V231" s="18"/>
      <c r="W231" s="18"/>
      <c r="X231" s="18"/>
      <c r="Y231" s="18"/>
      <c r="Z231" s="18"/>
    </row>
    <row r="232" spans="1:26" s="20" customFormat="1" x14ac:dyDescent="0.2">
      <c r="A232" s="12"/>
      <c r="B232" s="18"/>
      <c r="C232" s="18"/>
      <c r="D232" s="18"/>
      <c r="E232" s="18"/>
      <c r="F232" s="18"/>
      <c r="G232" s="18"/>
      <c r="H232" s="18"/>
      <c r="I232" s="18"/>
      <c r="J232" s="18"/>
      <c r="K232" s="18"/>
      <c r="L232" s="18"/>
      <c r="M232" s="18"/>
      <c r="N232" s="18"/>
      <c r="O232" s="18"/>
      <c r="P232" s="18"/>
      <c r="Q232" s="18"/>
      <c r="R232" s="18"/>
      <c r="S232" s="18"/>
      <c r="T232" s="18"/>
      <c r="U232" s="18"/>
      <c r="V232" s="18"/>
      <c r="W232" s="18"/>
      <c r="X232" s="18"/>
      <c r="Y232" s="18"/>
      <c r="Z232" s="18"/>
    </row>
    <row r="233" spans="1:26" s="20" customFormat="1" x14ac:dyDescent="0.2">
      <c r="A233" s="12"/>
      <c r="B233" s="18"/>
      <c r="C233" s="18"/>
      <c r="D233" s="18"/>
      <c r="E233" s="18"/>
      <c r="F233" s="18"/>
      <c r="G233" s="18"/>
      <c r="H233" s="18"/>
      <c r="I233" s="18"/>
      <c r="J233" s="18"/>
      <c r="K233" s="18"/>
      <c r="L233" s="18"/>
      <c r="M233" s="18"/>
      <c r="N233" s="18"/>
      <c r="O233" s="18"/>
      <c r="P233" s="18"/>
      <c r="Q233" s="18"/>
      <c r="R233" s="18"/>
      <c r="S233" s="18"/>
      <c r="T233" s="18"/>
      <c r="U233" s="18"/>
      <c r="V233" s="18"/>
      <c r="W233" s="18"/>
      <c r="X233" s="18"/>
      <c r="Y233" s="18"/>
      <c r="Z233" s="18"/>
    </row>
    <row r="234" spans="1:26" s="20" customFormat="1" x14ac:dyDescent="0.2">
      <c r="A234" s="12"/>
      <c r="B234" s="18"/>
      <c r="C234" s="18"/>
      <c r="D234" s="18"/>
      <c r="E234" s="18"/>
      <c r="F234" s="18"/>
      <c r="G234" s="18"/>
      <c r="H234" s="18"/>
      <c r="I234" s="18"/>
      <c r="J234" s="18"/>
      <c r="K234" s="18"/>
      <c r="L234" s="18"/>
      <c r="M234" s="18"/>
      <c r="N234" s="18"/>
      <c r="O234" s="18"/>
      <c r="P234" s="18"/>
      <c r="Q234" s="18"/>
      <c r="R234" s="18"/>
      <c r="S234" s="18"/>
      <c r="T234" s="18"/>
      <c r="U234" s="18"/>
      <c r="V234" s="18"/>
      <c r="W234" s="18"/>
      <c r="X234" s="18"/>
      <c r="Y234" s="18"/>
      <c r="Z234" s="18"/>
    </row>
    <row r="235" spans="1:26" s="20" customFormat="1" x14ac:dyDescent="0.2">
      <c r="A235" s="12"/>
      <c r="B235" s="18"/>
      <c r="C235" s="18"/>
      <c r="D235" s="18"/>
      <c r="E235" s="18"/>
      <c r="F235" s="18"/>
      <c r="G235" s="18"/>
      <c r="H235" s="18"/>
      <c r="I235" s="18"/>
      <c r="J235" s="18"/>
      <c r="K235" s="18"/>
      <c r="L235" s="18"/>
      <c r="M235" s="18"/>
      <c r="N235" s="18"/>
      <c r="O235" s="18"/>
      <c r="P235" s="18"/>
      <c r="Q235" s="18"/>
      <c r="R235" s="18"/>
      <c r="S235" s="18"/>
      <c r="T235" s="18"/>
      <c r="U235" s="18"/>
      <c r="V235" s="18"/>
      <c r="W235" s="18"/>
      <c r="X235" s="18"/>
      <c r="Y235" s="18"/>
      <c r="Z235" s="18"/>
    </row>
    <row r="236" spans="1:26" s="20" customFormat="1" x14ac:dyDescent="0.2">
      <c r="A236" s="12"/>
      <c r="B236" s="18"/>
      <c r="C236" s="18"/>
      <c r="D236" s="18"/>
      <c r="E236" s="18"/>
      <c r="F236" s="18"/>
      <c r="G236" s="18"/>
      <c r="H236" s="18"/>
      <c r="I236" s="18"/>
      <c r="J236" s="18"/>
      <c r="K236" s="18"/>
      <c r="L236" s="18"/>
      <c r="M236" s="18"/>
      <c r="N236" s="18"/>
      <c r="O236" s="18"/>
      <c r="P236" s="18"/>
      <c r="Q236" s="18"/>
      <c r="R236" s="18"/>
      <c r="S236" s="18"/>
      <c r="T236" s="18"/>
      <c r="U236" s="18"/>
      <c r="V236" s="18"/>
      <c r="W236" s="18"/>
      <c r="X236" s="18"/>
      <c r="Y236" s="18"/>
      <c r="Z236" s="18"/>
    </row>
    <row r="237" spans="1:26" s="20" customFormat="1" x14ac:dyDescent="0.2">
      <c r="A237" s="12"/>
      <c r="B237" s="18"/>
      <c r="C237" s="18"/>
      <c r="D237" s="18"/>
      <c r="E237" s="18"/>
      <c r="F237" s="18"/>
      <c r="G237" s="18"/>
      <c r="H237" s="18"/>
      <c r="I237" s="18"/>
      <c r="J237" s="18"/>
      <c r="K237" s="18"/>
      <c r="L237" s="18"/>
      <c r="M237" s="18"/>
      <c r="N237" s="18"/>
      <c r="O237" s="18"/>
      <c r="P237" s="18"/>
      <c r="Q237" s="18"/>
      <c r="R237" s="18"/>
      <c r="S237" s="18"/>
      <c r="T237" s="18"/>
      <c r="U237" s="18"/>
      <c r="V237" s="18"/>
      <c r="W237" s="18"/>
      <c r="X237" s="18"/>
      <c r="Y237" s="18"/>
      <c r="Z237" s="18"/>
    </row>
    <row r="238" spans="1:26" s="20" customFormat="1" x14ac:dyDescent="0.2">
      <c r="A238" s="12"/>
      <c r="B238" s="18"/>
      <c r="C238" s="18"/>
      <c r="D238" s="18"/>
      <c r="E238" s="18"/>
      <c r="F238" s="18"/>
      <c r="G238" s="18"/>
      <c r="H238" s="18"/>
      <c r="I238" s="18"/>
      <c r="J238" s="18"/>
      <c r="K238" s="18"/>
      <c r="L238" s="18"/>
      <c r="M238" s="18"/>
      <c r="N238" s="18"/>
      <c r="O238" s="18"/>
      <c r="P238" s="18"/>
      <c r="Q238" s="18"/>
      <c r="R238" s="18"/>
      <c r="S238" s="18"/>
      <c r="T238" s="18"/>
      <c r="U238" s="18"/>
      <c r="V238" s="18"/>
      <c r="W238" s="18"/>
      <c r="X238" s="18"/>
      <c r="Y238" s="18"/>
      <c r="Z238" s="18"/>
    </row>
    <row r="239" spans="1:26" s="20" customFormat="1" x14ac:dyDescent="0.2">
      <c r="A239" s="12"/>
      <c r="B239" s="18"/>
      <c r="C239" s="18"/>
      <c r="D239" s="18"/>
      <c r="E239" s="18"/>
      <c r="F239" s="18"/>
      <c r="G239" s="18"/>
      <c r="H239" s="18"/>
      <c r="I239" s="18"/>
      <c r="J239" s="18"/>
      <c r="K239" s="18"/>
      <c r="L239" s="18"/>
      <c r="M239" s="18"/>
      <c r="N239" s="18"/>
      <c r="O239" s="18"/>
      <c r="P239" s="18"/>
      <c r="Q239" s="18"/>
      <c r="R239" s="18"/>
      <c r="S239" s="18"/>
      <c r="T239" s="18"/>
      <c r="U239" s="18"/>
      <c r="V239" s="18"/>
      <c r="W239" s="18"/>
      <c r="X239" s="18"/>
      <c r="Y239" s="18"/>
      <c r="Z239" s="18"/>
    </row>
    <row r="240" spans="1:26" s="20" customFormat="1" x14ac:dyDescent="0.2">
      <c r="A240" s="12"/>
      <c r="B240" s="18"/>
      <c r="C240" s="18"/>
      <c r="D240" s="18"/>
      <c r="E240" s="18"/>
      <c r="F240" s="18"/>
      <c r="G240" s="18"/>
      <c r="H240" s="18"/>
      <c r="I240" s="18"/>
      <c r="J240" s="18"/>
      <c r="K240" s="18"/>
      <c r="L240" s="18"/>
      <c r="M240" s="18"/>
      <c r="N240" s="18"/>
      <c r="O240" s="18"/>
      <c r="P240" s="18"/>
      <c r="Q240" s="18"/>
      <c r="R240" s="18"/>
      <c r="S240" s="18"/>
      <c r="T240" s="18"/>
      <c r="U240" s="18"/>
      <c r="V240" s="18"/>
      <c r="W240" s="18"/>
      <c r="X240" s="18"/>
      <c r="Y240" s="18"/>
      <c r="Z240" s="18"/>
    </row>
    <row r="241" spans="1:26" s="20" customFormat="1" x14ac:dyDescent="0.2">
      <c r="A241" s="12"/>
      <c r="B241" s="18"/>
      <c r="C241" s="18"/>
      <c r="D241" s="18"/>
      <c r="E241" s="18"/>
      <c r="F241" s="18"/>
      <c r="G241" s="18"/>
      <c r="H241" s="18"/>
      <c r="I241" s="18"/>
      <c r="J241" s="18"/>
      <c r="K241" s="18"/>
      <c r="L241" s="18"/>
      <c r="M241" s="18"/>
      <c r="N241" s="18"/>
      <c r="O241" s="18"/>
      <c r="P241" s="18"/>
      <c r="Q241" s="18"/>
      <c r="R241" s="18"/>
      <c r="S241" s="18"/>
      <c r="T241" s="18"/>
      <c r="U241" s="18"/>
      <c r="V241" s="18"/>
      <c r="W241" s="18"/>
      <c r="X241" s="18"/>
      <c r="Y241" s="18"/>
      <c r="Z241" s="18"/>
    </row>
    <row r="242" spans="1:26" s="20" customFormat="1" x14ac:dyDescent="0.2">
      <c r="A242" s="12"/>
      <c r="B242" s="18"/>
      <c r="C242" s="18"/>
      <c r="D242" s="18"/>
      <c r="E242" s="18"/>
      <c r="F242" s="18"/>
      <c r="G242" s="18"/>
      <c r="H242" s="18"/>
      <c r="I242" s="18"/>
      <c r="J242" s="18"/>
      <c r="K242" s="18"/>
      <c r="L242" s="18"/>
      <c r="M242" s="18"/>
      <c r="N242" s="18"/>
      <c r="O242" s="18"/>
      <c r="P242" s="18"/>
      <c r="Q242" s="18"/>
      <c r="R242" s="18"/>
      <c r="S242" s="18"/>
      <c r="T242" s="18"/>
      <c r="U242" s="18"/>
      <c r="V242" s="18"/>
      <c r="W242" s="18"/>
      <c r="X242" s="18"/>
      <c r="Y242" s="18"/>
      <c r="Z242" s="18"/>
    </row>
    <row r="243" spans="1:26" s="20" customFormat="1" x14ac:dyDescent="0.2">
      <c r="A243" s="12"/>
      <c r="B243" s="18"/>
      <c r="C243" s="18"/>
      <c r="D243" s="18"/>
      <c r="E243" s="18"/>
      <c r="F243" s="18"/>
      <c r="G243" s="18"/>
      <c r="H243" s="18"/>
      <c r="I243" s="18"/>
      <c r="J243" s="18"/>
      <c r="K243" s="18"/>
      <c r="L243" s="18"/>
      <c r="M243" s="18"/>
      <c r="N243" s="18"/>
      <c r="O243" s="18"/>
      <c r="P243" s="18"/>
      <c r="Q243" s="18"/>
      <c r="R243" s="18"/>
      <c r="S243" s="18"/>
      <c r="T243" s="18"/>
      <c r="U243" s="18"/>
      <c r="V243" s="18"/>
      <c r="W243" s="18"/>
      <c r="X243" s="18"/>
      <c r="Y243" s="18"/>
      <c r="Z243" s="18"/>
    </row>
    <row r="244" spans="1:26" s="20" customFormat="1" x14ac:dyDescent="0.2">
      <c r="A244" s="12"/>
      <c r="B244" s="18"/>
      <c r="C244" s="18"/>
      <c r="D244" s="18"/>
      <c r="E244" s="18"/>
      <c r="F244" s="18"/>
      <c r="G244" s="18"/>
      <c r="H244" s="18"/>
      <c r="I244" s="18"/>
      <c r="J244" s="18"/>
      <c r="K244" s="18"/>
      <c r="L244" s="18"/>
      <c r="M244" s="18"/>
      <c r="N244" s="18"/>
      <c r="O244" s="18"/>
      <c r="P244" s="18"/>
      <c r="Q244" s="18"/>
      <c r="R244" s="18"/>
      <c r="S244" s="18"/>
      <c r="T244" s="18"/>
      <c r="U244" s="18"/>
      <c r="V244" s="18"/>
      <c r="W244" s="18"/>
      <c r="X244" s="18"/>
      <c r="Y244" s="18"/>
      <c r="Z244" s="18"/>
    </row>
    <row r="245" spans="1:26" s="20" customFormat="1" x14ac:dyDescent="0.2">
      <c r="A245" s="12"/>
      <c r="B245" s="18"/>
      <c r="C245" s="18"/>
      <c r="D245" s="18"/>
      <c r="E245" s="18"/>
      <c r="F245" s="18"/>
      <c r="G245" s="18"/>
      <c r="H245" s="18"/>
      <c r="I245" s="18"/>
      <c r="J245" s="18"/>
      <c r="K245" s="18"/>
      <c r="L245" s="18"/>
      <c r="M245" s="18"/>
      <c r="N245" s="18"/>
      <c r="O245" s="18"/>
      <c r="P245" s="18"/>
      <c r="Q245" s="18"/>
      <c r="R245" s="18"/>
      <c r="S245" s="18"/>
      <c r="T245" s="18"/>
      <c r="U245" s="18"/>
      <c r="V245" s="18"/>
      <c r="W245" s="18"/>
      <c r="X245" s="18"/>
      <c r="Y245" s="18"/>
      <c r="Z245" s="18"/>
    </row>
    <row r="246" spans="1:26" s="20" customFormat="1" x14ac:dyDescent="0.2">
      <c r="A246" s="12"/>
      <c r="B246" s="18"/>
      <c r="C246" s="18"/>
      <c r="D246" s="18"/>
      <c r="E246" s="18"/>
      <c r="F246" s="18"/>
      <c r="G246" s="18"/>
      <c r="H246" s="18"/>
      <c r="I246" s="18"/>
      <c r="J246" s="18"/>
      <c r="K246" s="18"/>
      <c r="L246" s="18"/>
      <c r="M246" s="18"/>
      <c r="N246" s="18"/>
      <c r="O246" s="18"/>
      <c r="P246" s="18"/>
      <c r="Q246" s="18"/>
      <c r="R246" s="18"/>
      <c r="S246" s="18"/>
      <c r="T246" s="18"/>
      <c r="U246" s="18"/>
      <c r="V246" s="18"/>
      <c r="W246" s="18"/>
      <c r="X246" s="18"/>
      <c r="Y246" s="18"/>
      <c r="Z246" s="18"/>
    </row>
    <row r="247" spans="1:26" s="20" customFormat="1" x14ac:dyDescent="0.2">
      <c r="A247" s="12"/>
      <c r="B247" s="18"/>
      <c r="C247" s="18"/>
      <c r="D247" s="18"/>
      <c r="E247" s="18"/>
      <c r="F247" s="18"/>
      <c r="G247" s="18"/>
      <c r="H247" s="18"/>
      <c r="I247" s="18"/>
      <c r="J247" s="18"/>
      <c r="K247" s="18"/>
      <c r="L247" s="18"/>
      <c r="M247" s="18"/>
      <c r="N247" s="18"/>
      <c r="O247" s="18"/>
      <c r="P247" s="18"/>
      <c r="Q247" s="18"/>
      <c r="R247" s="18"/>
      <c r="S247" s="18"/>
      <c r="T247" s="18"/>
      <c r="U247" s="18"/>
      <c r="V247" s="18"/>
      <c r="W247" s="18"/>
      <c r="X247" s="18"/>
      <c r="Y247" s="18"/>
      <c r="Z247" s="18"/>
    </row>
    <row r="248" spans="1:26" s="20" customFormat="1" x14ac:dyDescent="0.2">
      <c r="A248" s="12"/>
      <c r="B248" s="18"/>
      <c r="C248" s="18"/>
      <c r="D248" s="18"/>
      <c r="E248" s="18"/>
      <c r="F248" s="18"/>
      <c r="G248" s="18"/>
      <c r="H248" s="18"/>
      <c r="I248" s="18"/>
      <c r="J248" s="18"/>
      <c r="K248" s="18"/>
      <c r="L248" s="18"/>
      <c r="M248" s="18"/>
      <c r="N248" s="18"/>
      <c r="O248" s="18"/>
      <c r="P248" s="18"/>
      <c r="Q248" s="18"/>
      <c r="R248" s="18"/>
      <c r="S248" s="18"/>
      <c r="T248" s="18"/>
      <c r="U248" s="18"/>
      <c r="V248" s="18"/>
      <c r="W248" s="18"/>
      <c r="X248" s="18"/>
      <c r="Y248" s="18"/>
      <c r="Z248" s="18"/>
    </row>
    <row r="249" spans="1:26" s="20" customFormat="1" x14ac:dyDescent="0.2">
      <c r="A249" s="12"/>
      <c r="B249" s="18"/>
      <c r="C249" s="18"/>
      <c r="D249" s="18"/>
      <c r="E249" s="18"/>
      <c r="F249" s="18"/>
      <c r="G249" s="18"/>
      <c r="H249" s="18"/>
      <c r="I249" s="18"/>
      <c r="J249" s="18"/>
      <c r="K249" s="18"/>
      <c r="L249" s="18"/>
      <c r="M249" s="18"/>
      <c r="N249" s="18"/>
      <c r="O249" s="18"/>
      <c r="P249" s="18"/>
      <c r="Q249" s="18"/>
      <c r="R249" s="18"/>
      <c r="S249" s="18"/>
      <c r="T249" s="18"/>
      <c r="U249" s="18"/>
      <c r="V249" s="18"/>
      <c r="W249" s="18"/>
      <c r="X249" s="18"/>
      <c r="Y249" s="18"/>
      <c r="Z249" s="18"/>
    </row>
    <row r="250" spans="1:26" s="20" customFormat="1" x14ac:dyDescent="0.2">
      <c r="A250" s="12"/>
      <c r="B250" s="18"/>
      <c r="C250" s="18"/>
      <c r="D250" s="18"/>
      <c r="E250" s="18"/>
      <c r="F250" s="18"/>
      <c r="G250" s="18"/>
      <c r="H250" s="18"/>
      <c r="I250" s="18"/>
      <c r="J250" s="18"/>
      <c r="K250" s="18"/>
      <c r="L250" s="18"/>
      <c r="M250" s="18"/>
      <c r="N250" s="18"/>
      <c r="O250" s="18"/>
      <c r="P250" s="18"/>
      <c r="Q250" s="18"/>
      <c r="R250" s="18"/>
      <c r="S250" s="18"/>
      <c r="T250" s="18"/>
      <c r="U250" s="18"/>
      <c r="V250" s="18"/>
      <c r="W250" s="18"/>
      <c r="X250" s="18"/>
      <c r="Y250" s="18"/>
      <c r="Z250" s="18"/>
    </row>
    <row r="251" spans="1:26" s="20" customFormat="1" x14ac:dyDescent="0.2">
      <c r="A251" s="12"/>
      <c r="B251" s="18"/>
      <c r="C251" s="18"/>
      <c r="D251" s="18"/>
      <c r="E251" s="18"/>
      <c r="F251" s="18"/>
      <c r="G251" s="18"/>
      <c r="H251" s="18"/>
      <c r="I251" s="18"/>
      <c r="J251" s="18"/>
      <c r="K251" s="18"/>
      <c r="L251" s="18"/>
      <c r="M251" s="18"/>
      <c r="N251" s="18"/>
      <c r="O251" s="18"/>
      <c r="P251" s="18"/>
      <c r="Q251" s="18"/>
      <c r="R251" s="18"/>
      <c r="S251" s="18"/>
      <c r="T251" s="18"/>
      <c r="U251" s="18"/>
      <c r="V251" s="18"/>
      <c r="W251" s="18"/>
      <c r="X251" s="18"/>
      <c r="Y251" s="18"/>
      <c r="Z251" s="18"/>
    </row>
    <row r="252" spans="1:26" s="20" customFormat="1" x14ac:dyDescent="0.2">
      <c r="A252" s="12"/>
      <c r="B252" s="18"/>
      <c r="C252" s="18"/>
      <c r="D252" s="18"/>
      <c r="E252" s="18"/>
      <c r="F252" s="18"/>
      <c r="G252" s="18"/>
      <c r="H252" s="18"/>
      <c r="I252" s="18"/>
      <c r="J252" s="18"/>
      <c r="K252" s="18"/>
      <c r="L252" s="18"/>
      <c r="M252" s="18"/>
      <c r="N252" s="18"/>
      <c r="O252" s="18"/>
      <c r="P252" s="18"/>
      <c r="Q252" s="18"/>
      <c r="R252" s="18"/>
      <c r="S252" s="18"/>
      <c r="T252" s="18"/>
      <c r="U252" s="18"/>
      <c r="V252" s="18"/>
      <c r="W252" s="18"/>
      <c r="X252" s="18"/>
      <c r="Y252" s="18"/>
      <c r="Z252" s="18"/>
    </row>
    <row r="253" spans="1:26" s="20" customFormat="1" x14ac:dyDescent="0.2">
      <c r="A253" s="12"/>
      <c r="B253" s="18"/>
      <c r="C253" s="18"/>
      <c r="D253" s="18"/>
      <c r="E253" s="18"/>
      <c r="F253" s="18"/>
      <c r="G253" s="18"/>
      <c r="H253" s="18"/>
      <c r="I253" s="18"/>
      <c r="J253" s="18"/>
      <c r="K253" s="18"/>
      <c r="L253" s="18"/>
      <c r="M253" s="18"/>
      <c r="N253" s="18"/>
      <c r="O253" s="18"/>
      <c r="P253" s="18"/>
      <c r="Q253" s="18"/>
      <c r="R253" s="18"/>
      <c r="S253" s="18"/>
      <c r="T253" s="18"/>
      <c r="U253" s="18"/>
      <c r="V253" s="18"/>
      <c r="W253" s="18"/>
      <c r="X253" s="18"/>
      <c r="Y253" s="18"/>
      <c r="Z253" s="18"/>
    </row>
    <row r="254" spans="1:26" s="20" customFormat="1" x14ac:dyDescent="0.2">
      <c r="A254" s="12"/>
      <c r="B254" s="18"/>
      <c r="C254" s="18"/>
      <c r="D254" s="18"/>
      <c r="E254" s="18"/>
      <c r="F254" s="18"/>
      <c r="G254" s="18"/>
      <c r="H254" s="18"/>
      <c r="I254" s="18"/>
      <c r="J254" s="18"/>
      <c r="K254" s="18"/>
      <c r="L254" s="18"/>
      <c r="M254" s="18"/>
      <c r="N254" s="18"/>
      <c r="O254" s="18"/>
      <c r="P254" s="18"/>
      <c r="Q254" s="18"/>
      <c r="R254" s="18"/>
      <c r="S254" s="18"/>
      <c r="T254" s="18"/>
      <c r="U254" s="18"/>
      <c r="V254" s="18"/>
      <c r="W254" s="18"/>
      <c r="X254" s="18"/>
      <c r="Y254" s="18"/>
      <c r="Z254" s="18"/>
    </row>
    <row r="255" spans="1:26" s="20" customFormat="1" x14ac:dyDescent="0.2">
      <c r="A255" s="12"/>
      <c r="B255" s="18"/>
      <c r="C255" s="18"/>
      <c r="D255" s="18"/>
      <c r="E255" s="18"/>
      <c r="F255" s="18"/>
      <c r="G255" s="18"/>
      <c r="H255" s="18"/>
      <c r="I255" s="18"/>
      <c r="J255" s="18"/>
      <c r="K255" s="18"/>
      <c r="L255" s="18"/>
      <c r="M255" s="18"/>
      <c r="N255" s="18"/>
      <c r="O255" s="18"/>
      <c r="P255" s="18"/>
      <c r="Q255" s="18"/>
      <c r="R255" s="18"/>
      <c r="S255" s="18"/>
      <c r="T255" s="18"/>
      <c r="U255" s="18"/>
      <c r="V255" s="18"/>
      <c r="W255" s="18"/>
      <c r="X255" s="18"/>
      <c r="Y255" s="18"/>
      <c r="Z255" s="18"/>
    </row>
    <row r="256" spans="1:26" s="20" customFormat="1" x14ac:dyDescent="0.2">
      <c r="A256" s="12"/>
      <c r="B256" s="18"/>
      <c r="C256" s="18"/>
      <c r="D256" s="18"/>
      <c r="E256" s="18"/>
      <c r="F256" s="18"/>
      <c r="G256" s="18"/>
      <c r="H256" s="18"/>
      <c r="I256" s="18"/>
      <c r="J256" s="18"/>
      <c r="K256" s="18"/>
      <c r="L256" s="18"/>
      <c r="M256" s="18"/>
      <c r="N256" s="18"/>
      <c r="O256" s="18"/>
      <c r="P256" s="18"/>
      <c r="Q256" s="18"/>
      <c r="R256" s="18"/>
      <c r="S256" s="18"/>
      <c r="T256" s="18"/>
      <c r="U256" s="18"/>
      <c r="V256" s="18"/>
      <c r="W256" s="18"/>
      <c r="X256" s="18"/>
      <c r="Y256" s="18"/>
      <c r="Z256" s="18"/>
    </row>
    <row r="257" spans="1:26" s="20" customFormat="1" x14ac:dyDescent="0.2">
      <c r="A257" s="12"/>
      <c r="B257" s="18"/>
      <c r="C257" s="18"/>
      <c r="D257" s="18"/>
      <c r="E257" s="18"/>
      <c r="F257" s="18"/>
      <c r="G257" s="18"/>
      <c r="H257" s="18"/>
      <c r="I257" s="18"/>
      <c r="J257" s="18"/>
      <c r="K257" s="18"/>
      <c r="L257" s="18"/>
      <c r="M257" s="18"/>
      <c r="N257" s="18"/>
      <c r="O257" s="18"/>
      <c r="P257" s="18"/>
      <c r="Q257" s="18"/>
      <c r="R257" s="18"/>
      <c r="S257" s="18"/>
      <c r="T257" s="18"/>
      <c r="U257" s="18"/>
      <c r="V257" s="18"/>
      <c r="W257" s="18"/>
      <c r="X257" s="18"/>
      <c r="Y257" s="18"/>
      <c r="Z257" s="18"/>
    </row>
    <row r="258" spans="1:26" s="20" customFormat="1" x14ac:dyDescent="0.2">
      <c r="A258" s="12"/>
      <c r="B258" s="18"/>
      <c r="C258" s="18"/>
      <c r="D258" s="18"/>
      <c r="E258" s="18"/>
      <c r="F258" s="18"/>
      <c r="G258" s="18"/>
      <c r="H258" s="18"/>
      <c r="I258" s="18"/>
      <c r="J258" s="18"/>
      <c r="K258" s="18"/>
      <c r="L258" s="18"/>
      <c r="M258" s="18"/>
      <c r="N258" s="18"/>
      <c r="O258" s="18"/>
      <c r="P258" s="18"/>
      <c r="Q258" s="18"/>
      <c r="R258" s="18"/>
      <c r="S258" s="18"/>
      <c r="T258" s="18"/>
      <c r="U258" s="18"/>
      <c r="V258" s="18"/>
      <c r="W258" s="18"/>
      <c r="X258" s="18"/>
      <c r="Y258" s="18"/>
      <c r="Z258" s="18"/>
    </row>
    <row r="259" spans="1:26" s="20" customFormat="1" x14ac:dyDescent="0.2">
      <c r="A259" s="12"/>
      <c r="B259" s="18"/>
      <c r="C259" s="18"/>
      <c r="D259" s="18"/>
      <c r="E259" s="18"/>
      <c r="F259" s="18"/>
      <c r="G259" s="18"/>
      <c r="H259" s="18"/>
      <c r="I259" s="18"/>
      <c r="J259" s="18"/>
      <c r="K259" s="18"/>
      <c r="L259" s="18"/>
      <c r="M259" s="18"/>
      <c r="N259" s="18"/>
      <c r="O259" s="18"/>
      <c r="P259" s="18"/>
      <c r="Q259" s="18"/>
      <c r="R259" s="18"/>
      <c r="S259" s="18"/>
      <c r="T259" s="18"/>
      <c r="U259" s="18"/>
      <c r="V259" s="18"/>
      <c r="W259" s="18"/>
      <c r="X259" s="18"/>
      <c r="Y259" s="18"/>
      <c r="Z259" s="18"/>
    </row>
    <row r="260" spans="1:26" s="20" customFormat="1" x14ac:dyDescent="0.2">
      <c r="A260" s="12"/>
      <c r="B260" s="18"/>
      <c r="C260" s="18"/>
      <c r="D260" s="18"/>
      <c r="E260" s="18"/>
      <c r="F260" s="18"/>
      <c r="G260" s="18"/>
      <c r="H260" s="18"/>
      <c r="I260" s="18"/>
      <c r="J260" s="18"/>
      <c r="K260" s="18"/>
      <c r="L260" s="18"/>
      <c r="M260" s="18"/>
      <c r="N260" s="18"/>
      <c r="O260" s="18"/>
      <c r="P260" s="18"/>
      <c r="Q260" s="18"/>
      <c r="R260" s="18"/>
      <c r="S260" s="18"/>
      <c r="T260" s="18"/>
      <c r="U260" s="18"/>
      <c r="V260" s="18"/>
      <c r="W260" s="18"/>
      <c r="X260" s="18"/>
      <c r="Y260" s="18"/>
      <c r="Z260" s="18"/>
    </row>
    <row r="261" spans="1:26" s="20" customFormat="1" x14ac:dyDescent="0.2">
      <c r="A261" s="12"/>
      <c r="B261" s="18"/>
      <c r="C261" s="18"/>
      <c r="D261" s="18"/>
      <c r="E261" s="18"/>
      <c r="F261" s="18"/>
      <c r="G261" s="18"/>
      <c r="H261" s="18"/>
      <c r="I261" s="18"/>
      <c r="J261" s="18"/>
      <c r="K261" s="18"/>
      <c r="L261" s="18"/>
      <c r="M261" s="18"/>
      <c r="N261" s="18"/>
      <c r="O261" s="18"/>
      <c r="P261" s="18"/>
      <c r="Q261" s="18"/>
      <c r="R261" s="18"/>
      <c r="S261" s="18"/>
      <c r="T261" s="18"/>
      <c r="U261" s="18"/>
      <c r="V261" s="18"/>
      <c r="W261" s="18"/>
      <c r="X261" s="18"/>
      <c r="Y261" s="18"/>
      <c r="Z261" s="18"/>
    </row>
    <row r="262" spans="1:26" s="20" customFormat="1" x14ac:dyDescent="0.2">
      <c r="A262" s="12"/>
      <c r="B262" s="18"/>
      <c r="C262" s="18"/>
      <c r="D262" s="18"/>
      <c r="E262" s="18"/>
      <c r="F262" s="18"/>
      <c r="G262" s="18"/>
      <c r="H262" s="18"/>
      <c r="I262" s="18"/>
      <c r="J262" s="18"/>
      <c r="K262" s="18"/>
      <c r="L262" s="18"/>
      <c r="M262" s="18"/>
      <c r="N262" s="18"/>
      <c r="O262" s="18"/>
      <c r="P262" s="18"/>
      <c r="Q262" s="18"/>
      <c r="R262" s="18"/>
      <c r="S262" s="18"/>
      <c r="T262" s="18"/>
      <c r="U262" s="18"/>
      <c r="V262" s="18"/>
      <c r="W262" s="18"/>
      <c r="X262" s="18"/>
      <c r="Y262" s="18"/>
      <c r="Z262" s="18"/>
    </row>
    <row r="263" spans="1:26" s="20" customFormat="1" x14ac:dyDescent="0.2">
      <c r="A263" s="12"/>
      <c r="B263" s="18"/>
      <c r="C263" s="18"/>
      <c r="D263" s="18"/>
      <c r="E263" s="18"/>
      <c r="F263" s="18"/>
      <c r="G263" s="18"/>
      <c r="H263" s="18"/>
      <c r="I263" s="18"/>
      <c r="J263" s="18"/>
      <c r="K263" s="18"/>
      <c r="L263" s="18"/>
      <c r="M263" s="18"/>
      <c r="N263" s="18"/>
      <c r="O263" s="18"/>
      <c r="P263" s="18"/>
      <c r="Q263" s="18"/>
      <c r="R263" s="18"/>
      <c r="S263" s="18"/>
      <c r="T263" s="18"/>
      <c r="U263" s="18"/>
      <c r="V263" s="18"/>
      <c r="W263" s="18"/>
      <c r="X263" s="18"/>
      <c r="Y263" s="18"/>
      <c r="Z263" s="18"/>
    </row>
    <row r="264" spans="1:26" s="20" customFormat="1" x14ac:dyDescent="0.2">
      <c r="A264" s="12"/>
      <c r="B264" s="18"/>
      <c r="C264" s="18"/>
      <c r="D264" s="18"/>
      <c r="E264" s="18"/>
      <c r="F264" s="18"/>
      <c r="G264" s="18"/>
      <c r="H264" s="18"/>
      <c r="I264" s="18"/>
      <c r="J264" s="18"/>
      <c r="K264" s="18"/>
      <c r="L264" s="18"/>
      <c r="M264" s="18"/>
      <c r="N264" s="18"/>
      <c r="O264" s="18"/>
      <c r="P264" s="18"/>
      <c r="Q264" s="18"/>
      <c r="R264" s="18"/>
      <c r="S264" s="18"/>
      <c r="T264" s="18"/>
      <c r="U264" s="18"/>
      <c r="V264" s="18"/>
      <c r="W264" s="18"/>
      <c r="X264" s="18"/>
      <c r="Y264" s="18"/>
      <c r="Z264" s="18"/>
    </row>
    <row r="265" spans="1:26" s="20" customFormat="1" x14ac:dyDescent="0.2">
      <c r="A265" s="12"/>
      <c r="B265" s="18"/>
      <c r="C265" s="18"/>
      <c r="D265" s="18"/>
      <c r="E265" s="18"/>
      <c r="F265" s="18"/>
      <c r="G265" s="18"/>
      <c r="H265" s="18"/>
      <c r="I265" s="18"/>
      <c r="J265" s="18"/>
      <c r="K265" s="18"/>
      <c r="L265" s="18"/>
      <c r="M265" s="18"/>
      <c r="N265" s="18"/>
      <c r="O265" s="18"/>
      <c r="P265" s="18"/>
      <c r="Q265" s="18"/>
      <c r="R265" s="18"/>
      <c r="S265" s="18"/>
      <c r="T265" s="18"/>
      <c r="U265" s="18"/>
      <c r="V265" s="18"/>
      <c r="W265" s="18"/>
      <c r="X265" s="18"/>
      <c r="Y265" s="18"/>
      <c r="Z265" s="18"/>
    </row>
    <row r="266" spans="1:26" s="20" customFormat="1" x14ac:dyDescent="0.2">
      <c r="A266" s="12"/>
      <c r="B266" s="18"/>
      <c r="C266" s="18"/>
      <c r="D266" s="18"/>
      <c r="E266" s="18"/>
      <c r="F266" s="18"/>
      <c r="G266" s="18"/>
      <c r="H266" s="18"/>
      <c r="I266" s="18"/>
      <c r="J266" s="18"/>
      <c r="K266" s="18"/>
      <c r="L266" s="18"/>
      <c r="M266" s="18"/>
      <c r="N266" s="18"/>
      <c r="O266" s="18"/>
      <c r="P266" s="18"/>
      <c r="Q266" s="18"/>
      <c r="R266" s="18"/>
      <c r="S266" s="18"/>
      <c r="T266" s="18"/>
      <c r="U266" s="18"/>
      <c r="V266" s="18"/>
      <c r="W266" s="18"/>
      <c r="X266" s="18"/>
      <c r="Y266" s="18"/>
      <c r="Z266" s="18"/>
    </row>
    <row r="267" spans="1:26" s="20" customFormat="1" x14ac:dyDescent="0.2">
      <c r="A267" s="12"/>
      <c r="B267" s="18"/>
      <c r="C267" s="18"/>
      <c r="D267" s="18"/>
      <c r="E267" s="18"/>
      <c r="F267" s="18"/>
      <c r="G267" s="18"/>
      <c r="H267" s="18"/>
      <c r="I267" s="18"/>
      <c r="J267" s="18"/>
      <c r="K267" s="18"/>
      <c r="L267" s="18"/>
      <c r="M267" s="18"/>
      <c r="N267" s="18"/>
      <c r="O267" s="18"/>
      <c r="P267" s="18"/>
      <c r="Q267" s="18"/>
      <c r="R267" s="18"/>
      <c r="S267" s="18"/>
      <c r="T267" s="18"/>
      <c r="U267" s="18"/>
      <c r="V267" s="18"/>
      <c r="W267" s="18"/>
      <c r="X267" s="18"/>
      <c r="Y267" s="18"/>
      <c r="Z267" s="18"/>
    </row>
    <row r="268" spans="1:26" s="20" customFormat="1" x14ac:dyDescent="0.2">
      <c r="A268" s="12"/>
      <c r="B268" s="18"/>
      <c r="C268" s="18"/>
      <c r="D268" s="18"/>
      <c r="E268" s="18"/>
      <c r="F268" s="18"/>
      <c r="G268" s="18"/>
      <c r="H268" s="18"/>
      <c r="I268" s="18"/>
      <c r="J268" s="18"/>
      <c r="K268" s="18"/>
      <c r="L268" s="18"/>
      <c r="M268" s="18"/>
      <c r="N268" s="18"/>
      <c r="O268" s="18"/>
      <c r="P268" s="18"/>
      <c r="Q268" s="18"/>
      <c r="R268" s="18"/>
      <c r="S268" s="18"/>
      <c r="T268" s="18"/>
      <c r="U268" s="18"/>
      <c r="V268" s="18"/>
      <c r="W268" s="18"/>
      <c r="X268" s="18"/>
      <c r="Y268" s="18"/>
      <c r="Z268" s="18"/>
    </row>
    <row r="269" spans="1:26" s="20" customFormat="1" x14ac:dyDescent="0.2">
      <c r="A269" s="12"/>
      <c r="B269" s="18"/>
      <c r="C269" s="18"/>
      <c r="D269" s="18"/>
      <c r="E269" s="18"/>
      <c r="F269" s="18"/>
      <c r="G269" s="18"/>
      <c r="H269" s="18"/>
      <c r="I269" s="18"/>
      <c r="J269" s="18"/>
      <c r="K269" s="18"/>
      <c r="L269" s="18"/>
      <c r="M269" s="18"/>
      <c r="N269" s="18"/>
      <c r="O269" s="18"/>
      <c r="P269" s="18"/>
      <c r="Q269" s="18"/>
      <c r="R269" s="18"/>
      <c r="S269" s="18"/>
      <c r="T269" s="18"/>
      <c r="U269" s="18"/>
      <c r="V269" s="18"/>
      <c r="W269" s="18"/>
      <c r="X269" s="18"/>
      <c r="Y269" s="18"/>
      <c r="Z269" s="18"/>
    </row>
    <row r="270" spans="1:26" s="20" customFormat="1" x14ac:dyDescent="0.2">
      <c r="A270" s="12"/>
      <c r="B270" s="18"/>
      <c r="C270" s="18"/>
      <c r="D270" s="18"/>
      <c r="E270" s="18"/>
      <c r="F270" s="18"/>
      <c r="G270" s="18"/>
      <c r="H270" s="18"/>
      <c r="I270" s="18"/>
      <c r="J270" s="18"/>
      <c r="K270" s="18"/>
      <c r="L270" s="18"/>
      <c r="M270" s="18"/>
      <c r="N270" s="18"/>
      <c r="O270" s="18"/>
      <c r="P270" s="18"/>
      <c r="Q270" s="18"/>
      <c r="R270" s="18"/>
      <c r="S270" s="18"/>
      <c r="T270" s="18"/>
      <c r="U270" s="18"/>
      <c r="V270" s="18"/>
      <c r="W270" s="18"/>
      <c r="X270" s="18"/>
      <c r="Y270" s="18"/>
      <c r="Z270" s="18"/>
    </row>
    <row r="271" spans="1:26" s="20" customFormat="1" x14ac:dyDescent="0.2">
      <c r="A271" s="12"/>
      <c r="B271" s="18"/>
      <c r="C271" s="18"/>
      <c r="D271" s="18"/>
      <c r="E271" s="18"/>
      <c r="F271" s="18"/>
      <c r="G271" s="18"/>
      <c r="H271" s="18"/>
      <c r="I271" s="18"/>
      <c r="J271" s="18"/>
      <c r="K271" s="18"/>
      <c r="L271" s="18"/>
      <c r="M271" s="18"/>
      <c r="N271" s="18"/>
      <c r="O271" s="18"/>
      <c r="P271" s="18"/>
      <c r="Q271" s="18"/>
      <c r="R271" s="18"/>
      <c r="S271" s="18"/>
      <c r="T271" s="18"/>
      <c r="U271" s="18"/>
      <c r="V271" s="18"/>
      <c r="W271" s="18"/>
      <c r="X271" s="18"/>
      <c r="Y271" s="18"/>
      <c r="Z271" s="18"/>
    </row>
    <row r="272" spans="1:26" s="20" customFormat="1" x14ac:dyDescent="0.2">
      <c r="A272" s="12"/>
      <c r="B272" s="18"/>
      <c r="C272" s="18"/>
      <c r="D272" s="18"/>
      <c r="E272" s="18"/>
      <c r="F272" s="18"/>
      <c r="G272" s="18"/>
      <c r="H272" s="18"/>
      <c r="I272" s="18"/>
      <c r="J272" s="18"/>
      <c r="K272" s="18"/>
      <c r="L272" s="18"/>
      <c r="M272" s="18"/>
      <c r="N272" s="18"/>
      <c r="O272" s="18"/>
      <c r="P272" s="18"/>
      <c r="Q272" s="18"/>
      <c r="R272" s="18"/>
      <c r="S272" s="18"/>
      <c r="T272" s="18"/>
      <c r="U272" s="18"/>
      <c r="V272" s="18"/>
      <c r="W272" s="18"/>
      <c r="X272" s="18"/>
      <c r="Y272" s="18"/>
      <c r="Z272" s="18"/>
    </row>
    <row r="273" spans="1:26" s="20" customFormat="1" x14ac:dyDescent="0.2">
      <c r="A273" s="12"/>
      <c r="B273" s="18"/>
      <c r="C273" s="18"/>
      <c r="D273" s="18"/>
      <c r="E273" s="18"/>
      <c r="F273" s="18"/>
      <c r="G273" s="18"/>
      <c r="H273" s="18"/>
      <c r="I273" s="18"/>
      <c r="J273" s="18"/>
      <c r="K273" s="18"/>
      <c r="L273" s="18"/>
      <c r="M273" s="18"/>
      <c r="N273" s="18"/>
      <c r="O273" s="18"/>
      <c r="P273" s="18"/>
      <c r="Q273" s="18"/>
      <c r="R273" s="18"/>
      <c r="S273" s="18"/>
      <c r="T273" s="18"/>
      <c r="U273" s="18"/>
      <c r="V273" s="18"/>
      <c r="W273" s="18"/>
      <c r="X273" s="18"/>
      <c r="Y273" s="18"/>
      <c r="Z273" s="18"/>
    </row>
    <row r="274" spans="1:26" s="20" customFormat="1" x14ac:dyDescent="0.2">
      <c r="A274" s="12"/>
      <c r="B274" s="18"/>
      <c r="C274" s="18"/>
      <c r="D274" s="18"/>
      <c r="E274" s="18"/>
      <c r="F274" s="18"/>
      <c r="G274" s="18"/>
      <c r="H274" s="18"/>
      <c r="I274" s="18"/>
      <c r="J274" s="18"/>
      <c r="K274" s="18"/>
      <c r="L274" s="18"/>
      <c r="M274" s="18"/>
      <c r="N274" s="18"/>
      <c r="O274" s="18"/>
      <c r="P274" s="18"/>
      <c r="Q274" s="21"/>
      <c r="R274" s="18"/>
      <c r="S274" s="18"/>
      <c r="T274" s="18"/>
      <c r="U274" s="18"/>
      <c r="V274" s="18"/>
      <c r="W274" s="18"/>
      <c r="X274" s="18"/>
      <c r="Y274" s="18"/>
      <c r="Z274" s="18"/>
    </row>
    <row r="275" spans="1:26" s="20" customFormat="1" ht="25.5" customHeight="1" x14ac:dyDescent="0.2">
      <c r="A275" s="12"/>
      <c r="B275" s="18"/>
      <c r="C275" s="18"/>
      <c r="D275" s="18"/>
      <c r="E275" s="18"/>
      <c r="F275" s="18"/>
      <c r="G275" s="18"/>
      <c r="H275" s="18"/>
      <c r="I275" s="18"/>
      <c r="J275" s="18"/>
      <c r="K275" s="18"/>
      <c r="L275" s="18"/>
      <c r="M275" s="18"/>
      <c r="N275" s="18"/>
      <c r="O275" s="18"/>
      <c r="P275" s="18"/>
      <c r="Q275" s="18"/>
      <c r="R275" s="18"/>
      <c r="S275" s="18"/>
      <c r="T275" s="18"/>
      <c r="U275" s="18"/>
      <c r="V275" s="18"/>
      <c r="W275" s="18"/>
      <c r="X275" s="18"/>
      <c r="Y275" s="18"/>
      <c r="Z275" s="18"/>
    </row>
    <row r="276" spans="1:26" s="20" customFormat="1" x14ac:dyDescent="0.2">
      <c r="A276" s="12"/>
      <c r="B276" s="18"/>
      <c r="C276" s="18"/>
      <c r="D276" s="18"/>
      <c r="E276" s="18"/>
      <c r="F276" s="18"/>
      <c r="G276" s="18"/>
      <c r="H276" s="18"/>
      <c r="I276" s="18"/>
      <c r="J276" s="18"/>
      <c r="K276" s="18"/>
      <c r="L276" s="18"/>
      <c r="M276" s="18"/>
      <c r="N276" s="18"/>
      <c r="O276" s="18"/>
      <c r="P276" s="18"/>
      <c r="Q276" s="18"/>
      <c r="R276" s="18"/>
      <c r="S276" s="18"/>
      <c r="T276" s="18"/>
      <c r="U276" s="18"/>
      <c r="V276" s="18"/>
      <c r="W276" s="18"/>
      <c r="X276" s="18"/>
      <c r="Y276" s="18"/>
      <c r="Z276" s="18"/>
    </row>
    <row r="277" spans="1:26" s="20" customFormat="1" x14ac:dyDescent="0.2">
      <c r="A277" s="12"/>
      <c r="B277" s="18"/>
      <c r="C277" s="18"/>
      <c r="D277" s="18"/>
      <c r="E277" s="18"/>
      <c r="F277" s="18"/>
      <c r="G277" s="18"/>
      <c r="H277" s="18"/>
      <c r="I277" s="18"/>
      <c r="J277" s="18"/>
      <c r="K277" s="18"/>
      <c r="L277" s="18"/>
      <c r="M277" s="18"/>
      <c r="N277" s="18"/>
      <c r="O277" s="18"/>
      <c r="P277" s="18"/>
      <c r="Q277" s="18"/>
      <c r="R277" s="18"/>
      <c r="S277" s="18"/>
      <c r="T277" s="18"/>
      <c r="U277" s="18"/>
      <c r="V277" s="18"/>
      <c r="W277" s="18"/>
      <c r="X277" s="18"/>
      <c r="Y277" s="18"/>
      <c r="Z277" s="18"/>
    </row>
    <row r="278" spans="1:26" s="20" customFormat="1" x14ac:dyDescent="0.2">
      <c r="A278" s="12"/>
      <c r="B278" s="18"/>
      <c r="C278" s="18"/>
      <c r="D278" s="18"/>
      <c r="E278" s="18"/>
      <c r="F278" s="18"/>
      <c r="G278" s="18"/>
      <c r="H278" s="18"/>
      <c r="I278" s="18"/>
      <c r="J278" s="18"/>
      <c r="K278" s="18"/>
      <c r="L278" s="18"/>
      <c r="M278" s="18"/>
      <c r="N278" s="18"/>
      <c r="O278" s="18"/>
      <c r="P278" s="18"/>
      <c r="Q278" s="18"/>
      <c r="R278" s="18"/>
      <c r="S278" s="18"/>
      <c r="T278" s="18"/>
      <c r="U278" s="18"/>
      <c r="V278" s="18"/>
      <c r="W278" s="18"/>
      <c r="X278" s="18"/>
      <c r="Y278" s="18"/>
      <c r="Z278" s="18"/>
    </row>
    <row r="279" spans="1:26" s="20" customFormat="1" x14ac:dyDescent="0.2">
      <c r="A279" s="12"/>
      <c r="B279" s="18"/>
      <c r="C279" s="18"/>
      <c r="D279" s="18"/>
      <c r="E279" s="18"/>
      <c r="F279" s="18"/>
      <c r="G279" s="18"/>
      <c r="H279" s="18"/>
      <c r="I279" s="18"/>
      <c r="J279" s="18"/>
      <c r="K279" s="18"/>
      <c r="L279" s="18"/>
      <c r="M279" s="18"/>
      <c r="N279" s="18"/>
      <c r="O279" s="18"/>
      <c r="P279" s="18"/>
      <c r="Q279" s="18"/>
      <c r="R279" s="18"/>
      <c r="S279" s="18"/>
      <c r="T279" s="18"/>
      <c r="U279" s="18"/>
      <c r="V279" s="18"/>
      <c r="W279" s="18"/>
      <c r="X279" s="18"/>
      <c r="Y279" s="18"/>
      <c r="Z279" s="18"/>
    </row>
    <row r="280" spans="1:26" s="20" customFormat="1" x14ac:dyDescent="0.2">
      <c r="A280" s="12"/>
      <c r="B280" s="18"/>
      <c r="C280" s="18"/>
      <c r="D280" s="18"/>
      <c r="E280" s="18"/>
      <c r="F280" s="18"/>
      <c r="G280" s="18"/>
      <c r="H280" s="18"/>
      <c r="I280" s="18"/>
      <c r="J280" s="18"/>
      <c r="K280" s="18"/>
      <c r="L280" s="18"/>
      <c r="M280" s="18"/>
      <c r="N280" s="18"/>
      <c r="O280" s="18"/>
      <c r="P280" s="18"/>
      <c r="Q280" s="18"/>
      <c r="R280" s="18"/>
      <c r="S280" s="18"/>
      <c r="T280" s="18"/>
      <c r="U280" s="18"/>
      <c r="V280" s="18"/>
      <c r="W280" s="18"/>
      <c r="X280" s="18"/>
      <c r="Y280" s="18"/>
      <c r="Z280" s="18"/>
    </row>
    <row r="281" spans="1:26" s="20" customFormat="1" x14ac:dyDescent="0.2">
      <c r="A281" s="12"/>
      <c r="B281" s="18"/>
      <c r="C281" s="18"/>
      <c r="D281" s="18"/>
      <c r="E281" s="18"/>
      <c r="F281" s="18"/>
      <c r="G281" s="18"/>
      <c r="H281" s="18"/>
      <c r="I281" s="18"/>
      <c r="J281" s="18"/>
      <c r="K281" s="18"/>
      <c r="L281" s="18"/>
      <c r="M281" s="18"/>
      <c r="N281" s="18"/>
      <c r="O281" s="18"/>
      <c r="P281" s="18"/>
      <c r="Q281" s="18"/>
      <c r="R281" s="18"/>
      <c r="S281" s="18"/>
      <c r="T281" s="18"/>
      <c r="U281" s="18"/>
      <c r="V281" s="18"/>
      <c r="W281" s="18"/>
      <c r="X281" s="18"/>
      <c r="Y281" s="18"/>
      <c r="Z281" s="18"/>
    </row>
    <row r="282" spans="1:26" s="20" customFormat="1" x14ac:dyDescent="0.2">
      <c r="A282" s="12"/>
      <c r="B282" s="18"/>
      <c r="C282" s="18"/>
      <c r="D282" s="18"/>
      <c r="E282" s="18"/>
      <c r="F282" s="18"/>
      <c r="G282" s="18"/>
      <c r="H282" s="18"/>
      <c r="I282" s="18"/>
      <c r="J282" s="18"/>
      <c r="K282" s="18"/>
      <c r="L282" s="18"/>
      <c r="M282" s="18"/>
      <c r="N282" s="18"/>
      <c r="O282" s="18"/>
      <c r="P282" s="18"/>
      <c r="Q282" s="18"/>
      <c r="R282" s="18"/>
      <c r="S282" s="18"/>
      <c r="T282" s="18"/>
      <c r="U282" s="18"/>
      <c r="V282" s="18"/>
      <c r="W282" s="18"/>
      <c r="X282" s="18"/>
      <c r="Y282" s="18"/>
      <c r="Z282" s="18"/>
    </row>
    <row r="283" spans="1:26" s="20" customFormat="1" x14ac:dyDescent="0.2">
      <c r="A283" s="12"/>
      <c r="B283" s="18"/>
      <c r="C283" s="18"/>
      <c r="D283" s="18"/>
      <c r="E283" s="18"/>
      <c r="F283" s="18"/>
      <c r="G283" s="18"/>
      <c r="H283" s="18"/>
      <c r="I283" s="18"/>
      <c r="J283" s="18"/>
      <c r="K283" s="18"/>
      <c r="L283" s="18"/>
      <c r="M283" s="18"/>
      <c r="N283" s="18"/>
      <c r="O283" s="18"/>
      <c r="P283" s="18"/>
      <c r="Q283" s="18"/>
      <c r="R283" s="18"/>
      <c r="S283" s="18"/>
      <c r="T283" s="18"/>
      <c r="U283" s="18"/>
      <c r="V283" s="18"/>
      <c r="W283" s="18"/>
      <c r="X283" s="18"/>
      <c r="Y283" s="18"/>
      <c r="Z283" s="18"/>
    </row>
    <row r="284" spans="1:26" s="20" customFormat="1" x14ac:dyDescent="0.2">
      <c r="A284" s="12"/>
      <c r="B284" s="18"/>
      <c r="C284" s="18"/>
      <c r="D284" s="18"/>
      <c r="E284" s="18"/>
      <c r="F284" s="18"/>
      <c r="G284" s="18"/>
      <c r="H284" s="18"/>
      <c r="I284" s="18"/>
      <c r="J284" s="18"/>
      <c r="K284" s="18"/>
      <c r="L284" s="18"/>
      <c r="M284" s="18"/>
      <c r="N284" s="18"/>
      <c r="O284" s="18"/>
      <c r="P284" s="18"/>
      <c r="Q284" s="18"/>
      <c r="R284" s="18"/>
      <c r="S284" s="18"/>
      <c r="T284" s="18"/>
      <c r="U284" s="18"/>
      <c r="V284" s="18"/>
      <c r="W284" s="18"/>
      <c r="X284" s="18"/>
      <c r="Y284" s="18"/>
      <c r="Z284" s="18"/>
    </row>
    <row r="285" spans="1:26" s="20" customFormat="1" x14ac:dyDescent="0.2">
      <c r="A285" s="12"/>
      <c r="B285" s="18"/>
      <c r="C285" s="18"/>
      <c r="D285" s="18"/>
      <c r="E285" s="18"/>
      <c r="F285" s="18"/>
      <c r="G285" s="18"/>
      <c r="H285" s="18"/>
      <c r="I285" s="18"/>
      <c r="J285" s="18"/>
      <c r="K285" s="18"/>
      <c r="L285" s="18"/>
      <c r="M285" s="18"/>
      <c r="N285" s="18"/>
      <c r="O285" s="18"/>
      <c r="P285" s="18"/>
      <c r="Q285" s="18"/>
      <c r="R285" s="18"/>
      <c r="S285" s="18"/>
      <c r="T285" s="18"/>
      <c r="U285" s="18"/>
      <c r="V285" s="18"/>
      <c r="W285" s="18"/>
      <c r="X285" s="18"/>
      <c r="Y285" s="18"/>
      <c r="Z285" s="18"/>
    </row>
    <row r="286" spans="1:26" s="20" customFormat="1" x14ac:dyDescent="0.2">
      <c r="A286" s="12"/>
      <c r="B286" s="18"/>
      <c r="C286" s="18"/>
      <c r="D286" s="18"/>
      <c r="E286" s="18"/>
      <c r="F286" s="18"/>
      <c r="G286" s="18"/>
      <c r="H286" s="18"/>
      <c r="I286" s="18"/>
      <c r="J286" s="18"/>
      <c r="K286" s="18"/>
      <c r="L286" s="18"/>
      <c r="M286" s="18"/>
      <c r="N286" s="18"/>
      <c r="O286" s="18"/>
      <c r="P286" s="18"/>
      <c r="Q286" s="18"/>
      <c r="R286" s="18"/>
      <c r="S286" s="18"/>
      <c r="T286" s="18"/>
      <c r="U286" s="18"/>
      <c r="V286" s="18"/>
      <c r="W286" s="18"/>
      <c r="X286" s="18"/>
      <c r="Y286" s="18"/>
      <c r="Z286" s="18"/>
    </row>
    <row r="287" spans="1:26" s="20" customFormat="1" x14ac:dyDescent="0.2">
      <c r="A287" s="12"/>
      <c r="B287" s="18"/>
      <c r="C287" s="18"/>
      <c r="D287" s="18"/>
      <c r="E287" s="18"/>
      <c r="F287" s="18"/>
      <c r="G287" s="18"/>
      <c r="H287" s="18"/>
      <c r="I287" s="18"/>
      <c r="J287" s="18"/>
      <c r="K287" s="18"/>
      <c r="L287" s="18"/>
      <c r="M287" s="18"/>
      <c r="N287" s="18"/>
      <c r="O287" s="18"/>
      <c r="P287" s="18"/>
      <c r="Q287" s="18"/>
      <c r="R287" s="18"/>
      <c r="S287" s="18"/>
      <c r="T287" s="18"/>
      <c r="U287" s="18"/>
      <c r="V287" s="18"/>
      <c r="W287" s="18"/>
      <c r="X287" s="18"/>
      <c r="Y287" s="18"/>
      <c r="Z287" s="18"/>
    </row>
    <row r="288" spans="1:26" s="20" customFormat="1" x14ac:dyDescent="0.2">
      <c r="A288" s="12"/>
      <c r="B288" s="18"/>
      <c r="C288" s="18"/>
      <c r="D288" s="18"/>
      <c r="E288" s="18"/>
      <c r="F288" s="18"/>
      <c r="G288" s="18"/>
      <c r="H288" s="18"/>
      <c r="I288" s="18"/>
      <c r="J288" s="18"/>
      <c r="K288" s="18"/>
      <c r="L288" s="18"/>
      <c r="M288" s="18"/>
      <c r="N288" s="18"/>
      <c r="O288" s="18"/>
      <c r="P288" s="18"/>
      <c r="Q288" s="18"/>
      <c r="R288" s="18"/>
      <c r="S288" s="18"/>
      <c r="T288" s="18"/>
      <c r="U288" s="18"/>
      <c r="V288" s="18"/>
      <c r="W288" s="18"/>
      <c r="X288" s="18"/>
      <c r="Y288" s="18"/>
      <c r="Z288" s="18"/>
    </row>
    <row r="289" spans="1:26" s="20" customFormat="1" x14ac:dyDescent="0.2">
      <c r="A289" s="12"/>
      <c r="B289" s="18"/>
      <c r="C289" s="18"/>
      <c r="D289" s="18"/>
      <c r="E289" s="18"/>
      <c r="F289" s="18"/>
      <c r="G289" s="18"/>
      <c r="H289" s="18"/>
      <c r="I289" s="18"/>
      <c r="J289" s="18"/>
      <c r="K289" s="18"/>
      <c r="L289" s="18"/>
      <c r="M289" s="18"/>
      <c r="N289" s="18"/>
      <c r="O289" s="18"/>
      <c r="P289" s="18"/>
      <c r="Q289" s="18"/>
      <c r="R289" s="18"/>
      <c r="S289" s="18"/>
      <c r="T289" s="18"/>
      <c r="U289" s="18"/>
      <c r="V289" s="18"/>
      <c r="W289" s="18"/>
      <c r="X289" s="18"/>
      <c r="Y289" s="18"/>
      <c r="Z289" s="18"/>
    </row>
    <row r="290" spans="1:26" s="20" customFormat="1" x14ac:dyDescent="0.2">
      <c r="A290" s="12"/>
      <c r="B290" s="18"/>
      <c r="C290" s="18"/>
      <c r="D290" s="18"/>
      <c r="E290" s="18"/>
      <c r="F290" s="18"/>
      <c r="G290" s="18"/>
      <c r="H290" s="18"/>
      <c r="I290" s="18"/>
      <c r="J290" s="18"/>
      <c r="K290" s="18"/>
      <c r="L290" s="18"/>
      <c r="M290" s="18"/>
      <c r="N290" s="18"/>
      <c r="O290" s="18"/>
      <c r="P290" s="18"/>
      <c r="Q290" s="18"/>
      <c r="R290" s="18"/>
      <c r="S290" s="18"/>
      <c r="T290" s="18"/>
      <c r="U290" s="18"/>
      <c r="V290" s="18"/>
      <c r="W290" s="18"/>
      <c r="X290" s="18"/>
      <c r="Y290" s="18"/>
      <c r="Z290" s="18"/>
    </row>
    <row r="291" spans="1:26" s="20" customFormat="1" x14ac:dyDescent="0.2">
      <c r="A291" s="12"/>
      <c r="B291" s="18"/>
      <c r="C291" s="18"/>
      <c r="D291" s="18"/>
      <c r="E291" s="18"/>
      <c r="F291" s="18"/>
      <c r="G291" s="18"/>
      <c r="H291" s="18"/>
      <c r="I291" s="18"/>
      <c r="J291" s="18"/>
      <c r="K291" s="18"/>
      <c r="L291" s="18"/>
      <c r="M291" s="18"/>
      <c r="N291" s="18"/>
      <c r="O291" s="18"/>
      <c r="P291" s="18"/>
      <c r="Q291" s="18"/>
      <c r="R291" s="18"/>
      <c r="S291" s="18"/>
      <c r="T291" s="18"/>
      <c r="U291" s="18"/>
      <c r="V291" s="18"/>
      <c r="W291" s="18"/>
      <c r="X291" s="18"/>
      <c r="Y291" s="18"/>
      <c r="Z291" s="18"/>
    </row>
    <row r="292" spans="1:26" s="20" customFormat="1" x14ac:dyDescent="0.2">
      <c r="A292" s="12"/>
      <c r="B292" s="18"/>
      <c r="C292" s="18"/>
      <c r="D292" s="18"/>
      <c r="E292" s="18"/>
      <c r="F292" s="18"/>
      <c r="G292" s="18"/>
      <c r="H292" s="18"/>
      <c r="I292" s="18"/>
      <c r="J292" s="18"/>
      <c r="K292" s="18"/>
      <c r="L292" s="18"/>
      <c r="M292" s="18"/>
      <c r="N292" s="18"/>
      <c r="O292" s="18"/>
      <c r="P292" s="18"/>
      <c r="Q292" s="18"/>
      <c r="R292" s="18"/>
      <c r="S292" s="18"/>
      <c r="T292" s="18"/>
      <c r="U292" s="18"/>
      <c r="V292" s="18"/>
      <c r="W292" s="18"/>
      <c r="X292" s="18"/>
      <c r="Y292" s="18"/>
      <c r="Z292" s="18"/>
    </row>
    <row r="293" spans="1:26" s="20" customFormat="1" x14ac:dyDescent="0.2">
      <c r="A293" s="12"/>
      <c r="B293" s="18"/>
      <c r="C293" s="18"/>
      <c r="D293" s="18"/>
      <c r="E293" s="18"/>
      <c r="F293" s="18"/>
      <c r="G293" s="18"/>
      <c r="H293" s="18"/>
      <c r="I293" s="18"/>
      <c r="J293" s="18"/>
      <c r="K293" s="18"/>
      <c r="L293" s="18"/>
      <c r="M293" s="18"/>
      <c r="N293" s="18"/>
      <c r="O293" s="18"/>
      <c r="P293" s="18"/>
      <c r="Q293" s="18"/>
      <c r="R293" s="18"/>
      <c r="S293" s="18"/>
      <c r="T293" s="18"/>
      <c r="U293" s="18"/>
      <c r="V293" s="18"/>
      <c r="W293" s="18"/>
      <c r="X293" s="18"/>
      <c r="Y293" s="18"/>
      <c r="Z293" s="18"/>
    </row>
    <row r="294" spans="1:26" s="20" customFormat="1" x14ac:dyDescent="0.2">
      <c r="A294" s="12"/>
      <c r="B294" s="18"/>
      <c r="C294" s="18"/>
      <c r="D294" s="18"/>
      <c r="E294" s="18"/>
      <c r="F294" s="18"/>
      <c r="G294" s="18"/>
      <c r="H294" s="18"/>
      <c r="I294" s="18"/>
      <c r="J294" s="18"/>
      <c r="K294" s="18"/>
      <c r="L294" s="18"/>
      <c r="M294" s="18"/>
      <c r="N294" s="18"/>
      <c r="O294" s="18"/>
      <c r="P294" s="18"/>
      <c r="Q294" s="18"/>
      <c r="R294" s="18"/>
      <c r="S294" s="18"/>
      <c r="T294" s="18"/>
      <c r="U294" s="18"/>
      <c r="V294" s="18"/>
      <c r="W294" s="18"/>
      <c r="X294" s="18"/>
      <c r="Y294" s="18"/>
      <c r="Z294" s="18"/>
    </row>
    <row r="295" spans="1:26" s="20" customFormat="1" x14ac:dyDescent="0.2">
      <c r="A295" s="12"/>
      <c r="B295" s="18"/>
      <c r="C295" s="18"/>
      <c r="D295" s="18"/>
      <c r="E295" s="18"/>
      <c r="F295" s="18"/>
      <c r="G295" s="18"/>
      <c r="H295" s="18"/>
      <c r="I295" s="18"/>
      <c r="J295" s="18"/>
      <c r="K295" s="18"/>
      <c r="L295" s="18"/>
      <c r="M295" s="18"/>
      <c r="N295" s="18"/>
      <c r="O295" s="18"/>
      <c r="P295" s="18"/>
      <c r="Q295" s="18"/>
      <c r="R295" s="18"/>
      <c r="S295" s="18"/>
      <c r="T295" s="18"/>
      <c r="U295" s="18"/>
      <c r="V295" s="18"/>
      <c r="W295" s="18"/>
      <c r="X295" s="18"/>
      <c r="Y295" s="18"/>
      <c r="Z295" s="18"/>
    </row>
    <row r="296" spans="1:26" s="20" customFormat="1" x14ac:dyDescent="0.2">
      <c r="A296" s="12"/>
      <c r="B296" s="18"/>
      <c r="C296" s="18"/>
      <c r="D296" s="18"/>
      <c r="E296" s="18"/>
      <c r="F296" s="18"/>
      <c r="G296" s="18"/>
      <c r="H296" s="18"/>
      <c r="I296" s="18"/>
      <c r="J296" s="18"/>
      <c r="K296" s="18"/>
      <c r="L296" s="18"/>
      <c r="M296" s="18"/>
      <c r="N296" s="18"/>
      <c r="O296" s="18"/>
      <c r="P296" s="18"/>
      <c r="Q296" s="18"/>
      <c r="R296" s="18"/>
      <c r="S296" s="18"/>
      <c r="T296" s="18"/>
      <c r="U296" s="18"/>
      <c r="V296" s="18"/>
      <c r="W296" s="18"/>
      <c r="X296" s="18"/>
      <c r="Y296" s="18"/>
      <c r="Z296" s="18"/>
    </row>
    <row r="297" spans="1:26" s="20" customFormat="1" x14ac:dyDescent="0.2">
      <c r="A297" s="12"/>
      <c r="B297" s="18"/>
      <c r="C297" s="18"/>
      <c r="D297" s="18"/>
      <c r="E297" s="18"/>
      <c r="F297" s="18"/>
      <c r="G297" s="18"/>
      <c r="H297" s="18"/>
      <c r="I297" s="18"/>
      <c r="J297" s="18"/>
      <c r="K297" s="18"/>
      <c r="L297" s="18"/>
      <c r="M297" s="18"/>
      <c r="N297" s="18"/>
      <c r="O297" s="18"/>
      <c r="P297" s="18"/>
      <c r="Q297" s="18"/>
      <c r="R297" s="18"/>
      <c r="S297" s="18"/>
      <c r="T297" s="18"/>
      <c r="U297" s="18"/>
      <c r="V297" s="18"/>
      <c r="W297" s="18"/>
      <c r="X297" s="18"/>
      <c r="Y297" s="18"/>
      <c r="Z297" s="18"/>
    </row>
    <row r="298" spans="1:26" s="20" customFormat="1" x14ac:dyDescent="0.2">
      <c r="A298" s="12"/>
      <c r="B298" s="18"/>
      <c r="C298" s="18"/>
      <c r="D298" s="18"/>
      <c r="E298" s="18"/>
      <c r="F298" s="18"/>
      <c r="G298" s="18"/>
      <c r="H298" s="18"/>
      <c r="I298" s="18"/>
      <c r="J298" s="18"/>
      <c r="K298" s="18"/>
      <c r="L298" s="18"/>
      <c r="M298" s="18"/>
      <c r="N298" s="18"/>
      <c r="O298" s="18"/>
      <c r="P298" s="18"/>
      <c r="Q298" s="18"/>
      <c r="R298" s="18"/>
      <c r="S298" s="18"/>
      <c r="T298" s="18"/>
      <c r="U298" s="18"/>
      <c r="V298" s="18"/>
      <c r="W298" s="18"/>
      <c r="X298" s="18"/>
      <c r="Y298" s="18"/>
      <c r="Z298" s="18"/>
    </row>
    <row r="299" spans="1:26" s="20" customFormat="1" x14ac:dyDescent="0.2">
      <c r="A299" s="12"/>
      <c r="B299" s="18"/>
      <c r="C299" s="18"/>
      <c r="D299" s="18"/>
      <c r="E299" s="18"/>
      <c r="F299" s="18"/>
      <c r="G299" s="18"/>
      <c r="H299" s="18"/>
      <c r="I299" s="18"/>
      <c r="J299" s="18"/>
      <c r="K299" s="18"/>
      <c r="L299" s="18"/>
      <c r="M299" s="18"/>
      <c r="N299" s="18"/>
      <c r="O299" s="18"/>
      <c r="P299" s="18"/>
      <c r="Q299" s="18"/>
      <c r="R299" s="18"/>
      <c r="S299" s="18"/>
      <c r="T299" s="18"/>
      <c r="U299" s="18"/>
      <c r="V299" s="18"/>
      <c r="W299" s="18"/>
      <c r="X299" s="18"/>
      <c r="Y299" s="18"/>
      <c r="Z299" s="18"/>
    </row>
    <row r="300" spans="1:26" s="20" customFormat="1" x14ac:dyDescent="0.2">
      <c r="A300" s="12"/>
      <c r="B300" s="18"/>
      <c r="C300" s="18"/>
      <c r="D300" s="18"/>
      <c r="E300" s="18"/>
      <c r="F300" s="18"/>
      <c r="G300" s="18"/>
      <c r="H300" s="18"/>
      <c r="I300" s="18"/>
      <c r="J300" s="18"/>
      <c r="K300" s="18"/>
      <c r="L300" s="18"/>
      <c r="M300" s="18"/>
      <c r="N300" s="18"/>
      <c r="O300" s="18"/>
      <c r="P300" s="18"/>
      <c r="Q300" s="18"/>
      <c r="R300" s="18"/>
      <c r="S300" s="18"/>
      <c r="T300" s="18"/>
      <c r="U300" s="18"/>
      <c r="V300" s="18"/>
      <c r="W300" s="18"/>
      <c r="X300" s="18"/>
      <c r="Y300" s="18"/>
      <c r="Z300" s="18"/>
    </row>
    <row r="301" spans="1:26" s="20" customFormat="1" x14ac:dyDescent="0.2">
      <c r="A301" s="12"/>
      <c r="B301" s="18"/>
      <c r="C301" s="18"/>
      <c r="D301" s="18"/>
      <c r="E301" s="18"/>
      <c r="F301" s="18"/>
      <c r="G301" s="18"/>
      <c r="H301" s="18"/>
      <c r="I301" s="18"/>
      <c r="J301" s="18"/>
      <c r="K301" s="18"/>
      <c r="L301" s="18"/>
      <c r="M301" s="18"/>
      <c r="N301" s="18"/>
      <c r="O301" s="18"/>
      <c r="P301" s="18"/>
      <c r="Q301" s="18"/>
      <c r="R301" s="18"/>
      <c r="S301" s="18"/>
      <c r="T301" s="18"/>
      <c r="U301" s="18"/>
      <c r="V301" s="18"/>
      <c r="W301" s="18"/>
      <c r="X301" s="18"/>
      <c r="Y301" s="18"/>
      <c r="Z301" s="18"/>
    </row>
    <row r="302" spans="1:26" s="20" customFormat="1" x14ac:dyDescent="0.2">
      <c r="A302" s="12"/>
      <c r="B302" s="18"/>
      <c r="C302" s="18"/>
      <c r="D302" s="18"/>
      <c r="E302" s="18"/>
      <c r="F302" s="18"/>
      <c r="G302" s="18"/>
      <c r="H302" s="18"/>
      <c r="I302" s="18"/>
      <c r="J302" s="18"/>
      <c r="K302" s="18"/>
      <c r="L302" s="18"/>
      <c r="M302" s="18"/>
      <c r="N302" s="18"/>
      <c r="O302" s="18"/>
      <c r="P302" s="18"/>
      <c r="Q302" s="18"/>
      <c r="R302" s="18"/>
      <c r="S302" s="18"/>
      <c r="T302" s="18"/>
      <c r="U302" s="18"/>
      <c r="V302" s="18"/>
      <c r="W302" s="18"/>
      <c r="X302" s="18"/>
      <c r="Y302" s="18"/>
      <c r="Z302" s="18"/>
    </row>
    <row r="303" spans="1:26" s="20" customFormat="1" x14ac:dyDescent="0.2">
      <c r="A303" s="12"/>
      <c r="B303" s="18"/>
      <c r="C303" s="18"/>
      <c r="D303" s="18"/>
      <c r="E303" s="18"/>
      <c r="F303" s="18"/>
      <c r="G303" s="18"/>
      <c r="H303" s="18"/>
      <c r="I303" s="18"/>
      <c r="J303" s="18"/>
      <c r="K303" s="18"/>
      <c r="L303" s="18"/>
      <c r="M303" s="18"/>
      <c r="N303" s="18"/>
      <c r="O303" s="18"/>
      <c r="P303" s="18"/>
      <c r="Q303" s="18"/>
      <c r="R303" s="18"/>
      <c r="S303" s="18"/>
      <c r="T303" s="18"/>
      <c r="U303" s="18"/>
      <c r="V303" s="18"/>
      <c r="W303" s="18"/>
      <c r="X303" s="18"/>
      <c r="Y303" s="18"/>
      <c r="Z303" s="18"/>
    </row>
    <row r="304" spans="1:26" s="20" customFormat="1" x14ac:dyDescent="0.2">
      <c r="A304" s="12"/>
      <c r="B304" s="18"/>
      <c r="C304" s="18"/>
      <c r="D304" s="18"/>
      <c r="E304" s="18"/>
      <c r="F304" s="18"/>
      <c r="G304" s="18"/>
      <c r="H304" s="18"/>
      <c r="I304" s="18"/>
      <c r="J304" s="18"/>
      <c r="K304" s="18"/>
      <c r="L304" s="18"/>
      <c r="M304" s="18"/>
      <c r="N304" s="18"/>
      <c r="O304" s="18"/>
      <c r="P304" s="18"/>
      <c r="Q304" s="18"/>
      <c r="R304" s="18"/>
      <c r="S304" s="18"/>
      <c r="T304" s="18"/>
      <c r="U304" s="18"/>
      <c r="V304" s="18"/>
      <c r="W304" s="18"/>
      <c r="X304" s="18"/>
      <c r="Y304" s="18"/>
      <c r="Z304" s="18"/>
    </row>
    <row r="305" spans="1:26" s="20" customFormat="1" x14ac:dyDescent="0.2">
      <c r="A305" s="12"/>
      <c r="B305" s="18"/>
      <c r="C305" s="18"/>
      <c r="D305" s="18"/>
      <c r="E305" s="18"/>
      <c r="F305" s="18"/>
      <c r="G305" s="18"/>
      <c r="H305" s="18"/>
      <c r="I305" s="18"/>
      <c r="J305" s="18"/>
      <c r="K305" s="18"/>
      <c r="L305" s="18"/>
      <c r="M305" s="18"/>
      <c r="N305" s="18"/>
      <c r="O305" s="18"/>
      <c r="P305" s="18"/>
      <c r="Q305" s="18"/>
      <c r="R305" s="18"/>
      <c r="S305" s="18"/>
      <c r="T305" s="18"/>
      <c r="U305" s="18"/>
      <c r="V305" s="18"/>
      <c r="W305" s="18"/>
      <c r="X305" s="18"/>
      <c r="Y305" s="18"/>
      <c r="Z305" s="18"/>
    </row>
    <row r="306" spans="1:26" s="20" customFormat="1" x14ac:dyDescent="0.2">
      <c r="A306" s="12"/>
      <c r="B306" s="18"/>
      <c r="C306" s="18"/>
      <c r="D306" s="18"/>
      <c r="E306" s="18"/>
      <c r="F306" s="18"/>
      <c r="G306" s="18"/>
      <c r="H306" s="18"/>
      <c r="I306" s="18"/>
      <c r="J306" s="18"/>
      <c r="K306" s="18"/>
      <c r="L306" s="18"/>
      <c r="M306" s="18"/>
      <c r="N306" s="18"/>
      <c r="O306" s="18"/>
      <c r="P306" s="18"/>
      <c r="Q306" s="18"/>
      <c r="R306" s="18"/>
      <c r="S306" s="18"/>
      <c r="T306" s="18"/>
      <c r="U306" s="18"/>
      <c r="V306" s="18"/>
      <c r="W306" s="18"/>
      <c r="X306" s="18"/>
      <c r="Y306" s="18"/>
      <c r="Z306" s="18"/>
    </row>
    <row r="307" spans="1:26" s="20" customFormat="1" x14ac:dyDescent="0.2">
      <c r="A307" s="12"/>
      <c r="B307" s="18"/>
      <c r="C307" s="18"/>
      <c r="D307" s="18"/>
      <c r="E307" s="18"/>
      <c r="F307" s="18"/>
      <c r="G307" s="18"/>
      <c r="H307" s="18"/>
      <c r="I307" s="18"/>
      <c r="J307" s="18"/>
      <c r="K307" s="18"/>
      <c r="L307" s="18"/>
      <c r="M307" s="18"/>
      <c r="N307" s="18"/>
      <c r="O307" s="18"/>
      <c r="P307" s="18"/>
      <c r="Q307" s="18"/>
      <c r="R307" s="18"/>
      <c r="S307" s="18"/>
      <c r="T307" s="18"/>
      <c r="U307" s="18"/>
      <c r="V307" s="18"/>
      <c r="W307" s="18"/>
      <c r="X307" s="18"/>
      <c r="Y307" s="18"/>
      <c r="Z307" s="18"/>
    </row>
    <row r="308" spans="1:26" s="20" customFormat="1" x14ac:dyDescent="0.2">
      <c r="A308" s="12"/>
      <c r="B308" s="18"/>
      <c r="C308" s="18"/>
      <c r="D308" s="18"/>
      <c r="E308" s="18"/>
      <c r="F308" s="18"/>
      <c r="G308" s="18"/>
      <c r="H308" s="18"/>
      <c r="I308" s="18"/>
      <c r="J308" s="18"/>
      <c r="K308" s="18"/>
      <c r="L308" s="18"/>
      <c r="M308" s="18"/>
      <c r="N308" s="18"/>
      <c r="O308" s="18"/>
      <c r="P308" s="18"/>
      <c r="Q308" s="18"/>
      <c r="R308" s="18"/>
      <c r="S308" s="18"/>
      <c r="T308" s="18"/>
      <c r="U308" s="18"/>
      <c r="V308" s="18"/>
      <c r="W308" s="18"/>
      <c r="X308" s="18"/>
      <c r="Y308" s="18"/>
      <c r="Z308" s="18"/>
    </row>
    <row r="309" spans="1:26" s="20" customFormat="1" x14ac:dyDescent="0.2">
      <c r="A309" s="12"/>
      <c r="B309" s="18"/>
      <c r="C309" s="18"/>
      <c r="D309" s="18"/>
      <c r="E309" s="18"/>
      <c r="F309" s="18"/>
      <c r="G309" s="18"/>
      <c r="H309" s="18"/>
      <c r="I309" s="18"/>
      <c r="J309" s="18"/>
      <c r="K309" s="18"/>
      <c r="L309" s="18"/>
      <c r="M309" s="18"/>
      <c r="N309" s="18"/>
      <c r="O309" s="18"/>
      <c r="P309" s="18"/>
      <c r="Q309" s="18"/>
      <c r="R309" s="18"/>
      <c r="S309" s="18"/>
      <c r="T309" s="18"/>
      <c r="U309" s="18"/>
      <c r="V309" s="18"/>
      <c r="W309" s="18"/>
      <c r="X309" s="18"/>
      <c r="Y309" s="18"/>
      <c r="Z309" s="18"/>
    </row>
    <row r="310" spans="1:26" s="20" customFormat="1" x14ac:dyDescent="0.2">
      <c r="A310" s="12"/>
      <c r="B310" s="18"/>
      <c r="C310" s="18"/>
      <c r="D310" s="18"/>
      <c r="E310" s="18"/>
      <c r="F310" s="18"/>
      <c r="G310" s="18"/>
      <c r="H310" s="18"/>
      <c r="I310" s="18"/>
      <c r="J310" s="18"/>
      <c r="K310" s="18"/>
      <c r="L310" s="18"/>
      <c r="M310" s="18"/>
      <c r="N310" s="18"/>
      <c r="O310" s="18"/>
      <c r="P310" s="18"/>
      <c r="Q310" s="18"/>
      <c r="R310" s="18"/>
      <c r="S310" s="18"/>
      <c r="T310" s="18"/>
      <c r="U310" s="18"/>
      <c r="V310" s="18"/>
      <c r="W310" s="18"/>
      <c r="X310" s="18"/>
      <c r="Y310" s="18"/>
      <c r="Z310" s="18"/>
    </row>
    <row r="311" spans="1:26" s="20" customFormat="1" x14ac:dyDescent="0.2">
      <c r="A311" s="12"/>
      <c r="B311" s="18"/>
      <c r="C311" s="18"/>
      <c r="D311" s="18"/>
      <c r="E311" s="18"/>
      <c r="F311" s="18"/>
      <c r="G311" s="18"/>
      <c r="H311" s="18"/>
      <c r="I311" s="18"/>
      <c r="J311" s="18"/>
      <c r="K311" s="18"/>
      <c r="L311" s="18"/>
      <c r="M311" s="18"/>
      <c r="N311" s="18"/>
      <c r="O311" s="18"/>
      <c r="P311" s="18"/>
      <c r="Q311" s="18"/>
      <c r="R311" s="18"/>
      <c r="S311" s="18"/>
      <c r="T311" s="18"/>
      <c r="U311" s="18"/>
      <c r="V311" s="18"/>
      <c r="W311" s="18"/>
      <c r="X311" s="18"/>
      <c r="Y311" s="18"/>
      <c r="Z311" s="18"/>
    </row>
    <row r="312" spans="1:26" s="20" customFormat="1" x14ac:dyDescent="0.2">
      <c r="A312" s="12"/>
      <c r="B312" s="18"/>
      <c r="C312" s="18"/>
      <c r="D312" s="18"/>
      <c r="E312" s="18"/>
      <c r="F312" s="18"/>
      <c r="G312" s="18"/>
      <c r="H312" s="18"/>
      <c r="I312" s="18"/>
      <c r="J312" s="18"/>
      <c r="K312" s="18"/>
      <c r="L312" s="18"/>
      <c r="M312" s="18"/>
      <c r="N312" s="18"/>
      <c r="O312" s="18"/>
      <c r="P312" s="18"/>
      <c r="Q312" s="18"/>
      <c r="R312" s="18"/>
      <c r="S312" s="18"/>
      <c r="T312" s="18"/>
      <c r="U312" s="18"/>
      <c r="V312" s="18"/>
      <c r="W312" s="18"/>
      <c r="X312" s="18"/>
      <c r="Y312" s="18"/>
      <c r="Z312" s="18"/>
    </row>
    <row r="313" spans="1:26" s="20" customFormat="1" x14ac:dyDescent="0.2">
      <c r="A313" s="12"/>
      <c r="B313" s="18"/>
      <c r="C313" s="18"/>
      <c r="D313" s="18"/>
      <c r="E313" s="18"/>
      <c r="F313" s="18"/>
      <c r="G313" s="18"/>
      <c r="H313" s="18"/>
      <c r="I313" s="18"/>
      <c r="J313" s="18"/>
      <c r="K313" s="18"/>
      <c r="L313" s="18"/>
      <c r="M313" s="18"/>
      <c r="N313" s="18"/>
      <c r="O313" s="18"/>
      <c r="P313" s="18"/>
      <c r="Q313" s="18"/>
      <c r="R313" s="18"/>
      <c r="S313" s="18"/>
      <c r="T313" s="18"/>
      <c r="U313" s="18"/>
      <c r="V313" s="18"/>
      <c r="W313" s="18"/>
      <c r="X313" s="18"/>
      <c r="Y313" s="18"/>
      <c r="Z313" s="18"/>
    </row>
    <row r="314" spans="1:26" s="20" customFormat="1" x14ac:dyDescent="0.2">
      <c r="A314" s="12"/>
      <c r="B314" s="18"/>
      <c r="C314" s="18"/>
      <c r="D314" s="18"/>
      <c r="E314" s="18"/>
      <c r="F314" s="18"/>
      <c r="G314" s="18"/>
      <c r="H314" s="18"/>
      <c r="I314" s="18"/>
      <c r="J314" s="18"/>
      <c r="K314" s="18"/>
      <c r="L314" s="18"/>
      <c r="M314" s="18"/>
      <c r="N314" s="18"/>
      <c r="O314" s="18"/>
      <c r="P314" s="18"/>
      <c r="Q314" s="18"/>
      <c r="R314" s="18"/>
      <c r="S314" s="18"/>
      <c r="T314" s="18"/>
      <c r="U314" s="18"/>
      <c r="V314" s="18"/>
      <c r="W314" s="18"/>
      <c r="X314" s="18"/>
      <c r="Y314" s="18"/>
      <c r="Z314" s="18"/>
    </row>
    <row r="315" spans="1:26" s="20" customFormat="1" x14ac:dyDescent="0.2">
      <c r="A315" s="12"/>
      <c r="B315" s="18"/>
      <c r="C315" s="18"/>
      <c r="D315" s="18"/>
      <c r="E315" s="18"/>
      <c r="F315" s="18"/>
      <c r="G315" s="18"/>
      <c r="H315" s="18"/>
      <c r="I315" s="18"/>
      <c r="J315" s="18"/>
      <c r="K315" s="18"/>
      <c r="L315" s="18"/>
      <c r="M315" s="18"/>
      <c r="N315" s="18"/>
      <c r="O315" s="18"/>
      <c r="P315" s="18"/>
      <c r="Q315" s="18"/>
      <c r="R315" s="18"/>
      <c r="S315" s="18"/>
      <c r="T315" s="18"/>
      <c r="U315" s="18"/>
      <c r="V315" s="18"/>
      <c r="W315" s="18"/>
      <c r="X315" s="18"/>
      <c r="Y315" s="18"/>
      <c r="Z315" s="18"/>
    </row>
    <row r="316" spans="1:26" s="20" customFormat="1" x14ac:dyDescent="0.2">
      <c r="A316" s="12"/>
      <c r="B316" s="18"/>
      <c r="C316" s="18"/>
      <c r="D316" s="18"/>
      <c r="E316" s="18"/>
      <c r="F316" s="18"/>
      <c r="G316" s="18"/>
      <c r="H316" s="18"/>
      <c r="I316" s="18"/>
      <c r="J316" s="18"/>
      <c r="K316" s="18"/>
      <c r="L316" s="18"/>
      <c r="M316" s="18"/>
      <c r="N316" s="18"/>
      <c r="O316" s="18"/>
      <c r="P316" s="18"/>
      <c r="Q316" s="18"/>
      <c r="R316" s="18"/>
      <c r="S316" s="18"/>
      <c r="T316" s="18"/>
      <c r="U316" s="18"/>
      <c r="V316" s="18"/>
      <c r="W316" s="18"/>
      <c r="X316" s="18"/>
      <c r="Y316" s="18"/>
      <c r="Z316" s="18"/>
    </row>
    <row r="317" spans="1:26" s="20" customFormat="1" x14ac:dyDescent="0.2">
      <c r="A317" s="12"/>
      <c r="B317" s="18"/>
      <c r="C317" s="18"/>
      <c r="D317" s="18"/>
      <c r="E317" s="18"/>
      <c r="F317" s="18"/>
      <c r="G317" s="18"/>
      <c r="H317" s="18"/>
      <c r="I317" s="18"/>
      <c r="J317" s="18"/>
      <c r="K317" s="18"/>
      <c r="L317" s="18"/>
      <c r="M317" s="18"/>
      <c r="N317" s="18"/>
      <c r="O317" s="18"/>
      <c r="P317" s="18"/>
      <c r="Q317" s="18"/>
      <c r="R317" s="18"/>
      <c r="S317" s="18"/>
      <c r="T317" s="18"/>
      <c r="U317" s="18"/>
      <c r="V317" s="18"/>
      <c r="W317" s="18"/>
      <c r="X317" s="18"/>
      <c r="Y317" s="18"/>
      <c r="Z317" s="18"/>
    </row>
    <row r="318" spans="1:26" s="20" customFormat="1" x14ac:dyDescent="0.2">
      <c r="A318" s="12"/>
      <c r="B318" s="18"/>
      <c r="C318" s="18"/>
      <c r="D318" s="18"/>
      <c r="E318" s="18"/>
      <c r="F318" s="18"/>
      <c r="G318" s="18"/>
      <c r="H318" s="18"/>
      <c r="I318" s="18"/>
      <c r="J318" s="18"/>
      <c r="K318" s="18"/>
      <c r="L318" s="18"/>
      <c r="M318" s="18"/>
      <c r="N318" s="18"/>
      <c r="O318" s="18"/>
      <c r="P318" s="18"/>
      <c r="Q318" s="18"/>
      <c r="R318" s="18"/>
      <c r="S318" s="18"/>
      <c r="T318" s="18"/>
      <c r="U318" s="18"/>
      <c r="V318" s="18"/>
      <c r="W318" s="18"/>
      <c r="X318" s="18"/>
      <c r="Y318" s="18"/>
      <c r="Z318" s="18"/>
    </row>
    <row r="319" spans="1:26" s="20" customFormat="1" x14ac:dyDescent="0.2">
      <c r="A319" s="12"/>
      <c r="B319" s="18"/>
      <c r="C319" s="18"/>
      <c r="D319" s="18"/>
      <c r="E319" s="18"/>
      <c r="F319" s="18"/>
      <c r="G319" s="18"/>
      <c r="H319" s="18"/>
      <c r="I319" s="18"/>
      <c r="J319" s="18"/>
      <c r="K319" s="18"/>
      <c r="L319" s="18"/>
      <c r="M319" s="18"/>
      <c r="N319" s="18"/>
      <c r="O319" s="18"/>
      <c r="P319" s="18"/>
      <c r="Q319" s="18"/>
      <c r="R319" s="18"/>
      <c r="S319" s="18"/>
      <c r="T319" s="18"/>
      <c r="U319" s="18"/>
      <c r="V319" s="18"/>
      <c r="W319" s="18"/>
      <c r="X319" s="18"/>
      <c r="Y319" s="18"/>
      <c r="Z319" s="18"/>
    </row>
    <row r="320" spans="1:26" s="20" customFormat="1" x14ac:dyDescent="0.2">
      <c r="A320" s="12"/>
      <c r="B320" s="18"/>
      <c r="C320" s="18"/>
      <c r="D320" s="18"/>
      <c r="E320" s="18"/>
      <c r="F320" s="18"/>
      <c r="G320" s="18"/>
      <c r="H320" s="18"/>
      <c r="I320" s="18"/>
      <c r="J320" s="18"/>
      <c r="K320" s="18"/>
      <c r="L320" s="18"/>
      <c r="M320" s="18"/>
      <c r="N320" s="18"/>
      <c r="O320" s="18"/>
      <c r="P320" s="18"/>
      <c r="Q320" s="18"/>
      <c r="R320" s="18"/>
      <c r="S320" s="18"/>
      <c r="T320" s="18"/>
      <c r="U320" s="18"/>
      <c r="V320" s="18"/>
      <c r="W320" s="18"/>
      <c r="X320" s="18"/>
      <c r="Y320" s="18"/>
      <c r="Z320" s="18"/>
    </row>
    <row r="321" spans="1:26" s="20" customFormat="1" x14ac:dyDescent="0.2">
      <c r="A321" s="12"/>
      <c r="B321" s="18"/>
      <c r="C321" s="18"/>
      <c r="D321" s="18"/>
      <c r="E321" s="18"/>
      <c r="F321" s="18"/>
      <c r="G321" s="18"/>
      <c r="H321" s="18"/>
      <c r="I321" s="18"/>
      <c r="J321" s="18"/>
      <c r="K321" s="18"/>
      <c r="L321" s="18"/>
      <c r="M321" s="18"/>
      <c r="N321" s="18"/>
      <c r="O321" s="18"/>
      <c r="P321" s="18"/>
      <c r="Q321" s="18"/>
      <c r="R321" s="18"/>
      <c r="S321" s="18"/>
      <c r="T321" s="18"/>
      <c r="U321" s="18"/>
      <c r="V321" s="18"/>
      <c r="W321" s="18"/>
      <c r="X321" s="18"/>
      <c r="Y321" s="18"/>
      <c r="Z321" s="18"/>
    </row>
    <row r="322" spans="1:26" s="20" customFormat="1" x14ac:dyDescent="0.2">
      <c r="A322" s="12"/>
      <c r="B322" s="18"/>
      <c r="C322" s="18"/>
      <c r="D322" s="18"/>
      <c r="E322" s="18"/>
      <c r="F322" s="18"/>
      <c r="G322" s="18"/>
      <c r="H322" s="18"/>
      <c r="I322" s="18"/>
      <c r="J322" s="18"/>
      <c r="K322" s="18"/>
      <c r="L322" s="18"/>
      <c r="M322" s="18"/>
      <c r="N322" s="18"/>
      <c r="O322" s="18"/>
      <c r="P322" s="18"/>
      <c r="Q322" s="18"/>
      <c r="R322" s="18"/>
      <c r="S322" s="18"/>
      <c r="T322" s="18"/>
      <c r="U322" s="18"/>
      <c r="V322" s="18"/>
      <c r="W322" s="18"/>
      <c r="X322" s="18"/>
      <c r="Y322" s="18"/>
      <c r="Z322" s="18"/>
    </row>
    <row r="323" spans="1:26" s="20" customFormat="1" x14ac:dyDescent="0.2">
      <c r="A323" s="12"/>
      <c r="B323" s="18"/>
      <c r="C323" s="18"/>
      <c r="D323" s="18"/>
      <c r="E323" s="18"/>
      <c r="F323" s="18"/>
      <c r="G323" s="18"/>
      <c r="H323" s="18"/>
      <c r="I323" s="18"/>
      <c r="J323" s="18"/>
      <c r="K323" s="18"/>
      <c r="L323" s="18"/>
      <c r="M323" s="18"/>
      <c r="N323" s="18"/>
      <c r="O323" s="18"/>
      <c r="P323" s="18"/>
      <c r="Q323" s="18"/>
      <c r="R323" s="18"/>
      <c r="S323" s="18"/>
      <c r="T323" s="18"/>
      <c r="U323" s="18"/>
      <c r="V323" s="18"/>
      <c r="W323" s="18"/>
      <c r="X323" s="18"/>
      <c r="Y323" s="18"/>
      <c r="Z323" s="18"/>
    </row>
    <row r="324" spans="1:26" s="20" customFormat="1" x14ac:dyDescent="0.2">
      <c r="A324" s="12"/>
      <c r="B324" s="18"/>
      <c r="C324" s="18"/>
      <c r="D324" s="18"/>
      <c r="E324" s="18"/>
      <c r="F324" s="18"/>
      <c r="G324" s="18"/>
      <c r="H324" s="18"/>
      <c r="I324" s="18"/>
      <c r="J324" s="18"/>
      <c r="K324" s="18"/>
      <c r="L324" s="18"/>
      <c r="M324" s="18"/>
      <c r="N324" s="18"/>
      <c r="O324" s="18"/>
      <c r="P324" s="18"/>
      <c r="Q324" s="18"/>
      <c r="R324" s="18"/>
      <c r="S324" s="18"/>
      <c r="T324" s="18"/>
      <c r="U324" s="18"/>
      <c r="V324" s="18"/>
      <c r="W324" s="18"/>
      <c r="X324" s="18"/>
      <c r="Y324" s="18"/>
      <c r="Z324" s="18"/>
    </row>
    <row r="325" spans="1:26" s="20" customFormat="1" x14ac:dyDescent="0.2">
      <c r="A325" s="12"/>
      <c r="B325" s="18"/>
      <c r="C325" s="18"/>
      <c r="D325" s="18"/>
      <c r="E325" s="18"/>
      <c r="F325" s="18"/>
      <c r="G325" s="18"/>
      <c r="H325" s="18"/>
      <c r="I325" s="18"/>
      <c r="J325" s="18"/>
      <c r="K325" s="18"/>
      <c r="L325" s="18"/>
      <c r="M325" s="18"/>
      <c r="N325" s="18"/>
      <c r="O325" s="18"/>
      <c r="P325" s="18"/>
      <c r="Q325" s="18"/>
      <c r="R325" s="18"/>
      <c r="S325" s="18"/>
      <c r="T325" s="18"/>
      <c r="U325" s="18"/>
      <c r="V325" s="18"/>
      <c r="W325" s="18"/>
      <c r="X325" s="18"/>
      <c r="Y325" s="18"/>
      <c r="Z325" s="18"/>
    </row>
    <row r="326" spans="1:26" s="20" customFormat="1" x14ac:dyDescent="0.2">
      <c r="A326" s="12"/>
      <c r="B326" s="18"/>
      <c r="C326" s="18"/>
      <c r="D326" s="18"/>
      <c r="E326" s="18"/>
      <c r="F326" s="18"/>
      <c r="G326" s="18"/>
      <c r="H326" s="18"/>
      <c r="I326" s="18"/>
      <c r="J326" s="18"/>
      <c r="K326" s="18"/>
      <c r="L326" s="18"/>
      <c r="M326" s="18"/>
      <c r="N326" s="18"/>
      <c r="O326" s="18"/>
      <c r="P326" s="18"/>
      <c r="Q326" s="18"/>
      <c r="R326" s="18"/>
      <c r="S326" s="18"/>
      <c r="T326" s="18"/>
      <c r="U326" s="18"/>
      <c r="V326" s="18"/>
      <c r="W326" s="18"/>
      <c r="X326" s="18"/>
      <c r="Y326" s="18"/>
      <c r="Z326" s="18"/>
    </row>
    <row r="327" spans="1:26" s="20" customFormat="1" x14ac:dyDescent="0.2">
      <c r="A327" s="12"/>
      <c r="B327" s="18"/>
      <c r="C327" s="18"/>
      <c r="D327" s="18"/>
      <c r="E327" s="18"/>
      <c r="F327" s="18"/>
      <c r="G327" s="18"/>
      <c r="H327" s="18"/>
      <c r="I327" s="18"/>
      <c r="J327" s="18"/>
      <c r="K327" s="18"/>
      <c r="L327" s="18"/>
      <c r="M327" s="18"/>
      <c r="N327" s="18"/>
      <c r="O327" s="18"/>
      <c r="P327" s="18"/>
      <c r="Q327" s="18"/>
      <c r="R327" s="18"/>
      <c r="S327" s="18"/>
      <c r="T327" s="18"/>
      <c r="U327" s="18"/>
      <c r="V327" s="18"/>
      <c r="W327" s="18"/>
      <c r="X327" s="18"/>
      <c r="Y327" s="18"/>
      <c r="Z327" s="18"/>
    </row>
    <row r="328" spans="1:26" s="20" customFormat="1" x14ac:dyDescent="0.2">
      <c r="A328" s="12"/>
      <c r="B328" s="18"/>
      <c r="C328" s="18"/>
      <c r="D328" s="18"/>
      <c r="E328" s="18"/>
      <c r="F328" s="18"/>
      <c r="G328" s="18"/>
      <c r="H328" s="18"/>
      <c r="I328" s="18"/>
      <c r="J328" s="18"/>
      <c r="K328" s="18"/>
      <c r="L328" s="18"/>
      <c r="M328" s="18"/>
      <c r="N328" s="18"/>
      <c r="O328" s="18"/>
      <c r="P328" s="18"/>
      <c r="Q328" s="18"/>
      <c r="R328" s="18"/>
      <c r="S328" s="18"/>
      <c r="T328" s="18"/>
      <c r="U328" s="18"/>
      <c r="V328" s="18"/>
      <c r="W328" s="18"/>
      <c r="X328" s="18"/>
      <c r="Y328" s="18"/>
      <c r="Z328" s="18"/>
    </row>
    <row r="329" spans="1:26" s="20" customFormat="1" x14ac:dyDescent="0.2">
      <c r="A329" s="12"/>
      <c r="B329" s="18"/>
      <c r="C329" s="18"/>
      <c r="D329" s="18"/>
      <c r="E329" s="18"/>
      <c r="F329" s="18"/>
      <c r="G329" s="18"/>
      <c r="H329" s="18"/>
      <c r="I329" s="18"/>
      <c r="J329" s="18"/>
      <c r="K329" s="18"/>
      <c r="L329" s="18"/>
      <c r="M329" s="18"/>
      <c r="N329" s="18"/>
      <c r="O329" s="18"/>
      <c r="P329" s="18"/>
      <c r="Q329" s="18"/>
      <c r="R329" s="18"/>
      <c r="S329" s="18"/>
      <c r="T329" s="18"/>
      <c r="U329" s="18"/>
      <c r="V329" s="18"/>
      <c r="W329" s="18"/>
      <c r="X329" s="18"/>
      <c r="Y329" s="18"/>
      <c r="Z329" s="18"/>
    </row>
    <row r="330" spans="1:26" s="20" customFormat="1" x14ac:dyDescent="0.2">
      <c r="A330" s="12"/>
      <c r="B330" s="18"/>
      <c r="C330" s="18"/>
      <c r="D330" s="18"/>
      <c r="E330" s="18"/>
      <c r="F330" s="18"/>
      <c r="G330" s="18"/>
      <c r="H330" s="18"/>
      <c r="I330" s="18"/>
      <c r="J330" s="18"/>
      <c r="K330" s="18"/>
      <c r="L330" s="18"/>
      <c r="M330" s="18"/>
      <c r="N330" s="18"/>
      <c r="O330" s="18"/>
      <c r="P330" s="18"/>
      <c r="Q330" s="18"/>
      <c r="R330" s="18"/>
      <c r="S330" s="18"/>
      <c r="T330" s="18"/>
      <c r="U330" s="18"/>
      <c r="V330" s="18"/>
      <c r="W330" s="18"/>
      <c r="X330" s="18"/>
      <c r="Y330" s="18"/>
      <c r="Z330" s="18"/>
    </row>
    <row r="331" spans="1:26" s="20" customFormat="1" x14ac:dyDescent="0.2">
      <c r="A331" s="12"/>
      <c r="B331" s="18"/>
      <c r="C331" s="18"/>
      <c r="D331" s="18"/>
      <c r="E331" s="18"/>
      <c r="F331" s="18"/>
      <c r="G331" s="18"/>
      <c r="H331" s="18"/>
      <c r="I331" s="18"/>
      <c r="J331" s="18"/>
      <c r="K331" s="18"/>
      <c r="L331" s="18"/>
      <c r="M331" s="18"/>
      <c r="N331" s="18"/>
      <c r="O331" s="18"/>
      <c r="P331" s="18"/>
      <c r="Q331" s="18"/>
      <c r="R331" s="18"/>
      <c r="S331" s="18"/>
      <c r="T331" s="18"/>
      <c r="U331" s="18"/>
      <c r="V331" s="18"/>
      <c r="W331" s="18"/>
      <c r="X331" s="18"/>
      <c r="Y331" s="18"/>
      <c r="Z331" s="18"/>
    </row>
    <row r="332" spans="1:26" s="20" customFormat="1" x14ac:dyDescent="0.2">
      <c r="A332" s="12"/>
      <c r="B332" s="18"/>
      <c r="C332" s="18"/>
      <c r="D332" s="18"/>
      <c r="E332" s="18"/>
      <c r="F332" s="18"/>
      <c r="G332" s="18"/>
      <c r="H332" s="18"/>
      <c r="I332" s="18"/>
      <c r="J332" s="18"/>
      <c r="K332" s="18"/>
      <c r="L332" s="18"/>
      <c r="M332" s="18"/>
      <c r="N332" s="18"/>
      <c r="O332" s="18"/>
      <c r="P332" s="18"/>
      <c r="Q332" s="18"/>
      <c r="R332" s="18"/>
      <c r="S332" s="18"/>
      <c r="T332" s="18"/>
      <c r="U332" s="18"/>
      <c r="V332" s="18"/>
      <c r="W332" s="18"/>
      <c r="X332" s="18"/>
      <c r="Y332" s="18"/>
      <c r="Z332" s="18"/>
    </row>
    <row r="333" spans="1:26" s="20" customFormat="1" x14ac:dyDescent="0.2">
      <c r="A333" s="12"/>
      <c r="B333" s="18"/>
      <c r="C333" s="18"/>
      <c r="D333" s="18"/>
      <c r="E333" s="18"/>
      <c r="F333" s="18"/>
      <c r="G333" s="18"/>
      <c r="H333" s="18"/>
      <c r="I333" s="18"/>
      <c r="J333" s="18"/>
      <c r="K333" s="18"/>
      <c r="L333" s="18"/>
      <c r="M333" s="18"/>
      <c r="N333" s="18"/>
      <c r="O333" s="18"/>
      <c r="P333" s="18"/>
      <c r="Q333" s="18"/>
      <c r="R333" s="18"/>
      <c r="S333" s="18"/>
      <c r="T333" s="18"/>
      <c r="U333" s="18"/>
      <c r="V333" s="18"/>
      <c r="W333" s="18"/>
      <c r="X333" s="18"/>
      <c r="Y333" s="18"/>
      <c r="Z333" s="18"/>
    </row>
    <row r="334" spans="1:26" s="20" customFormat="1" x14ac:dyDescent="0.2">
      <c r="A334" s="12"/>
      <c r="B334" s="18"/>
      <c r="C334" s="18"/>
      <c r="D334" s="18"/>
      <c r="E334" s="18"/>
      <c r="F334" s="18"/>
      <c r="G334" s="18"/>
      <c r="H334" s="18"/>
      <c r="I334" s="18"/>
      <c r="J334" s="18"/>
      <c r="K334" s="18"/>
      <c r="L334" s="18"/>
      <c r="M334" s="18"/>
      <c r="N334" s="18"/>
      <c r="O334" s="18"/>
      <c r="P334" s="18"/>
      <c r="Q334" s="18"/>
      <c r="R334" s="18"/>
      <c r="S334" s="18"/>
      <c r="T334" s="18"/>
      <c r="U334" s="18"/>
      <c r="V334" s="18"/>
      <c r="W334" s="18"/>
      <c r="X334" s="18"/>
      <c r="Y334" s="18"/>
      <c r="Z334" s="18"/>
    </row>
    <row r="335" spans="1:26" s="20" customFormat="1" x14ac:dyDescent="0.2">
      <c r="A335" s="12"/>
      <c r="B335" s="18"/>
      <c r="C335" s="18"/>
      <c r="D335" s="18"/>
      <c r="E335" s="18"/>
      <c r="F335" s="18"/>
      <c r="G335" s="18"/>
      <c r="H335" s="18"/>
      <c r="I335" s="18"/>
      <c r="J335" s="18"/>
      <c r="K335" s="18"/>
      <c r="L335" s="18"/>
      <c r="M335" s="18"/>
      <c r="N335" s="18"/>
      <c r="O335" s="18"/>
      <c r="P335" s="18"/>
      <c r="Q335" s="18"/>
      <c r="R335" s="18"/>
      <c r="S335" s="18"/>
      <c r="T335" s="18"/>
      <c r="U335" s="18"/>
      <c r="V335" s="18"/>
      <c r="W335" s="18"/>
      <c r="X335" s="18"/>
      <c r="Y335" s="18"/>
      <c r="Z335" s="18"/>
    </row>
    <row r="336" spans="1:26" s="20" customFormat="1" x14ac:dyDescent="0.2">
      <c r="A336" s="12"/>
      <c r="B336" s="18"/>
      <c r="C336" s="18"/>
      <c r="D336" s="18"/>
      <c r="E336" s="18"/>
      <c r="F336" s="18"/>
      <c r="G336" s="18"/>
      <c r="H336" s="18"/>
      <c r="I336" s="18"/>
      <c r="J336" s="18"/>
      <c r="K336" s="18"/>
      <c r="L336" s="18"/>
      <c r="M336" s="18"/>
      <c r="N336" s="18"/>
      <c r="O336" s="18"/>
      <c r="P336" s="18"/>
      <c r="Q336" s="18"/>
      <c r="R336" s="18"/>
      <c r="S336" s="18"/>
      <c r="T336" s="18"/>
      <c r="U336" s="18"/>
      <c r="V336" s="18"/>
      <c r="W336" s="18"/>
      <c r="X336" s="18"/>
      <c r="Y336" s="18"/>
      <c r="Z336" s="18"/>
    </row>
    <row r="337" spans="1:26" s="20" customFormat="1" x14ac:dyDescent="0.2">
      <c r="A337" s="12"/>
      <c r="B337" s="18"/>
      <c r="C337" s="18"/>
      <c r="D337" s="18"/>
      <c r="E337" s="18"/>
      <c r="F337" s="18"/>
      <c r="G337" s="18"/>
      <c r="H337" s="18"/>
      <c r="I337" s="18"/>
      <c r="J337" s="18"/>
      <c r="K337" s="18"/>
      <c r="L337" s="18"/>
      <c r="M337" s="18"/>
      <c r="N337" s="18"/>
      <c r="O337" s="18"/>
      <c r="P337" s="18"/>
      <c r="Q337" s="18"/>
      <c r="R337" s="18"/>
      <c r="S337" s="18"/>
      <c r="T337" s="18"/>
      <c r="U337" s="18"/>
      <c r="V337" s="18"/>
      <c r="W337" s="18"/>
      <c r="X337" s="18"/>
      <c r="Y337" s="18"/>
      <c r="Z337" s="18"/>
    </row>
    <row r="338" spans="1:26" s="20" customFormat="1" x14ac:dyDescent="0.2">
      <c r="A338" s="12"/>
      <c r="B338" s="18"/>
      <c r="C338" s="18"/>
      <c r="D338" s="18"/>
      <c r="E338" s="18"/>
      <c r="F338" s="18"/>
      <c r="G338" s="18"/>
      <c r="H338" s="18"/>
      <c r="I338" s="18"/>
      <c r="J338" s="18"/>
      <c r="K338" s="18"/>
      <c r="L338" s="18"/>
      <c r="M338" s="18"/>
      <c r="N338" s="18"/>
      <c r="O338" s="18"/>
      <c r="P338" s="18"/>
      <c r="Q338" s="18"/>
      <c r="R338" s="18"/>
      <c r="S338" s="18"/>
      <c r="T338" s="18"/>
      <c r="U338" s="18"/>
      <c r="V338" s="18"/>
      <c r="W338" s="18"/>
      <c r="X338" s="18"/>
      <c r="Y338" s="18"/>
      <c r="Z338" s="18"/>
    </row>
    <row r="339" spans="1:26" s="20" customFormat="1" x14ac:dyDescent="0.2">
      <c r="A339" s="12"/>
      <c r="B339" s="18"/>
      <c r="C339" s="18"/>
      <c r="D339" s="18"/>
      <c r="E339" s="18"/>
      <c r="F339" s="18"/>
      <c r="G339" s="18"/>
      <c r="H339" s="18"/>
      <c r="I339" s="18"/>
      <c r="J339" s="18"/>
      <c r="K339" s="18"/>
      <c r="L339" s="18"/>
      <c r="M339" s="18"/>
      <c r="N339" s="18"/>
      <c r="O339" s="18"/>
      <c r="P339" s="18"/>
      <c r="Q339" s="18"/>
      <c r="R339" s="18"/>
      <c r="S339" s="18"/>
      <c r="T339" s="18"/>
      <c r="U339" s="18"/>
      <c r="V339" s="18"/>
      <c r="W339" s="18"/>
      <c r="X339" s="18"/>
      <c r="Y339" s="18"/>
      <c r="Z339" s="18"/>
    </row>
    <row r="340" spans="1:26" s="20" customFormat="1" x14ac:dyDescent="0.2">
      <c r="A340" s="12"/>
      <c r="B340" s="18"/>
      <c r="C340" s="18"/>
      <c r="D340" s="18"/>
      <c r="E340" s="18"/>
      <c r="F340" s="18"/>
      <c r="G340" s="18"/>
      <c r="H340" s="18"/>
      <c r="I340" s="18"/>
      <c r="J340" s="18"/>
      <c r="K340" s="18"/>
      <c r="L340" s="18"/>
      <c r="M340" s="18"/>
      <c r="N340" s="18"/>
      <c r="O340" s="18"/>
      <c r="P340" s="18"/>
      <c r="Q340" s="18"/>
      <c r="R340" s="18"/>
      <c r="S340" s="18"/>
      <c r="T340" s="18"/>
      <c r="U340" s="18"/>
      <c r="V340" s="18"/>
      <c r="W340" s="18"/>
      <c r="X340" s="18"/>
      <c r="Y340" s="18"/>
      <c r="Z340" s="18"/>
    </row>
    <row r="341" spans="1:26" s="20" customFormat="1" x14ac:dyDescent="0.2">
      <c r="A341" s="12"/>
      <c r="B341" s="18"/>
      <c r="C341" s="18"/>
      <c r="D341" s="18"/>
      <c r="E341" s="18"/>
      <c r="F341" s="18"/>
      <c r="G341" s="18"/>
      <c r="H341" s="18"/>
      <c r="I341" s="18"/>
      <c r="J341" s="18"/>
      <c r="K341" s="18"/>
      <c r="L341" s="18"/>
      <c r="M341" s="18"/>
      <c r="N341" s="18"/>
      <c r="O341" s="18"/>
      <c r="P341" s="18"/>
      <c r="Q341" s="18"/>
      <c r="R341" s="18"/>
      <c r="S341" s="18"/>
      <c r="T341" s="18"/>
      <c r="U341" s="18"/>
      <c r="V341" s="18"/>
      <c r="W341" s="18"/>
      <c r="X341" s="18"/>
      <c r="Y341" s="18"/>
      <c r="Z341" s="18"/>
    </row>
    <row r="342" spans="1:26" s="20" customFormat="1" x14ac:dyDescent="0.2">
      <c r="A342" s="12"/>
      <c r="B342" s="18"/>
      <c r="C342" s="18"/>
      <c r="D342" s="18"/>
      <c r="E342" s="18"/>
      <c r="F342" s="18"/>
      <c r="G342" s="18"/>
      <c r="H342" s="18"/>
      <c r="I342" s="18"/>
      <c r="J342" s="18"/>
      <c r="K342" s="18"/>
      <c r="L342" s="18"/>
      <c r="M342" s="18"/>
      <c r="N342" s="18"/>
      <c r="O342" s="18"/>
      <c r="P342" s="18"/>
      <c r="Q342" s="18"/>
      <c r="R342" s="18"/>
      <c r="S342" s="18"/>
      <c r="T342" s="18"/>
      <c r="U342" s="18"/>
      <c r="V342" s="18"/>
      <c r="W342" s="18"/>
      <c r="X342" s="18"/>
      <c r="Y342" s="18"/>
      <c r="Z342" s="18"/>
    </row>
    <row r="343" spans="1:26" s="20" customFormat="1" x14ac:dyDescent="0.2">
      <c r="A343" s="12"/>
      <c r="B343" s="18"/>
      <c r="C343" s="18"/>
      <c r="D343" s="18"/>
      <c r="E343" s="18"/>
      <c r="F343" s="18"/>
      <c r="G343" s="18"/>
      <c r="H343" s="18"/>
      <c r="I343" s="18"/>
      <c r="J343" s="18"/>
      <c r="K343" s="18"/>
      <c r="L343" s="18"/>
      <c r="M343" s="18"/>
      <c r="N343" s="18"/>
      <c r="O343" s="18"/>
      <c r="P343" s="18"/>
      <c r="Q343" s="18"/>
      <c r="R343" s="18"/>
      <c r="S343" s="18"/>
      <c r="T343" s="18"/>
      <c r="U343" s="18"/>
      <c r="V343" s="18"/>
      <c r="W343" s="18"/>
      <c r="X343" s="18"/>
      <c r="Y343" s="18"/>
      <c r="Z343" s="18"/>
    </row>
    <row r="344" spans="1:26" s="20" customFormat="1" x14ac:dyDescent="0.2">
      <c r="A344" s="12"/>
      <c r="B344" s="18"/>
      <c r="C344" s="18"/>
      <c r="D344" s="18"/>
      <c r="E344" s="18"/>
      <c r="F344" s="18"/>
      <c r="G344" s="18"/>
      <c r="H344" s="18"/>
      <c r="I344" s="18"/>
      <c r="J344" s="18"/>
      <c r="K344" s="18"/>
      <c r="L344" s="18"/>
      <c r="M344" s="18"/>
      <c r="N344" s="18"/>
      <c r="O344" s="18"/>
      <c r="P344" s="18"/>
      <c r="Q344" s="18"/>
      <c r="R344" s="18"/>
      <c r="S344" s="18"/>
      <c r="T344" s="18"/>
      <c r="U344" s="18"/>
      <c r="V344" s="18"/>
      <c r="W344" s="18"/>
      <c r="X344" s="18"/>
      <c r="Y344" s="18"/>
      <c r="Z344" s="18"/>
    </row>
    <row r="345" spans="1:26" s="20" customFormat="1" x14ac:dyDescent="0.2">
      <c r="A345" s="12"/>
      <c r="B345" s="18"/>
      <c r="C345" s="18"/>
      <c r="D345" s="18"/>
      <c r="E345" s="18"/>
      <c r="F345" s="18"/>
      <c r="G345" s="18"/>
      <c r="H345" s="18"/>
      <c r="I345" s="18"/>
      <c r="J345" s="18"/>
      <c r="K345" s="18"/>
      <c r="L345" s="18"/>
      <c r="M345" s="18"/>
      <c r="N345" s="18"/>
      <c r="O345" s="18"/>
      <c r="P345" s="18"/>
      <c r="Q345" s="18"/>
      <c r="R345" s="18"/>
      <c r="S345" s="18"/>
      <c r="T345" s="18"/>
      <c r="U345" s="18"/>
      <c r="V345" s="18"/>
      <c r="W345" s="18"/>
      <c r="X345" s="18"/>
      <c r="Y345" s="18"/>
      <c r="Z345" s="18"/>
    </row>
    <row r="346" spans="1:26" s="20" customFormat="1" x14ac:dyDescent="0.2">
      <c r="A346" s="12"/>
      <c r="B346" s="18"/>
      <c r="C346" s="18"/>
      <c r="D346" s="18"/>
      <c r="E346" s="18"/>
      <c r="F346" s="18"/>
      <c r="G346" s="18"/>
      <c r="H346" s="18"/>
      <c r="I346" s="18"/>
      <c r="J346" s="18"/>
      <c r="K346" s="18"/>
      <c r="L346" s="18"/>
      <c r="M346" s="18"/>
      <c r="N346" s="18"/>
      <c r="O346" s="18"/>
      <c r="P346" s="18"/>
      <c r="Q346" s="18"/>
      <c r="R346" s="18"/>
      <c r="S346" s="18"/>
      <c r="T346" s="18"/>
      <c r="U346" s="18"/>
      <c r="V346" s="18"/>
      <c r="W346" s="18"/>
      <c r="X346" s="18"/>
      <c r="Y346" s="18"/>
      <c r="Z346" s="18"/>
    </row>
    <row r="347" spans="1:26" s="20" customFormat="1" x14ac:dyDescent="0.2">
      <c r="A347" s="12"/>
      <c r="B347" s="18"/>
      <c r="C347" s="18"/>
      <c r="D347" s="18"/>
      <c r="E347" s="18"/>
      <c r="F347" s="18"/>
      <c r="G347" s="18"/>
      <c r="H347" s="18"/>
      <c r="I347" s="18"/>
      <c r="J347" s="18"/>
      <c r="K347" s="18"/>
      <c r="L347" s="18"/>
      <c r="M347" s="18"/>
      <c r="N347" s="18"/>
      <c r="O347" s="18"/>
      <c r="P347" s="18"/>
      <c r="Q347" s="18"/>
      <c r="R347" s="18"/>
      <c r="S347" s="18"/>
      <c r="T347" s="18"/>
      <c r="U347" s="18"/>
      <c r="V347" s="18"/>
      <c r="W347" s="18"/>
      <c r="X347" s="18"/>
      <c r="Y347" s="18"/>
      <c r="Z347" s="18"/>
    </row>
    <row r="348" spans="1:26" s="20" customFormat="1" x14ac:dyDescent="0.2">
      <c r="A348" s="12"/>
      <c r="B348" s="18"/>
      <c r="C348" s="18"/>
      <c r="D348" s="18"/>
      <c r="E348" s="18"/>
      <c r="F348" s="18"/>
      <c r="G348" s="18"/>
      <c r="H348" s="18"/>
      <c r="I348" s="18"/>
      <c r="J348" s="18"/>
      <c r="K348" s="18"/>
      <c r="L348" s="18"/>
      <c r="M348" s="18"/>
      <c r="N348" s="18"/>
      <c r="O348" s="18"/>
      <c r="P348" s="18"/>
      <c r="Q348" s="18"/>
      <c r="R348" s="18"/>
      <c r="S348" s="18"/>
      <c r="T348" s="18"/>
      <c r="U348" s="18"/>
      <c r="V348" s="18"/>
      <c r="W348" s="18"/>
      <c r="X348" s="18"/>
      <c r="Y348" s="18"/>
      <c r="Z348" s="18"/>
    </row>
    <row r="349" spans="1:26" s="20" customFormat="1" x14ac:dyDescent="0.2">
      <c r="A349" s="12"/>
      <c r="B349" s="18"/>
      <c r="C349" s="18"/>
      <c r="D349" s="18"/>
      <c r="E349" s="18"/>
      <c r="F349" s="18"/>
      <c r="G349" s="18"/>
      <c r="H349" s="18"/>
      <c r="I349" s="18"/>
      <c r="J349" s="18"/>
      <c r="K349" s="18"/>
      <c r="L349" s="18"/>
      <c r="M349" s="18"/>
      <c r="N349" s="18"/>
      <c r="O349" s="18"/>
      <c r="P349" s="18"/>
      <c r="Q349" s="18"/>
      <c r="R349" s="18"/>
      <c r="S349" s="18"/>
      <c r="T349" s="18"/>
      <c r="U349" s="18"/>
      <c r="V349" s="18"/>
      <c r="W349" s="18"/>
      <c r="X349" s="18"/>
      <c r="Y349" s="18"/>
      <c r="Z349" s="18"/>
    </row>
    <row r="350" spans="1:26" s="20" customFormat="1" x14ac:dyDescent="0.2">
      <c r="A350" s="12"/>
      <c r="B350" s="18"/>
      <c r="C350" s="18"/>
      <c r="D350" s="18"/>
      <c r="E350" s="18"/>
      <c r="F350" s="18"/>
      <c r="G350" s="18"/>
      <c r="H350" s="18"/>
      <c r="I350" s="18"/>
      <c r="J350" s="18"/>
      <c r="K350" s="18"/>
      <c r="L350" s="18"/>
      <c r="M350" s="18"/>
      <c r="N350" s="18"/>
      <c r="O350" s="18"/>
      <c r="P350" s="18"/>
      <c r="Q350" s="18"/>
      <c r="R350" s="18"/>
      <c r="S350" s="18"/>
      <c r="T350" s="18"/>
      <c r="U350" s="18"/>
      <c r="V350" s="18"/>
      <c r="W350" s="18"/>
      <c r="X350" s="18"/>
      <c r="Y350" s="18"/>
      <c r="Z350" s="18"/>
    </row>
    <row r="351" spans="1:26" s="20" customFormat="1" x14ac:dyDescent="0.2">
      <c r="A351" s="12"/>
      <c r="B351" s="18"/>
      <c r="C351" s="18"/>
      <c r="D351" s="18"/>
      <c r="E351" s="18"/>
      <c r="F351" s="18"/>
      <c r="G351" s="18"/>
      <c r="H351" s="18"/>
      <c r="I351" s="18"/>
      <c r="J351" s="18"/>
      <c r="K351" s="18"/>
      <c r="L351" s="18"/>
      <c r="M351" s="18"/>
      <c r="N351" s="18"/>
      <c r="O351" s="18"/>
      <c r="P351" s="18"/>
      <c r="Q351" s="18"/>
      <c r="R351" s="18"/>
      <c r="S351" s="18"/>
      <c r="T351" s="18"/>
      <c r="U351" s="18"/>
      <c r="V351" s="18"/>
      <c r="W351" s="18"/>
      <c r="X351" s="18"/>
      <c r="Y351" s="18"/>
      <c r="Z351" s="18"/>
    </row>
    <row r="352" spans="1:26" s="20" customFormat="1" x14ac:dyDescent="0.2">
      <c r="A352" s="12"/>
      <c r="B352" s="18"/>
      <c r="C352" s="18"/>
      <c r="D352" s="18"/>
      <c r="E352" s="18"/>
      <c r="F352" s="18"/>
      <c r="G352" s="18"/>
      <c r="H352" s="18"/>
      <c r="I352" s="18"/>
      <c r="J352" s="18"/>
      <c r="K352" s="18"/>
      <c r="L352" s="18"/>
      <c r="M352" s="18"/>
      <c r="N352" s="18"/>
      <c r="O352" s="18"/>
      <c r="P352" s="18"/>
      <c r="Q352" s="18"/>
      <c r="R352" s="18"/>
      <c r="S352" s="18"/>
      <c r="T352" s="18"/>
      <c r="U352" s="18"/>
      <c r="V352" s="18"/>
      <c r="W352" s="18"/>
      <c r="X352" s="18"/>
      <c r="Y352" s="18"/>
      <c r="Z352" s="18"/>
    </row>
    <row r="353" spans="1:26" s="20" customFormat="1" x14ac:dyDescent="0.2">
      <c r="A353" s="12"/>
      <c r="B353" s="18"/>
      <c r="C353" s="18"/>
      <c r="D353" s="18"/>
      <c r="E353" s="18"/>
      <c r="F353" s="18"/>
      <c r="G353" s="18"/>
      <c r="H353" s="18"/>
      <c r="I353" s="18"/>
      <c r="J353" s="18"/>
      <c r="K353" s="18"/>
      <c r="L353" s="18"/>
      <c r="M353" s="18"/>
      <c r="N353" s="18"/>
      <c r="O353" s="18"/>
      <c r="P353" s="18"/>
      <c r="Q353" s="18"/>
      <c r="R353" s="18"/>
      <c r="S353" s="18"/>
      <c r="T353" s="18"/>
      <c r="U353" s="18"/>
      <c r="V353" s="18"/>
      <c r="W353" s="18"/>
      <c r="X353" s="18"/>
      <c r="Y353" s="18"/>
      <c r="Z353" s="18"/>
    </row>
    <row r="354" spans="1:26" s="20" customFormat="1" x14ac:dyDescent="0.2">
      <c r="A354" s="12"/>
      <c r="B354" s="18"/>
      <c r="C354" s="18"/>
      <c r="D354" s="18"/>
      <c r="E354" s="18"/>
      <c r="F354" s="18"/>
      <c r="G354" s="18"/>
      <c r="H354" s="18"/>
      <c r="I354" s="18"/>
      <c r="J354" s="18"/>
      <c r="K354" s="18"/>
      <c r="L354" s="18"/>
      <c r="M354" s="18"/>
      <c r="N354" s="18"/>
      <c r="O354" s="18"/>
      <c r="P354" s="18"/>
      <c r="Q354" s="18"/>
      <c r="R354" s="18"/>
      <c r="S354" s="18"/>
      <c r="T354" s="18"/>
      <c r="U354" s="18"/>
      <c r="V354" s="18"/>
      <c r="W354" s="18"/>
      <c r="X354" s="18"/>
      <c r="Y354" s="18"/>
      <c r="Z354" s="18"/>
    </row>
    <row r="355" spans="1:26" s="20" customFormat="1" x14ac:dyDescent="0.2">
      <c r="A355" s="12"/>
      <c r="B355" s="18"/>
      <c r="C355" s="18"/>
      <c r="D355" s="18"/>
      <c r="E355" s="18"/>
      <c r="F355" s="18"/>
      <c r="G355" s="18"/>
      <c r="H355" s="18"/>
      <c r="I355" s="18"/>
      <c r="J355" s="18"/>
      <c r="K355" s="18"/>
      <c r="L355" s="18"/>
      <c r="M355" s="18"/>
      <c r="N355" s="18"/>
      <c r="O355" s="18"/>
      <c r="P355" s="18"/>
      <c r="Q355" s="18"/>
      <c r="R355" s="18"/>
      <c r="S355" s="18"/>
      <c r="T355" s="18"/>
      <c r="U355" s="18"/>
      <c r="V355" s="18"/>
      <c r="W355" s="18"/>
      <c r="X355" s="18"/>
      <c r="Y355" s="18"/>
      <c r="Z355" s="18"/>
    </row>
    <row r="356" spans="1:26" s="20" customFormat="1" x14ac:dyDescent="0.2">
      <c r="A356" s="12"/>
      <c r="B356" s="18"/>
      <c r="C356" s="18"/>
      <c r="D356" s="18"/>
      <c r="E356" s="18"/>
      <c r="F356" s="18"/>
      <c r="G356" s="18"/>
      <c r="H356" s="18"/>
      <c r="I356" s="18"/>
      <c r="J356" s="18"/>
      <c r="K356" s="18"/>
      <c r="L356" s="18"/>
      <c r="M356" s="18"/>
      <c r="N356" s="18"/>
      <c r="O356" s="18"/>
      <c r="P356" s="18"/>
      <c r="Q356" s="18"/>
      <c r="R356" s="18"/>
      <c r="S356" s="18"/>
      <c r="T356" s="18"/>
      <c r="U356" s="18"/>
      <c r="V356" s="18"/>
      <c r="W356" s="18"/>
      <c r="X356" s="18"/>
      <c r="Y356" s="18"/>
      <c r="Z356" s="18"/>
    </row>
    <row r="357" spans="1:26" s="20" customFormat="1" x14ac:dyDescent="0.2">
      <c r="A357" s="12"/>
      <c r="B357" s="18"/>
      <c r="C357" s="18"/>
      <c r="D357" s="18"/>
      <c r="E357" s="18"/>
      <c r="F357" s="18"/>
      <c r="G357" s="18"/>
      <c r="H357" s="18"/>
      <c r="I357" s="18"/>
      <c r="J357" s="18"/>
      <c r="K357" s="18"/>
      <c r="L357" s="18"/>
      <c r="M357" s="18"/>
      <c r="N357" s="18"/>
      <c r="O357" s="18"/>
      <c r="P357" s="18"/>
      <c r="Q357" s="18"/>
      <c r="R357" s="18"/>
      <c r="S357" s="18"/>
      <c r="T357" s="18"/>
      <c r="U357" s="18"/>
      <c r="V357" s="18"/>
      <c r="W357" s="18"/>
      <c r="X357" s="18"/>
      <c r="Y357" s="18"/>
      <c r="Z357" s="18"/>
    </row>
    <row r="358" spans="1:26" s="20" customFormat="1" x14ac:dyDescent="0.2">
      <c r="A358" s="12"/>
      <c r="B358" s="18"/>
      <c r="C358" s="18"/>
      <c r="D358" s="18"/>
      <c r="E358" s="18"/>
      <c r="F358" s="18"/>
      <c r="G358" s="18"/>
      <c r="H358" s="18"/>
      <c r="I358" s="18"/>
      <c r="J358" s="18"/>
      <c r="K358" s="18"/>
      <c r="L358" s="18"/>
      <c r="M358" s="18"/>
      <c r="N358" s="18"/>
      <c r="O358" s="18"/>
      <c r="P358" s="18"/>
      <c r="Q358" s="18"/>
      <c r="R358" s="18"/>
      <c r="S358" s="18"/>
      <c r="T358" s="18"/>
      <c r="U358" s="18"/>
      <c r="V358" s="18"/>
      <c r="W358" s="18"/>
      <c r="X358" s="18"/>
      <c r="Y358" s="18"/>
      <c r="Z358" s="18"/>
    </row>
    <row r="359" spans="1:26" s="20" customFormat="1" x14ac:dyDescent="0.2">
      <c r="A359" s="12"/>
      <c r="B359" s="18"/>
      <c r="C359" s="18"/>
      <c r="D359" s="18"/>
      <c r="E359" s="18"/>
      <c r="F359" s="18"/>
      <c r="G359" s="18"/>
      <c r="H359" s="18"/>
      <c r="I359" s="18"/>
      <c r="J359" s="18"/>
      <c r="K359" s="18"/>
      <c r="L359" s="18"/>
      <c r="M359" s="18"/>
      <c r="N359" s="18"/>
      <c r="O359" s="18"/>
      <c r="P359" s="18"/>
      <c r="Q359" s="18"/>
      <c r="R359" s="18"/>
      <c r="S359" s="18"/>
      <c r="T359" s="18"/>
      <c r="U359" s="18"/>
      <c r="V359" s="18"/>
      <c r="W359" s="18"/>
      <c r="X359" s="18"/>
      <c r="Y359" s="18"/>
      <c r="Z359" s="18"/>
    </row>
    <row r="360" spans="1:26" s="20" customFormat="1" x14ac:dyDescent="0.2">
      <c r="A360" s="12"/>
      <c r="B360" s="18"/>
      <c r="C360" s="18"/>
      <c r="D360" s="18"/>
      <c r="E360" s="18"/>
      <c r="F360" s="18"/>
      <c r="G360" s="18"/>
      <c r="H360" s="18"/>
      <c r="I360" s="18"/>
      <c r="J360" s="18"/>
      <c r="K360" s="18"/>
      <c r="L360" s="18"/>
      <c r="M360" s="18"/>
      <c r="N360" s="18"/>
      <c r="O360" s="18"/>
      <c r="P360" s="18"/>
      <c r="Q360" s="18"/>
      <c r="R360" s="18"/>
      <c r="S360" s="18"/>
      <c r="T360" s="18"/>
      <c r="U360" s="18"/>
      <c r="V360" s="18"/>
      <c r="W360" s="18"/>
      <c r="X360" s="18"/>
      <c r="Y360" s="18"/>
      <c r="Z360" s="18"/>
    </row>
    <row r="361" spans="1:26" s="20" customFormat="1" x14ac:dyDescent="0.2">
      <c r="A361" s="12"/>
      <c r="B361" s="18"/>
      <c r="C361" s="18"/>
      <c r="D361" s="18"/>
      <c r="E361" s="18"/>
      <c r="F361" s="18"/>
      <c r="G361" s="18"/>
      <c r="H361" s="18"/>
      <c r="I361" s="18"/>
      <c r="J361" s="18"/>
      <c r="K361" s="18"/>
      <c r="L361" s="18"/>
      <c r="M361" s="18"/>
      <c r="N361" s="18"/>
      <c r="O361" s="18"/>
      <c r="P361" s="18"/>
      <c r="Q361" s="18"/>
      <c r="R361" s="18"/>
      <c r="S361" s="18"/>
      <c r="T361" s="18"/>
      <c r="U361" s="18"/>
      <c r="V361" s="18"/>
      <c r="W361" s="18"/>
      <c r="X361" s="18"/>
      <c r="Y361" s="18"/>
      <c r="Z361" s="18"/>
    </row>
    <row r="362" spans="1:26" s="20" customFormat="1" x14ac:dyDescent="0.2">
      <c r="A362" s="12"/>
      <c r="B362" s="18"/>
      <c r="C362" s="18"/>
      <c r="D362" s="18"/>
      <c r="E362" s="18"/>
      <c r="F362" s="18"/>
      <c r="G362" s="18"/>
      <c r="H362" s="18"/>
      <c r="I362" s="18"/>
      <c r="J362" s="18"/>
      <c r="K362" s="18"/>
      <c r="L362" s="18"/>
      <c r="M362" s="18"/>
      <c r="N362" s="18"/>
      <c r="O362" s="18"/>
      <c r="P362" s="18"/>
      <c r="Q362" s="18"/>
      <c r="R362" s="18"/>
      <c r="S362" s="18"/>
      <c r="T362" s="18"/>
      <c r="U362" s="18"/>
      <c r="V362" s="18"/>
      <c r="W362" s="18"/>
      <c r="X362" s="18"/>
      <c r="Y362" s="18"/>
      <c r="Z362" s="18"/>
    </row>
    <row r="363" spans="1:26" s="20" customFormat="1" x14ac:dyDescent="0.2">
      <c r="A363" s="12"/>
      <c r="B363" s="18"/>
      <c r="C363" s="18"/>
      <c r="D363" s="18"/>
      <c r="E363" s="18"/>
      <c r="F363" s="18"/>
      <c r="G363" s="18"/>
      <c r="H363" s="18"/>
      <c r="I363" s="18"/>
      <c r="J363" s="18"/>
      <c r="K363" s="18"/>
      <c r="L363" s="18"/>
      <c r="M363" s="18"/>
      <c r="N363" s="18"/>
      <c r="O363" s="18"/>
      <c r="P363" s="18"/>
      <c r="Q363" s="18"/>
      <c r="R363" s="18"/>
      <c r="S363" s="18"/>
      <c r="T363" s="18"/>
      <c r="U363" s="18"/>
      <c r="V363" s="18"/>
      <c r="W363" s="18"/>
      <c r="X363" s="18"/>
      <c r="Y363" s="18"/>
      <c r="Z363" s="18"/>
    </row>
    <row r="364" spans="1:26" s="20" customFormat="1" x14ac:dyDescent="0.2">
      <c r="A364" s="12"/>
      <c r="B364" s="18"/>
      <c r="C364" s="18"/>
      <c r="D364" s="18"/>
      <c r="E364" s="18"/>
      <c r="F364" s="18"/>
      <c r="G364" s="18"/>
      <c r="H364" s="18"/>
      <c r="I364" s="18"/>
      <c r="J364" s="18"/>
      <c r="K364" s="18"/>
      <c r="L364" s="18"/>
      <c r="M364" s="18"/>
      <c r="N364" s="18"/>
      <c r="O364" s="18"/>
      <c r="P364" s="18"/>
      <c r="Q364" s="18"/>
      <c r="R364" s="18"/>
      <c r="S364" s="18"/>
      <c r="T364" s="18"/>
      <c r="U364" s="18"/>
      <c r="V364" s="18"/>
      <c r="W364" s="18"/>
      <c r="X364" s="18"/>
      <c r="Y364" s="18"/>
      <c r="Z364" s="18"/>
    </row>
    <row r="365" spans="1:26" s="20" customFormat="1" x14ac:dyDescent="0.2">
      <c r="A365" s="12"/>
      <c r="B365" s="18"/>
      <c r="C365" s="18"/>
      <c r="D365" s="18"/>
      <c r="E365" s="18"/>
      <c r="F365" s="18"/>
      <c r="G365" s="18"/>
      <c r="H365" s="18"/>
      <c r="I365" s="18"/>
      <c r="J365" s="18"/>
      <c r="K365" s="18"/>
      <c r="L365" s="18"/>
      <c r="M365" s="18"/>
      <c r="N365" s="18"/>
      <c r="O365" s="18"/>
      <c r="P365" s="18"/>
      <c r="Q365" s="18"/>
      <c r="R365" s="18"/>
      <c r="S365" s="18"/>
      <c r="T365" s="18"/>
      <c r="U365" s="18"/>
      <c r="V365" s="18"/>
      <c r="W365" s="18"/>
      <c r="X365" s="18"/>
      <c r="Y365" s="18"/>
      <c r="Z365" s="18"/>
    </row>
    <row r="366" spans="1:26" s="20" customFormat="1" x14ac:dyDescent="0.2">
      <c r="A366" s="12"/>
      <c r="B366" s="18"/>
      <c r="C366" s="18"/>
      <c r="D366" s="18"/>
      <c r="E366" s="18"/>
      <c r="F366" s="18"/>
      <c r="G366" s="18"/>
      <c r="H366" s="18"/>
      <c r="I366" s="18"/>
      <c r="J366" s="18"/>
      <c r="K366" s="18"/>
      <c r="L366" s="18"/>
      <c r="M366" s="18"/>
      <c r="N366" s="18"/>
      <c r="O366" s="18"/>
      <c r="P366" s="18"/>
      <c r="Q366" s="18"/>
      <c r="R366" s="18"/>
      <c r="S366" s="18"/>
      <c r="T366" s="18"/>
      <c r="U366" s="18"/>
      <c r="V366" s="18"/>
      <c r="W366" s="18"/>
      <c r="X366" s="18"/>
      <c r="Y366" s="18"/>
      <c r="Z366" s="18"/>
    </row>
    <row r="367" spans="1:26" s="20" customFormat="1" x14ac:dyDescent="0.2">
      <c r="A367" s="12"/>
      <c r="B367" s="18"/>
      <c r="C367" s="18"/>
      <c r="D367" s="18"/>
      <c r="E367" s="18"/>
      <c r="F367" s="18"/>
      <c r="G367" s="18"/>
      <c r="H367" s="18"/>
      <c r="I367" s="18"/>
      <c r="J367" s="18"/>
      <c r="K367" s="18"/>
      <c r="L367" s="18"/>
      <c r="M367" s="18"/>
      <c r="N367" s="18"/>
      <c r="O367" s="18"/>
      <c r="P367" s="18"/>
      <c r="Q367" s="18"/>
      <c r="R367" s="18"/>
      <c r="S367" s="18"/>
      <c r="T367" s="18"/>
      <c r="U367" s="18"/>
      <c r="V367" s="18"/>
      <c r="W367" s="18"/>
      <c r="X367" s="18"/>
      <c r="Y367" s="18"/>
      <c r="Z367" s="18"/>
    </row>
    <row r="368" spans="1:26" s="20" customFormat="1" x14ac:dyDescent="0.2">
      <c r="A368" s="12"/>
      <c r="B368" s="18"/>
      <c r="C368" s="18"/>
      <c r="D368" s="18"/>
      <c r="E368" s="18"/>
      <c r="F368" s="18"/>
      <c r="G368" s="18"/>
      <c r="H368" s="18"/>
      <c r="I368" s="18"/>
      <c r="J368" s="18"/>
      <c r="K368" s="18"/>
      <c r="L368" s="18"/>
      <c r="M368" s="18"/>
      <c r="N368" s="18"/>
      <c r="O368" s="18"/>
      <c r="P368" s="18"/>
      <c r="Q368" s="18"/>
      <c r="R368" s="18"/>
      <c r="S368" s="18"/>
      <c r="T368" s="18"/>
      <c r="U368" s="18"/>
      <c r="V368" s="18"/>
      <c r="W368" s="18"/>
      <c r="X368" s="18"/>
      <c r="Y368" s="18"/>
      <c r="Z368" s="18"/>
    </row>
    <row r="369" spans="1:26" s="20" customFormat="1" x14ac:dyDescent="0.2">
      <c r="A369" s="12"/>
      <c r="B369" s="18"/>
      <c r="C369" s="18"/>
      <c r="D369" s="18"/>
      <c r="E369" s="18"/>
      <c r="F369" s="18"/>
      <c r="G369" s="18"/>
      <c r="H369" s="18"/>
      <c r="I369" s="18"/>
      <c r="J369" s="18"/>
      <c r="K369" s="18"/>
      <c r="L369" s="18"/>
      <c r="M369" s="18"/>
      <c r="N369" s="18"/>
      <c r="O369" s="18"/>
      <c r="P369" s="18"/>
      <c r="Q369" s="18"/>
      <c r="R369" s="18"/>
      <c r="S369" s="18"/>
      <c r="T369" s="18"/>
      <c r="U369" s="18"/>
      <c r="V369" s="18"/>
      <c r="W369" s="18"/>
      <c r="X369" s="18"/>
      <c r="Y369" s="18"/>
      <c r="Z369" s="18"/>
    </row>
    <row r="370" spans="1:26" s="20" customFormat="1" x14ac:dyDescent="0.2">
      <c r="A370" s="12"/>
      <c r="B370" s="18"/>
      <c r="C370" s="18"/>
      <c r="D370" s="18"/>
      <c r="E370" s="18"/>
      <c r="F370" s="18"/>
      <c r="G370" s="18"/>
      <c r="H370" s="18"/>
      <c r="I370" s="18"/>
      <c r="J370" s="18"/>
      <c r="K370" s="18"/>
      <c r="L370" s="18"/>
      <c r="M370" s="18"/>
      <c r="N370" s="18"/>
      <c r="O370" s="18"/>
      <c r="P370" s="18"/>
      <c r="Q370" s="18"/>
      <c r="R370" s="18"/>
      <c r="S370" s="18"/>
      <c r="T370" s="18"/>
      <c r="U370" s="18"/>
      <c r="V370" s="18"/>
      <c r="W370" s="18"/>
      <c r="X370" s="18"/>
      <c r="Y370" s="18"/>
      <c r="Z370" s="18"/>
    </row>
    <row r="371" spans="1:26" s="20" customFormat="1" x14ac:dyDescent="0.2">
      <c r="A371" s="12"/>
      <c r="B371" s="18"/>
      <c r="C371" s="18"/>
      <c r="D371" s="18"/>
      <c r="E371" s="18"/>
      <c r="F371" s="18"/>
      <c r="G371" s="18"/>
      <c r="H371" s="18"/>
      <c r="I371" s="18"/>
      <c r="J371" s="18"/>
      <c r="K371" s="18"/>
      <c r="L371" s="18"/>
      <c r="M371" s="18"/>
      <c r="N371" s="18"/>
      <c r="O371" s="18"/>
      <c r="P371" s="18"/>
      <c r="Q371" s="18"/>
      <c r="R371" s="18"/>
      <c r="S371" s="18"/>
      <c r="T371" s="18"/>
      <c r="U371" s="18"/>
      <c r="V371" s="18"/>
      <c r="W371" s="18"/>
      <c r="X371" s="18"/>
      <c r="Y371" s="18"/>
      <c r="Z371" s="18"/>
    </row>
    <row r="372" spans="1:26" s="20" customFormat="1" x14ac:dyDescent="0.2">
      <c r="A372" s="12"/>
      <c r="B372" s="18"/>
      <c r="C372" s="18"/>
      <c r="D372" s="18"/>
      <c r="E372" s="18"/>
      <c r="F372" s="18"/>
      <c r="G372" s="18"/>
      <c r="H372" s="18"/>
      <c r="I372" s="18"/>
      <c r="J372" s="18"/>
      <c r="K372" s="18"/>
      <c r="L372" s="18"/>
      <c r="M372" s="18"/>
      <c r="N372" s="18"/>
      <c r="O372" s="18"/>
      <c r="P372" s="18"/>
      <c r="Q372" s="18"/>
      <c r="R372" s="18"/>
      <c r="S372" s="18"/>
      <c r="T372" s="18"/>
      <c r="U372" s="18"/>
      <c r="V372" s="18"/>
      <c r="W372" s="18"/>
      <c r="X372" s="18"/>
      <c r="Y372" s="18"/>
      <c r="Z372" s="18"/>
    </row>
    <row r="373" spans="1:26" s="20" customFormat="1" x14ac:dyDescent="0.2">
      <c r="A373" s="12"/>
      <c r="B373" s="18"/>
      <c r="C373" s="18"/>
      <c r="D373" s="18"/>
      <c r="E373" s="18"/>
      <c r="F373" s="18"/>
      <c r="G373" s="18"/>
      <c r="H373" s="18"/>
      <c r="I373" s="18"/>
      <c r="J373" s="18"/>
      <c r="K373" s="18"/>
      <c r="L373" s="18"/>
      <c r="M373" s="18"/>
      <c r="N373" s="18"/>
      <c r="O373" s="18"/>
      <c r="P373" s="18"/>
      <c r="Q373" s="18"/>
      <c r="R373" s="18"/>
      <c r="S373" s="18"/>
      <c r="T373" s="18"/>
      <c r="U373" s="18"/>
      <c r="V373" s="18"/>
      <c r="W373" s="18"/>
      <c r="X373" s="18"/>
      <c r="Y373" s="18"/>
      <c r="Z373" s="18"/>
    </row>
    <row r="374" spans="1:26" s="20" customFormat="1" x14ac:dyDescent="0.2">
      <c r="A374" s="12"/>
      <c r="B374" s="18"/>
      <c r="C374" s="18"/>
      <c r="D374" s="18"/>
      <c r="E374" s="18"/>
      <c r="F374" s="18"/>
      <c r="G374" s="18"/>
      <c r="H374" s="18"/>
      <c r="I374" s="18"/>
      <c r="J374" s="18"/>
      <c r="K374" s="18"/>
      <c r="L374" s="18"/>
      <c r="M374" s="18"/>
      <c r="N374" s="18"/>
      <c r="O374" s="18"/>
      <c r="P374" s="18"/>
      <c r="Q374" s="18"/>
      <c r="R374" s="18"/>
      <c r="S374" s="18"/>
      <c r="T374" s="18"/>
      <c r="U374" s="18"/>
      <c r="V374" s="18"/>
      <c r="W374" s="18"/>
      <c r="X374" s="18"/>
      <c r="Y374" s="18"/>
      <c r="Z374" s="18"/>
    </row>
    <row r="375" spans="1:26" s="20" customFormat="1" x14ac:dyDescent="0.2">
      <c r="A375" s="12"/>
      <c r="B375" s="18"/>
      <c r="C375" s="18"/>
      <c r="D375" s="18"/>
      <c r="E375" s="18"/>
      <c r="F375" s="18"/>
      <c r="G375" s="18"/>
      <c r="H375" s="18"/>
      <c r="I375" s="18"/>
      <c r="J375" s="18"/>
      <c r="K375" s="18"/>
      <c r="L375" s="18"/>
      <c r="M375" s="18"/>
      <c r="N375" s="18"/>
      <c r="O375" s="18"/>
      <c r="P375" s="18"/>
      <c r="Q375" s="18"/>
      <c r="R375" s="18"/>
      <c r="S375" s="18"/>
      <c r="T375" s="18"/>
      <c r="U375" s="18"/>
      <c r="V375" s="18"/>
      <c r="W375" s="18"/>
      <c r="X375" s="18"/>
      <c r="Y375" s="18"/>
      <c r="Z375" s="18"/>
    </row>
    <row r="376" spans="1:26" s="20" customFormat="1" x14ac:dyDescent="0.2">
      <c r="A376" s="12"/>
      <c r="B376" s="18"/>
      <c r="C376" s="18"/>
      <c r="D376" s="18"/>
      <c r="E376" s="18"/>
      <c r="F376" s="18"/>
      <c r="G376" s="18"/>
      <c r="H376" s="18"/>
      <c r="I376" s="18"/>
      <c r="J376" s="18"/>
      <c r="K376" s="18"/>
      <c r="L376" s="18"/>
      <c r="M376" s="18"/>
      <c r="N376" s="18"/>
      <c r="O376" s="18"/>
      <c r="P376" s="18"/>
      <c r="Q376" s="18"/>
      <c r="R376" s="18"/>
      <c r="S376" s="18"/>
      <c r="T376" s="18"/>
      <c r="U376" s="18"/>
      <c r="V376" s="18"/>
      <c r="W376" s="18"/>
      <c r="X376" s="18"/>
      <c r="Y376" s="18"/>
      <c r="Z376" s="18"/>
    </row>
    <row r="377" spans="1:26" s="20" customFormat="1" x14ac:dyDescent="0.2">
      <c r="A377" s="12"/>
      <c r="B377" s="18"/>
      <c r="C377" s="18"/>
      <c r="D377" s="18"/>
      <c r="E377" s="18"/>
      <c r="F377" s="18"/>
      <c r="G377" s="18"/>
      <c r="H377" s="18"/>
      <c r="I377" s="18"/>
      <c r="J377" s="18"/>
      <c r="K377" s="18"/>
      <c r="L377" s="18"/>
      <c r="M377" s="18"/>
      <c r="N377" s="18"/>
      <c r="O377" s="18"/>
      <c r="P377" s="18"/>
      <c r="Q377" s="18"/>
      <c r="R377" s="18"/>
      <c r="S377" s="18"/>
      <c r="T377" s="18"/>
      <c r="U377" s="18"/>
      <c r="V377" s="18"/>
      <c r="W377" s="18"/>
      <c r="X377" s="18"/>
      <c r="Y377" s="18"/>
      <c r="Z377" s="18"/>
    </row>
    <row r="378" spans="1:26" s="20" customFormat="1" x14ac:dyDescent="0.2">
      <c r="A378" s="12"/>
      <c r="B378" s="18"/>
      <c r="C378" s="18"/>
      <c r="D378" s="18"/>
      <c r="E378" s="18"/>
      <c r="F378" s="18"/>
      <c r="G378" s="18"/>
      <c r="H378" s="18"/>
      <c r="I378" s="18"/>
      <c r="J378" s="18"/>
      <c r="K378" s="18"/>
      <c r="L378" s="18"/>
      <c r="M378" s="18"/>
      <c r="N378" s="18"/>
      <c r="O378" s="18"/>
      <c r="P378" s="18"/>
      <c r="Q378" s="18"/>
      <c r="R378" s="18"/>
      <c r="S378" s="18"/>
      <c r="T378" s="18"/>
      <c r="U378" s="18"/>
      <c r="V378" s="18"/>
      <c r="W378" s="18"/>
      <c r="X378" s="18"/>
      <c r="Y378" s="18"/>
      <c r="Z378" s="18"/>
    </row>
    <row r="379" spans="1:26" s="20" customFormat="1" x14ac:dyDescent="0.2">
      <c r="A379" s="12"/>
      <c r="B379" s="18"/>
      <c r="C379" s="18"/>
      <c r="D379" s="18"/>
      <c r="E379" s="18"/>
      <c r="F379" s="18"/>
      <c r="G379" s="18"/>
      <c r="H379" s="18"/>
      <c r="I379" s="18"/>
      <c r="J379" s="18"/>
      <c r="K379" s="18"/>
      <c r="L379" s="18"/>
      <c r="M379" s="18"/>
      <c r="N379" s="18"/>
      <c r="O379" s="18"/>
      <c r="P379" s="18"/>
      <c r="Q379" s="18"/>
      <c r="R379" s="18"/>
      <c r="S379" s="18"/>
      <c r="T379" s="18"/>
      <c r="U379" s="18"/>
      <c r="V379" s="18"/>
      <c r="W379" s="18"/>
      <c r="X379" s="18"/>
      <c r="Y379" s="18"/>
      <c r="Z379" s="18"/>
    </row>
    <row r="380" spans="1:26" s="20" customFormat="1" x14ac:dyDescent="0.2">
      <c r="A380" s="12"/>
      <c r="B380" s="18"/>
      <c r="C380" s="18"/>
      <c r="D380" s="18"/>
      <c r="E380" s="18"/>
      <c r="F380" s="18"/>
      <c r="G380" s="18"/>
      <c r="H380" s="18"/>
      <c r="I380" s="18"/>
      <c r="J380" s="18"/>
      <c r="K380" s="18"/>
      <c r="L380" s="18"/>
      <c r="M380" s="18"/>
      <c r="N380" s="18"/>
      <c r="O380" s="18"/>
      <c r="P380" s="18"/>
      <c r="Q380" s="18"/>
      <c r="R380" s="18"/>
      <c r="S380" s="18"/>
      <c r="T380" s="18"/>
      <c r="U380" s="18"/>
      <c r="V380" s="18"/>
      <c r="W380" s="18"/>
      <c r="X380" s="18"/>
      <c r="Y380" s="18"/>
      <c r="Z380" s="18"/>
    </row>
    <row r="381" spans="1:26" s="20" customFormat="1" x14ac:dyDescent="0.2">
      <c r="A381" s="12"/>
      <c r="B381" s="18"/>
      <c r="C381" s="18"/>
      <c r="D381" s="18"/>
      <c r="E381" s="18"/>
      <c r="F381" s="18"/>
      <c r="G381" s="18"/>
      <c r="H381" s="18"/>
      <c r="I381" s="18"/>
      <c r="J381" s="18"/>
      <c r="K381" s="18"/>
      <c r="L381" s="18"/>
      <c r="M381" s="18"/>
      <c r="N381" s="18"/>
      <c r="O381" s="18"/>
      <c r="P381" s="18"/>
      <c r="Q381" s="18"/>
      <c r="R381" s="18"/>
      <c r="S381" s="18"/>
      <c r="T381" s="18"/>
      <c r="U381" s="18"/>
      <c r="V381" s="18"/>
      <c r="W381" s="18"/>
      <c r="X381" s="18"/>
      <c r="Y381" s="18"/>
      <c r="Z381" s="18"/>
    </row>
    <row r="382" spans="1:26" s="20" customFormat="1" x14ac:dyDescent="0.2">
      <c r="A382" s="12"/>
      <c r="B382" s="18"/>
      <c r="C382" s="18"/>
      <c r="D382" s="18"/>
      <c r="E382" s="18"/>
      <c r="F382" s="18"/>
      <c r="G382" s="18"/>
      <c r="H382" s="18"/>
      <c r="I382" s="18"/>
      <c r="J382" s="18"/>
      <c r="K382" s="18"/>
      <c r="L382" s="18"/>
      <c r="M382" s="18"/>
      <c r="N382" s="18"/>
      <c r="O382" s="18"/>
      <c r="P382" s="18"/>
      <c r="Q382" s="18"/>
      <c r="R382" s="18"/>
      <c r="S382" s="18"/>
      <c r="T382" s="18"/>
      <c r="U382" s="18"/>
      <c r="V382" s="18"/>
      <c r="W382" s="18"/>
      <c r="X382" s="18"/>
      <c r="Y382" s="18"/>
      <c r="Z382" s="18"/>
    </row>
    <row r="383" spans="1:26" s="20" customFormat="1" x14ac:dyDescent="0.2">
      <c r="A383" s="12"/>
      <c r="B383" s="18"/>
      <c r="C383" s="18"/>
      <c r="D383" s="18"/>
      <c r="E383" s="18"/>
      <c r="F383" s="18"/>
      <c r="G383" s="18"/>
      <c r="H383" s="18"/>
      <c r="I383" s="18"/>
      <c r="J383" s="18"/>
      <c r="K383" s="18"/>
      <c r="L383" s="18"/>
      <c r="M383" s="18"/>
      <c r="N383" s="18"/>
      <c r="O383" s="18"/>
      <c r="P383" s="18"/>
      <c r="Q383" s="18"/>
      <c r="R383" s="18"/>
      <c r="S383" s="18"/>
      <c r="T383" s="18"/>
      <c r="U383" s="18"/>
      <c r="V383" s="18"/>
      <c r="W383" s="18"/>
      <c r="X383" s="18"/>
      <c r="Y383" s="18"/>
      <c r="Z383" s="18"/>
    </row>
    <row r="384" spans="1:26" s="20" customFormat="1" x14ac:dyDescent="0.2">
      <c r="A384" s="12"/>
      <c r="B384" s="18"/>
      <c r="C384" s="18"/>
      <c r="D384" s="18"/>
      <c r="E384" s="18"/>
      <c r="F384" s="18"/>
      <c r="G384" s="18"/>
      <c r="H384" s="18"/>
      <c r="I384" s="18"/>
      <c r="J384" s="18"/>
      <c r="K384" s="18"/>
      <c r="L384" s="18"/>
      <c r="M384" s="18"/>
      <c r="N384" s="18"/>
      <c r="O384" s="18"/>
      <c r="P384" s="18"/>
      <c r="Q384" s="18"/>
      <c r="R384" s="18"/>
      <c r="S384" s="18"/>
      <c r="T384" s="18"/>
      <c r="U384" s="18"/>
      <c r="V384" s="18"/>
      <c r="W384" s="18"/>
      <c r="X384" s="18"/>
      <c r="Y384" s="18"/>
      <c r="Z384" s="18"/>
    </row>
    <row r="385" spans="1:26" s="20" customFormat="1" x14ac:dyDescent="0.2">
      <c r="A385" s="12"/>
      <c r="B385" s="18"/>
      <c r="C385" s="18"/>
      <c r="D385" s="18"/>
      <c r="E385" s="18"/>
      <c r="F385" s="18"/>
      <c r="G385" s="18"/>
      <c r="H385" s="18"/>
      <c r="I385" s="18"/>
      <c r="J385" s="18"/>
      <c r="K385" s="18"/>
      <c r="L385" s="18"/>
      <c r="M385" s="18"/>
      <c r="N385" s="18"/>
      <c r="O385" s="18"/>
      <c r="P385" s="18"/>
      <c r="Q385" s="18"/>
      <c r="R385" s="18"/>
      <c r="S385" s="18"/>
      <c r="T385" s="18"/>
      <c r="U385" s="18"/>
      <c r="V385" s="18"/>
      <c r="W385" s="18"/>
      <c r="X385" s="18"/>
      <c r="Y385" s="18"/>
      <c r="Z385" s="18"/>
    </row>
    <row r="386" spans="1:26" s="20" customFormat="1" x14ac:dyDescent="0.2">
      <c r="A386" s="12"/>
      <c r="B386" s="18"/>
      <c r="C386" s="18"/>
      <c r="D386" s="18"/>
      <c r="E386" s="18"/>
      <c r="F386" s="18"/>
      <c r="G386" s="18"/>
      <c r="H386" s="18"/>
      <c r="I386" s="18"/>
      <c r="J386" s="18"/>
      <c r="K386" s="18"/>
      <c r="L386" s="18"/>
      <c r="M386" s="18"/>
      <c r="N386" s="18"/>
      <c r="O386" s="18"/>
      <c r="P386" s="18"/>
      <c r="Q386" s="18"/>
      <c r="R386" s="18"/>
      <c r="S386" s="18"/>
      <c r="T386" s="18"/>
      <c r="U386" s="18"/>
      <c r="V386" s="18"/>
      <c r="W386" s="18"/>
      <c r="X386" s="18"/>
      <c r="Y386" s="18"/>
      <c r="Z386" s="18"/>
    </row>
    <row r="387" spans="1:26" s="20" customFormat="1" x14ac:dyDescent="0.2">
      <c r="A387" s="12"/>
      <c r="B387" s="18"/>
      <c r="C387" s="18"/>
      <c r="D387" s="18"/>
      <c r="E387" s="18"/>
      <c r="F387" s="18"/>
      <c r="G387" s="18"/>
      <c r="H387" s="18"/>
      <c r="I387" s="18"/>
      <c r="J387" s="18"/>
      <c r="K387" s="18"/>
      <c r="L387" s="18"/>
      <c r="M387" s="18"/>
      <c r="N387" s="18"/>
      <c r="O387" s="18"/>
      <c r="P387" s="18"/>
      <c r="Q387" s="18"/>
      <c r="R387" s="18"/>
      <c r="S387" s="18"/>
      <c r="T387" s="18"/>
      <c r="U387" s="18"/>
      <c r="V387" s="18"/>
      <c r="W387" s="18"/>
      <c r="X387" s="18"/>
      <c r="Y387" s="18"/>
      <c r="Z387" s="18"/>
    </row>
    <row r="388" spans="1:26" s="20" customFormat="1" x14ac:dyDescent="0.2">
      <c r="A388" s="18"/>
      <c r="B388" s="18"/>
      <c r="C388" s="18"/>
      <c r="D388" s="18"/>
      <c r="E388" s="18"/>
      <c r="F388" s="18"/>
      <c r="G388" s="18"/>
      <c r="H388" s="18"/>
      <c r="I388" s="18"/>
      <c r="J388" s="18"/>
      <c r="K388" s="18"/>
      <c r="L388" s="18"/>
      <c r="M388" s="18"/>
      <c r="N388" s="18"/>
      <c r="O388" s="18"/>
      <c r="P388" s="18"/>
      <c r="Q388" s="18"/>
      <c r="R388" s="18"/>
      <c r="S388" s="18"/>
      <c r="T388" s="18"/>
      <c r="U388" s="18"/>
      <c r="V388" s="18"/>
      <c r="W388" s="18"/>
      <c r="X388" s="18"/>
      <c r="Y388" s="18"/>
      <c r="Z388" s="18"/>
    </row>
    <row r="389" spans="1:26" s="20" customFormat="1" x14ac:dyDescent="0.2">
      <c r="A389" s="18"/>
      <c r="B389" s="18"/>
      <c r="C389" s="18"/>
      <c r="D389" s="18"/>
      <c r="E389" s="18"/>
      <c r="F389" s="18"/>
      <c r="G389" s="18"/>
      <c r="H389" s="18"/>
      <c r="I389" s="18"/>
      <c r="J389" s="18"/>
      <c r="K389" s="18"/>
      <c r="L389" s="18"/>
      <c r="M389" s="18"/>
      <c r="N389" s="18"/>
      <c r="O389" s="18"/>
      <c r="P389" s="18"/>
      <c r="Q389" s="18"/>
      <c r="R389" s="18"/>
      <c r="S389" s="18"/>
      <c r="T389" s="18"/>
      <c r="U389" s="18"/>
      <c r="V389" s="18"/>
      <c r="W389" s="18"/>
      <c r="X389" s="18"/>
      <c r="Y389" s="18"/>
      <c r="Z389" s="18"/>
    </row>
    <row r="390" spans="1:26" s="20" customFormat="1" x14ac:dyDescent="0.2">
      <c r="A390" s="18"/>
      <c r="B390" s="18"/>
      <c r="C390" s="18"/>
      <c r="D390" s="18"/>
      <c r="E390" s="18"/>
      <c r="F390" s="18"/>
      <c r="G390" s="18"/>
      <c r="H390" s="18"/>
      <c r="I390" s="18"/>
      <c r="J390" s="18"/>
      <c r="K390" s="18"/>
      <c r="L390" s="18"/>
      <c r="M390" s="18"/>
      <c r="N390" s="18"/>
      <c r="O390" s="18"/>
      <c r="P390" s="18"/>
      <c r="Q390" s="18"/>
      <c r="R390" s="18"/>
      <c r="S390" s="18"/>
      <c r="T390" s="18"/>
      <c r="U390" s="18"/>
      <c r="V390" s="18"/>
      <c r="W390" s="18"/>
      <c r="X390" s="18"/>
      <c r="Y390" s="18"/>
      <c r="Z390" s="18"/>
    </row>
    <row r="391" spans="1:26" s="20" customFormat="1" x14ac:dyDescent="0.2">
      <c r="A391" s="18"/>
      <c r="B391" s="18"/>
      <c r="C391" s="18"/>
      <c r="D391" s="18"/>
      <c r="E391" s="18"/>
      <c r="F391" s="18"/>
      <c r="G391" s="18"/>
      <c r="H391" s="18"/>
      <c r="I391" s="18"/>
      <c r="J391" s="18"/>
      <c r="K391" s="18"/>
      <c r="L391" s="18"/>
      <c r="M391" s="18"/>
      <c r="N391" s="18"/>
      <c r="O391" s="18"/>
      <c r="P391" s="18"/>
      <c r="Q391" s="18"/>
      <c r="R391" s="18"/>
      <c r="S391" s="18"/>
      <c r="T391" s="18"/>
      <c r="U391" s="18"/>
      <c r="V391" s="18"/>
      <c r="W391" s="18"/>
      <c r="X391" s="18"/>
      <c r="Y391" s="18"/>
      <c r="Z391" s="18"/>
    </row>
    <row r="392" spans="1:26" s="20" customFormat="1" x14ac:dyDescent="0.2">
      <c r="A392" s="18"/>
      <c r="B392" s="18"/>
      <c r="C392" s="18"/>
      <c r="D392" s="18"/>
      <c r="E392" s="18"/>
      <c r="F392" s="18"/>
      <c r="G392" s="18"/>
      <c r="H392" s="18"/>
      <c r="I392" s="18"/>
      <c r="J392" s="18"/>
      <c r="K392" s="18"/>
      <c r="L392" s="18"/>
      <c r="M392" s="18"/>
      <c r="N392" s="18"/>
      <c r="O392" s="18"/>
      <c r="P392" s="18"/>
      <c r="Q392" s="18"/>
      <c r="R392" s="18"/>
      <c r="S392" s="18"/>
      <c r="T392" s="18"/>
      <c r="U392" s="18"/>
      <c r="V392" s="18"/>
      <c r="W392" s="18"/>
      <c r="X392" s="18"/>
      <c r="Y392" s="18"/>
      <c r="Z392" s="18"/>
    </row>
    <row r="393" spans="1:26" s="20" customFormat="1" x14ac:dyDescent="0.2">
      <c r="A393" s="18"/>
      <c r="B393" s="18"/>
      <c r="C393" s="18"/>
      <c r="D393" s="18"/>
      <c r="E393" s="18"/>
      <c r="F393" s="18"/>
      <c r="G393" s="18"/>
      <c r="H393" s="18"/>
      <c r="I393" s="18"/>
      <c r="J393" s="18"/>
      <c r="K393" s="18"/>
      <c r="L393" s="18"/>
      <c r="M393" s="18"/>
      <c r="N393" s="18"/>
      <c r="O393" s="18"/>
      <c r="P393" s="18"/>
      <c r="Q393" s="18"/>
      <c r="R393" s="18"/>
      <c r="S393" s="18"/>
      <c r="T393" s="18"/>
      <c r="U393" s="18"/>
      <c r="V393" s="18"/>
      <c r="W393" s="18"/>
      <c r="X393" s="18"/>
      <c r="Y393" s="18"/>
      <c r="Z393" s="18"/>
    </row>
    <row r="394" spans="1:26" s="20" customFormat="1" x14ac:dyDescent="0.2">
      <c r="A394" s="18"/>
      <c r="B394" s="18"/>
      <c r="C394" s="18"/>
      <c r="D394" s="18"/>
      <c r="E394" s="18"/>
      <c r="F394" s="18"/>
      <c r="G394" s="18"/>
      <c r="H394" s="18"/>
      <c r="I394" s="18"/>
      <c r="J394" s="18"/>
      <c r="K394" s="18"/>
      <c r="L394" s="18"/>
      <c r="M394" s="18"/>
      <c r="N394" s="18"/>
      <c r="O394" s="18"/>
      <c r="P394" s="18"/>
      <c r="Q394" s="18"/>
      <c r="R394" s="18"/>
      <c r="S394" s="18"/>
      <c r="T394" s="18"/>
      <c r="U394" s="18"/>
      <c r="V394" s="18"/>
      <c r="W394" s="18"/>
      <c r="X394" s="18"/>
      <c r="Y394" s="18"/>
      <c r="Z394" s="18"/>
    </row>
    <row r="395" spans="1:26" s="20" customFormat="1" x14ac:dyDescent="0.2">
      <c r="A395" s="18"/>
      <c r="B395" s="18"/>
      <c r="C395" s="18"/>
      <c r="D395" s="18"/>
      <c r="E395" s="18"/>
      <c r="F395" s="18"/>
      <c r="G395" s="18"/>
      <c r="H395" s="18"/>
      <c r="I395" s="18"/>
      <c r="J395" s="18"/>
      <c r="K395" s="18"/>
      <c r="L395" s="18"/>
      <c r="M395" s="18"/>
      <c r="N395" s="18"/>
      <c r="O395" s="18"/>
      <c r="P395" s="18"/>
      <c r="Q395" s="18"/>
      <c r="R395" s="18"/>
      <c r="S395" s="18"/>
      <c r="T395" s="18"/>
      <c r="U395" s="18"/>
      <c r="V395" s="18"/>
      <c r="W395" s="18"/>
      <c r="X395" s="18"/>
      <c r="Y395" s="18"/>
      <c r="Z395" s="18"/>
    </row>
    <row r="396" spans="1:26" s="20" customFormat="1" x14ac:dyDescent="0.2">
      <c r="A396" s="18"/>
      <c r="B396" s="18"/>
      <c r="C396" s="18"/>
      <c r="D396" s="18"/>
      <c r="E396" s="18"/>
      <c r="F396" s="18"/>
      <c r="G396" s="18"/>
      <c r="H396" s="18"/>
      <c r="I396" s="18"/>
      <c r="J396" s="18"/>
      <c r="K396" s="18"/>
      <c r="L396" s="18"/>
      <c r="M396" s="18"/>
      <c r="N396" s="18"/>
      <c r="O396" s="18"/>
      <c r="P396" s="18"/>
      <c r="Q396" s="18"/>
      <c r="R396" s="18"/>
      <c r="S396" s="18"/>
      <c r="T396" s="18"/>
      <c r="U396" s="18"/>
      <c r="V396" s="18"/>
      <c r="W396" s="18"/>
      <c r="X396" s="18"/>
      <c r="Y396" s="18"/>
      <c r="Z396" s="18"/>
    </row>
    <row r="397" spans="1:26" s="20" customFormat="1" x14ac:dyDescent="0.2">
      <c r="A397" s="18"/>
      <c r="B397" s="18"/>
      <c r="C397" s="18"/>
      <c r="D397" s="18"/>
      <c r="E397" s="18"/>
      <c r="F397" s="18"/>
      <c r="G397" s="18"/>
      <c r="H397" s="18"/>
      <c r="I397" s="18"/>
      <c r="J397" s="18"/>
      <c r="K397" s="18"/>
      <c r="L397" s="18"/>
      <c r="M397" s="18"/>
      <c r="N397" s="18"/>
      <c r="O397" s="18"/>
      <c r="P397" s="18"/>
      <c r="Q397" s="18"/>
      <c r="R397" s="18"/>
      <c r="S397" s="18"/>
      <c r="T397" s="18"/>
      <c r="U397" s="18"/>
      <c r="V397" s="18"/>
      <c r="W397" s="18"/>
      <c r="X397" s="18"/>
      <c r="Y397" s="18"/>
      <c r="Z397" s="18"/>
    </row>
    <row r="398" spans="1:26" s="20" customFormat="1" x14ac:dyDescent="0.2">
      <c r="A398" s="18"/>
      <c r="B398" s="18"/>
      <c r="C398" s="18"/>
      <c r="D398" s="18"/>
      <c r="E398" s="18"/>
      <c r="F398" s="18"/>
      <c r="G398" s="18"/>
      <c r="H398" s="18"/>
      <c r="I398" s="18"/>
      <c r="J398" s="18"/>
      <c r="K398" s="18"/>
      <c r="L398" s="18"/>
      <c r="M398" s="18"/>
      <c r="N398" s="18"/>
      <c r="O398" s="18"/>
      <c r="P398" s="18"/>
      <c r="Q398" s="18"/>
      <c r="R398" s="18"/>
      <c r="S398" s="18"/>
      <c r="T398" s="18"/>
      <c r="U398" s="18"/>
      <c r="V398" s="18"/>
      <c r="W398" s="18"/>
      <c r="X398" s="18"/>
      <c r="Y398" s="18"/>
      <c r="Z398" s="18"/>
    </row>
    <row r="399" spans="1:26" s="20" customFormat="1" x14ac:dyDescent="0.2">
      <c r="A399" s="18"/>
      <c r="B399" s="18"/>
      <c r="C399" s="18"/>
      <c r="D399" s="18"/>
      <c r="E399" s="18"/>
      <c r="F399" s="18"/>
      <c r="G399" s="18"/>
      <c r="H399" s="18"/>
      <c r="I399" s="18"/>
      <c r="J399" s="18"/>
      <c r="K399" s="18"/>
      <c r="L399" s="18"/>
      <c r="M399" s="18"/>
      <c r="N399" s="18"/>
      <c r="O399" s="18"/>
      <c r="P399" s="18"/>
      <c r="Q399" s="18"/>
      <c r="R399" s="18"/>
      <c r="S399" s="18"/>
      <c r="T399" s="18"/>
      <c r="U399" s="18"/>
      <c r="V399" s="18"/>
      <c r="W399" s="18"/>
      <c r="X399" s="18"/>
      <c r="Y399" s="18"/>
      <c r="Z399" s="18"/>
    </row>
    <row r="400" spans="1:26" s="20" customFormat="1" x14ac:dyDescent="0.2">
      <c r="A400" s="18"/>
      <c r="B400" s="18"/>
      <c r="C400" s="18"/>
      <c r="D400" s="18"/>
      <c r="E400" s="18"/>
      <c r="F400" s="18"/>
      <c r="G400" s="18"/>
      <c r="H400" s="18"/>
      <c r="I400" s="18"/>
      <c r="J400" s="18"/>
      <c r="K400" s="18"/>
      <c r="L400" s="18"/>
      <c r="M400" s="18"/>
      <c r="N400" s="18"/>
      <c r="O400" s="18"/>
      <c r="P400" s="18"/>
      <c r="Q400" s="18"/>
      <c r="R400" s="18"/>
      <c r="S400" s="18"/>
      <c r="T400" s="18"/>
      <c r="U400" s="18"/>
      <c r="V400" s="18"/>
      <c r="W400" s="18"/>
      <c r="X400" s="18"/>
      <c r="Y400" s="18"/>
      <c r="Z400" s="18"/>
    </row>
    <row r="401" spans="1:26" s="20" customFormat="1" x14ac:dyDescent="0.2">
      <c r="A401" s="18"/>
      <c r="B401" s="18"/>
      <c r="C401" s="18"/>
      <c r="D401" s="18"/>
      <c r="E401" s="18"/>
      <c r="F401" s="18"/>
      <c r="G401" s="18"/>
      <c r="H401" s="18"/>
      <c r="I401" s="18"/>
      <c r="J401" s="18"/>
      <c r="K401" s="18"/>
      <c r="L401" s="18"/>
      <c r="M401" s="18"/>
      <c r="N401" s="18"/>
      <c r="O401" s="18"/>
      <c r="P401" s="18"/>
      <c r="Q401" s="18"/>
      <c r="R401" s="18"/>
      <c r="S401" s="18"/>
      <c r="T401" s="18"/>
      <c r="U401" s="18"/>
      <c r="V401" s="18"/>
      <c r="W401" s="18"/>
      <c r="X401" s="18"/>
      <c r="Y401" s="18"/>
      <c r="Z401" s="18"/>
    </row>
    <row r="402" spans="1:26" s="20" customFormat="1" x14ac:dyDescent="0.2">
      <c r="A402" s="18"/>
      <c r="B402" s="18"/>
      <c r="C402" s="18"/>
      <c r="D402" s="18"/>
      <c r="E402" s="18"/>
      <c r="F402" s="18"/>
      <c r="G402" s="18"/>
      <c r="H402" s="18"/>
      <c r="I402" s="18"/>
      <c r="J402" s="18"/>
      <c r="K402" s="18"/>
      <c r="L402" s="18"/>
      <c r="M402" s="18"/>
      <c r="N402" s="18"/>
      <c r="O402" s="18"/>
      <c r="P402" s="18"/>
      <c r="Q402" s="18"/>
      <c r="R402" s="18"/>
      <c r="S402" s="18"/>
      <c r="T402" s="18"/>
      <c r="U402" s="18"/>
      <c r="V402" s="18"/>
      <c r="W402" s="18"/>
      <c r="X402" s="18"/>
      <c r="Y402" s="18"/>
      <c r="Z402" s="18"/>
    </row>
    <row r="403" spans="1:26" s="20" customFormat="1" x14ac:dyDescent="0.2">
      <c r="A403" s="18"/>
      <c r="B403" s="18"/>
      <c r="C403" s="18"/>
      <c r="D403" s="18"/>
      <c r="E403" s="18"/>
      <c r="F403" s="18"/>
      <c r="G403" s="18"/>
      <c r="H403" s="18"/>
      <c r="I403" s="18"/>
      <c r="J403" s="18"/>
      <c r="K403" s="18"/>
      <c r="L403" s="18"/>
      <c r="M403" s="18"/>
      <c r="N403" s="18"/>
      <c r="O403" s="18"/>
      <c r="P403" s="18"/>
      <c r="Q403" s="18"/>
      <c r="R403" s="18"/>
      <c r="S403" s="18"/>
      <c r="T403" s="18"/>
      <c r="U403" s="18"/>
      <c r="V403" s="18"/>
      <c r="W403" s="18"/>
      <c r="X403" s="18"/>
      <c r="Y403" s="18"/>
      <c r="Z403" s="18"/>
    </row>
    <row r="404" spans="1:26" s="20" customFormat="1" x14ac:dyDescent="0.2">
      <c r="A404" s="18"/>
      <c r="B404" s="18"/>
      <c r="C404" s="18"/>
      <c r="D404" s="18"/>
      <c r="E404" s="18"/>
      <c r="F404" s="18"/>
      <c r="G404" s="18"/>
      <c r="H404" s="18"/>
      <c r="I404" s="18"/>
      <c r="J404" s="18"/>
      <c r="K404" s="18"/>
      <c r="L404" s="18"/>
      <c r="M404" s="18"/>
      <c r="N404" s="18"/>
      <c r="O404" s="18"/>
      <c r="P404" s="18"/>
      <c r="Q404" s="18"/>
      <c r="R404" s="18"/>
      <c r="S404" s="18"/>
      <c r="T404" s="18"/>
      <c r="U404" s="18"/>
      <c r="V404" s="18"/>
      <c r="W404" s="18"/>
      <c r="X404" s="18"/>
      <c r="Y404" s="18"/>
      <c r="Z404" s="18"/>
    </row>
    <row r="405" spans="1:26" s="20" customFormat="1" x14ac:dyDescent="0.2">
      <c r="A405" s="18"/>
      <c r="B405" s="18"/>
      <c r="C405" s="18"/>
      <c r="D405" s="18"/>
      <c r="E405" s="18"/>
      <c r="F405" s="18"/>
      <c r="G405" s="18"/>
      <c r="H405" s="18"/>
      <c r="I405" s="18"/>
      <c r="J405" s="18"/>
      <c r="K405" s="18"/>
      <c r="L405" s="18"/>
      <c r="M405" s="18"/>
      <c r="N405" s="18"/>
      <c r="O405" s="18"/>
      <c r="P405" s="18"/>
      <c r="Q405" s="18"/>
      <c r="R405" s="18"/>
      <c r="S405" s="18"/>
      <c r="T405" s="18"/>
      <c r="U405" s="18"/>
      <c r="V405" s="18"/>
      <c r="W405" s="18"/>
      <c r="X405" s="18"/>
      <c r="Y405" s="18"/>
      <c r="Z405" s="18"/>
    </row>
    <row r="406" spans="1:26" s="20" customFormat="1" x14ac:dyDescent="0.2">
      <c r="A406" s="18"/>
      <c r="B406" s="18"/>
      <c r="C406" s="18"/>
      <c r="D406" s="18"/>
      <c r="E406" s="18"/>
      <c r="F406" s="18"/>
      <c r="G406" s="18"/>
      <c r="H406" s="18"/>
      <c r="I406" s="18"/>
      <c r="J406" s="18"/>
      <c r="K406" s="18"/>
      <c r="L406" s="18"/>
      <c r="M406" s="18"/>
      <c r="N406" s="18"/>
      <c r="O406" s="18"/>
      <c r="P406" s="18"/>
      <c r="Q406" s="18"/>
      <c r="R406" s="18"/>
      <c r="S406" s="18"/>
      <c r="T406" s="18"/>
      <c r="U406" s="18"/>
      <c r="V406" s="18"/>
      <c r="W406" s="18"/>
      <c r="X406" s="18"/>
      <c r="Y406" s="18"/>
      <c r="Z406" s="18"/>
    </row>
    <row r="407" spans="1:26" s="20" customFormat="1" x14ac:dyDescent="0.2">
      <c r="A407" s="18"/>
      <c r="B407" s="18"/>
      <c r="C407" s="18"/>
      <c r="D407" s="18"/>
      <c r="E407" s="18"/>
      <c r="F407" s="18"/>
      <c r="G407" s="18"/>
      <c r="H407" s="18"/>
      <c r="I407" s="18"/>
      <c r="J407" s="18"/>
      <c r="K407" s="18"/>
      <c r="L407" s="18"/>
      <c r="M407" s="18"/>
      <c r="N407" s="18"/>
      <c r="O407" s="18"/>
      <c r="P407" s="18"/>
      <c r="Q407" s="18"/>
      <c r="R407" s="18"/>
      <c r="S407" s="18"/>
      <c r="T407" s="18"/>
      <c r="U407" s="18"/>
      <c r="V407" s="18"/>
      <c r="W407" s="18"/>
      <c r="X407" s="18"/>
      <c r="Y407" s="18"/>
      <c r="Z407" s="18"/>
    </row>
    <row r="408" spans="1:26" s="20" customFormat="1" x14ac:dyDescent="0.2">
      <c r="A408" s="18"/>
      <c r="B408" s="18"/>
      <c r="C408" s="18"/>
      <c r="D408" s="18"/>
      <c r="E408" s="18"/>
      <c r="F408" s="18"/>
      <c r="G408" s="18"/>
      <c r="H408" s="18"/>
      <c r="I408" s="18"/>
      <c r="J408" s="18"/>
      <c r="K408" s="18"/>
      <c r="L408" s="18"/>
      <c r="M408" s="18"/>
      <c r="N408" s="18"/>
      <c r="O408" s="18"/>
      <c r="P408" s="18"/>
      <c r="Q408" s="18"/>
      <c r="R408" s="18"/>
      <c r="S408" s="18"/>
      <c r="T408" s="18"/>
      <c r="U408" s="18"/>
      <c r="V408" s="18"/>
      <c r="W408" s="18"/>
      <c r="X408" s="18"/>
      <c r="Y408" s="18"/>
      <c r="Z408" s="18"/>
    </row>
    <row r="409" spans="1:26" s="20" customFormat="1" x14ac:dyDescent="0.2">
      <c r="A409" s="18"/>
      <c r="B409" s="18"/>
      <c r="C409" s="18"/>
      <c r="D409" s="18"/>
      <c r="E409" s="18"/>
      <c r="F409" s="18"/>
      <c r="G409" s="18"/>
      <c r="H409" s="18"/>
      <c r="I409" s="18"/>
      <c r="J409" s="18"/>
      <c r="K409" s="18"/>
      <c r="L409" s="18"/>
      <c r="M409" s="18"/>
      <c r="N409" s="18"/>
      <c r="O409" s="18"/>
      <c r="P409" s="18"/>
      <c r="Q409" s="18"/>
      <c r="R409" s="18"/>
      <c r="S409" s="18"/>
      <c r="T409" s="18"/>
      <c r="U409" s="18"/>
      <c r="V409" s="18"/>
      <c r="W409" s="18"/>
      <c r="X409" s="18"/>
      <c r="Y409" s="18"/>
      <c r="Z409" s="18"/>
    </row>
    <row r="410" spans="1:26" s="20" customFormat="1" x14ac:dyDescent="0.2">
      <c r="A410" s="18"/>
      <c r="B410" s="18"/>
      <c r="C410" s="18"/>
      <c r="D410" s="18"/>
      <c r="E410" s="18"/>
      <c r="F410" s="18"/>
      <c r="G410" s="18"/>
      <c r="H410" s="18"/>
      <c r="I410" s="18"/>
      <c r="J410" s="18"/>
      <c r="K410" s="18"/>
      <c r="L410" s="18"/>
      <c r="M410" s="18"/>
      <c r="N410" s="18"/>
      <c r="O410" s="18"/>
      <c r="P410" s="18"/>
      <c r="Q410" s="18"/>
      <c r="R410" s="18"/>
      <c r="S410" s="18"/>
      <c r="T410" s="18"/>
      <c r="U410" s="18"/>
      <c r="V410" s="18"/>
      <c r="W410" s="18"/>
      <c r="X410" s="18"/>
      <c r="Y410" s="18"/>
      <c r="Z410" s="18"/>
    </row>
    <row r="411" spans="1:26" s="20" customFormat="1" x14ac:dyDescent="0.2">
      <c r="A411" s="18"/>
      <c r="B411" s="18"/>
      <c r="C411" s="18"/>
      <c r="D411" s="18"/>
      <c r="E411" s="18"/>
      <c r="F411" s="18"/>
      <c r="G411" s="18"/>
      <c r="H411" s="18"/>
      <c r="I411" s="18"/>
      <c r="J411" s="18"/>
      <c r="K411" s="18"/>
      <c r="L411" s="18"/>
      <c r="M411" s="18"/>
      <c r="N411" s="18"/>
      <c r="O411" s="18"/>
      <c r="P411" s="18"/>
      <c r="Q411" s="18"/>
      <c r="R411" s="18"/>
      <c r="S411" s="18"/>
      <c r="T411" s="18"/>
      <c r="U411" s="18"/>
      <c r="V411" s="18"/>
      <c r="W411" s="18"/>
      <c r="X411" s="18"/>
      <c r="Y411" s="18"/>
      <c r="Z411" s="18"/>
    </row>
    <row r="412" spans="1:26" s="20" customFormat="1" x14ac:dyDescent="0.2">
      <c r="A412" s="18"/>
      <c r="B412" s="18"/>
      <c r="C412" s="18"/>
      <c r="D412" s="18"/>
      <c r="E412" s="18"/>
      <c r="F412" s="18"/>
      <c r="G412" s="18"/>
      <c r="H412" s="18"/>
      <c r="I412" s="18"/>
      <c r="J412" s="18"/>
      <c r="K412" s="18"/>
      <c r="L412" s="18"/>
      <c r="M412" s="18"/>
      <c r="N412" s="18"/>
      <c r="O412" s="18"/>
      <c r="P412" s="18"/>
      <c r="Q412" s="18"/>
      <c r="R412" s="18"/>
      <c r="S412" s="18"/>
      <c r="T412" s="18"/>
      <c r="U412" s="18"/>
      <c r="V412" s="18"/>
      <c r="W412" s="18"/>
      <c r="X412" s="18"/>
      <c r="Y412" s="18"/>
      <c r="Z412" s="18"/>
    </row>
    <row r="413" spans="1:26" s="20" customFormat="1" x14ac:dyDescent="0.2">
      <c r="A413" s="18"/>
      <c r="B413" s="18"/>
      <c r="C413" s="18"/>
      <c r="D413" s="18"/>
      <c r="E413" s="18"/>
      <c r="F413" s="18"/>
      <c r="G413" s="18"/>
      <c r="H413" s="18"/>
      <c r="I413" s="18"/>
      <c r="J413" s="18"/>
      <c r="K413" s="18"/>
      <c r="L413" s="18"/>
      <c r="M413" s="18"/>
      <c r="N413" s="18"/>
      <c r="O413" s="18"/>
      <c r="P413" s="18"/>
      <c r="Q413" s="18"/>
      <c r="R413" s="18"/>
      <c r="S413" s="18"/>
      <c r="T413" s="18"/>
      <c r="U413" s="18"/>
      <c r="V413" s="18"/>
      <c r="W413" s="18"/>
      <c r="X413" s="18"/>
      <c r="Y413" s="18"/>
      <c r="Z413" s="18"/>
    </row>
    <row r="414" spans="1:26" s="20" customFormat="1" x14ac:dyDescent="0.2">
      <c r="A414" s="18"/>
      <c r="B414" s="18"/>
      <c r="C414" s="18"/>
      <c r="D414" s="18"/>
      <c r="E414" s="18"/>
      <c r="F414" s="18"/>
      <c r="G414" s="18"/>
      <c r="H414" s="18"/>
      <c r="I414" s="18"/>
      <c r="J414" s="18"/>
      <c r="K414" s="18"/>
      <c r="L414" s="18"/>
      <c r="M414" s="18"/>
      <c r="N414" s="18"/>
      <c r="O414" s="18"/>
      <c r="P414" s="18"/>
      <c r="Q414" s="18"/>
      <c r="R414" s="18"/>
      <c r="S414" s="18"/>
      <c r="T414" s="18"/>
      <c r="U414" s="18"/>
      <c r="V414" s="18"/>
      <c r="W414" s="18"/>
      <c r="X414" s="18"/>
      <c r="Y414" s="18"/>
      <c r="Z414" s="18"/>
    </row>
    <row r="415" spans="1:26" s="20" customFormat="1" x14ac:dyDescent="0.2">
      <c r="A415" s="18"/>
      <c r="B415" s="18"/>
      <c r="C415" s="18"/>
      <c r="D415" s="18"/>
      <c r="E415" s="18"/>
      <c r="F415" s="18"/>
      <c r="G415" s="18"/>
      <c r="H415" s="18"/>
      <c r="I415" s="18"/>
      <c r="J415" s="18"/>
      <c r="K415" s="18"/>
      <c r="L415" s="18"/>
      <c r="M415" s="18"/>
      <c r="N415" s="18"/>
      <c r="O415" s="18"/>
      <c r="P415" s="18"/>
      <c r="Q415" s="18"/>
      <c r="R415" s="18"/>
      <c r="S415" s="18"/>
      <c r="T415" s="18"/>
      <c r="U415" s="18"/>
      <c r="V415" s="18"/>
      <c r="W415" s="18"/>
      <c r="X415" s="18"/>
      <c r="Y415" s="18"/>
      <c r="Z415" s="18"/>
    </row>
    <row r="416" spans="1:26" s="20" customFormat="1" x14ac:dyDescent="0.2">
      <c r="A416" s="18"/>
      <c r="B416" s="18"/>
      <c r="C416" s="18"/>
      <c r="D416" s="18"/>
      <c r="E416" s="18"/>
      <c r="F416" s="18"/>
      <c r="G416" s="18"/>
      <c r="H416" s="18"/>
      <c r="I416" s="18"/>
      <c r="J416" s="18"/>
      <c r="K416" s="18"/>
      <c r="L416" s="18"/>
      <c r="M416" s="18"/>
      <c r="N416" s="18"/>
      <c r="O416" s="18"/>
      <c r="P416" s="18"/>
      <c r="Q416" s="18"/>
      <c r="R416" s="18"/>
      <c r="S416" s="18"/>
      <c r="T416" s="18"/>
      <c r="U416" s="18"/>
      <c r="V416" s="18"/>
      <c r="W416" s="18"/>
      <c r="X416" s="18"/>
      <c r="Y416" s="18"/>
      <c r="Z416" s="18"/>
    </row>
    <row r="417" spans="1:26" s="20" customFormat="1" x14ac:dyDescent="0.2">
      <c r="A417" s="18"/>
      <c r="B417" s="18"/>
      <c r="C417" s="18"/>
      <c r="D417" s="18"/>
      <c r="E417" s="18"/>
      <c r="F417" s="18"/>
      <c r="G417" s="18"/>
      <c r="H417" s="18"/>
      <c r="I417" s="18"/>
      <c r="J417" s="18"/>
      <c r="K417" s="18"/>
      <c r="L417" s="18"/>
      <c r="M417" s="18"/>
      <c r="N417" s="18"/>
      <c r="O417" s="18"/>
      <c r="P417" s="18"/>
      <c r="Q417" s="18"/>
      <c r="R417" s="18"/>
      <c r="S417" s="18"/>
      <c r="T417" s="18"/>
      <c r="U417" s="18"/>
      <c r="V417" s="18"/>
      <c r="W417" s="18"/>
      <c r="X417" s="18"/>
      <c r="Y417" s="18"/>
      <c r="Z417" s="18"/>
    </row>
    <row r="418" spans="1:26" s="20" customFormat="1" x14ac:dyDescent="0.2">
      <c r="A418" s="18"/>
      <c r="B418" s="18"/>
      <c r="C418" s="18"/>
      <c r="D418" s="18"/>
      <c r="E418" s="18"/>
      <c r="F418" s="18"/>
      <c r="G418" s="18"/>
      <c r="H418" s="18"/>
      <c r="I418" s="18"/>
      <c r="J418" s="18"/>
      <c r="K418" s="18"/>
      <c r="L418" s="18"/>
      <c r="M418" s="18"/>
      <c r="N418" s="18"/>
      <c r="O418" s="18"/>
      <c r="P418" s="18"/>
      <c r="Q418" s="18"/>
      <c r="R418" s="18"/>
      <c r="S418" s="18"/>
      <c r="T418" s="18"/>
      <c r="U418" s="18"/>
      <c r="V418" s="18"/>
      <c r="W418" s="18"/>
      <c r="X418" s="18"/>
      <c r="Y418" s="18"/>
      <c r="Z418" s="18"/>
    </row>
    <row r="419" spans="1:26" s="20" customFormat="1" x14ac:dyDescent="0.2">
      <c r="A419" s="18"/>
      <c r="B419" s="18"/>
      <c r="C419" s="18"/>
      <c r="D419" s="18"/>
      <c r="E419" s="18"/>
      <c r="F419" s="18"/>
      <c r="G419" s="18"/>
      <c r="H419" s="18"/>
      <c r="I419" s="18"/>
      <c r="J419" s="18"/>
      <c r="K419" s="18"/>
      <c r="L419" s="18"/>
      <c r="M419" s="18"/>
      <c r="N419" s="18"/>
      <c r="O419" s="18"/>
      <c r="P419" s="18"/>
      <c r="Q419" s="18"/>
      <c r="R419" s="18"/>
      <c r="S419" s="18"/>
      <c r="T419" s="18"/>
      <c r="U419" s="18"/>
      <c r="V419" s="18"/>
      <c r="W419" s="18"/>
      <c r="X419" s="18"/>
      <c r="Y419" s="18"/>
      <c r="Z419" s="18"/>
    </row>
    <row r="420" spans="1:26" s="20" customFormat="1" x14ac:dyDescent="0.2">
      <c r="A420" s="18"/>
      <c r="B420" s="18"/>
      <c r="C420" s="18"/>
      <c r="D420" s="18"/>
      <c r="E420" s="18"/>
      <c r="F420" s="18"/>
      <c r="G420" s="18"/>
      <c r="H420" s="18"/>
      <c r="I420" s="18"/>
      <c r="J420" s="18"/>
      <c r="K420" s="18"/>
      <c r="L420" s="18"/>
      <c r="M420" s="18"/>
      <c r="N420" s="18"/>
      <c r="O420" s="18"/>
      <c r="P420" s="18"/>
      <c r="Q420" s="18"/>
      <c r="R420" s="18"/>
      <c r="S420" s="18"/>
      <c r="T420" s="18"/>
      <c r="U420" s="18"/>
      <c r="V420" s="18"/>
      <c r="W420" s="18"/>
      <c r="X420" s="18"/>
      <c r="Y420" s="18"/>
      <c r="Z420" s="18"/>
    </row>
    <row r="421" spans="1:26" s="20" customFormat="1" x14ac:dyDescent="0.2">
      <c r="A421" s="18"/>
      <c r="B421" s="18"/>
      <c r="C421" s="18"/>
      <c r="D421" s="18"/>
      <c r="E421" s="18"/>
      <c r="F421" s="18"/>
      <c r="G421" s="18"/>
      <c r="H421" s="18"/>
      <c r="I421" s="18"/>
      <c r="J421" s="18"/>
      <c r="K421" s="18"/>
      <c r="L421" s="18"/>
      <c r="M421" s="18"/>
      <c r="N421" s="18"/>
      <c r="O421" s="18"/>
      <c r="P421" s="18"/>
      <c r="Q421" s="18"/>
      <c r="R421" s="18"/>
      <c r="S421" s="18"/>
      <c r="T421" s="18"/>
      <c r="U421" s="18"/>
      <c r="V421" s="18"/>
      <c r="W421" s="18"/>
      <c r="X421" s="18"/>
      <c r="Y421" s="18"/>
      <c r="Z421" s="18"/>
    </row>
    <row r="422" spans="1:26" s="20" customFormat="1" x14ac:dyDescent="0.2">
      <c r="A422" s="18"/>
      <c r="B422" s="18"/>
      <c r="C422" s="18"/>
      <c r="D422" s="18"/>
      <c r="E422" s="18"/>
      <c r="F422" s="18"/>
      <c r="G422" s="18"/>
      <c r="H422" s="18"/>
      <c r="I422" s="18"/>
      <c r="J422" s="18"/>
      <c r="K422" s="18"/>
      <c r="L422" s="18"/>
      <c r="M422" s="18"/>
      <c r="N422" s="18"/>
      <c r="O422" s="18"/>
      <c r="P422" s="18"/>
      <c r="Q422" s="18"/>
      <c r="R422" s="18"/>
      <c r="S422" s="18"/>
      <c r="T422" s="18"/>
      <c r="U422" s="18"/>
      <c r="V422" s="18"/>
      <c r="W422" s="18"/>
      <c r="X422" s="18"/>
      <c r="Y422" s="18"/>
      <c r="Z422" s="18"/>
    </row>
    <row r="423" spans="1:26" s="20" customFormat="1" x14ac:dyDescent="0.2">
      <c r="A423" s="18"/>
      <c r="B423" s="18"/>
      <c r="C423" s="18"/>
      <c r="D423" s="18"/>
      <c r="E423" s="18"/>
      <c r="F423" s="18"/>
      <c r="G423" s="18"/>
      <c r="H423" s="18"/>
      <c r="I423" s="18"/>
      <c r="J423" s="18"/>
      <c r="K423" s="18"/>
      <c r="L423" s="18"/>
      <c r="M423" s="18"/>
      <c r="N423" s="18"/>
      <c r="O423" s="18"/>
      <c r="P423" s="18"/>
      <c r="Q423" s="18"/>
      <c r="R423" s="18"/>
      <c r="S423" s="18"/>
      <c r="T423" s="18"/>
      <c r="U423" s="18"/>
      <c r="V423" s="18"/>
      <c r="W423" s="18"/>
      <c r="X423" s="18"/>
      <c r="Y423" s="18"/>
      <c r="Z423" s="18"/>
    </row>
    <row r="424" spans="1:26" s="20" customFormat="1" x14ac:dyDescent="0.2">
      <c r="A424" s="18"/>
      <c r="B424" s="18"/>
      <c r="C424" s="18"/>
      <c r="D424" s="18"/>
      <c r="E424" s="18"/>
      <c r="F424" s="18"/>
      <c r="G424" s="18"/>
      <c r="H424" s="18"/>
      <c r="I424" s="18"/>
      <c r="J424" s="18"/>
      <c r="K424" s="18"/>
      <c r="L424" s="18"/>
      <c r="M424" s="18"/>
      <c r="N424" s="18"/>
      <c r="O424" s="18"/>
      <c r="P424" s="18"/>
      <c r="Q424" s="18"/>
      <c r="R424" s="18"/>
      <c r="S424" s="18"/>
      <c r="T424" s="18"/>
      <c r="U424" s="18"/>
      <c r="V424" s="18"/>
      <c r="W424" s="18"/>
      <c r="X424" s="18"/>
      <c r="Y424" s="18"/>
      <c r="Z424" s="18"/>
    </row>
    <row r="425" spans="1:26" s="20" customFormat="1" x14ac:dyDescent="0.2">
      <c r="A425" s="18"/>
      <c r="B425" s="18"/>
      <c r="C425" s="18"/>
      <c r="D425" s="18"/>
      <c r="E425" s="18"/>
      <c r="F425" s="18"/>
      <c r="G425" s="18"/>
      <c r="H425" s="18"/>
      <c r="I425" s="18"/>
      <c r="J425" s="18"/>
      <c r="K425" s="18"/>
      <c r="L425" s="18"/>
      <c r="M425" s="18"/>
      <c r="N425" s="18"/>
      <c r="O425" s="18"/>
      <c r="P425" s="18"/>
      <c r="Q425" s="18"/>
      <c r="R425" s="18"/>
      <c r="S425" s="18"/>
      <c r="T425" s="18"/>
      <c r="U425" s="18"/>
      <c r="V425" s="18"/>
      <c r="W425" s="18"/>
      <c r="X425" s="18"/>
      <c r="Y425" s="18"/>
      <c r="Z425" s="18"/>
    </row>
    <row r="426" spans="1:26" s="20" customFormat="1" x14ac:dyDescent="0.2">
      <c r="A426" s="18"/>
      <c r="B426" s="18"/>
      <c r="C426" s="18"/>
      <c r="D426" s="18"/>
      <c r="E426" s="18"/>
      <c r="F426" s="18"/>
      <c r="G426" s="18"/>
      <c r="H426" s="18"/>
      <c r="I426" s="18"/>
      <c r="J426" s="18"/>
      <c r="K426" s="18"/>
      <c r="L426" s="18"/>
      <c r="M426" s="18"/>
      <c r="N426" s="18"/>
      <c r="O426" s="18"/>
      <c r="P426" s="18"/>
      <c r="Q426" s="18"/>
      <c r="R426" s="18"/>
      <c r="S426" s="18"/>
      <c r="T426" s="18"/>
      <c r="U426" s="18"/>
      <c r="V426" s="18"/>
      <c r="W426" s="18"/>
      <c r="X426" s="18"/>
      <c r="Y426" s="18"/>
      <c r="Z426" s="18"/>
    </row>
    <row r="427" spans="1:26" s="20" customFormat="1" x14ac:dyDescent="0.2">
      <c r="A427" s="18"/>
      <c r="B427" s="18"/>
      <c r="C427" s="18"/>
      <c r="D427" s="18"/>
      <c r="E427" s="18"/>
      <c r="F427" s="18"/>
      <c r="G427" s="18"/>
      <c r="H427" s="18"/>
      <c r="I427" s="18"/>
      <c r="J427" s="18"/>
      <c r="K427" s="18"/>
      <c r="L427" s="18"/>
      <c r="M427" s="18"/>
      <c r="N427" s="18"/>
      <c r="O427" s="18"/>
      <c r="P427" s="18"/>
      <c r="Q427" s="18"/>
      <c r="R427" s="18"/>
      <c r="S427" s="18"/>
      <c r="T427" s="18"/>
      <c r="U427" s="18"/>
      <c r="V427" s="18"/>
      <c r="W427" s="18"/>
      <c r="X427" s="18"/>
      <c r="Y427" s="18"/>
      <c r="Z427" s="18"/>
    </row>
    <row r="428" spans="1:26" s="20" customFormat="1" x14ac:dyDescent="0.2">
      <c r="A428" s="18"/>
      <c r="B428" s="18"/>
      <c r="C428" s="18"/>
      <c r="D428" s="18"/>
      <c r="E428" s="18"/>
      <c r="F428" s="18"/>
      <c r="G428" s="18"/>
      <c r="H428" s="18"/>
      <c r="I428" s="18"/>
      <c r="J428" s="18"/>
      <c r="K428" s="18"/>
      <c r="L428" s="18"/>
      <c r="M428" s="18"/>
      <c r="N428" s="18"/>
      <c r="O428" s="18"/>
      <c r="P428" s="18"/>
      <c r="Q428" s="18"/>
      <c r="R428" s="18"/>
      <c r="S428" s="18"/>
      <c r="T428" s="18"/>
      <c r="U428" s="18"/>
      <c r="V428" s="18"/>
      <c r="W428" s="18"/>
      <c r="X428" s="18"/>
      <c r="Y428" s="18"/>
      <c r="Z428" s="18"/>
    </row>
    <row r="429" spans="1:26" s="20" customFormat="1" x14ac:dyDescent="0.2">
      <c r="A429" s="18"/>
      <c r="B429" s="18"/>
      <c r="C429" s="18"/>
      <c r="D429" s="18"/>
      <c r="E429" s="18"/>
      <c r="F429" s="18"/>
      <c r="G429" s="18"/>
      <c r="H429" s="18"/>
      <c r="I429" s="18"/>
      <c r="J429" s="18"/>
      <c r="K429" s="18"/>
      <c r="L429" s="18"/>
      <c r="M429" s="18"/>
      <c r="N429" s="18"/>
      <c r="O429" s="18"/>
      <c r="P429" s="18"/>
      <c r="Q429" s="18"/>
      <c r="R429" s="18"/>
      <c r="S429" s="18"/>
      <c r="T429" s="18"/>
      <c r="U429" s="18"/>
      <c r="V429" s="18"/>
      <c r="W429" s="18"/>
      <c r="X429" s="18"/>
      <c r="Y429" s="18"/>
      <c r="Z429" s="18"/>
    </row>
    <row r="430" spans="1:26" s="20" customFormat="1" x14ac:dyDescent="0.2">
      <c r="A430" s="18"/>
      <c r="B430" s="18"/>
      <c r="C430" s="18"/>
      <c r="D430" s="18"/>
      <c r="E430" s="18"/>
      <c r="F430" s="18"/>
      <c r="G430" s="18"/>
      <c r="H430" s="18"/>
      <c r="I430" s="18"/>
      <c r="J430" s="18"/>
      <c r="K430" s="18"/>
      <c r="L430" s="18"/>
      <c r="M430" s="18"/>
      <c r="N430" s="18"/>
      <c r="O430" s="18"/>
      <c r="P430" s="18"/>
      <c r="Q430" s="18"/>
      <c r="R430" s="18"/>
      <c r="S430" s="18"/>
      <c r="T430" s="18"/>
      <c r="U430" s="18"/>
      <c r="V430" s="18"/>
      <c r="W430" s="18"/>
      <c r="X430" s="18"/>
      <c r="Y430" s="18"/>
      <c r="Z430" s="18"/>
    </row>
    <row r="431" spans="1:26" s="20" customFormat="1" x14ac:dyDescent="0.2">
      <c r="A431" s="18"/>
      <c r="B431" s="18"/>
      <c r="C431" s="18"/>
      <c r="D431" s="18"/>
      <c r="E431" s="18"/>
      <c r="F431" s="18"/>
      <c r="G431" s="18"/>
      <c r="H431" s="18"/>
      <c r="I431" s="18"/>
      <c r="J431" s="18"/>
      <c r="K431" s="18"/>
      <c r="L431" s="18"/>
      <c r="M431" s="18"/>
      <c r="N431" s="18"/>
      <c r="O431" s="18"/>
      <c r="P431" s="18"/>
      <c r="Q431" s="18"/>
      <c r="R431" s="18"/>
      <c r="S431" s="18"/>
      <c r="T431" s="18"/>
      <c r="U431" s="18"/>
      <c r="V431" s="18"/>
      <c r="W431" s="18"/>
      <c r="X431" s="18"/>
      <c r="Y431" s="18"/>
      <c r="Z431" s="18"/>
    </row>
    <row r="432" spans="1:26" s="20" customFormat="1" x14ac:dyDescent="0.2">
      <c r="A432" s="18"/>
      <c r="B432" s="18"/>
      <c r="C432" s="18"/>
      <c r="D432" s="18"/>
      <c r="E432" s="18"/>
      <c r="F432" s="18"/>
      <c r="G432" s="18"/>
      <c r="H432" s="18"/>
      <c r="I432" s="18"/>
      <c r="J432" s="18"/>
      <c r="K432" s="18"/>
      <c r="L432" s="18"/>
      <c r="M432" s="18"/>
      <c r="N432" s="18"/>
      <c r="O432" s="18"/>
      <c r="P432" s="18"/>
      <c r="Q432" s="18"/>
      <c r="R432" s="18"/>
      <c r="S432" s="18"/>
      <c r="T432" s="18"/>
      <c r="U432" s="18"/>
      <c r="V432" s="18"/>
      <c r="W432" s="18"/>
      <c r="X432" s="18"/>
      <c r="Y432" s="18"/>
      <c r="Z432" s="18"/>
    </row>
    <row r="433" spans="1:26" s="20" customFormat="1" x14ac:dyDescent="0.2">
      <c r="A433" s="18"/>
      <c r="B433" s="18"/>
      <c r="C433" s="18"/>
      <c r="D433" s="18"/>
      <c r="E433" s="18"/>
      <c r="F433" s="18"/>
      <c r="G433" s="18"/>
      <c r="H433" s="18"/>
      <c r="I433" s="18"/>
      <c r="J433" s="18"/>
      <c r="K433" s="18"/>
      <c r="L433" s="18"/>
      <c r="M433" s="18"/>
      <c r="N433" s="18"/>
      <c r="O433" s="18"/>
      <c r="P433" s="18"/>
      <c r="Q433" s="18"/>
      <c r="R433" s="18"/>
      <c r="S433" s="18"/>
      <c r="T433" s="18"/>
      <c r="U433" s="18"/>
      <c r="V433" s="18"/>
      <c r="W433" s="18"/>
      <c r="X433" s="18"/>
      <c r="Y433" s="18"/>
      <c r="Z433" s="18"/>
    </row>
    <row r="434" spans="1:26" s="20" customFormat="1" x14ac:dyDescent="0.2">
      <c r="A434" s="18"/>
      <c r="B434" s="18"/>
      <c r="C434" s="18"/>
      <c r="D434" s="18"/>
      <c r="E434" s="18"/>
      <c r="F434" s="18"/>
      <c r="G434" s="18"/>
      <c r="H434" s="18"/>
      <c r="I434" s="18"/>
      <c r="J434" s="18"/>
      <c r="K434" s="18"/>
      <c r="L434" s="18"/>
      <c r="M434" s="18"/>
      <c r="N434" s="18"/>
      <c r="O434" s="18"/>
      <c r="P434" s="18"/>
      <c r="Q434" s="18"/>
      <c r="R434" s="18"/>
      <c r="S434" s="18"/>
      <c r="T434" s="18"/>
      <c r="U434" s="18"/>
      <c r="V434" s="18"/>
      <c r="W434" s="18"/>
      <c r="X434" s="18"/>
      <c r="Y434" s="18"/>
      <c r="Z434" s="18"/>
    </row>
    <row r="435" spans="1:26" s="20" customFormat="1" x14ac:dyDescent="0.2">
      <c r="A435" s="18"/>
      <c r="B435" s="18"/>
      <c r="C435" s="18"/>
      <c r="D435" s="18"/>
      <c r="E435" s="18"/>
      <c r="F435" s="18"/>
      <c r="G435" s="18"/>
      <c r="H435" s="18"/>
      <c r="I435" s="18"/>
      <c r="J435" s="18"/>
      <c r="K435" s="18"/>
      <c r="L435" s="18"/>
      <c r="M435" s="18"/>
      <c r="N435" s="18"/>
      <c r="O435" s="18"/>
      <c r="P435" s="18"/>
      <c r="Q435" s="18"/>
      <c r="R435" s="18"/>
      <c r="S435" s="18"/>
      <c r="T435" s="18"/>
      <c r="U435" s="18"/>
      <c r="V435" s="18"/>
      <c r="W435" s="18"/>
      <c r="X435" s="18"/>
      <c r="Y435" s="18"/>
      <c r="Z435" s="18"/>
    </row>
    <row r="436" spans="1:26" s="20" customFormat="1" x14ac:dyDescent="0.2">
      <c r="A436" s="18"/>
      <c r="B436" s="18"/>
      <c r="C436" s="18"/>
      <c r="D436" s="18"/>
      <c r="E436" s="18"/>
      <c r="F436" s="18"/>
      <c r="G436" s="18"/>
      <c r="H436" s="18"/>
      <c r="I436" s="18"/>
      <c r="J436" s="18"/>
      <c r="K436" s="18"/>
      <c r="L436" s="18"/>
      <c r="M436" s="18"/>
      <c r="N436" s="18"/>
      <c r="O436" s="18"/>
      <c r="P436" s="18"/>
      <c r="Q436" s="18"/>
      <c r="R436" s="18"/>
      <c r="S436" s="18"/>
      <c r="T436" s="18"/>
      <c r="U436" s="18"/>
      <c r="V436" s="18"/>
      <c r="W436" s="18"/>
      <c r="X436" s="18"/>
      <c r="Y436" s="18"/>
      <c r="Z436" s="18"/>
    </row>
    <row r="437" spans="1:26" s="20" customFormat="1" x14ac:dyDescent="0.2">
      <c r="A437" s="18"/>
      <c r="B437" s="18"/>
      <c r="C437" s="18"/>
      <c r="D437" s="18"/>
      <c r="E437" s="18"/>
      <c r="F437" s="18"/>
      <c r="G437" s="18"/>
      <c r="H437" s="18"/>
      <c r="I437" s="18"/>
      <c r="J437" s="18"/>
      <c r="K437" s="18"/>
      <c r="L437" s="18"/>
      <c r="M437" s="18"/>
      <c r="N437" s="18"/>
      <c r="O437" s="18"/>
      <c r="P437" s="18"/>
      <c r="Q437" s="18"/>
      <c r="R437" s="18"/>
      <c r="S437" s="18"/>
      <c r="T437" s="18"/>
      <c r="U437" s="18"/>
      <c r="V437" s="18"/>
      <c r="W437" s="18"/>
      <c r="X437" s="18"/>
      <c r="Y437" s="18"/>
      <c r="Z437" s="18"/>
    </row>
    <row r="438" spans="1:26" s="20" customFormat="1" x14ac:dyDescent="0.2">
      <c r="A438" s="18"/>
      <c r="B438" s="18"/>
      <c r="C438" s="18"/>
      <c r="D438" s="18"/>
      <c r="E438" s="18"/>
      <c r="F438" s="18"/>
      <c r="G438" s="18"/>
      <c r="H438" s="18"/>
      <c r="I438" s="18"/>
      <c r="J438" s="18"/>
      <c r="K438" s="18"/>
      <c r="L438" s="18"/>
      <c r="M438" s="18"/>
      <c r="N438" s="18"/>
      <c r="O438" s="18"/>
      <c r="P438" s="18"/>
      <c r="Q438" s="18"/>
      <c r="R438" s="18"/>
      <c r="S438" s="18"/>
      <c r="T438" s="18"/>
      <c r="U438" s="18"/>
      <c r="V438" s="18"/>
      <c r="W438" s="18"/>
      <c r="X438" s="18"/>
      <c r="Y438" s="18"/>
      <c r="Z438" s="18"/>
    </row>
    <row r="439" spans="1:26" s="20" customFormat="1" x14ac:dyDescent="0.2">
      <c r="A439" s="18"/>
      <c r="B439" s="18"/>
      <c r="C439" s="18"/>
      <c r="D439" s="18"/>
      <c r="E439" s="18"/>
      <c r="F439" s="18"/>
      <c r="G439" s="18"/>
      <c r="H439" s="18"/>
      <c r="I439" s="18"/>
      <c r="J439" s="18"/>
      <c r="K439" s="18"/>
      <c r="L439" s="18"/>
      <c r="M439" s="18"/>
      <c r="N439" s="18"/>
      <c r="O439" s="18"/>
      <c r="P439" s="18"/>
      <c r="Q439" s="18"/>
      <c r="R439" s="18"/>
      <c r="S439" s="18"/>
      <c r="T439" s="18"/>
      <c r="U439" s="18"/>
      <c r="V439" s="18"/>
      <c r="W439" s="18"/>
      <c r="X439" s="18"/>
      <c r="Y439" s="18"/>
      <c r="Z439" s="18"/>
    </row>
    <row r="440" spans="1:26" s="20" customFormat="1" x14ac:dyDescent="0.2">
      <c r="A440" s="18"/>
      <c r="B440" s="18"/>
      <c r="C440" s="18"/>
      <c r="D440" s="18"/>
      <c r="E440" s="18"/>
      <c r="F440" s="18"/>
      <c r="G440" s="18"/>
      <c r="H440" s="18"/>
      <c r="I440" s="18"/>
      <c r="J440" s="18"/>
      <c r="K440" s="18"/>
      <c r="L440" s="18"/>
      <c r="M440" s="18"/>
      <c r="N440" s="18"/>
      <c r="O440" s="18"/>
      <c r="P440" s="18"/>
      <c r="Q440" s="18"/>
      <c r="R440" s="18"/>
      <c r="S440" s="18"/>
      <c r="T440" s="18"/>
      <c r="U440" s="18"/>
      <c r="V440" s="18"/>
      <c r="W440" s="18"/>
      <c r="X440" s="18"/>
      <c r="Y440" s="18"/>
      <c r="Z440" s="18"/>
    </row>
    <row r="441" spans="1:26" s="20" customFormat="1" x14ac:dyDescent="0.2">
      <c r="A441" s="18"/>
      <c r="B441" s="18"/>
      <c r="C441" s="18"/>
      <c r="D441" s="18"/>
      <c r="E441" s="18"/>
      <c r="F441" s="18"/>
      <c r="G441" s="18"/>
      <c r="H441" s="18"/>
      <c r="I441" s="18"/>
      <c r="J441" s="18"/>
      <c r="K441" s="18"/>
      <c r="L441" s="18"/>
      <c r="M441" s="18"/>
      <c r="N441" s="18"/>
      <c r="O441" s="18"/>
      <c r="P441" s="18"/>
      <c r="Q441" s="18"/>
      <c r="R441" s="18"/>
      <c r="S441" s="18"/>
      <c r="T441" s="18"/>
      <c r="U441" s="18"/>
      <c r="V441" s="18"/>
      <c r="W441" s="18"/>
      <c r="X441" s="18"/>
      <c r="Y441" s="18"/>
      <c r="Z441" s="18"/>
    </row>
    <row r="442" spans="1:26" s="20" customFormat="1" x14ac:dyDescent="0.2">
      <c r="A442" s="18"/>
      <c r="B442" s="18"/>
      <c r="C442" s="18"/>
      <c r="D442" s="18"/>
      <c r="E442" s="18"/>
      <c r="F442" s="18"/>
      <c r="G442" s="18"/>
      <c r="H442" s="18"/>
      <c r="I442" s="18"/>
      <c r="J442" s="18"/>
      <c r="K442" s="18"/>
      <c r="L442" s="18"/>
      <c r="M442" s="18"/>
      <c r="N442" s="18"/>
      <c r="O442" s="18"/>
      <c r="P442" s="18"/>
      <c r="Q442" s="18"/>
      <c r="R442" s="18"/>
      <c r="S442" s="18"/>
      <c r="T442" s="18"/>
      <c r="U442" s="18"/>
      <c r="V442" s="18"/>
      <c r="W442" s="18"/>
      <c r="X442" s="18"/>
      <c r="Y442" s="18"/>
      <c r="Z442" s="18"/>
    </row>
    <row r="443" spans="1:26" s="20" customFormat="1" x14ac:dyDescent="0.2">
      <c r="A443" s="18"/>
      <c r="B443" s="18"/>
      <c r="C443" s="18"/>
      <c r="D443" s="18"/>
      <c r="E443" s="18"/>
      <c r="F443" s="18"/>
      <c r="G443" s="18"/>
      <c r="H443" s="18"/>
      <c r="I443" s="18"/>
      <c r="J443" s="18"/>
      <c r="K443" s="18"/>
      <c r="L443" s="18"/>
      <c r="M443" s="18"/>
      <c r="N443" s="18"/>
      <c r="O443" s="18"/>
      <c r="P443" s="18"/>
      <c r="Q443" s="18"/>
      <c r="R443" s="18"/>
      <c r="S443" s="18"/>
      <c r="T443" s="18"/>
      <c r="U443" s="18"/>
      <c r="V443" s="18"/>
      <c r="W443" s="18"/>
      <c r="X443" s="18"/>
      <c r="Y443" s="18"/>
      <c r="Z443" s="18"/>
    </row>
    <row r="444" spans="1:26" s="20" customFormat="1" x14ac:dyDescent="0.2">
      <c r="A444" s="18"/>
      <c r="B444" s="18"/>
      <c r="C444" s="18"/>
      <c r="D444" s="18"/>
      <c r="E444" s="18"/>
      <c r="F444" s="18"/>
      <c r="G444" s="18"/>
      <c r="H444" s="18"/>
      <c r="I444" s="18"/>
      <c r="J444" s="18"/>
      <c r="K444" s="18"/>
      <c r="L444" s="18"/>
      <c r="M444" s="18"/>
      <c r="N444" s="18"/>
      <c r="O444" s="18"/>
      <c r="P444" s="18"/>
      <c r="Q444" s="18"/>
      <c r="R444" s="18"/>
      <c r="S444" s="18"/>
      <c r="T444" s="18"/>
      <c r="U444" s="18"/>
      <c r="V444" s="18"/>
      <c r="W444" s="18"/>
      <c r="X444" s="18"/>
      <c r="Y444" s="18"/>
      <c r="Z444" s="18"/>
    </row>
    <row r="445" spans="1:26" s="20" customFormat="1" x14ac:dyDescent="0.2">
      <c r="A445" s="18"/>
      <c r="B445" s="18"/>
      <c r="C445" s="18"/>
      <c r="D445" s="18"/>
      <c r="E445" s="18"/>
      <c r="F445" s="18"/>
      <c r="G445" s="18"/>
      <c r="H445" s="18"/>
      <c r="I445" s="18"/>
      <c r="J445" s="18"/>
      <c r="K445" s="18"/>
      <c r="L445" s="18"/>
      <c r="M445" s="18"/>
      <c r="N445" s="18"/>
      <c r="O445" s="18"/>
      <c r="P445" s="18"/>
      <c r="Q445" s="18"/>
      <c r="R445" s="18"/>
      <c r="S445" s="18"/>
      <c r="T445" s="18"/>
      <c r="U445" s="18"/>
      <c r="V445" s="18"/>
      <c r="W445" s="18"/>
      <c r="X445" s="18"/>
      <c r="Y445" s="18"/>
      <c r="Z445" s="18"/>
    </row>
    <row r="446" spans="1:26" s="20" customFormat="1" x14ac:dyDescent="0.2">
      <c r="A446" s="18"/>
      <c r="B446" s="18"/>
      <c r="C446" s="18"/>
      <c r="D446" s="18"/>
      <c r="E446" s="18"/>
      <c r="F446" s="18"/>
      <c r="G446" s="18"/>
      <c r="H446" s="18"/>
      <c r="I446" s="18"/>
      <c r="J446" s="18"/>
      <c r="K446" s="18"/>
      <c r="L446" s="18"/>
      <c r="M446" s="18"/>
      <c r="N446" s="18"/>
      <c r="O446" s="18"/>
      <c r="P446" s="18"/>
      <c r="Q446" s="18"/>
      <c r="R446" s="18"/>
      <c r="S446" s="18"/>
      <c r="T446" s="18"/>
      <c r="U446" s="18"/>
      <c r="V446" s="18"/>
      <c r="W446" s="18"/>
      <c r="X446" s="18"/>
      <c r="Y446" s="18"/>
      <c r="Z446" s="18"/>
    </row>
    <row r="447" spans="1:26" s="20" customFormat="1" x14ac:dyDescent="0.2">
      <c r="A447" s="18"/>
      <c r="B447" s="18"/>
      <c r="C447" s="18"/>
      <c r="D447" s="18"/>
      <c r="E447" s="18"/>
      <c r="F447" s="18"/>
      <c r="G447" s="18"/>
      <c r="H447" s="18"/>
      <c r="I447" s="18"/>
      <c r="J447" s="18"/>
      <c r="K447" s="18"/>
      <c r="L447" s="18"/>
      <c r="M447" s="18"/>
      <c r="N447" s="18"/>
      <c r="O447" s="18"/>
      <c r="P447" s="18"/>
      <c r="Q447" s="18"/>
      <c r="R447" s="18"/>
      <c r="S447" s="18"/>
      <c r="T447" s="18"/>
      <c r="U447" s="18"/>
      <c r="V447" s="18"/>
      <c r="W447" s="18"/>
      <c r="X447" s="18"/>
      <c r="Y447" s="18"/>
      <c r="Z447" s="18"/>
    </row>
    <row r="448" spans="1:26" s="20" customFormat="1" x14ac:dyDescent="0.2">
      <c r="A448" s="18"/>
      <c r="B448" s="18"/>
      <c r="C448" s="18"/>
      <c r="D448" s="18"/>
      <c r="E448" s="18"/>
      <c r="F448" s="18"/>
      <c r="G448" s="18"/>
      <c r="H448" s="18"/>
      <c r="I448" s="18"/>
      <c r="J448" s="18"/>
      <c r="K448" s="18"/>
      <c r="L448" s="18"/>
      <c r="M448" s="18"/>
      <c r="N448" s="18"/>
      <c r="O448" s="18"/>
      <c r="P448" s="18"/>
      <c r="Q448" s="18"/>
      <c r="R448" s="18"/>
      <c r="S448" s="18"/>
      <c r="T448" s="18"/>
      <c r="U448" s="18"/>
      <c r="V448" s="18"/>
      <c r="W448" s="18"/>
      <c r="X448" s="18"/>
      <c r="Y448" s="18"/>
      <c r="Z448" s="18"/>
    </row>
    <row r="449" spans="1:26" s="20" customFormat="1" x14ac:dyDescent="0.2">
      <c r="A449" s="18"/>
      <c r="B449" s="18"/>
      <c r="C449" s="18"/>
      <c r="D449" s="18"/>
      <c r="E449" s="18"/>
      <c r="F449" s="18"/>
      <c r="G449" s="18"/>
      <c r="H449" s="18"/>
      <c r="I449" s="18"/>
      <c r="J449" s="18"/>
      <c r="K449" s="18"/>
      <c r="L449" s="18"/>
      <c r="M449" s="18"/>
      <c r="N449" s="18"/>
      <c r="O449" s="18"/>
      <c r="P449" s="18"/>
      <c r="Q449" s="18"/>
      <c r="R449" s="18"/>
      <c r="S449" s="18"/>
      <c r="T449" s="18"/>
      <c r="U449" s="18"/>
      <c r="V449" s="18"/>
      <c r="W449" s="18"/>
      <c r="X449" s="18"/>
      <c r="Y449" s="18"/>
      <c r="Z449" s="18"/>
    </row>
    <row r="450" spans="1:26" s="20" customFormat="1" x14ac:dyDescent="0.2">
      <c r="A450" s="18"/>
      <c r="B450" s="18"/>
      <c r="C450" s="18"/>
      <c r="D450" s="18"/>
      <c r="E450" s="18"/>
      <c r="F450" s="18"/>
      <c r="G450" s="18"/>
      <c r="H450" s="18"/>
      <c r="I450" s="18"/>
      <c r="J450" s="18"/>
      <c r="K450" s="18"/>
      <c r="L450" s="18"/>
      <c r="M450" s="18"/>
      <c r="N450" s="18"/>
      <c r="O450" s="18"/>
      <c r="P450" s="18"/>
      <c r="Q450" s="18"/>
      <c r="R450" s="18"/>
      <c r="S450" s="18"/>
      <c r="T450" s="18"/>
      <c r="U450" s="18"/>
      <c r="V450" s="18"/>
      <c r="W450" s="18"/>
      <c r="X450" s="18"/>
      <c r="Y450" s="18"/>
      <c r="Z450" s="18"/>
    </row>
    <row r="451" spans="1:26" s="20" customFormat="1" x14ac:dyDescent="0.2">
      <c r="A451" s="18"/>
      <c r="B451" s="18"/>
      <c r="C451" s="18"/>
      <c r="D451" s="18"/>
      <c r="E451" s="18"/>
      <c r="F451" s="18"/>
      <c r="G451" s="18"/>
      <c r="H451" s="18"/>
      <c r="I451" s="18"/>
      <c r="J451" s="18"/>
      <c r="K451" s="18"/>
      <c r="L451" s="18"/>
      <c r="M451" s="18"/>
      <c r="N451" s="18"/>
      <c r="O451" s="18"/>
      <c r="P451" s="18"/>
      <c r="Q451" s="18"/>
      <c r="R451" s="18"/>
      <c r="S451" s="18"/>
      <c r="T451" s="18"/>
      <c r="U451" s="18"/>
      <c r="V451" s="18"/>
      <c r="W451" s="18"/>
      <c r="X451" s="18"/>
      <c r="Y451" s="18"/>
      <c r="Z451" s="18"/>
    </row>
    <row r="452" spans="1:26" s="20" customFormat="1" x14ac:dyDescent="0.2">
      <c r="A452" s="18"/>
      <c r="B452" s="18"/>
      <c r="C452" s="18"/>
      <c r="D452" s="18"/>
      <c r="E452" s="18"/>
      <c r="F452" s="18"/>
      <c r="G452" s="18"/>
      <c r="H452" s="18"/>
      <c r="I452" s="18"/>
      <c r="J452" s="18"/>
      <c r="K452" s="18"/>
      <c r="L452" s="18"/>
      <c r="M452" s="18"/>
      <c r="N452" s="18"/>
      <c r="O452" s="18"/>
      <c r="P452" s="18"/>
      <c r="Q452" s="18"/>
      <c r="R452" s="18"/>
      <c r="S452" s="18"/>
      <c r="T452" s="18"/>
      <c r="U452" s="18"/>
      <c r="V452" s="18"/>
      <c r="W452" s="18"/>
      <c r="X452" s="18"/>
      <c r="Y452" s="18"/>
      <c r="Z452" s="18"/>
    </row>
    <row r="453" spans="1:26" s="20" customFormat="1" x14ac:dyDescent="0.2">
      <c r="A453" s="18"/>
      <c r="B453" s="18"/>
      <c r="C453" s="18"/>
      <c r="D453" s="18"/>
      <c r="E453" s="18"/>
      <c r="F453" s="18"/>
      <c r="G453" s="18"/>
      <c r="H453" s="18"/>
      <c r="I453" s="18"/>
      <c r="J453" s="18"/>
      <c r="K453" s="18"/>
      <c r="L453" s="18"/>
      <c r="M453" s="18"/>
      <c r="N453" s="18"/>
      <c r="O453" s="18"/>
      <c r="P453" s="18"/>
      <c r="Q453" s="18"/>
      <c r="R453" s="18"/>
      <c r="S453" s="18"/>
      <c r="T453" s="18"/>
      <c r="U453" s="18"/>
      <c r="V453" s="18"/>
      <c r="W453" s="18"/>
      <c r="X453" s="18"/>
      <c r="Y453" s="18"/>
      <c r="Z453" s="18"/>
    </row>
    <row r="454" spans="1:26" s="20" customFormat="1" x14ac:dyDescent="0.2">
      <c r="A454" s="18"/>
      <c r="B454" s="18"/>
      <c r="C454" s="18"/>
      <c r="D454" s="18"/>
      <c r="E454" s="18"/>
      <c r="F454" s="18"/>
      <c r="G454" s="18"/>
      <c r="H454" s="18"/>
      <c r="I454" s="18"/>
      <c r="J454" s="18"/>
      <c r="K454" s="18"/>
      <c r="L454" s="18"/>
      <c r="M454" s="18"/>
      <c r="N454" s="18"/>
      <c r="O454" s="18"/>
      <c r="P454" s="18"/>
      <c r="Q454" s="18"/>
      <c r="R454" s="18"/>
      <c r="S454" s="18"/>
      <c r="T454" s="18"/>
      <c r="U454" s="18"/>
      <c r="V454" s="18"/>
      <c r="W454" s="18"/>
      <c r="X454" s="18"/>
      <c r="Y454" s="18"/>
      <c r="Z454" s="18"/>
    </row>
    <row r="455" spans="1:26" s="20" customFormat="1" x14ac:dyDescent="0.2">
      <c r="A455" s="18"/>
      <c r="B455" s="18"/>
      <c r="C455" s="18"/>
      <c r="D455" s="18"/>
      <c r="E455" s="18"/>
      <c r="F455" s="18"/>
      <c r="G455" s="18"/>
      <c r="H455" s="18"/>
      <c r="I455" s="18"/>
      <c r="J455" s="18"/>
      <c r="K455" s="18"/>
      <c r="L455" s="18"/>
      <c r="M455" s="18"/>
      <c r="N455" s="18"/>
      <c r="O455" s="18"/>
      <c r="P455" s="18"/>
      <c r="Q455" s="18"/>
      <c r="R455" s="18"/>
      <c r="S455" s="18"/>
      <c r="T455" s="18"/>
      <c r="U455" s="18"/>
      <c r="V455" s="18"/>
      <c r="W455" s="18"/>
      <c r="X455" s="18"/>
      <c r="Y455" s="18"/>
      <c r="Z455" s="18"/>
    </row>
    <row r="456" spans="1:26" s="20" customFormat="1" x14ac:dyDescent="0.2">
      <c r="A456" s="18"/>
      <c r="B456" s="18"/>
      <c r="C456" s="18"/>
      <c r="D456" s="18"/>
      <c r="E456" s="18"/>
      <c r="F456" s="18"/>
      <c r="G456" s="18"/>
      <c r="H456" s="18"/>
      <c r="I456" s="18"/>
      <c r="J456" s="18"/>
      <c r="K456" s="18"/>
      <c r="L456" s="18"/>
      <c r="M456" s="18"/>
      <c r="N456" s="18"/>
      <c r="O456" s="18"/>
      <c r="P456" s="18"/>
      <c r="Q456" s="18"/>
      <c r="R456" s="18"/>
      <c r="S456" s="18"/>
      <c r="T456" s="18"/>
      <c r="U456" s="18"/>
      <c r="V456" s="18"/>
      <c r="W456" s="18"/>
      <c r="X456" s="18"/>
      <c r="Y456" s="18"/>
      <c r="Z456" s="18"/>
    </row>
    <row r="457" spans="1:26" s="20" customFormat="1" x14ac:dyDescent="0.2">
      <c r="A457" s="18"/>
      <c r="B457" s="18"/>
      <c r="C457" s="18"/>
      <c r="D457" s="18"/>
      <c r="E457" s="18"/>
      <c r="F457" s="18"/>
      <c r="G457" s="18"/>
      <c r="H457" s="18"/>
      <c r="I457" s="18"/>
      <c r="J457" s="18"/>
      <c r="K457" s="18"/>
      <c r="L457" s="18"/>
      <c r="M457" s="18"/>
      <c r="N457" s="18"/>
      <c r="O457" s="18"/>
      <c r="P457" s="18"/>
      <c r="Q457" s="18"/>
      <c r="R457" s="18"/>
      <c r="S457" s="18"/>
      <c r="T457" s="18"/>
      <c r="U457" s="18"/>
      <c r="V457" s="18"/>
      <c r="W457" s="18"/>
      <c r="X457" s="18"/>
      <c r="Y457" s="18"/>
      <c r="Z457" s="18"/>
    </row>
    <row r="458" spans="1:26" s="20" customFormat="1" x14ac:dyDescent="0.2">
      <c r="A458" s="18"/>
      <c r="B458" s="18"/>
      <c r="C458" s="18"/>
      <c r="D458" s="18"/>
      <c r="E458" s="18"/>
      <c r="F458" s="18"/>
      <c r="G458" s="18"/>
      <c r="H458" s="18"/>
      <c r="I458" s="18"/>
      <c r="J458" s="18"/>
      <c r="K458" s="18"/>
      <c r="L458" s="18"/>
      <c r="M458" s="18"/>
      <c r="N458" s="18"/>
      <c r="O458" s="18"/>
      <c r="P458" s="18"/>
      <c r="Q458" s="18"/>
      <c r="R458" s="18"/>
      <c r="S458" s="18"/>
      <c r="T458" s="18"/>
      <c r="U458" s="18"/>
      <c r="V458" s="18"/>
      <c r="W458" s="18"/>
      <c r="X458" s="18"/>
      <c r="Y458" s="18"/>
      <c r="Z458" s="18"/>
    </row>
    <row r="459" spans="1:26" s="20" customFormat="1" x14ac:dyDescent="0.2">
      <c r="A459" s="18"/>
      <c r="B459" s="18"/>
      <c r="C459" s="18"/>
      <c r="D459" s="18"/>
      <c r="E459" s="18"/>
      <c r="F459" s="18"/>
      <c r="G459" s="18"/>
      <c r="H459" s="18"/>
      <c r="I459" s="18"/>
      <c r="J459" s="18"/>
      <c r="K459" s="18"/>
      <c r="L459" s="18"/>
      <c r="M459" s="18"/>
      <c r="N459" s="18"/>
      <c r="O459" s="18"/>
      <c r="P459" s="18"/>
      <c r="Q459" s="18"/>
      <c r="R459" s="18"/>
      <c r="S459" s="18"/>
      <c r="T459" s="18"/>
      <c r="U459" s="18"/>
      <c r="V459" s="18"/>
      <c r="W459" s="18"/>
      <c r="X459" s="18"/>
      <c r="Y459" s="18"/>
      <c r="Z459" s="18"/>
    </row>
    <row r="460" spans="1:26" s="20" customFormat="1" x14ac:dyDescent="0.2">
      <c r="A460" s="18"/>
      <c r="B460" s="18"/>
      <c r="C460" s="18"/>
      <c r="D460" s="18"/>
      <c r="E460" s="18"/>
      <c r="F460" s="18"/>
      <c r="G460" s="18"/>
      <c r="H460" s="18"/>
      <c r="I460" s="18"/>
      <c r="J460" s="18"/>
      <c r="K460" s="18"/>
      <c r="L460" s="18"/>
      <c r="M460" s="18"/>
      <c r="N460" s="18"/>
      <c r="O460" s="18"/>
      <c r="P460" s="18"/>
      <c r="Q460" s="18"/>
      <c r="R460" s="18"/>
      <c r="S460" s="18"/>
      <c r="T460" s="18"/>
      <c r="U460" s="18"/>
      <c r="V460" s="18"/>
      <c r="W460" s="18"/>
      <c r="X460" s="18"/>
      <c r="Y460" s="18"/>
      <c r="Z460" s="18"/>
    </row>
    <row r="461" spans="1:26" s="20" customFormat="1" x14ac:dyDescent="0.2">
      <c r="A461" s="18"/>
      <c r="B461" s="18"/>
      <c r="C461" s="18"/>
      <c r="D461" s="18"/>
      <c r="E461" s="18"/>
      <c r="F461" s="18"/>
      <c r="G461" s="18"/>
      <c r="H461" s="18"/>
      <c r="I461" s="18"/>
      <c r="J461" s="18"/>
      <c r="K461" s="18"/>
      <c r="L461" s="18"/>
      <c r="M461" s="18"/>
      <c r="N461" s="18"/>
      <c r="O461" s="18"/>
      <c r="P461" s="18"/>
      <c r="Q461" s="18"/>
      <c r="R461" s="18"/>
      <c r="S461" s="18"/>
      <c r="T461" s="18"/>
      <c r="U461" s="18"/>
      <c r="V461" s="18"/>
      <c r="W461" s="18"/>
      <c r="X461" s="18"/>
      <c r="Y461" s="18"/>
      <c r="Z461" s="18"/>
    </row>
    <row r="462" spans="1:26" s="20" customFormat="1" x14ac:dyDescent="0.2">
      <c r="A462" s="18"/>
      <c r="B462" s="18"/>
      <c r="C462" s="18"/>
      <c r="D462" s="18"/>
      <c r="E462" s="18"/>
      <c r="F462" s="18"/>
      <c r="G462" s="18"/>
      <c r="H462" s="18"/>
      <c r="I462" s="18"/>
      <c r="J462" s="18"/>
      <c r="K462" s="18"/>
      <c r="L462" s="18"/>
      <c r="M462" s="18"/>
      <c r="N462" s="18"/>
      <c r="O462" s="18"/>
      <c r="P462" s="18"/>
      <c r="Q462" s="18"/>
      <c r="R462" s="18"/>
      <c r="S462" s="18"/>
      <c r="T462" s="18"/>
      <c r="U462" s="18"/>
      <c r="V462" s="18"/>
      <c r="W462" s="18"/>
      <c r="X462" s="18"/>
      <c r="Y462" s="18"/>
      <c r="Z462" s="18"/>
    </row>
    <row r="463" spans="1:26" s="20" customFormat="1" x14ac:dyDescent="0.2">
      <c r="A463" s="18"/>
      <c r="B463" s="18"/>
      <c r="C463" s="18"/>
      <c r="D463" s="18"/>
      <c r="E463" s="18"/>
      <c r="F463" s="18"/>
      <c r="G463" s="18"/>
      <c r="H463" s="18"/>
      <c r="I463" s="18"/>
      <c r="J463" s="18"/>
      <c r="K463" s="18"/>
      <c r="L463" s="18"/>
      <c r="M463" s="18"/>
      <c r="N463" s="18"/>
      <c r="O463" s="18"/>
      <c r="P463" s="18"/>
      <c r="Q463" s="18"/>
      <c r="R463" s="18"/>
      <c r="S463" s="18"/>
      <c r="T463" s="18"/>
      <c r="U463" s="18"/>
      <c r="V463" s="18"/>
      <c r="W463" s="18"/>
      <c r="X463" s="18"/>
      <c r="Y463" s="18"/>
      <c r="Z463" s="18"/>
    </row>
    <row r="464" spans="1:26" s="20" customFormat="1" x14ac:dyDescent="0.2">
      <c r="A464" s="18"/>
      <c r="B464" s="18"/>
      <c r="C464" s="18"/>
      <c r="D464" s="18"/>
      <c r="E464" s="18"/>
      <c r="F464" s="18"/>
      <c r="G464" s="18"/>
      <c r="H464" s="18"/>
      <c r="I464" s="18"/>
      <c r="J464" s="18"/>
      <c r="K464" s="18"/>
      <c r="L464" s="18"/>
      <c r="M464" s="18"/>
      <c r="N464" s="18"/>
      <c r="O464" s="18"/>
      <c r="P464" s="18"/>
      <c r="Q464" s="18"/>
      <c r="R464" s="18"/>
      <c r="S464" s="18"/>
      <c r="T464" s="18"/>
      <c r="U464" s="18"/>
      <c r="V464" s="18"/>
      <c r="W464" s="18"/>
      <c r="X464" s="18"/>
      <c r="Y464" s="18"/>
      <c r="Z464" s="18"/>
    </row>
    <row r="465" spans="1:26" s="20" customFormat="1" x14ac:dyDescent="0.2">
      <c r="A465" s="18"/>
      <c r="B465" s="18"/>
      <c r="C465" s="18"/>
      <c r="D465" s="18"/>
      <c r="E465" s="18"/>
      <c r="F465" s="18"/>
      <c r="G465" s="18"/>
      <c r="H465" s="18"/>
      <c r="I465" s="18"/>
      <c r="J465" s="18"/>
      <c r="K465" s="18"/>
      <c r="L465" s="18"/>
      <c r="M465" s="18"/>
      <c r="N465" s="18"/>
      <c r="O465" s="18"/>
      <c r="P465" s="18"/>
      <c r="Q465" s="18"/>
      <c r="R465" s="18"/>
      <c r="S465" s="18"/>
      <c r="T465" s="18"/>
      <c r="U465" s="18"/>
      <c r="V465" s="18"/>
      <c r="W465" s="18"/>
      <c r="X465" s="18"/>
      <c r="Y465" s="18"/>
      <c r="Z465" s="18"/>
    </row>
    <row r="466" spans="1:26" s="20" customFormat="1" x14ac:dyDescent="0.2">
      <c r="A466" s="18"/>
      <c r="B466" s="18"/>
      <c r="C466" s="18"/>
      <c r="D466" s="18"/>
      <c r="E466" s="18"/>
      <c r="F466" s="18"/>
      <c r="G466" s="18"/>
      <c r="H466" s="18"/>
      <c r="I466" s="18"/>
      <c r="J466" s="18"/>
      <c r="K466" s="18"/>
      <c r="L466" s="18"/>
      <c r="M466" s="18"/>
      <c r="N466" s="18"/>
      <c r="O466" s="18"/>
      <c r="P466" s="18"/>
      <c r="Q466" s="18"/>
      <c r="R466" s="18"/>
      <c r="S466" s="18"/>
      <c r="T466" s="18"/>
      <c r="U466" s="18"/>
      <c r="V466" s="18"/>
      <c r="W466" s="18"/>
      <c r="X466" s="18"/>
      <c r="Y466" s="18"/>
      <c r="Z466" s="18"/>
    </row>
    <row r="467" spans="1:26" s="20" customFormat="1" x14ac:dyDescent="0.2">
      <c r="A467" s="18"/>
      <c r="B467" s="18"/>
      <c r="C467" s="18"/>
      <c r="D467" s="18"/>
      <c r="E467" s="18"/>
      <c r="F467" s="18"/>
      <c r="G467" s="18"/>
      <c r="H467" s="18"/>
      <c r="I467" s="18"/>
      <c r="J467" s="18"/>
      <c r="K467" s="18"/>
      <c r="L467" s="18"/>
      <c r="M467" s="18"/>
      <c r="N467" s="18"/>
      <c r="O467" s="18"/>
      <c r="P467" s="18"/>
      <c r="Q467" s="18"/>
      <c r="R467" s="18"/>
      <c r="S467" s="18"/>
      <c r="T467" s="18"/>
      <c r="U467" s="18"/>
      <c r="V467" s="18"/>
      <c r="W467" s="18"/>
      <c r="X467" s="18"/>
      <c r="Y467" s="18"/>
      <c r="Z467" s="18"/>
    </row>
    <row r="468" spans="1:26" s="20" customFormat="1" x14ac:dyDescent="0.2">
      <c r="A468" s="18"/>
      <c r="B468" s="18"/>
      <c r="C468" s="18"/>
      <c r="D468" s="18"/>
      <c r="E468" s="18"/>
      <c r="F468" s="18"/>
      <c r="G468" s="18"/>
      <c r="H468" s="18"/>
      <c r="I468" s="18"/>
      <c r="J468" s="18"/>
      <c r="K468" s="18"/>
      <c r="L468" s="18"/>
      <c r="M468" s="18"/>
      <c r="N468" s="18"/>
      <c r="O468" s="18"/>
      <c r="P468" s="18"/>
      <c r="Q468" s="18"/>
      <c r="R468" s="18"/>
      <c r="S468" s="18"/>
      <c r="T468" s="18"/>
      <c r="U468" s="18"/>
      <c r="V468" s="18"/>
      <c r="W468" s="18"/>
      <c r="X468" s="18"/>
      <c r="Y468" s="18"/>
      <c r="Z468" s="18"/>
    </row>
    <row r="469" spans="1:26" s="20" customFormat="1" x14ac:dyDescent="0.2">
      <c r="A469" s="18"/>
      <c r="B469" s="18"/>
      <c r="C469" s="18"/>
      <c r="D469" s="18"/>
      <c r="E469" s="18"/>
      <c r="F469" s="18"/>
      <c r="G469" s="18"/>
      <c r="H469" s="18"/>
      <c r="I469" s="18"/>
      <c r="J469" s="18"/>
      <c r="K469" s="18"/>
      <c r="L469" s="18"/>
      <c r="M469" s="18"/>
      <c r="N469" s="18"/>
      <c r="O469" s="18"/>
      <c r="P469" s="18"/>
      <c r="Q469" s="18"/>
      <c r="R469" s="18"/>
      <c r="S469" s="18"/>
      <c r="T469" s="18"/>
      <c r="U469" s="18"/>
      <c r="V469" s="18"/>
      <c r="W469" s="18"/>
      <c r="X469" s="18"/>
      <c r="Y469" s="18"/>
      <c r="Z469" s="18"/>
    </row>
    <row r="470" spans="1:26" s="20" customFormat="1" x14ac:dyDescent="0.2">
      <c r="A470" s="18"/>
      <c r="B470" s="18"/>
      <c r="C470" s="18"/>
      <c r="D470" s="18"/>
      <c r="E470" s="18"/>
      <c r="F470" s="18"/>
      <c r="G470" s="18"/>
      <c r="H470" s="18"/>
      <c r="I470" s="18"/>
      <c r="J470" s="18"/>
      <c r="K470" s="18"/>
      <c r="L470" s="18"/>
      <c r="M470" s="18"/>
      <c r="N470" s="18"/>
      <c r="O470" s="18"/>
      <c r="P470" s="18"/>
      <c r="Q470" s="18"/>
      <c r="R470" s="18"/>
      <c r="S470" s="18"/>
      <c r="T470" s="18"/>
      <c r="U470" s="18"/>
      <c r="V470" s="18"/>
      <c r="W470" s="18"/>
      <c r="X470" s="18"/>
      <c r="Y470" s="18"/>
      <c r="Z470" s="18"/>
    </row>
    <row r="471" spans="1:26" s="20" customFormat="1" x14ac:dyDescent="0.2">
      <c r="A471" s="18"/>
      <c r="B471" s="18"/>
      <c r="C471" s="18"/>
      <c r="D471" s="18"/>
      <c r="E471" s="18"/>
      <c r="F471" s="18"/>
      <c r="G471" s="18"/>
      <c r="H471" s="18"/>
      <c r="I471" s="18"/>
      <c r="J471" s="18"/>
      <c r="K471" s="18"/>
      <c r="L471" s="18"/>
      <c r="M471" s="18"/>
      <c r="N471" s="18"/>
      <c r="O471" s="18"/>
      <c r="P471" s="18"/>
      <c r="Q471" s="18"/>
      <c r="R471" s="18"/>
      <c r="S471" s="18"/>
      <c r="T471" s="18"/>
      <c r="U471" s="18"/>
      <c r="V471" s="18"/>
      <c r="W471" s="18"/>
      <c r="X471" s="18"/>
      <c r="Y471" s="18"/>
      <c r="Z471" s="18"/>
    </row>
    <row r="472" spans="1:26" s="20" customFormat="1" x14ac:dyDescent="0.2">
      <c r="A472" s="18"/>
      <c r="B472" s="18"/>
      <c r="C472" s="18"/>
      <c r="D472" s="18"/>
      <c r="E472" s="18"/>
      <c r="F472" s="18"/>
      <c r="G472" s="18"/>
      <c r="H472" s="18"/>
      <c r="I472" s="18"/>
      <c r="J472" s="18"/>
      <c r="K472" s="18"/>
      <c r="L472" s="18"/>
      <c r="M472" s="18"/>
      <c r="N472" s="18"/>
      <c r="O472" s="18"/>
      <c r="P472" s="18"/>
      <c r="Q472" s="18"/>
      <c r="R472" s="18"/>
      <c r="S472" s="18"/>
      <c r="T472" s="18"/>
      <c r="U472" s="18"/>
      <c r="V472" s="18"/>
      <c r="W472" s="18"/>
      <c r="X472" s="18"/>
      <c r="Y472" s="18"/>
      <c r="Z472" s="18"/>
    </row>
    <row r="473" spans="1:26" s="20" customFormat="1" x14ac:dyDescent="0.2">
      <c r="A473" s="18"/>
      <c r="B473" s="18"/>
      <c r="C473" s="18"/>
      <c r="D473" s="18"/>
      <c r="E473" s="18"/>
      <c r="F473" s="18"/>
      <c r="G473" s="18"/>
      <c r="H473" s="18"/>
      <c r="I473" s="18"/>
      <c r="J473" s="18"/>
      <c r="K473" s="18"/>
      <c r="L473" s="18"/>
      <c r="M473" s="18"/>
      <c r="N473" s="18"/>
      <c r="O473" s="18"/>
      <c r="P473" s="18"/>
      <c r="Q473" s="18"/>
      <c r="R473" s="18"/>
      <c r="S473" s="18"/>
      <c r="T473" s="18"/>
      <c r="U473" s="18"/>
      <c r="V473" s="18"/>
      <c r="W473" s="18"/>
      <c r="X473" s="18"/>
      <c r="Y473" s="18"/>
      <c r="Z473" s="18"/>
    </row>
    <row r="474" spans="1:26" s="20" customFormat="1" x14ac:dyDescent="0.2">
      <c r="A474" s="18"/>
      <c r="B474" s="18"/>
      <c r="C474" s="18"/>
      <c r="D474" s="18"/>
      <c r="E474" s="18"/>
      <c r="F474" s="18"/>
      <c r="G474" s="18"/>
      <c r="H474" s="18"/>
      <c r="I474" s="18"/>
      <c r="J474" s="18"/>
      <c r="K474" s="18"/>
      <c r="L474" s="18"/>
      <c r="M474" s="18"/>
      <c r="N474" s="18"/>
      <c r="O474" s="18"/>
      <c r="P474" s="18"/>
      <c r="Q474" s="18"/>
      <c r="R474" s="18"/>
      <c r="S474" s="18"/>
      <c r="T474" s="18"/>
      <c r="U474" s="18"/>
      <c r="V474" s="18"/>
      <c r="W474" s="18"/>
      <c r="X474" s="18"/>
      <c r="Y474" s="18"/>
      <c r="Z474" s="18"/>
    </row>
    <row r="475" spans="1:26" s="20" customFormat="1" x14ac:dyDescent="0.2">
      <c r="A475" s="18"/>
      <c r="B475" s="18"/>
      <c r="C475" s="18"/>
      <c r="D475" s="18"/>
      <c r="E475" s="18"/>
      <c r="F475" s="18"/>
      <c r="G475" s="18"/>
      <c r="H475" s="18"/>
      <c r="I475" s="18"/>
      <c r="J475" s="18"/>
      <c r="K475" s="18"/>
      <c r="L475" s="18"/>
      <c r="M475" s="18"/>
      <c r="N475" s="18"/>
      <c r="O475" s="18"/>
      <c r="P475" s="18"/>
      <c r="Q475" s="18"/>
      <c r="R475" s="18"/>
      <c r="S475" s="18"/>
      <c r="T475" s="18"/>
      <c r="U475" s="18"/>
      <c r="V475" s="18"/>
      <c r="W475" s="18"/>
      <c r="X475" s="18"/>
      <c r="Y475" s="18"/>
      <c r="Z475" s="18"/>
    </row>
    <row r="476" spans="1:26" s="20" customFormat="1" x14ac:dyDescent="0.2">
      <c r="A476" s="18"/>
      <c r="B476" s="18"/>
      <c r="C476" s="18"/>
      <c r="D476" s="18"/>
      <c r="E476" s="18"/>
      <c r="F476" s="18"/>
      <c r="G476" s="18"/>
      <c r="H476" s="18"/>
      <c r="I476" s="18"/>
      <c r="J476" s="18"/>
      <c r="K476" s="18"/>
      <c r="L476" s="18"/>
      <c r="M476" s="18"/>
      <c r="N476" s="18"/>
      <c r="O476" s="18"/>
      <c r="P476" s="18"/>
      <c r="Q476" s="18"/>
      <c r="R476" s="18"/>
      <c r="S476" s="18"/>
      <c r="T476" s="18"/>
      <c r="U476" s="18"/>
      <c r="V476" s="18"/>
      <c r="W476" s="18"/>
      <c r="X476" s="18"/>
      <c r="Y476" s="18"/>
      <c r="Z476" s="18"/>
    </row>
    <row r="477" spans="1:26" s="20" customFormat="1" x14ac:dyDescent="0.2">
      <c r="A477" s="18"/>
      <c r="B477" s="18"/>
      <c r="C477" s="18"/>
      <c r="D477" s="18"/>
      <c r="E477" s="18"/>
      <c r="F477" s="18"/>
      <c r="G477" s="18"/>
      <c r="H477" s="18"/>
      <c r="I477" s="18"/>
      <c r="J477" s="18"/>
      <c r="K477" s="18"/>
      <c r="L477" s="18"/>
      <c r="M477" s="18"/>
      <c r="N477" s="18"/>
      <c r="O477" s="18"/>
      <c r="P477" s="18"/>
      <c r="Q477" s="18"/>
      <c r="R477" s="18"/>
      <c r="S477" s="18"/>
      <c r="T477" s="18"/>
      <c r="U477" s="18"/>
      <c r="V477" s="18"/>
      <c r="W477" s="18"/>
      <c r="X477" s="18"/>
      <c r="Y477" s="18"/>
      <c r="Z477" s="18"/>
    </row>
    <row r="478" spans="1:26" s="20" customFormat="1" x14ac:dyDescent="0.2">
      <c r="A478" s="18"/>
      <c r="B478" s="18"/>
      <c r="C478" s="18"/>
      <c r="D478" s="18"/>
      <c r="E478" s="18"/>
      <c r="F478" s="18"/>
      <c r="G478" s="18"/>
      <c r="H478" s="18"/>
      <c r="I478" s="18"/>
      <c r="J478" s="18"/>
      <c r="K478" s="18"/>
      <c r="L478" s="18"/>
      <c r="M478" s="18"/>
      <c r="N478" s="18"/>
      <c r="O478" s="18"/>
      <c r="P478" s="18"/>
      <c r="Q478" s="18"/>
      <c r="R478" s="18"/>
      <c r="S478" s="18"/>
      <c r="T478" s="18"/>
      <c r="U478" s="18"/>
      <c r="V478" s="18"/>
      <c r="W478" s="18"/>
      <c r="X478" s="18"/>
      <c r="Y478" s="18"/>
      <c r="Z478" s="18"/>
    </row>
    <row r="479" spans="1:26" s="20" customFormat="1" x14ac:dyDescent="0.2">
      <c r="A479" s="18"/>
      <c r="B479" s="18"/>
      <c r="C479" s="18"/>
      <c r="D479" s="18"/>
      <c r="E479" s="18"/>
      <c r="F479" s="18"/>
      <c r="G479" s="18"/>
      <c r="H479" s="18"/>
      <c r="I479" s="18"/>
      <c r="J479" s="18"/>
      <c r="K479" s="18"/>
      <c r="L479" s="18"/>
      <c r="M479" s="18"/>
      <c r="N479" s="18"/>
      <c r="O479" s="18"/>
      <c r="P479" s="18"/>
      <c r="Q479" s="18"/>
      <c r="R479" s="18"/>
      <c r="S479" s="18"/>
      <c r="T479" s="18"/>
      <c r="U479" s="18"/>
      <c r="V479" s="18"/>
      <c r="W479" s="18"/>
      <c r="X479" s="18"/>
      <c r="Y479" s="18"/>
      <c r="Z479" s="18"/>
    </row>
    <row r="480" spans="1:26" s="20" customFormat="1" x14ac:dyDescent="0.2">
      <c r="A480" s="18"/>
      <c r="B480" s="18"/>
      <c r="C480" s="18"/>
      <c r="D480" s="18"/>
      <c r="E480" s="18"/>
      <c r="F480" s="18"/>
      <c r="G480" s="18"/>
      <c r="H480" s="18"/>
      <c r="I480" s="18"/>
      <c r="J480" s="18"/>
      <c r="K480" s="18"/>
      <c r="L480" s="18"/>
      <c r="M480" s="18"/>
      <c r="N480" s="18"/>
      <c r="O480" s="18"/>
      <c r="P480" s="18"/>
      <c r="Q480" s="18"/>
      <c r="R480" s="18"/>
      <c r="S480" s="18"/>
      <c r="T480" s="18"/>
      <c r="U480" s="18"/>
      <c r="V480" s="18"/>
      <c r="W480" s="18"/>
      <c r="X480" s="18"/>
      <c r="Y480" s="18"/>
      <c r="Z480" s="18"/>
    </row>
    <row r="481" spans="1:26" s="20" customFormat="1" x14ac:dyDescent="0.2">
      <c r="A481" s="18"/>
      <c r="B481" s="18"/>
      <c r="C481" s="18"/>
      <c r="D481" s="18"/>
      <c r="E481" s="18"/>
      <c r="F481" s="18"/>
      <c r="G481" s="18"/>
      <c r="H481" s="18"/>
      <c r="I481" s="18"/>
      <c r="J481" s="18"/>
      <c r="K481" s="18"/>
      <c r="L481" s="18"/>
      <c r="M481" s="18"/>
      <c r="N481" s="18"/>
      <c r="O481" s="18"/>
      <c r="P481" s="18"/>
      <c r="Q481" s="18"/>
      <c r="R481" s="18"/>
      <c r="S481" s="18"/>
      <c r="T481" s="18"/>
      <c r="U481" s="18"/>
      <c r="V481" s="18"/>
      <c r="W481" s="18"/>
      <c r="X481" s="18"/>
      <c r="Y481" s="18"/>
      <c r="Z481" s="18"/>
    </row>
    <row r="482" spans="1:26" s="20" customFormat="1" x14ac:dyDescent="0.2">
      <c r="A482" s="18"/>
      <c r="B482" s="18"/>
      <c r="C482" s="18"/>
      <c r="D482" s="18"/>
      <c r="E482" s="18"/>
      <c r="F482" s="18"/>
      <c r="G482" s="18"/>
      <c r="H482" s="18"/>
      <c r="I482" s="18"/>
      <c r="J482" s="18"/>
      <c r="K482" s="18"/>
      <c r="L482" s="18"/>
      <c r="M482" s="18"/>
      <c r="N482" s="18"/>
      <c r="O482" s="18"/>
      <c r="P482" s="18"/>
      <c r="Q482" s="18"/>
      <c r="R482" s="18"/>
      <c r="S482" s="18"/>
      <c r="T482" s="18"/>
      <c r="U482" s="18"/>
      <c r="V482" s="18"/>
      <c r="W482" s="18"/>
      <c r="X482" s="18"/>
      <c r="Y482" s="18"/>
      <c r="Z482" s="18"/>
    </row>
    <row r="483" spans="1:26" s="20" customFormat="1" x14ac:dyDescent="0.2">
      <c r="A483" s="18"/>
      <c r="B483" s="18"/>
      <c r="C483" s="18"/>
      <c r="D483" s="18"/>
      <c r="E483" s="18"/>
      <c r="F483" s="18"/>
      <c r="G483" s="18"/>
      <c r="H483" s="18"/>
      <c r="I483" s="18"/>
      <c r="J483" s="18"/>
      <c r="K483" s="18"/>
      <c r="L483" s="18"/>
      <c r="M483" s="18"/>
      <c r="N483" s="18"/>
      <c r="O483" s="18"/>
      <c r="P483" s="18"/>
      <c r="Q483" s="18"/>
      <c r="R483" s="18"/>
      <c r="S483" s="18"/>
      <c r="T483" s="18"/>
      <c r="U483" s="18"/>
      <c r="V483" s="18"/>
      <c r="W483" s="18"/>
      <c r="X483" s="18"/>
      <c r="Y483" s="18"/>
      <c r="Z483" s="18"/>
    </row>
    <row r="484" spans="1:26" s="20" customFormat="1" x14ac:dyDescent="0.2">
      <c r="A484" s="18"/>
      <c r="B484" s="18"/>
      <c r="C484" s="18"/>
      <c r="D484" s="18"/>
      <c r="E484" s="18"/>
      <c r="F484" s="18"/>
      <c r="G484" s="18"/>
      <c r="H484" s="18"/>
      <c r="I484" s="18"/>
      <c r="J484" s="18"/>
      <c r="K484" s="18"/>
      <c r="L484" s="18"/>
      <c r="M484" s="18"/>
      <c r="N484" s="18"/>
      <c r="O484" s="18"/>
      <c r="P484" s="18"/>
      <c r="Q484" s="18"/>
      <c r="R484" s="18"/>
      <c r="S484" s="18"/>
      <c r="T484" s="18"/>
      <c r="U484" s="18"/>
      <c r="V484" s="18"/>
      <c r="W484" s="18"/>
      <c r="X484" s="18"/>
      <c r="Y484" s="18"/>
      <c r="Z484" s="18"/>
    </row>
    <row r="485" spans="1:26" s="20" customFormat="1" x14ac:dyDescent="0.2">
      <c r="A485" s="18"/>
      <c r="B485" s="18"/>
      <c r="C485" s="18"/>
      <c r="D485" s="18"/>
      <c r="E485" s="18"/>
      <c r="F485" s="18"/>
      <c r="G485" s="18"/>
      <c r="H485" s="18"/>
      <c r="I485" s="18"/>
      <c r="J485" s="18"/>
      <c r="K485" s="18"/>
      <c r="L485" s="18"/>
      <c r="M485" s="18"/>
      <c r="N485" s="18"/>
      <c r="O485" s="18"/>
      <c r="P485" s="18"/>
      <c r="Q485" s="18"/>
      <c r="R485" s="18"/>
      <c r="S485" s="18"/>
      <c r="T485" s="18"/>
      <c r="U485" s="18"/>
      <c r="V485" s="18"/>
      <c r="W485" s="18"/>
      <c r="X485" s="18"/>
      <c r="Y485" s="18"/>
      <c r="Z485" s="18"/>
    </row>
    <row r="486" spans="1:26" s="20" customFormat="1" x14ac:dyDescent="0.2">
      <c r="A486" s="18"/>
      <c r="B486" s="18"/>
      <c r="C486" s="18"/>
      <c r="D486" s="18"/>
      <c r="E486" s="18"/>
      <c r="F486" s="18"/>
      <c r="G486" s="18"/>
      <c r="H486" s="18"/>
      <c r="I486" s="18"/>
      <c r="J486" s="18"/>
      <c r="K486" s="18"/>
      <c r="L486" s="18"/>
      <c r="M486" s="18"/>
      <c r="N486" s="18"/>
      <c r="O486" s="18"/>
      <c r="P486" s="18"/>
      <c r="Q486" s="18"/>
      <c r="R486" s="18"/>
      <c r="S486" s="18"/>
      <c r="T486" s="18"/>
      <c r="U486" s="18"/>
      <c r="V486" s="18"/>
      <c r="W486" s="18"/>
      <c r="X486" s="18"/>
      <c r="Y486" s="18"/>
      <c r="Z486" s="18"/>
    </row>
    <row r="487" spans="1:26" s="20" customFormat="1" x14ac:dyDescent="0.2">
      <c r="A487" s="18"/>
      <c r="B487" s="18"/>
      <c r="C487" s="18"/>
      <c r="D487" s="18"/>
      <c r="E487" s="18"/>
      <c r="F487" s="18"/>
      <c r="G487" s="18"/>
      <c r="H487" s="18"/>
      <c r="I487" s="18"/>
      <c r="J487" s="18"/>
      <c r="K487" s="18"/>
      <c r="L487" s="18"/>
      <c r="M487" s="18"/>
      <c r="N487" s="18"/>
      <c r="O487" s="18"/>
      <c r="P487" s="18"/>
      <c r="Q487" s="18"/>
      <c r="R487" s="18"/>
      <c r="S487" s="18"/>
      <c r="T487" s="18"/>
      <c r="U487" s="18"/>
      <c r="V487" s="18"/>
      <c r="W487" s="18"/>
      <c r="X487" s="18"/>
      <c r="Y487" s="18"/>
      <c r="Z487" s="18"/>
    </row>
    <row r="488" spans="1:26" s="20" customFormat="1" x14ac:dyDescent="0.2">
      <c r="A488" s="18"/>
      <c r="B488" s="18"/>
      <c r="C488" s="18"/>
      <c r="D488" s="18"/>
      <c r="E488" s="18"/>
      <c r="F488" s="18"/>
      <c r="G488" s="18"/>
      <c r="H488" s="18"/>
      <c r="I488" s="18"/>
      <c r="J488" s="18"/>
      <c r="K488" s="18"/>
      <c r="L488" s="18"/>
      <c r="M488" s="18"/>
      <c r="N488" s="18"/>
      <c r="O488" s="18"/>
      <c r="P488" s="18"/>
      <c r="Q488" s="18"/>
      <c r="R488" s="18"/>
      <c r="S488" s="18"/>
      <c r="T488" s="18"/>
      <c r="U488" s="18"/>
      <c r="V488" s="18"/>
      <c r="W488" s="18"/>
      <c r="X488" s="18"/>
      <c r="Y488" s="18"/>
      <c r="Z488" s="18"/>
    </row>
    <row r="489" spans="1:26" s="20" customFormat="1" x14ac:dyDescent="0.2">
      <c r="A489" s="18"/>
      <c r="B489" s="18"/>
      <c r="C489" s="18"/>
      <c r="D489" s="18"/>
      <c r="E489" s="18"/>
      <c r="F489" s="18"/>
      <c r="G489" s="18"/>
      <c r="H489" s="18"/>
      <c r="I489" s="18"/>
      <c r="J489" s="18"/>
      <c r="K489" s="18"/>
      <c r="L489" s="18"/>
      <c r="M489" s="18"/>
      <c r="N489" s="18"/>
      <c r="O489" s="18"/>
      <c r="P489" s="18"/>
      <c r="Q489" s="18"/>
      <c r="R489" s="18"/>
      <c r="S489" s="18"/>
      <c r="T489" s="18"/>
      <c r="U489" s="18"/>
      <c r="V489" s="18"/>
      <c r="W489" s="18"/>
      <c r="X489" s="18"/>
      <c r="Y489" s="18"/>
      <c r="Z489" s="18"/>
    </row>
    <row r="490" spans="1:26" s="20" customFormat="1" x14ac:dyDescent="0.2">
      <c r="A490" s="18"/>
      <c r="B490" s="18"/>
      <c r="C490" s="18"/>
      <c r="D490" s="18"/>
      <c r="E490" s="18"/>
      <c r="F490" s="18"/>
      <c r="G490" s="18"/>
      <c r="H490" s="18"/>
      <c r="I490" s="18"/>
      <c r="J490" s="18"/>
      <c r="K490" s="18"/>
      <c r="L490" s="18"/>
      <c r="M490" s="18"/>
      <c r="N490" s="18"/>
      <c r="O490" s="18"/>
      <c r="P490" s="18"/>
      <c r="Q490" s="18"/>
      <c r="R490" s="18"/>
      <c r="S490" s="18"/>
      <c r="T490" s="18"/>
      <c r="U490" s="18"/>
      <c r="V490" s="18"/>
      <c r="W490" s="18"/>
      <c r="X490" s="18"/>
      <c r="Y490" s="18"/>
      <c r="Z490" s="18"/>
    </row>
    <row r="491" spans="1:26" s="20" customFormat="1" x14ac:dyDescent="0.2">
      <c r="A491" s="18"/>
      <c r="B491" s="18"/>
      <c r="C491" s="18"/>
      <c r="D491" s="18"/>
      <c r="E491" s="18"/>
      <c r="F491" s="18"/>
      <c r="G491" s="18"/>
      <c r="H491" s="18"/>
      <c r="I491" s="18"/>
      <c r="J491" s="18"/>
      <c r="K491" s="18"/>
      <c r="L491" s="18"/>
      <c r="M491" s="18"/>
      <c r="N491" s="18"/>
      <c r="O491" s="18"/>
      <c r="P491" s="18"/>
      <c r="Q491" s="18"/>
      <c r="R491" s="18"/>
      <c r="S491" s="18"/>
      <c r="T491" s="18"/>
      <c r="U491" s="18"/>
      <c r="V491" s="18"/>
      <c r="W491" s="18"/>
      <c r="X491" s="18"/>
      <c r="Y491" s="18"/>
      <c r="Z491" s="18"/>
    </row>
    <row r="492" spans="1:26" s="20" customFormat="1" x14ac:dyDescent="0.2">
      <c r="A492" s="18"/>
      <c r="B492" s="18"/>
      <c r="C492" s="18"/>
      <c r="D492" s="18"/>
      <c r="E492" s="18"/>
      <c r="F492" s="18"/>
      <c r="G492" s="18"/>
      <c r="H492" s="18"/>
      <c r="I492" s="18"/>
      <c r="J492" s="18"/>
      <c r="K492" s="18"/>
      <c r="L492" s="18"/>
      <c r="M492" s="18"/>
      <c r="N492" s="18"/>
      <c r="O492" s="18"/>
      <c r="P492" s="18"/>
      <c r="Q492" s="18"/>
      <c r="R492" s="18"/>
      <c r="S492" s="18"/>
      <c r="T492" s="18"/>
      <c r="U492" s="18"/>
      <c r="V492" s="18"/>
      <c r="W492" s="18"/>
      <c r="X492" s="18"/>
      <c r="Y492" s="18"/>
      <c r="Z492" s="18"/>
    </row>
    <row r="493" spans="1:26" s="20" customFormat="1" x14ac:dyDescent="0.2">
      <c r="A493" s="18"/>
      <c r="B493" s="18"/>
      <c r="C493" s="18"/>
      <c r="D493" s="18"/>
      <c r="E493" s="18"/>
      <c r="F493" s="18"/>
      <c r="G493" s="18"/>
      <c r="H493" s="18"/>
      <c r="I493" s="18"/>
      <c r="J493" s="18"/>
      <c r="K493" s="18"/>
      <c r="L493" s="18"/>
      <c r="M493" s="18"/>
      <c r="N493" s="18"/>
      <c r="O493" s="18"/>
      <c r="P493" s="18"/>
      <c r="Q493" s="18"/>
      <c r="R493" s="18"/>
      <c r="S493" s="18"/>
      <c r="T493" s="18"/>
      <c r="U493" s="18"/>
      <c r="V493" s="18"/>
      <c r="W493" s="18"/>
      <c r="X493" s="18"/>
      <c r="Y493" s="18"/>
      <c r="Z493" s="18"/>
    </row>
    <row r="494" spans="1:26" s="20" customFormat="1" x14ac:dyDescent="0.2">
      <c r="A494" s="18"/>
      <c r="B494" s="18"/>
      <c r="C494" s="18"/>
      <c r="D494" s="18"/>
      <c r="E494" s="18"/>
      <c r="F494" s="18"/>
      <c r="G494" s="18"/>
      <c r="H494" s="18"/>
      <c r="I494" s="18"/>
      <c r="J494" s="18"/>
      <c r="K494" s="18"/>
      <c r="L494" s="18"/>
      <c r="M494" s="18"/>
      <c r="N494" s="18"/>
      <c r="O494" s="18"/>
      <c r="P494" s="18"/>
      <c r="Q494" s="18"/>
      <c r="R494" s="18"/>
      <c r="S494" s="18"/>
      <c r="T494" s="18"/>
      <c r="U494" s="18"/>
      <c r="V494" s="18"/>
      <c r="W494" s="18"/>
      <c r="X494" s="18"/>
      <c r="Y494" s="18"/>
      <c r="Z494" s="18"/>
    </row>
    <row r="495" spans="1:26" s="20" customFormat="1" x14ac:dyDescent="0.2">
      <c r="A495" s="18"/>
      <c r="B495" s="18"/>
      <c r="C495" s="18"/>
      <c r="D495" s="18"/>
      <c r="E495" s="18"/>
      <c r="F495" s="18"/>
      <c r="G495" s="18"/>
      <c r="H495" s="18"/>
      <c r="I495" s="18"/>
      <c r="J495" s="18"/>
      <c r="K495" s="18"/>
      <c r="L495" s="18"/>
      <c r="M495" s="18"/>
      <c r="N495" s="18"/>
      <c r="O495" s="18"/>
      <c r="P495" s="18"/>
      <c r="Q495" s="18"/>
      <c r="R495" s="18"/>
      <c r="S495" s="18"/>
      <c r="T495" s="18"/>
      <c r="U495" s="18"/>
      <c r="V495" s="18"/>
      <c r="W495" s="18"/>
      <c r="X495" s="18"/>
      <c r="Y495" s="18"/>
      <c r="Z495" s="18"/>
    </row>
    <row r="496" spans="1:26" s="20" customFormat="1" x14ac:dyDescent="0.2">
      <c r="A496" s="18"/>
      <c r="B496" s="18"/>
      <c r="C496" s="18"/>
      <c r="D496" s="18"/>
      <c r="E496" s="18"/>
      <c r="F496" s="18"/>
      <c r="G496" s="18"/>
      <c r="H496" s="18"/>
      <c r="I496" s="18"/>
      <c r="J496" s="18"/>
      <c r="K496" s="18"/>
      <c r="L496" s="18"/>
      <c r="M496" s="18"/>
      <c r="N496" s="18"/>
      <c r="O496" s="18"/>
      <c r="P496" s="18"/>
      <c r="Q496" s="18"/>
      <c r="R496" s="18"/>
      <c r="S496" s="18"/>
      <c r="T496" s="18"/>
      <c r="U496" s="18"/>
      <c r="V496" s="18"/>
      <c r="W496" s="18"/>
      <c r="X496" s="18"/>
      <c r="Y496" s="18"/>
      <c r="Z496" s="18"/>
    </row>
    <row r="497" spans="1:26" s="20" customFormat="1" x14ac:dyDescent="0.2">
      <c r="A497" s="18"/>
      <c r="B497" s="18"/>
      <c r="C497" s="18"/>
      <c r="D497" s="18"/>
      <c r="E497" s="18"/>
      <c r="F497" s="18"/>
      <c r="G497" s="18"/>
      <c r="H497" s="18"/>
      <c r="I497" s="18"/>
      <c r="J497" s="18"/>
      <c r="K497" s="18"/>
      <c r="L497" s="18"/>
      <c r="M497" s="18"/>
      <c r="N497" s="18"/>
      <c r="O497" s="18"/>
      <c r="P497" s="18"/>
      <c r="Q497" s="18"/>
      <c r="R497" s="18"/>
      <c r="S497" s="18"/>
      <c r="T497" s="18"/>
      <c r="U497" s="18"/>
      <c r="V497" s="18"/>
      <c r="W497" s="18"/>
      <c r="X497" s="18"/>
      <c r="Y497" s="18"/>
      <c r="Z497" s="18"/>
    </row>
    <row r="498" spans="1:26" s="20" customFormat="1" x14ac:dyDescent="0.2">
      <c r="A498" s="18"/>
      <c r="B498" s="18"/>
      <c r="C498" s="18"/>
      <c r="D498" s="18"/>
      <c r="E498" s="18"/>
      <c r="F498" s="18"/>
      <c r="G498" s="18"/>
      <c r="H498" s="18"/>
      <c r="I498" s="18"/>
      <c r="J498" s="18"/>
      <c r="K498" s="18"/>
      <c r="L498" s="18"/>
      <c r="M498" s="18"/>
      <c r="N498" s="18"/>
      <c r="O498" s="18"/>
      <c r="P498" s="18"/>
      <c r="Q498" s="18"/>
      <c r="R498" s="18"/>
      <c r="S498" s="18"/>
      <c r="T498" s="18"/>
      <c r="U498" s="18"/>
      <c r="V498" s="18"/>
      <c r="W498" s="18"/>
      <c r="X498" s="18"/>
      <c r="Y498" s="18"/>
      <c r="Z498" s="18"/>
    </row>
    <row r="499" spans="1:26" s="20" customFormat="1" x14ac:dyDescent="0.2">
      <c r="A499" s="18"/>
      <c r="B499" s="18"/>
      <c r="C499" s="18"/>
      <c r="D499" s="18"/>
      <c r="E499" s="18"/>
      <c r="F499" s="18"/>
      <c r="G499" s="18"/>
      <c r="H499" s="18"/>
      <c r="I499" s="18"/>
      <c r="J499" s="18"/>
      <c r="K499" s="18"/>
      <c r="L499" s="18"/>
      <c r="M499" s="18"/>
      <c r="N499" s="18"/>
      <c r="O499" s="18"/>
      <c r="P499" s="18"/>
      <c r="Q499" s="18"/>
      <c r="R499" s="18"/>
      <c r="S499" s="18"/>
      <c r="T499" s="18"/>
      <c r="U499" s="18"/>
      <c r="V499" s="18"/>
      <c r="W499" s="18"/>
      <c r="X499" s="18"/>
      <c r="Y499" s="18"/>
      <c r="Z499" s="18"/>
    </row>
    <row r="500" spans="1:26" s="20" customFormat="1" x14ac:dyDescent="0.2">
      <c r="A500" s="18"/>
      <c r="B500" s="18"/>
      <c r="C500" s="18"/>
      <c r="D500" s="18"/>
      <c r="E500" s="18"/>
      <c r="F500" s="18"/>
      <c r="G500" s="18"/>
      <c r="H500" s="18"/>
      <c r="I500" s="18"/>
      <c r="J500" s="18"/>
      <c r="K500" s="18"/>
      <c r="L500" s="18"/>
      <c r="M500" s="18"/>
      <c r="N500" s="18"/>
      <c r="O500" s="18"/>
      <c r="P500" s="18"/>
      <c r="Q500" s="18"/>
      <c r="R500" s="18"/>
      <c r="S500" s="18"/>
      <c r="T500" s="18"/>
      <c r="U500" s="18"/>
      <c r="V500" s="18"/>
      <c r="W500" s="18"/>
      <c r="X500" s="18"/>
      <c r="Y500" s="18"/>
      <c r="Z500" s="18"/>
    </row>
    <row r="501" spans="1:26" s="20" customFormat="1" x14ac:dyDescent="0.2">
      <c r="A501" s="18"/>
      <c r="B501" s="18"/>
      <c r="C501" s="18"/>
      <c r="D501" s="18"/>
      <c r="E501" s="18"/>
      <c r="F501" s="18"/>
      <c r="G501" s="18"/>
      <c r="H501" s="18"/>
      <c r="I501" s="18"/>
      <c r="J501" s="18"/>
      <c r="K501" s="18"/>
      <c r="L501" s="18"/>
      <c r="M501" s="18"/>
      <c r="N501" s="18"/>
      <c r="O501" s="18"/>
      <c r="P501" s="18"/>
      <c r="Q501" s="18"/>
      <c r="R501" s="18"/>
      <c r="S501" s="18"/>
      <c r="T501" s="18"/>
      <c r="U501" s="18"/>
      <c r="V501" s="18"/>
      <c r="W501" s="18"/>
      <c r="X501" s="18"/>
      <c r="Y501" s="18"/>
      <c r="Z501" s="18"/>
    </row>
    <row r="502" spans="1:26" s="20" customFormat="1" x14ac:dyDescent="0.2">
      <c r="A502" s="18"/>
      <c r="B502" s="18"/>
      <c r="C502" s="18"/>
      <c r="D502" s="18"/>
      <c r="E502" s="18"/>
      <c r="F502" s="18"/>
      <c r="G502" s="18"/>
      <c r="H502" s="18"/>
      <c r="I502" s="18"/>
      <c r="J502" s="18"/>
      <c r="K502" s="18"/>
      <c r="L502" s="18"/>
      <c r="M502" s="18"/>
      <c r="N502" s="18"/>
      <c r="O502" s="18"/>
      <c r="P502" s="18"/>
      <c r="Q502" s="18"/>
      <c r="R502" s="18"/>
      <c r="S502" s="18"/>
      <c r="T502" s="18"/>
      <c r="U502" s="18"/>
      <c r="V502" s="18"/>
      <c r="W502" s="18"/>
      <c r="X502" s="18"/>
      <c r="Y502" s="18"/>
      <c r="Z502" s="18"/>
    </row>
    <row r="503" spans="1:26" s="20" customFormat="1" x14ac:dyDescent="0.2">
      <c r="A503" s="18"/>
      <c r="B503" s="18"/>
      <c r="C503" s="18"/>
      <c r="D503" s="18"/>
      <c r="E503" s="18"/>
      <c r="F503" s="18"/>
      <c r="G503" s="18"/>
      <c r="H503" s="18"/>
      <c r="I503" s="18"/>
      <c r="J503" s="18"/>
      <c r="K503" s="18"/>
      <c r="L503" s="18"/>
      <c r="M503" s="18"/>
      <c r="N503" s="18"/>
      <c r="O503" s="18"/>
      <c r="P503" s="18"/>
      <c r="Q503" s="18"/>
      <c r="R503" s="18"/>
      <c r="S503" s="18"/>
      <c r="T503" s="18"/>
      <c r="U503" s="18"/>
      <c r="V503" s="18"/>
      <c r="W503" s="18"/>
      <c r="X503" s="18"/>
      <c r="Y503" s="18"/>
      <c r="Z503" s="18"/>
    </row>
    <row r="504" spans="1:26" s="20" customFormat="1" x14ac:dyDescent="0.2">
      <c r="A504" s="18"/>
      <c r="B504" s="18"/>
      <c r="C504" s="18"/>
      <c r="D504" s="18"/>
      <c r="E504" s="18"/>
      <c r="F504" s="18"/>
      <c r="G504" s="18"/>
      <c r="H504" s="18"/>
      <c r="I504" s="18"/>
      <c r="J504" s="18"/>
      <c r="K504" s="18"/>
      <c r="L504" s="18"/>
      <c r="M504" s="18"/>
      <c r="N504" s="18"/>
      <c r="O504" s="18"/>
      <c r="P504" s="18"/>
      <c r="Q504" s="18"/>
      <c r="R504" s="18"/>
      <c r="S504" s="18"/>
      <c r="T504" s="18"/>
      <c r="U504" s="18"/>
      <c r="V504" s="18"/>
      <c r="W504" s="18"/>
      <c r="X504" s="18"/>
      <c r="Y504" s="18"/>
      <c r="Z504" s="18"/>
    </row>
    <row r="505" spans="1:26" s="20" customFormat="1" x14ac:dyDescent="0.2">
      <c r="A505" s="18"/>
      <c r="B505" s="18"/>
      <c r="C505" s="18"/>
      <c r="D505" s="18"/>
      <c r="E505" s="18"/>
      <c r="F505" s="18"/>
      <c r="G505" s="18"/>
      <c r="H505" s="18"/>
      <c r="I505" s="18"/>
      <c r="J505" s="18"/>
      <c r="K505" s="18"/>
      <c r="L505" s="18"/>
      <c r="M505" s="18"/>
      <c r="N505" s="18"/>
      <c r="O505" s="18"/>
      <c r="P505" s="18"/>
      <c r="Q505" s="18"/>
      <c r="R505" s="18"/>
      <c r="S505" s="18"/>
      <c r="T505" s="18"/>
      <c r="U505" s="18"/>
      <c r="V505" s="18"/>
      <c r="W505" s="18"/>
      <c r="X505" s="18"/>
      <c r="Y505" s="18"/>
      <c r="Z505" s="18"/>
    </row>
    <row r="506" spans="1:26" s="20" customFormat="1" x14ac:dyDescent="0.2">
      <c r="A506" s="18"/>
      <c r="B506" s="18"/>
      <c r="C506" s="18"/>
      <c r="D506" s="18"/>
      <c r="E506" s="18"/>
      <c r="F506" s="18"/>
      <c r="G506" s="18"/>
      <c r="H506" s="18"/>
      <c r="I506" s="18"/>
      <c r="J506" s="18"/>
      <c r="K506" s="18"/>
      <c r="L506" s="18"/>
      <c r="M506" s="18"/>
      <c r="N506" s="18"/>
      <c r="O506" s="18"/>
      <c r="P506" s="18"/>
      <c r="Q506" s="18"/>
      <c r="R506" s="18"/>
      <c r="S506" s="18"/>
      <c r="T506" s="18"/>
      <c r="U506" s="18"/>
      <c r="V506" s="18"/>
      <c r="W506" s="18"/>
      <c r="X506" s="18"/>
      <c r="Y506" s="18"/>
      <c r="Z506" s="18"/>
    </row>
    <row r="507" spans="1:26" s="20" customFormat="1" x14ac:dyDescent="0.2">
      <c r="A507" s="18"/>
      <c r="B507" s="18"/>
      <c r="C507" s="18"/>
      <c r="D507" s="18"/>
      <c r="E507" s="18"/>
      <c r="F507" s="18"/>
      <c r="G507" s="18"/>
      <c r="H507" s="18"/>
      <c r="I507" s="18"/>
      <c r="J507" s="18"/>
      <c r="K507" s="18"/>
      <c r="L507" s="18"/>
      <c r="M507" s="18"/>
      <c r="N507" s="18"/>
      <c r="O507" s="18"/>
      <c r="P507" s="18"/>
      <c r="Q507" s="18"/>
      <c r="R507" s="18"/>
      <c r="S507" s="18"/>
      <c r="T507" s="18"/>
      <c r="U507" s="18"/>
      <c r="V507" s="18"/>
      <c r="W507" s="18"/>
      <c r="X507" s="18"/>
      <c r="Y507" s="18"/>
      <c r="Z507" s="18"/>
    </row>
    <row r="508" spans="1:26" s="20" customFormat="1" x14ac:dyDescent="0.2">
      <c r="A508" s="18"/>
      <c r="B508" s="18"/>
      <c r="C508" s="18"/>
      <c r="D508" s="18"/>
      <c r="E508" s="18"/>
      <c r="F508" s="18"/>
      <c r="G508" s="18"/>
      <c r="H508" s="18"/>
      <c r="I508" s="18"/>
      <c r="J508" s="18"/>
      <c r="K508" s="18"/>
      <c r="L508" s="18"/>
      <c r="M508" s="18"/>
      <c r="N508" s="18"/>
      <c r="O508" s="18"/>
      <c r="P508" s="18"/>
      <c r="Q508" s="18"/>
      <c r="R508" s="18"/>
      <c r="S508" s="18"/>
      <c r="T508" s="18"/>
      <c r="U508" s="18"/>
      <c r="V508" s="18"/>
      <c r="W508" s="18"/>
      <c r="X508" s="18"/>
      <c r="Y508" s="18"/>
      <c r="Z508" s="18"/>
    </row>
    <row r="509" spans="1:26" s="20" customFormat="1" x14ac:dyDescent="0.2">
      <c r="A509" s="18"/>
      <c r="B509" s="18"/>
      <c r="C509" s="18"/>
      <c r="D509" s="18"/>
      <c r="E509" s="18"/>
      <c r="F509" s="18"/>
      <c r="G509" s="18"/>
      <c r="H509" s="18"/>
      <c r="I509" s="18"/>
      <c r="J509" s="18"/>
      <c r="K509" s="18"/>
      <c r="L509" s="18"/>
      <c r="M509" s="18"/>
      <c r="N509" s="18"/>
      <c r="O509" s="18"/>
      <c r="P509" s="18"/>
      <c r="Q509" s="18"/>
      <c r="R509" s="18"/>
      <c r="S509" s="18"/>
      <c r="T509" s="18"/>
      <c r="U509" s="18"/>
      <c r="V509" s="18"/>
      <c r="W509" s="18"/>
      <c r="X509" s="18"/>
      <c r="Y509" s="18"/>
      <c r="Z509" s="18"/>
    </row>
    <row r="510" spans="1:26" s="20" customFormat="1" x14ac:dyDescent="0.2">
      <c r="A510" s="18"/>
      <c r="B510" s="18"/>
      <c r="C510" s="18"/>
      <c r="D510" s="18"/>
      <c r="E510" s="18"/>
      <c r="F510" s="18"/>
      <c r="G510" s="18"/>
      <c r="H510" s="18"/>
      <c r="I510" s="18"/>
      <c r="J510" s="18"/>
      <c r="K510" s="18"/>
      <c r="L510" s="18"/>
      <c r="M510" s="18"/>
      <c r="N510" s="18"/>
      <c r="O510" s="18"/>
      <c r="P510" s="18"/>
      <c r="Q510" s="18"/>
      <c r="R510" s="18"/>
      <c r="S510" s="18"/>
      <c r="T510" s="18"/>
      <c r="U510" s="18"/>
      <c r="V510" s="18"/>
      <c r="W510" s="18"/>
      <c r="X510" s="18"/>
      <c r="Y510" s="18"/>
      <c r="Z510" s="18"/>
    </row>
    <row r="511" spans="1:26" s="20" customFormat="1" x14ac:dyDescent="0.2">
      <c r="A511" s="18"/>
      <c r="B511" s="18"/>
      <c r="C511" s="18"/>
      <c r="D511" s="18"/>
      <c r="E511" s="18"/>
      <c r="F511" s="18"/>
      <c r="G511" s="18"/>
      <c r="H511" s="18"/>
      <c r="I511" s="18"/>
      <c r="J511" s="18"/>
      <c r="K511" s="18"/>
      <c r="L511" s="18"/>
      <c r="M511" s="18"/>
      <c r="N511" s="18"/>
      <c r="O511" s="18"/>
      <c r="P511" s="18"/>
      <c r="Q511" s="18"/>
      <c r="R511" s="18"/>
      <c r="S511" s="18"/>
      <c r="T511" s="18"/>
      <c r="U511" s="18"/>
      <c r="V511" s="18"/>
      <c r="W511" s="18"/>
      <c r="X511" s="18"/>
      <c r="Y511" s="18"/>
      <c r="Z511" s="18"/>
    </row>
    <row r="512" spans="1:26" s="20" customFormat="1" x14ac:dyDescent="0.2">
      <c r="A512" s="18"/>
      <c r="B512" s="18"/>
      <c r="C512" s="18"/>
      <c r="D512" s="18"/>
      <c r="E512" s="18"/>
      <c r="F512" s="18"/>
      <c r="G512" s="18"/>
      <c r="H512" s="18"/>
      <c r="I512" s="18"/>
      <c r="J512" s="18"/>
      <c r="K512" s="18"/>
      <c r="L512" s="18"/>
      <c r="M512" s="18"/>
      <c r="N512" s="18"/>
      <c r="O512" s="18"/>
      <c r="P512" s="18"/>
      <c r="Q512" s="18"/>
      <c r="R512" s="18"/>
      <c r="S512" s="18"/>
      <c r="T512" s="18"/>
      <c r="U512" s="18"/>
      <c r="V512" s="18"/>
      <c r="W512" s="18"/>
      <c r="X512" s="18"/>
      <c r="Y512" s="18"/>
      <c r="Z512" s="18"/>
    </row>
    <row r="513" spans="1:26" s="20" customFormat="1" x14ac:dyDescent="0.2">
      <c r="A513" s="18"/>
      <c r="B513" s="18"/>
      <c r="C513" s="18"/>
      <c r="D513" s="18"/>
      <c r="E513" s="18"/>
      <c r="F513" s="18"/>
      <c r="G513" s="18"/>
      <c r="H513" s="18"/>
      <c r="I513" s="18"/>
      <c r="J513" s="18"/>
      <c r="K513" s="18"/>
      <c r="L513" s="18"/>
      <c r="M513" s="18"/>
      <c r="N513" s="18"/>
      <c r="O513" s="18"/>
      <c r="P513" s="18"/>
      <c r="Q513" s="18"/>
      <c r="R513" s="18"/>
      <c r="S513" s="18"/>
      <c r="T513" s="18"/>
      <c r="U513" s="18"/>
      <c r="V513" s="18"/>
      <c r="W513" s="18"/>
      <c r="X513" s="18"/>
      <c r="Y513" s="18"/>
      <c r="Z513" s="18"/>
    </row>
    <row r="514" spans="1:26" s="20" customFormat="1" x14ac:dyDescent="0.2">
      <c r="A514" s="18"/>
      <c r="B514" s="18"/>
      <c r="C514" s="18"/>
      <c r="D514" s="18"/>
      <c r="E514" s="18"/>
      <c r="F514" s="18"/>
      <c r="G514" s="18"/>
      <c r="H514" s="18"/>
      <c r="I514" s="18"/>
      <c r="J514" s="18"/>
      <c r="K514" s="18"/>
      <c r="L514" s="18"/>
      <c r="M514" s="18"/>
      <c r="N514" s="18"/>
      <c r="O514" s="18"/>
      <c r="P514" s="18"/>
      <c r="Q514" s="18"/>
      <c r="R514" s="18"/>
      <c r="S514" s="18"/>
      <c r="T514" s="18"/>
      <c r="U514" s="18"/>
      <c r="V514" s="18"/>
      <c r="W514" s="18"/>
      <c r="X514" s="18"/>
      <c r="Y514" s="18"/>
      <c r="Z514" s="18"/>
    </row>
    <row r="515" spans="1:26" s="20" customFormat="1" x14ac:dyDescent="0.2">
      <c r="A515" s="18"/>
      <c r="B515" s="18"/>
      <c r="C515" s="18"/>
      <c r="D515" s="18"/>
      <c r="E515" s="18"/>
      <c r="F515" s="18"/>
      <c r="G515" s="18"/>
      <c r="H515" s="18"/>
      <c r="I515" s="18"/>
      <c r="J515" s="18"/>
      <c r="K515" s="18"/>
      <c r="L515" s="18"/>
      <c r="M515" s="18"/>
      <c r="N515" s="18"/>
      <c r="O515" s="18"/>
      <c r="P515" s="18"/>
      <c r="Q515" s="18"/>
      <c r="R515" s="18"/>
      <c r="S515" s="18"/>
      <c r="T515" s="18"/>
      <c r="U515" s="18"/>
      <c r="V515" s="18"/>
      <c r="W515" s="18"/>
      <c r="X515" s="18"/>
      <c r="Y515" s="18"/>
      <c r="Z515" s="18"/>
    </row>
    <row r="516" spans="1:26" s="20" customFormat="1" x14ac:dyDescent="0.2">
      <c r="A516" s="18"/>
      <c r="B516" s="18"/>
      <c r="C516" s="18"/>
      <c r="D516" s="18"/>
      <c r="E516" s="18"/>
      <c r="F516" s="18"/>
      <c r="G516" s="18"/>
      <c r="H516" s="18"/>
      <c r="I516" s="18"/>
      <c r="J516" s="18"/>
      <c r="K516" s="18"/>
      <c r="L516" s="18"/>
      <c r="M516" s="18"/>
      <c r="N516" s="18"/>
      <c r="O516" s="18"/>
      <c r="P516" s="18"/>
      <c r="Q516" s="18"/>
      <c r="R516" s="18"/>
      <c r="S516" s="18"/>
      <c r="T516" s="18"/>
      <c r="U516" s="18"/>
      <c r="V516" s="18"/>
      <c r="W516" s="18"/>
      <c r="X516" s="18"/>
      <c r="Y516" s="18"/>
      <c r="Z516" s="18"/>
    </row>
    <row r="517" spans="1:26" s="20" customFormat="1" x14ac:dyDescent="0.2">
      <c r="A517" s="18"/>
      <c r="B517" s="18"/>
      <c r="C517" s="18"/>
      <c r="D517" s="18"/>
      <c r="E517" s="18"/>
      <c r="F517" s="18"/>
      <c r="G517" s="18"/>
      <c r="H517" s="18"/>
      <c r="I517" s="18"/>
      <c r="J517" s="18"/>
      <c r="K517" s="18"/>
      <c r="L517" s="18"/>
      <c r="M517" s="18"/>
      <c r="N517" s="18"/>
      <c r="O517" s="18"/>
      <c r="P517" s="18"/>
      <c r="Q517" s="18"/>
      <c r="R517" s="18"/>
      <c r="S517" s="18"/>
      <c r="T517" s="18"/>
      <c r="U517" s="18"/>
      <c r="V517" s="18"/>
      <c r="W517" s="18"/>
      <c r="X517" s="18"/>
      <c r="Y517" s="18"/>
      <c r="Z517" s="18"/>
    </row>
    <row r="518" spans="1:26" s="20" customFormat="1" x14ac:dyDescent="0.2">
      <c r="A518" s="18"/>
      <c r="B518" s="18"/>
      <c r="C518" s="18"/>
      <c r="D518" s="18"/>
      <c r="E518" s="18"/>
      <c r="F518" s="18"/>
      <c r="G518" s="18"/>
      <c r="H518" s="18"/>
      <c r="I518" s="18"/>
      <c r="J518" s="18"/>
      <c r="K518" s="18"/>
      <c r="L518" s="18"/>
      <c r="M518" s="18"/>
      <c r="N518" s="18"/>
      <c r="O518" s="18"/>
      <c r="P518" s="18"/>
      <c r="Q518" s="18"/>
      <c r="R518" s="18"/>
      <c r="S518" s="18"/>
      <c r="T518" s="18"/>
      <c r="U518" s="18"/>
      <c r="V518" s="18"/>
      <c r="W518" s="18"/>
      <c r="X518" s="18"/>
      <c r="Y518" s="18"/>
      <c r="Z518" s="18"/>
    </row>
    <row r="519" spans="1:26" s="20" customFormat="1" x14ac:dyDescent="0.2">
      <c r="A519" s="18"/>
      <c r="B519" s="18"/>
      <c r="C519" s="18"/>
      <c r="D519" s="18"/>
      <c r="E519" s="18"/>
      <c r="F519" s="18"/>
      <c r="G519" s="18"/>
      <c r="H519" s="18"/>
      <c r="I519" s="18"/>
      <c r="J519" s="18"/>
      <c r="K519" s="18"/>
      <c r="L519" s="18"/>
      <c r="M519" s="18"/>
      <c r="N519" s="18"/>
      <c r="O519" s="18"/>
      <c r="P519" s="18"/>
      <c r="Q519" s="18"/>
      <c r="R519" s="18"/>
      <c r="S519" s="18"/>
      <c r="T519" s="18"/>
      <c r="U519" s="18"/>
      <c r="V519" s="18"/>
      <c r="W519" s="18"/>
      <c r="X519" s="18"/>
      <c r="Y519" s="18"/>
      <c r="Z519" s="18"/>
    </row>
    <row r="520" spans="1:26" s="20" customFormat="1" x14ac:dyDescent="0.2">
      <c r="A520" s="18"/>
      <c r="B520" s="18"/>
      <c r="C520" s="18"/>
      <c r="D520" s="18"/>
      <c r="E520" s="18"/>
      <c r="F520" s="18"/>
      <c r="G520" s="18"/>
      <c r="H520" s="18"/>
      <c r="I520" s="18"/>
      <c r="J520" s="18"/>
      <c r="K520" s="18"/>
      <c r="L520" s="18"/>
      <c r="M520" s="18"/>
      <c r="N520" s="18"/>
      <c r="O520" s="18"/>
      <c r="P520" s="18"/>
      <c r="Q520" s="18"/>
      <c r="R520" s="18"/>
      <c r="S520" s="18"/>
      <c r="T520" s="18"/>
      <c r="U520" s="18"/>
      <c r="V520" s="18"/>
      <c r="W520" s="18"/>
      <c r="X520" s="18"/>
      <c r="Y520" s="18"/>
      <c r="Z520" s="18"/>
    </row>
    <row r="521" spans="1:26" s="20" customFormat="1" x14ac:dyDescent="0.2">
      <c r="A521" s="18"/>
      <c r="B521" s="18"/>
      <c r="C521" s="18"/>
      <c r="D521" s="18"/>
      <c r="E521" s="18"/>
      <c r="F521" s="18"/>
      <c r="G521" s="18"/>
      <c r="H521" s="18"/>
      <c r="I521" s="18"/>
      <c r="J521" s="18"/>
      <c r="K521" s="18"/>
      <c r="L521" s="18"/>
      <c r="M521" s="18"/>
      <c r="N521" s="18"/>
      <c r="O521" s="18"/>
      <c r="P521" s="18"/>
      <c r="Q521" s="18"/>
      <c r="R521" s="18"/>
      <c r="S521" s="18"/>
      <c r="T521" s="18"/>
      <c r="U521" s="18"/>
      <c r="V521" s="18"/>
      <c r="W521" s="18"/>
      <c r="X521" s="18"/>
      <c r="Y521" s="18"/>
      <c r="Z521" s="18"/>
    </row>
    <row r="522" spans="1:26" s="20" customFormat="1" x14ac:dyDescent="0.2">
      <c r="A522" s="18"/>
      <c r="B522" s="18"/>
      <c r="C522" s="18"/>
      <c r="D522" s="18"/>
      <c r="E522" s="18"/>
      <c r="F522" s="18"/>
      <c r="G522" s="18"/>
      <c r="H522" s="18"/>
      <c r="I522" s="18"/>
      <c r="J522" s="18"/>
      <c r="K522" s="18"/>
      <c r="L522" s="18"/>
      <c r="M522" s="18"/>
      <c r="N522" s="18"/>
      <c r="O522" s="18"/>
      <c r="P522" s="18"/>
      <c r="Q522" s="18"/>
      <c r="R522" s="18"/>
      <c r="S522" s="18"/>
      <c r="T522" s="18"/>
      <c r="U522" s="18"/>
      <c r="V522" s="18"/>
      <c r="W522" s="18"/>
      <c r="X522" s="18"/>
      <c r="Y522" s="18"/>
      <c r="Z522" s="18"/>
    </row>
    <row r="523" spans="1:26" s="20" customFormat="1" x14ac:dyDescent="0.2">
      <c r="A523" s="18"/>
      <c r="B523" s="18"/>
      <c r="C523" s="18"/>
      <c r="D523" s="18"/>
      <c r="E523" s="18"/>
      <c r="F523" s="18"/>
      <c r="G523" s="18"/>
      <c r="H523" s="18"/>
      <c r="I523" s="18"/>
      <c r="J523" s="18"/>
      <c r="K523" s="18"/>
      <c r="L523" s="18"/>
      <c r="M523" s="18"/>
      <c r="N523" s="18"/>
      <c r="O523" s="18"/>
      <c r="P523" s="18"/>
      <c r="Q523" s="18"/>
      <c r="R523" s="18"/>
      <c r="S523" s="18"/>
      <c r="T523" s="18"/>
      <c r="U523" s="18"/>
      <c r="V523" s="18"/>
      <c r="W523" s="18"/>
      <c r="X523" s="18"/>
      <c r="Y523" s="18"/>
      <c r="Z523" s="18"/>
    </row>
    <row r="524" spans="1:26" s="20" customFormat="1" x14ac:dyDescent="0.2">
      <c r="A524" s="18"/>
      <c r="B524" s="18"/>
      <c r="C524" s="18"/>
      <c r="D524" s="18"/>
      <c r="E524" s="18"/>
      <c r="F524" s="18"/>
      <c r="G524" s="18"/>
      <c r="H524" s="18"/>
      <c r="I524" s="18"/>
      <c r="J524" s="18"/>
      <c r="K524" s="18"/>
      <c r="L524" s="18"/>
      <c r="M524" s="18"/>
      <c r="N524" s="18"/>
      <c r="O524" s="18"/>
      <c r="P524" s="18"/>
      <c r="Q524" s="18"/>
      <c r="R524" s="18"/>
      <c r="S524" s="18"/>
      <c r="T524" s="18"/>
      <c r="U524" s="18"/>
      <c r="V524" s="18"/>
      <c r="W524" s="18"/>
      <c r="X524" s="18"/>
      <c r="Y524" s="18"/>
      <c r="Z524" s="18"/>
    </row>
    <row r="525" spans="1:26" s="20" customFormat="1" x14ac:dyDescent="0.2">
      <c r="A525" s="18"/>
      <c r="B525" s="18"/>
      <c r="C525" s="18"/>
      <c r="D525" s="18"/>
      <c r="E525" s="18"/>
      <c r="F525" s="18"/>
      <c r="G525" s="18"/>
      <c r="H525" s="18"/>
      <c r="I525" s="18"/>
      <c r="J525" s="18"/>
      <c r="K525" s="18"/>
      <c r="L525" s="18"/>
      <c r="M525" s="18"/>
      <c r="N525" s="18"/>
      <c r="O525" s="18"/>
      <c r="P525" s="18"/>
      <c r="Q525" s="18"/>
      <c r="R525" s="18"/>
      <c r="S525" s="18"/>
      <c r="T525" s="18"/>
      <c r="U525" s="18"/>
      <c r="V525" s="18"/>
      <c r="W525" s="18"/>
      <c r="X525" s="18"/>
      <c r="Y525" s="18"/>
      <c r="Z525" s="18"/>
    </row>
    <row r="526" spans="1:26" s="20" customFormat="1" x14ac:dyDescent="0.2">
      <c r="A526" s="18"/>
      <c r="B526" s="18"/>
      <c r="C526" s="18"/>
      <c r="D526" s="18"/>
      <c r="E526" s="18"/>
      <c r="F526" s="18"/>
      <c r="G526" s="18"/>
      <c r="H526" s="18"/>
      <c r="I526" s="18"/>
      <c r="J526" s="18"/>
      <c r="K526" s="18"/>
      <c r="L526" s="18"/>
      <c r="M526" s="18"/>
      <c r="N526" s="18"/>
      <c r="O526" s="18"/>
      <c r="P526" s="18"/>
      <c r="Q526" s="18"/>
      <c r="R526" s="18"/>
      <c r="S526" s="18"/>
      <c r="T526" s="18"/>
      <c r="U526" s="18"/>
      <c r="V526" s="18"/>
      <c r="W526" s="18"/>
      <c r="X526" s="18"/>
      <c r="Y526" s="18"/>
      <c r="Z526" s="18"/>
    </row>
    <row r="527" spans="1:26" s="20" customFormat="1" x14ac:dyDescent="0.2">
      <c r="A527" s="18"/>
      <c r="B527" s="18"/>
      <c r="C527" s="18"/>
      <c r="D527" s="18"/>
      <c r="E527" s="18"/>
      <c r="F527" s="18"/>
      <c r="G527" s="18"/>
      <c r="H527" s="18"/>
      <c r="I527" s="18"/>
      <c r="J527" s="18"/>
      <c r="K527" s="18"/>
      <c r="L527" s="18"/>
      <c r="M527" s="18"/>
      <c r="N527" s="18"/>
      <c r="O527" s="18"/>
      <c r="P527" s="18"/>
      <c r="Q527" s="18"/>
      <c r="R527" s="18"/>
      <c r="S527" s="18"/>
      <c r="T527" s="18"/>
      <c r="U527" s="18"/>
      <c r="V527" s="18"/>
      <c r="W527" s="18"/>
      <c r="X527" s="18"/>
      <c r="Y527" s="18"/>
      <c r="Z527" s="18"/>
    </row>
    <row r="528" spans="1:26" s="20" customFormat="1" x14ac:dyDescent="0.2">
      <c r="A528" s="18"/>
      <c r="B528" s="18"/>
      <c r="C528" s="18"/>
      <c r="D528" s="18"/>
      <c r="E528" s="18"/>
      <c r="F528" s="18"/>
      <c r="G528" s="18"/>
      <c r="H528" s="18"/>
      <c r="I528" s="18"/>
      <c r="J528" s="18"/>
      <c r="K528" s="18"/>
      <c r="L528" s="18"/>
      <c r="M528" s="18"/>
      <c r="N528" s="18"/>
      <c r="O528" s="18"/>
      <c r="P528" s="18"/>
      <c r="Q528" s="18"/>
      <c r="R528" s="18"/>
      <c r="S528" s="18"/>
      <c r="T528" s="18"/>
      <c r="U528" s="18"/>
      <c r="V528" s="18"/>
      <c r="W528" s="18"/>
      <c r="X528" s="18"/>
      <c r="Y528" s="18"/>
      <c r="Z528" s="18"/>
    </row>
    <row r="529" spans="1:26" s="20" customFormat="1" x14ac:dyDescent="0.2">
      <c r="A529" s="18"/>
      <c r="B529" s="18"/>
      <c r="C529" s="18"/>
      <c r="D529" s="18"/>
      <c r="E529" s="18"/>
      <c r="F529" s="18"/>
      <c r="G529" s="18"/>
      <c r="H529" s="18"/>
      <c r="I529" s="18"/>
      <c r="J529" s="18"/>
      <c r="K529" s="18"/>
      <c r="L529" s="18"/>
      <c r="M529" s="18"/>
      <c r="N529" s="18"/>
      <c r="O529" s="18"/>
      <c r="P529" s="18"/>
      <c r="Q529" s="18"/>
      <c r="R529" s="18"/>
      <c r="S529" s="18"/>
      <c r="T529" s="18"/>
      <c r="U529" s="18"/>
      <c r="V529" s="18"/>
      <c r="W529" s="18"/>
      <c r="X529" s="18"/>
      <c r="Y529" s="18"/>
      <c r="Z529" s="18"/>
    </row>
    <row r="530" spans="1:26" s="20" customFormat="1" x14ac:dyDescent="0.2">
      <c r="A530" s="18"/>
      <c r="B530" s="18"/>
      <c r="C530" s="18"/>
      <c r="D530" s="18"/>
      <c r="E530" s="18"/>
      <c r="F530" s="18"/>
      <c r="G530" s="18"/>
      <c r="H530" s="18"/>
      <c r="I530" s="18"/>
      <c r="J530" s="18"/>
      <c r="K530" s="18"/>
      <c r="L530" s="18"/>
      <c r="M530" s="18"/>
      <c r="N530" s="18"/>
      <c r="O530" s="18"/>
      <c r="P530" s="18"/>
      <c r="Q530" s="18"/>
      <c r="R530" s="18"/>
      <c r="S530" s="18"/>
      <c r="T530" s="18"/>
      <c r="U530" s="18"/>
      <c r="V530" s="18"/>
      <c r="W530" s="18"/>
      <c r="X530" s="18"/>
      <c r="Y530" s="18"/>
      <c r="Z530" s="18"/>
    </row>
    <row r="531" spans="1:26" s="20" customFormat="1" x14ac:dyDescent="0.2">
      <c r="A531" s="18"/>
      <c r="B531" s="18"/>
      <c r="C531" s="18"/>
      <c r="D531" s="18"/>
      <c r="E531" s="18"/>
      <c r="F531" s="18"/>
      <c r="G531" s="18"/>
      <c r="H531" s="18"/>
      <c r="I531" s="18"/>
      <c r="J531" s="18"/>
      <c r="K531" s="18"/>
      <c r="L531" s="18"/>
      <c r="M531" s="18"/>
      <c r="N531" s="18"/>
      <c r="O531" s="18"/>
      <c r="P531" s="18"/>
      <c r="Q531" s="18"/>
      <c r="R531" s="18"/>
      <c r="S531" s="18"/>
      <c r="T531" s="18"/>
      <c r="U531" s="18"/>
      <c r="V531" s="18"/>
      <c r="W531" s="18"/>
      <c r="X531" s="18"/>
      <c r="Y531" s="18"/>
      <c r="Z531" s="18"/>
    </row>
    <row r="532" spans="1:26" s="20" customFormat="1" x14ac:dyDescent="0.2">
      <c r="A532" s="18"/>
      <c r="B532" s="18"/>
      <c r="C532" s="18"/>
      <c r="D532" s="18"/>
      <c r="E532" s="18"/>
      <c r="F532" s="18"/>
      <c r="G532" s="18"/>
      <c r="H532" s="18"/>
      <c r="I532" s="18"/>
      <c r="J532" s="18"/>
      <c r="K532" s="18"/>
      <c r="L532" s="18"/>
      <c r="M532" s="18"/>
      <c r="N532" s="18"/>
      <c r="O532" s="18"/>
      <c r="P532" s="18"/>
      <c r="Q532" s="18"/>
      <c r="R532" s="18"/>
      <c r="S532" s="18"/>
      <c r="T532" s="18"/>
      <c r="U532" s="18"/>
      <c r="V532" s="18"/>
      <c r="W532" s="18"/>
      <c r="X532" s="18"/>
      <c r="Y532" s="18"/>
      <c r="Z532" s="18"/>
    </row>
    <row r="533" spans="1:26" s="20" customFormat="1" x14ac:dyDescent="0.2">
      <c r="A533" s="18"/>
      <c r="B533" s="18"/>
      <c r="C533" s="18"/>
      <c r="D533" s="18"/>
      <c r="E533" s="18"/>
      <c r="F533" s="18"/>
      <c r="G533" s="18"/>
      <c r="H533" s="18"/>
      <c r="I533" s="18"/>
      <c r="J533" s="18"/>
      <c r="K533" s="18"/>
      <c r="L533" s="18"/>
      <c r="M533" s="18"/>
      <c r="N533" s="18"/>
      <c r="O533" s="18"/>
      <c r="P533" s="18"/>
      <c r="Q533" s="18"/>
      <c r="R533" s="18"/>
      <c r="S533" s="18"/>
      <c r="T533" s="18"/>
      <c r="U533" s="18"/>
      <c r="V533" s="18"/>
      <c r="W533" s="18"/>
      <c r="X533" s="18"/>
      <c r="Y533" s="18"/>
      <c r="Z533" s="18"/>
    </row>
    <row r="534" spans="1:26" s="20" customFormat="1" x14ac:dyDescent="0.2">
      <c r="A534" s="18"/>
      <c r="B534" s="18"/>
      <c r="C534" s="18"/>
      <c r="D534" s="18"/>
      <c r="E534" s="18"/>
      <c r="F534" s="18"/>
      <c r="G534" s="18"/>
      <c r="H534" s="18"/>
      <c r="I534" s="18"/>
      <c r="J534" s="18"/>
      <c r="K534" s="18"/>
      <c r="L534" s="18"/>
      <c r="M534" s="18"/>
      <c r="N534" s="18"/>
      <c r="O534" s="18"/>
      <c r="P534" s="18"/>
      <c r="Q534" s="18"/>
      <c r="R534" s="18"/>
      <c r="S534" s="18"/>
      <c r="T534" s="18"/>
      <c r="U534" s="18"/>
      <c r="V534" s="18"/>
      <c r="W534" s="18"/>
      <c r="X534" s="18"/>
      <c r="Y534" s="18"/>
      <c r="Z534" s="18"/>
    </row>
    <row r="535" spans="1:26" s="20" customFormat="1" x14ac:dyDescent="0.2">
      <c r="A535" s="18"/>
      <c r="B535" s="18"/>
      <c r="C535" s="18"/>
      <c r="D535" s="18"/>
      <c r="E535" s="18"/>
      <c r="F535" s="18"/>
      <c r="G535" s="18"/>
      <c r="H535" s="18"/>
      <c r="I535" s="18"/>
      <c r="J535" s="18"/>
      <c r="K535" s="18"/>
      <c r="L535" s="18"/>
      <c r="M535" s="18"/>
      <c r="N535" s="18"/>
      <c r="O535" s="18"/>
      <c r="P535" s="18"/>
      <c r="Q535" s="18"/>
      <c r="R535" s="18"/>
      <c r="S535" s="18"/>
      <c r="T535" s="18"/>
      <c r="U535" s="18"/>
      <c r="V535" s="18"/>
      <c r="W535" s="18"/>
      <c r="X535" s="18"/>
      <c r="Y535" s="18"/>
      <c r="Z535" s="18"/>
    </row>
    <row r="536" spans="1:26" s="20" customFormat="1" x14ac:dyDescent="0.2">
      <c r="A536" s="18"/>
      <c r="B536" s="18"/>
      <c r="C536" s="18"/>
      <c r="D536" s="18"/>
      <c r="E536" s="18"/>
      <c r="F536" s="18"/>
      <c r="G536" s="18"/>
      <c r="H536" s="18"/>
      <c r="I536" s="18"/>
      <c r="J536" s="18"/>
      <c r="K536" s="18"/>
      <c r="L536" s="18"/>
      <c r="M536" s="18"/>
      <c r="N536" s="18"/>
      <c r="O536" s="18"/>
      <c r="P536" s="18"/>
      <c r="Q536" s="18"/>
      <c r="R536" s="18"/>
      <c r="S536" s="18"/>
      <c r="T536" s="18"/>
      <c r="U536" s="18"/>
      <c r="V536" s="18"/>
      <c r="W536" s="18"/>
      <c r="X536" s="18"/>
      <c r="Y536" s="18"/>
      <c r="Z536" s="18"/>
    </row>
    <row r="537" spans="1:26" s="20" customFormat="1" x14ac:dyDescent="0.2">
      <c r="A537" s="18"/>
      <c r="B537" s="18"/>
      <c r="C537" s="18"/>
      <c r="D537" s="18"/>
      <c r="E537" s="18"/>
      <c r="F537" s="18"/>
      <c r="G537" s="18"/>
      <c r="H537" s="18"/>
      <c r="I537" s="18"/>
      <c r="J537" s="18"/>
      <c r="K537" s="18"/>
      <c r="L537" s="18"/>
      <c r="M537" s="18"/>
      <c r="N537" s="18"/>
      <c r="O537" s="18"/>
      <c r="P537" s="18"/>
      <c r="Q537" s="18"/>
      <c r="R537" s="18"/>
      <c r="S537" s="18"/>
      <c r="T537" s="18"/>
      <c r="U537" s="18"/>
      <c r="V537" s="18"/>
      <c r="W537" s="18"/>
      <c r="X537" s="18"/>
      <c r="Y537" s="18"/>
      <c r="Z537" s="18"/>
    </row>
    <row r="538" spans="1:26" s="20" customFormat="1" x14ac:dyDescent="0.2">
      <c r="A538" s="18"/>
      <c r="B538" s="18"/>
      <c r="C538" s="18"/>
      <c r="D538" s="18"/>
      <c r="E538" s="18"/>
      <c r="F538" s="18"/>
      <c r="G538" s="18"/>
      <c r="H538" s="18"/>
      <c r="I538" s="18"/>
      <c r="J538" s="18"/>
      <c r="K538" s="18"/>
      <c r="L538" s="18"/>
      <c r="M538" s="18"/>
      <c r="N538" s="18"/>
      <c r="O538" s="18"/>
      <c r="P538" s="18"/>
      <c r="Q538" s="18"/>
      <c r="R538" s="18"/>
      <c r="S538" s="18"/>
      <c r="T538" s="18"/>
      <c r="U538" s="18"/>
      <c r="V538" s="18"/>
      <c r="W538" s="18"/>
      <c r="X538" s="18"/>
      <c r="Y538" s="18"/>
      <c r="Z538" s="18"/>
    </row>
    <row r="539" spans="1:26" s="20" customFormat="1" x14ac:dyDescent="0.2">
      <c r="A539" s="18"/>
      <c r="B539" s="18"/>
      <c r="C539" s="18"/>
      <c r="D539" s="18"/>
      <c r="E539" s="18"/>
      <c r="F539" s="18"/>
      <c r="G539" s="18"/>
      <c r="H539" s="18"/>
      <c r="I539" s="18"/>
      <c r="J539" s="18"/>
      <c r="K539" s="18"/>
      <c r="L539" s="18"/>
      <c r="M539" s="18"/>
      <c r="N539" s="18"/>
      <c r="O539" s="18"/>
      <c r="P539" s="18"/>
      <c r="Q539" s="18"/>
      <c r="R539" s="18"/>
      <c r="S539" s="18"/>
      <c r="T539" s="18"/>
      <c r="U539" s="18"/>
      <c r="V539" s="18"/>
      <c r="W539" s="18"/>
      <c r="X539" s="18"/>
      <c r="Y539" s="18"/>
      <c r="Z539" s="18"/>
    </row>
    <row r="540" spans="1:26" s="20" customFormat="1" x14ac:dyDescent="0.2">
      <c r="A540" s="18"/>
      <c r="B540" s="18"/>
      <c r="C540" s="18"/>
      <c r="D540" s="18"/>
      <c r="E540" s="18"/>
      <c r="F540" s="18"/>
      <c r="G540" s="18"/>
      <c r="H540" s="18"/>
      <c r="I540" s="18"/>
      <c r="J540" s="18"/>
      <c r="K540" s="18"/>
      <c r="L540" s="18"/>
      <c r="M540" s="18"/>
      <c r="N540" s="18"/>
      <c r="O540" s="18"/>
      <c r="P540" s="18"/>
      <c r="Q540" s="18"/>
      <c r="R540" s="18"/>
      <c r="S540" s="18"/>
      <c r="T540" s="18"/>
      <c r="U540" s="18"/>
      <c r="V540" s="18"/>
      <c r="W540" s="18"/>
      <c r="X540" s="18"/>
      <c r="Y540" s="18"/>
      <c r="Z540" s="18"/>
    </row>
    <row r="541" spans="1:26" s="20" customFormat="1" x14ac:dyDescent="0.2">
      <c r="A541" s="18"/>
      <c r="B541" s="18"/>
      <c r="C541" s="18"/>
      <c r="D541" s="18"/>
      <c r="E541" s="18"/>
      <c r="F541" s="18"/>
      <c r="G541" s="18"/>
      <c r="H541" s="18"/>
      <c r="I541" s="18"/>
      <c r="J541" s="18"/>
      <c r="K541" s="18"/>
      <c r="L541" s="18"/>
      <c r="M541" s="18"/>
      <c r="N541" s="18"/>
      <c r="O541" s="18"/>
      <c r="P541" s="18"/>
      <c r="Q541" s="18"/>
      <c r="R541" s="18"/>
      <c r="S541" s="18"/>
      <c r="T541" s="18"/>
      <c r="U541" s="18"/>
      <c r="V541" s="18"/>
      <c r="W541" s="18"/>
      <c r="X541" s="18"/>
      <c r="Y541" s="18"/>
      <c r="Z541" s="18"/>
    </row>
    <row r="542" spans="1:26" s="20" customFormat="1" x14ac:dyDescent="0.2">
      <c r="A542" s="18"/>
      <c r="B542" s="18"/>
      <c r="C542" s="18"/>
      <c r="D542" s="18"/>
      <c r="E542" s="18"/>
      <c r="F542" s="18"/>
      <c r="G542" s="18"/>
      <c r="H542" s="18"/>
      <c r="I542" s="18"/>
      <c r="J542" s="18"/>
      <c r="K542" s="18"/>
      <c r="L542" s="18"/>
      <c r="M542" s="18"/>
      <c r="N542" s="18"/>
      <c r="O542" s="18"/>
      <c r="P542" s="18"/>
      <c r="Q542" s="18"/>
      <c r="R542" s="18"/>
      <c r="S542" s="18"/>
      <c r="T542" s="18"/>
      <c r="U542" s="18"/>
      <c r="V542" s="18"/>
      <c r="W542" s="18"/>
      <c r="X542" s="18"/>
      <c r="Y542" s="18"/>
      <c r="Z542" s="18"/>
    </row>
    <row r="543" spans="1:26" s="20" customFormat="1" x14ac:dyDescent="0.2">
      <c r="A543" s="18"/>
      <c r="B543" s="18"/>
      <c r="C543" s="18"/>
      <c r="D543" s="18"/>
      <c r="E543" s="18"/>
      <c r="F543" s="18"/>
      <c r="G543" s="18"/>
      <c r="H543" s="18"/>
      <c r="I543" s="18"/>
      <c r="J543" s="18"/>
      <c r="K543" s="18"/>
      <c r="L543" s="18"/>
      <c r="M543" s="18"/>
      <c r="N543" s="18"/>
      <c r="O543" s="18"/>
      <c r="P543" s="18"/>
      <c r="Q543" s="18"/>
      <c r="R543" s="18"/>
      <c r="S543" s="18"/>
      <c r="T543" s="18"/>
      <c r="U543" s="18"/>
      <c r="V543" s="18"/>
      <c r="W543" s="18"/>
      <c r="X543" s="18"/>
      <c r="Y543" s="18"/>
      <c r="Z543" s="18"/>
    </row>
    <row r="544" spans="1:26" s="20" customFormat="1" x14ac:dyDescent="0.2">
      <c r="A544" s="18"/>
      <c r="B544" s="18"/>
      <c r="C544" s="18"/>
      <c r="D544" s="18"/>
      <c r="E544" s="18"/>
      <c r="F544" s="18"/>
      <c r="G544" s="18"/>
      <c r="H544" s="18"/>
      <c r="I544" s="18"/>
      <c r="J544" s="18"/>
      <c r="K544" s="18"/>
      <c r="L544" s="18"/>
      <c r="M544" s="18"/>
      <c r="N544" s="18"/>
      <c r="O544" s="18"/>
      <c r="P544" s="18"/>
      <c r="Q544" s="18"/>
      <c r="R544" s="18"/>
      <c r="S544" s="18"/>
      <c r="T544" s="18"/>
      <c r="U544" s="18"/>
      <c r="V544" s="18"/>
      <c r="W544" s="18"/>
      <c r="X544" s="18"/>
      <c r="Y544" s="18"/>
      <c r="Z544" s="18"/>
    </row>
    <row r="545" spans="1:26" s="20" customFormat="1" x14ac:dyDescent="0.2">
      <c r="A545" s="18"/>
      <c r="B545" s="18"/>
      <c r="C545" s="18"/>
      <c r="D545" s="18"/>
      <c r="E545" s="18"/>
      <c r="F545" s="18"/>
      <c r="G545" s="18"/>
      <c r="H545" s="18"/>
      <c r="I545" s="18"/>
      <c r="J545" s="18"/>
      <c r="K545" s="18"/>
      <c r="L545" s="18"/>
      <c r="M545" s="18"/>
      <c r="N545" s="18"/>
      <c r="O545" s="18"/>
      <c r="P545" s="18"/>
      <c r="Q545" s="18"/>
      <c r="R545" s="18"/>
      <c r="S545" s="18"/>
      <c r="T545" s="18"/>
      <c r="U545" s="18"/>
      <c r="V545" s="18"/>
      <c r="W545" s="18"/>
      <c r="X545" s="18"/>
      <c r="Y545" s="18"/>
      <c r="Z545" s="18"/>
    </row>
    <row r="546" spans="1:26" s="20" customFormat="1" x14ac:dyDescent="0.2">
      <c r="A546" s="18"/>
      <c r="B546" s="18"/>
      <c r="C546" s="18"/>
      <c r="D546" s="18"/>
      <c r="E546" s="18"/>
      <c r="F546" s="18"/>
      <c r="G546" s="18"/>
      <c r="H546" s="18"/>
      <c r="I546" s="18"/>
      <c r="J546" s="18"/>
      <c r="K546" s="18"/>
      <c r="L546" s="18"/>
      <c r="M546" s="18"/>
      <c r="N546" s="18"/>
      <c r="O546" s="18"/>
      <c r="P546" s="18"/>
      <c r="Q546" s="18"/>
      <c r="R546" s="18"/>
      <c r="S546" s="18"/>
      <c r="T546" s="18"/>
      <c r="U546" s="18"/>
      <c r="V546" s="18"/>
      <c r="W546" s="18"/>
      <c r="X546" s="18"/>
      <c r="Y546" s="18"/>
      <c r="Z546" s="18"/>
    </row>
    <row r="547" spans="1:26" s="20" customFormat="1" x14ac:dyDescent="0.2">
      <c r="A547" s="18"/>
      <c r="B547" s="18"/>
      <c r="C547" s="18"/>
      <c r="D547" s="18"/>
      <c r="E547" s="18"/>
      <c r="F547" s="18"/>
      <c r="G547" s="18"/>
      <c r="H547" s="18"/>
      <c r="I547" s="18"/>
      <c r="J547" s="18"/>
      <c r="K547" s="18"/>
      <c r="L547" s="18"/>
      <c r="M547" s="18"/>
      <c r="N547" s="18"/>
      <c r="O547" s="18"/>
      <c r="P547" s="18"/>
      <c r="Q547" s="18"/>
      <c r="R547" s="18"/>
      <c r="S547" s="18"/>
      <c r="T547" s="18"/>
      <c r="U547" s="18"/>
      <c r="V547" s="18"/>
      <c r="W547" s="18"/>
      <c r="X547" s="18"/>
      <c r="Y547" s="18"/>
      <c r="Z547" s="18"/>
    </row>
    <row r="548" spans="1:26" s="20" customFormat="1" x14ac:dyDescent="0.2">
      <c r="A548" s="18"/>
      <c r="B548" s="18"/>
      <c r="C548" s="18"/>
      <c r="D548" s="18"/>
      <c r="E548" s="18"/>
      <c r="F548" s="18"/>
      <c r="G548" s="18"/>
      <c r="H548" s="18"/>
      <c r="I548" s="18"/>
      <c r="J548" s="18"/>
      <c r="K548" s="18"/>
      <c r="L548" s="18"/>
      <c r="M548" s="18"/>
      <c r="N548" s="18"/>
      <c r="O548" s="18"/>
      <c r="P548" s="18"/>
      <c r="Q548" s="18"/>
      <c r="R548" s="18"/>
      <c r="S548" s="18"/>
      <c r="T548" s="18"/>
      <c r="U548" s="18"/>
      <c r="V548" s="18"/>
      <c r="W548" s="18"/>
      <c r="X548" s="18"/>
      <c r="Y548" s="18"/>
      <c r="Z548" s="18"/>
    </row>
    <row r="549" spans="1:26" s="20" customFormat="1" x14ac:dyDescent="0.2">
      <c r="A549" s="18"/>
      <c r="B549" s="18"/>
      <c r="C549" s="18"/>
      <c r="D549" s="18"/>
      <c r="E549" s="18"/>
      <c r="F549" s="18"/>
      <c r="G549" s="18"/>
      <c r="H549" s="18"/>
      <c r="I549" s="18"/>
      <c r="J549" s="18"/>
      <c r="K549" s="18"/>
      <c r="L549" s="18"/>
      <c r="M549" s="18"/>
      <c r="N549" s="18"/>
      <c r="O549" s="18"/>
      <c r="P549" s="18"/>
      <c r="Q549" s="18"/>
      <c r="R549" s="18"/>
      <c r="S549" s="18"/>
      <c r="T549" s="18"/>
      <c r="U549" s="18"/>
      <c r="V549" s="18"/>
      <c r="W549" s="18"/>
      <c r="X549" s="18"/>
      <c r="Y549" s="18"/>
      <c r="Z549" s="18"/>
    </row>
    <row r="550" spans="1:26" s="20" customFormat="1" x14ac:dyDescent="0.2">
      <c r="A550" s="18"/>
      <c r="B550" s="18"/>
      <c r="C550" s="18"/>
      <c r="D550" s="18"/>
      <c r="E550" s="18"/>
      <c r="F550" s="18"/>
      <c r="G550" s="18"/>
      <c r="H550" s="18"/>
      <c r="I550" s="18"/>
      <c r="J550" s="18"/>
      <c r="K550" s="18"/>
      <c r="L550" s="18"/>
      <c r="M550" s="18"/>
      <c r="N550" s="18"/>
      <c r="O550" s="18"/>
      <c r="P550" s="18"/>
      <c r="Q550" s="18"/>
      <c r="R550" s="18"/>
      <c r="S550" s="18"/>
      <c r="T550" s="18"/>
      <c r="U550" s="18"/>
      <c r="V550" s="18"/>
      <c r="W550" s="18"/>
      <c r="X550" s="18"/>
      <c r="Y550" s="18"/>
      <c r="Z550" s="18"/>
    </row>
    <row r="551" spans="1:26" s="20" customFormat="1" x14ac:dyDescent="0.2">
      <c r="A551" s="18"/>
      <c r="B551" s="18"/>
      <c r="C551" s="18"/>
      <c r="D551" s="18"/>
      <c r="E551" s="18"/>
      <c r="F551" s="18"/>
      <c r="G551" s="18"/>
      <c r="H551" s="18"/>
      <c r="I551" s="18"/>
      <c r="J551" s="18"/>
      <c r="K551" s="18"/>
      <c r="L551" s="18"/>
      <c r="M551" s="18"/>
      <c r="N551" s="18"/>
      <c r="O551" s="18"/>
      <c r="P551" s="18"/>
      <c r="Q551" s="18"/>
      <c r="R551" s="18"/>
      <c r="S551" s="18"/>
      <c r="T551" s="18"/>
      <c r="U551" s="18"/>
      <c r="V551" s="18"/>
      <c r="W551" s="18"/>
      <c r="X551" s="18"/>
      <c r="Y551" s="18"/>
      <c r="Z551" s="18"/>
    </row>
    <row r="552" spans="1:26" s="20" customFormat="1" x14ac:dyDescent="0.2">
      <c r="A552" s="18"/>
      <c r="B552" s="18"/>
      <c r="C552" s="18"/>
      <c r="D552" s="18"/>
      <c r="E552" s="18"/>
      <c r="F552" s="18"/>
      <c r="G552" s="18"/>
      <c r="H552" s="18"/>
      <c r="I552" s="18"/>
      <c r="J552" s="18"/>
      <c r="K552" s="18"/>
      <c r="L552" s="18"/>
      <c r="M552" s="18"/>
      <c r="N552" s="18"/>
      <c r="O552" s="18"/>
      <c r="P552" s="18"/>
      <c r="Q552" s="18"/>
      <c r="R552" s="18"/>
      <c r="S552" s="18"/>
      <c r="T552" s="18"/>
      <c r="U552" s="18"/>
      <c r="V552" s="18"/>
      <c r="W552" s="18"/>
      <c r="X552" s="18"/>
      <c r="Y552" s="18"/>
      <c r="Z552" s="18"/>
    </row>
    <row r="553" spans="1:26" s="20" customFormat="1" x14ac:dyDescent="0.2">
      <c r="A553" s="18"/>
      <c r="B553" s="18"/>
      <c r="C553" s="18"/>
      <c r="D553" s="18"/>
      <c r="E553" s="18"/>
      <c r="F553" s="18"/>
      <c r="G553" s="18"/>
      <c r="H553" s="18"/>
      <c r="I553" s="18"/>
      <c r="J553" s="18"/>
      <c r="K553" s="18"/>
      <c r="L553" s="18"/>
      <c r="M553" s="18"/>
      <c r="N553" s="18"/>
      <c r="O553" s="18"/>
      <c r="P553" s="18"/>
      <c r="Q553" s="18"/>
      <c r="R553" s="18"/>
      <c r="S553" s="18"/>
      <c r="T553" s="18"/>
      <c r="U553" s="18"/>
      <c r="V553" s="18"/>
      <c r="W553" s="18"/>
      <c r="X553" s="18"/>
      <c r="Y553" s="18"/>
      <c r="Z553" s="18"/>
    </row>
    <row r="554" spans="1:26" s="20" customFormat="1" x14ac:dyDescent="0.2">
      <c r="A554" s="18"/>
      <c r="B554" s="18"/>
      <c r="C554" s="18"/>
      <c r="D554" s="18"/>
      <c r="E554" s="18"/>
      <c r="F554" s="18"/>
      <c r="G554" s="18"/>
      <c r="H554" s="18"/>
      <c r="I554" s="18"/>
      <c r="J554" s="18"/>
      <c r="K554" s="18"/>
      <c r="L554" s="18"/>
      <c r="M554" s="18"/>
      <c r="N554" s="18"/>
      <c r="O554" s="18"/>
      <c r="P554" s="18"/>
      <c r="Q554" s="18"/>
      <c r="R554" s="18"/>
      <c r="S554" s="18"/>
      <c r="T554" s="18"/>
      <c r="U554" s="18"/>
      <c r="V554" s="18"/>
      <c r="W554" s="18"/>
      <c r="X554" s="18"/>
      <c r="Y554" s="18"/>
      <c r="Z554" s="18"/>
    </row>
    <row r="555" spans="1:26" s="20" customFormat="1" x14ac:dyDescent="0.2">
      <c r="A555" s="18"/>
      <c r="B555" s="18"/>
      <c r="C555" s="18"/>
      <c r="D555" s="18"/>
      <c r="E555" s="18"/>
      <c r="F555" s="18"/>
      <c r="G555" s="18"/>
      <c r="H555" s="18"/>
      <c r="I555" s="18"/>
      <c r="J555" s="18"/>
      <c r="K555" s="18"/>
      <c r="L555" s="18"/>
      <c r="M555" s="18"/>
      <c r="N555" s="18"/>
      <c r="O555" s="18"/>
      <c r="P555" s="18"/>
      <c r="Q555" s="18"/>
      <c r="R555" s="18"/>
      <c r="S555" s="18"/>
      <c r="T555" s="18"/>
      <c r="U555" s="18"/>
      <c r="V555" s="18"/>
      <c r="W555" s="18"/>
      <c r="X555" s="18"/>
      <c r="Y555" s="18"/>
      <c r="Z555" s="18"/>
    </row>
    <row r="556" spans="1:26" s="20" customFormat="1" x14ac:dyDescent="0.2">
      <c r="A556" s="18"/>
      <c r="B556" s="18"/>
      <c r="C556" s="18"/>
      <c r="D556" s="18"/>
      <c r="E556" s="18"/>
      <c r="F556" s="18"/>
      <c r="G556" s="18"/>
      <c r="H556" s="18"/>
      <c r="I556" s="18"/>
      <c r="J556" s="18"/>
      <c r="K556" s="18"/>
      <c r="L556" s="18"/>
      <c r="M556" s="18"/>
      <c r="N556" s="18"/>
      <c r="O556" s="18"/>
      <c r="P556" s="18"/>
      <c r="Q556" s="18"/>
      <c r="R556" s="18"/>
      <c r="S556" s="18"/>
      <c r="T556" s="18"/>
      <c r="U556" s="18"/>
      <c r="V556" s="18"/>
      <c r="W556" s="18"/>
      <c r="X556" s="18"/>
      <c r="Y556" s="18"/>
      <c r="Z556" s="18"/>
    </row>
    <row r="557" spans="1:26" s="20" customFormat="1" x14ac:dyDescent="0.2">
      <c r="A557" s="18"/>
      <c r="B557" s="18"/>
      <c r="C557" s="18"/>
      <c r="D557" s="18"/>
      <c r="E557" s="18"/>
      <c r="F557" s="18"/>
      <c r="G557" s="18"/>
      <c r="H557" s="18"/>
      <c r="I557" s="18"/>
      <c r="J557" s="18"/>
      <c r="K557" s="18"/>
      <c r="L557" s="18"/>
      <c r="M557" s="18"/>
      <c r="N557" s="18"/>
      <c r="O557" s="18"/>
      <c r="P557" s="18"/>
      <c r="Q557" s="18"/>
      <c r="R557" s="18"/>
      <c r="S557" s="18"/>
      <c r="T557" s="18"/>
      <c r="U557" s="18"/>
      <c r="V557" s="18"/>
      <c r="W557" s="18"/>
      <c r="X557" s="18"/>
      <c r="Y557" s="18"/>
      <c r="Z557" s="18"/>
    </row>
    <row r="558" spans="1:26" s="20" customFormat="1" x14ac:dyDescent="0.2">
      <c r="A558" s="18"/>
      <c r="B558" s="18"/>
      <c r="C558" s="18"/>
      <c r="D558" s="18"/>
      <c r="E558" s="18"/>
      <c r="F558" s="18"/>
      <c r="G558" s="18"/>
      <c r="H558" s="18"/>
      <c r="I558" s="18"/>
      <c r="J558" s="18"/>
      <c r="K558" s="18"/>
      <c r="L558" s="18"/>
      <c r="M558" s="18"/>
      <c r="N558" s="18"/>
      <c r="O558" s="18"/>
      <c r="P558" s="18"/>
      <c r="Q558" s="18"/>
      <c r="R558" s="18"/>
      <c r="S558" s="18"/>
      <c r="T558" s="18"/>
      <c r="U558" s="18"/>
      <c r="V558" s="18"/>
      <c r="W558" s="18"/>
      <c r="X558" s="18"/>
      <c r="Y558" s="18"/>
      <c r="Z558" s="18"/>
    </row>
    <row r="559" spans="1:26" s="20" customFormat="1" x14ac:dyDescent="0.2">
      <c r="A559" s="18"/>
      <c r="B559" s="18"/>
      <c r="C559" s="18"/>
      <c r="D559" s="18"/>
      <c r="E559" s="18"/>
      <c r="F559" s="18"/>
      <c r="G559" s="18"/>
      <c r="H559" s="18"/>
      <c r="I559" s="18"/>
      <c r="J559" s="18"/>
      <c r="K559" s="18"/>
      <c r="L559" s="18"/>
      <c r="M559" s="18"/>
      <c r="N559" s="18"/>
      <c r="O559" s="18"/>
      <c r="P559" s="18"/>
      <c r="Q559" s="18"/>
      <c r="R559" s="18"/>
      <c r="S559" s="18"/>
      <c r="T559" s="18"/>
      <c r="U559" s="18"/>
      <c r="V559" s="18"/>
      <c r="W559" s="18"/>
      <c r="X559" s="18"/>
      <c r="Y559" s="18"/>
      <c r="Z559" s="18"/>
    </row>
    <row r="560" spans="1:26" s="20" customFormat="1" x14ac:dyDescent="0.2">
      <c r="A560" s="18"/>
      <c r="B560" s="18"/>
      <c r="C560" s="18"/>
      <c r="D560" s="18"/>
      <c r="E560" s="18"/>
      <c r="F560" s="18"/>
      <c r="G560" s="18"/>
      <c r="H560" s="18"/>
      <c r="I560" s="18"/>
      <c r="J560" s="18"/>
      <c r="K560" s="18"/>
      <c r="L560" s="18"/>
      <c r="M560" s="18"/>
      <c r="N560" s="18"/>
      <c r="O560" s="18"/>
      <c r="P560" s="18"/>
      <c r="Q560" s="18"/>
      <c r="R560" s="18"/>
      <c r="S560" s="18"/>
      <c r="T560" s="18"/>
      <c r="U560" s="18"/>
      <c r="V560" s="18"/>
      <c r="W560" s="18"/>
      <c r="X560" s="18"/>
      <c r="Y560" s="18"/>
      <c r="Z560" s="18"/>
    </row>
    <row r="561" spans="1:26" s="20" customFormat="1" x14ac:dyDescent="0.2">
      <c r="A561" s="18"/>
      <c r="B561" s="18"/>
      <c r="C561" s="18"/>
      <c r="D561" s="18"/>
      <c r="E561" s="18"/>
      <c r="F561" s="18"/>
      <c r="G561" s="18"/>
      <c r="H561" s="18"/>
      <c r="I561" s="18"/>
      <c r="J561" s="18"/>
      <c r="K561" s="18"/>
      <c r="L561" s="18"/>
      <c r="M561" s="18"/>
      <c r="N561" s="18"/>
      <c r="O561" s="18"/>
      <c r="P561" s="18"/>
      <c r="Q561" s="18"/>
      <c r="R561" s="18"/>
      <c r="S561" s="18"/>
      <c r="T561" s="18"/>
      <c r="U561" s="18"/>
      <c r="V561" s="18"/>
      <c r="W561" s="18"/>
      <c r="X561" s="18"/>
      <c r="Y561" s="18"/>
      <c r="Z561" s="18"/>
    </row>
    <row r="562" spans="1:26" s="20" customFormat="1" x14ac:dyDescent="0.2">
      <c r="A562" s="18"/>
      <c r="B562" s="18"/>
      <c r="C562" s="18"/>
      <c r="D562" s="18"/>
      <c r="E562" s="18"/>
      <c r="F562" s="18"/>
      <c r="G562" s="18"/>
      <c r="H562" s="18"/>
      <c r="I562" s="18"/>
      <c r="J562" s="18"/>
      <c r="K562" s="18"/>
      <c r="L562" s="18"/>
      <c r="M562" s="18"/>
      <c r="N562" s="18"/>
      <c r="O562" s="18"/>
      <c r="P562" s="18"/>
      <c r="Q562" s="18"/>
      <c r="R562" s="18"/>
      <c r="S562" s="18"/>
      <c r="T562" s="18"/>
      <c r="U562" s="18"/>
      <c r="V562" s="18"/>
      <c r="W562" s="18"/>
      <c r="X562" s="18"/>
      <c r="Y562" s="18"/>
      <c r="Z562" s="18"/>
    </row>
    <row r="563" spans="1:26" s="20" customFormat="1" x14ac:dyDescent="0.2">
      <c r="A563" s="18"/>
      <c r="B563" s="18"/>
      <c r="C563" s="18"/>
      <c r="D563" s="18"/>
      <c r="E563" s="18"/>
      <c r="F563" s="18"/>
      <c r="G563" s="18"/>
      <c r="H563" s="18"/>
      <c r="I563" s="18"/>
      <c r="J563" s="18"/>
      <c r="K563" s="18"/>
      <c r="L563" s="18"/>
      <c r="M563" s="18"/>
      <c r="N563" s="18"/>
      <c r="O563" s="18"/>
      <c r="P563" s="18"/>
      <c r="Q563" s="18"/>
      <c r="R563" s="18"/>
      <c r="S563" s="18"/>
      <c r="T563" s="18"/>
      <c r="U563" s="18"/>
      <c r="V563" s="18"/>
      <c r="W563" s="18"/>
      <c r="X563" s="18"/>
      <c r="Y563" s="18"/>
      <c r="Z563" s="18"/>
    </row>
    <row r="564" spans="1:26" s="20" customFormat="1" x14ac:dyDescent="0.2">
      <c r="A564" s="18"/>
      <c r="B564" s="18"/>
      <c r="C564" s="18"/>
      <c r="D564" s="18"/>
      <c r="E564" s="18"/>
      <c r="F564" s="18"/>
      <c r="G564" s="18"/>
      <c r="H564" s="18"/>
      <c r="I564" s="18"/>
      <c r="J564" s="18"/>
      <c r="K564" s="18"/>
      <c r="L564" s="18"/>
      <c r="M564" s="18"/>
      <c r="N564" s="18"/>
      <c r="O564" s="18"/>
      <c r="P564" s="18"/>
      <c r="Q564" s="18"/>
      <c r="R564" s="18"/>
      <c r="S564" s="18"/>
      <c r="T564" s="18"/>
      <c r="U564" s="18"/>
      <c r="V564" s="18"/>
      <c r="W564" s="18"/>
      <c r="X564" s="18"/>
      <c r="Y564" s="18"/>
      <c r="Z564" s="18"/>
    </row>
    <row r="565" spans="1:26" s="20" customFormat="1" x14ac:dyDescent="0.2">
      <c r="A565" s="18"/>
      <c r="B565" s="18"/>
      <c r="C565" s="18"/>
      <c r="D565" s="18"/>
      <c r="E565" s="18"/>
      <c r="F565" s="18"/>
      <c r="G565" s="18"/>
      <c r="H565" s="18"/>
      <c r="I565" s="18"/>
      <c r="J565" s="18"/>
      <c r="K565" s="18"/>
      <c r="L565" s="18"/>
      <c r="M565" s="18"/>
      <c r="N565" s="18"/>
      <c r="O565" s="18"/>
      <c r="P565" s="18"/>
      <c r="Q565" s="18"/>
      <c r="R565" s="18"/>
      <c r="S565" s="18"/>
      <c r="T565" s="18"/>
      <c r="U565" s="18"/>
      <c r="V565" s="18"/>
      <c r="W565" s="18"/>
      <c r="X565" s="18"/>
      <c r="Y565" s="18"/>
      <c r="Z565" s="18"/>
    </row>
    <row r="566" spans="1:26" s="20" customFormat="1" x14ac:dyDescent="0.2">
      <c r="A566" s="18"/>
      <c r="B566" s="18"/>
      <c r="C566" s="18"/>
      <c r="D566" s="18"/>
      <c r="E566" s="18"/>
      <c r="F566" s="18"/>
      <c r="G566" s="18"/>
      <c r="H566" s="18"/>
      <c r="I566" s="18"/>
      <c r="J566" s="18"/>
      <c r="K566" s="18"/>
      <c r="L566" s="18"/>
      <c r="M566" s="18"/>
      <c r="N566" s="18"/>
      <c r="O566" s="18"/>
      <c r="P566" s="18"/>
      <c r="Q566" s="18"/>
      <c r="R566" s="18"/>
      <c r="S566" s="18"/>
      <c r="T566" s="18"/>
      <c r="U566" s="18"/>
      <c r="V566" s="18"/>
      <c r="W566" s="18"/>
      <c r="X566" s="18"/>
      <c r="Y566" s="18"/>
      <c r="Z566" s="18"/>
    </row>
    <row r="567" spans="1:26" s="20" customFormat="1" x14ac:dyDescent="0.2">
      <c r="A567" s="18"/>
      <c r="B567" s="18"/>
      <c r="C567" s="18"/>
      <c r="D567" s="18"/>
      <c r="E567" s="18"/>
      <c r="F567" s="18"/>
      <c r="G567" s="18"/>
      <c r="H567" s="18"/>
      <c r="I567" s="18"/>
      <c r="J567" s="18"/>
      <c r="K567" s="18"/>
      <c r="L567" s="18"/>
      <c r="M567" s="18"/>
      <c r="N567" s="18"/>
      <c r="O567" s="18"/>
      <c r="P567" s="18"/>
      <c r="Q567" s="18"/>
      <c r="R567" s="18"/>
      <c r="S567" s="18"/>
      <c r="T567" s="18"/>
      <c r="U567" s="18"/>
      <c r="V567" s="18"/>
      <c r="W567" s="18"/>
      <c r="X567" s="18"/>
      <c r="Y567" s="18"/>
      <c r="Z567" s="18"/>
    </row>
    <row r="568" spans="1:26" s="20" customFormat="1" x14ac:dyDescent="0.2">
      <c r="A568" s="18"/>
      <c r="B568" s="18"/>
      <c r="C568" s="18"/>
      <c r="D568" s="18"/>
      <c r="E568" s="18"/>
      <c r="F568" s="18"/>
      <c r="G568" s="18"/>
      <c r="H568" s="18"/>
      <c r="I568" s="18"/>
      <c r="J568" s="18"/>
      <c r="K568" s="18"/>
      <c r="L568" s="18"/>
      <c r="M568" s="18"/>
      <c r="N568" s="18"/>
      <c r="O568" s="18"/>
      <c r="P568" s="18"/>
      <c r="Q568" s="18"/>
      <c r="R568" s="18"/>
      <c r="S568" s="18"/>
      <c r="T568" s="18"/>
      <c r="U568" s="18"/>
      <c r="V568" s="18"/>
      <c r="W568" s="18"/>
      <c r="X568" s="18"/>
      <c r="Y568" s="18"/>
      <c r="Z568" s="18"/>
    </row>
    <row r="569" spans="1:26" s="20" customFormat="1" x14ac:dyDescent="0.2">
      <c r="A569" s="18"/>
      <c r="B569" s="18"/>
      <c r="C569" s="18"/>
      <c r="D569" s="18"/>
      <c r="E569" s="18"/>
      <c r="F569" s="18"/>
      <c r="G569" s="18"/>
      <c r="H569" s="18"/>
      <c r="I569" s="18"/>
      <c r="J569" s="18"/>
      <c r="K569" s="18"/>
      <c r="L569" s="18"/>
      <c r="M569" s="18"/>
      <c r="N569" s="18"/>
      <c r="O569" s="18"/>
      <c r="P569" s="18"/>
      <c r="Q569" s="18"/>
      <c r="R569" s="18"/>
      <c r="S569" s="18"/>
      <c r="T569" s="18"/>
      <c r="U569" s="18"/>
      <c r="V569" s="18"/>
      <c r="W569" s="18"/>
      <c r="X569" s="18"/>
      <c r="Y569" s="18"/>
      <c r="Z569" s="18"/>
    </row>
    <row r="570" spans="1:26" s="20" customFormat="1" x14ac:dyDescent="0.2">
      <c r="A570" s="18"/>
      <c r="B570" s="18"/>
      <c r="C570" s="18"/>
      <c r="D570" s="18"/>
      <c r="E570" s="18"/>
      <c r="F570" s="18"/>
      <c r="G570" s="18"/>
      <c r="H570" s="18"/>
      <c r="I570" s="18"/>
      <c r="J570" s="18"/>
      <c r="K570" s="18"/>
      <c r="L570" s="18"/>
      <c r="M570" s="18"/>
      <c r="N570" s="18"/>
      <c r="O570" s="18"/>
      <c r="P570" s="18"/>
      <c r="Q570" s="18"/>
      <c r="R570" s="18"/>
      <c r="S570" s="18"/>
      <c r="T570" s="18"/>
      <c r="U570" s="18"/>
      <c r="V570" s="18"/>
      <c r="W570" s="18"/>
      <c r="X570" s="18"/>
      <c r="Y570" s="18"/>
      <c r="Z570" s="18"/>
    </row>
    <row r="571" spans="1:26" s="20" customFormat="1" x14ac:dyDescent="0.2">
      <c r="A571" s="18"/>
      <c r="B571" s="18"/>
      <c r="C571" s="18"/>
      <c r="D571" s="18"/>
      <c r="E571" s="18"/>
      <c r="F571" s="18"/>
      <c r="G571" s="18"/>
      <c r="H571" s="18"/>
      <c r="I571" s="18"/>
      <c r="J571" s="18"/>
      <c r="K571" s="18"/>
      <c r="L571" s="18"/>
      <c r="M571" s="18"/>
      <c r="N571" s="18"/>
      <c r="O571" s="18"/>
      <c r="P571" s="18"/>
      <c r="Q571" s="18"/>
      <c r="R571" s="18"/>
      <c r="S571" s="18"/>
      <c r="T571" s="18"/>
      <c r="U571" s="18"/>
      <c r="V571" s="18"/>
      <c r="W571" s="18"/>
      <c r="X571" s="18"/>
      <c r="Y571" s="18"/>
      <c r="Z571" s="18"/>
    </row>
    <row r="572" spans="1:26" s="20" customFormat="1" x14ac:dyDescent="0.2">
      <c r="A572" s="18"/>
      <c r="B572" s="18"/>
      <c r="C572" s="18"/>
      <c r="D572" s="18"/>
      <c r="E572" s="18"/>
      <c r="F572" s="18"/>
      <c r="G572" s="18"/>
      <c r="H572" s="18"/>
      <c r="I572" s="18"/>
      <c r="J572" s="18"/>
      <c r="K572" s="18"/>
      <c r="L572" s="18"/>
      <c r="M572" s="18"/>
      <c r="N572" s="18"/>
      <c r="O572" s="18"/>
      <c r="P572" s="18"/>
      <c r="Q572" s="18"/>
      <c r="R572" s="18"/>
      <c r="S572" s="18"/>
      <c r="T572" s="18"/>
      <c r="U572" s="18"/>
      <c r="V572" s="18"/>
      <c r="W572" s="18"/>
      <c r="X572" s="18"/>
      <c r="Y572" s="18"/>
      <c r="Z572" s="18"/>
    </row>
    <row r="573" spans="1:26" s="20" customFormat="1" x14ac:dyDescent="0.2">
      <c r="A573" s="18"/>
      <c r="B573" s="18"/>
      <c r="C573" s="18"/>
      <c r="D573" s="18"/>
      <c r="E573" s="18"/>
      <c r="F573" s="18"/>
      <c r="G573" s="18"/>
      <c r="H573" s="18"/>
      <c r="I573" s="18"/>
      <c r="J573" s="18"/>
      <c r="K573" s="18"/>
      <c r="L573" s="18"/>
      <c r="M573" s="18"/>
      <c r="N573" s="18"/>
      <c r="O573" s="18"/>
      <c r="P573" s="18"/>
      <c r="Q573" s="18"/>
      <c r="R573" s="18"/>
      <c r="S573" s="18"/>
      <c r="T573" s="18"/>
      <c r="U573" s="18"/>
      <c r="V573" s="18"/>
      <c r="W573" s="18"/>
      <c r="X573" s="18"/>
      <c r="Y573" s="18"/>
      <c r="Z573" s="18"/>
    </row>
    <row r="574" spans="1:26" s="20" customFormat="1" x14ac:dyDescent="0.2">
      <c r="A574" s="18"/>
      <c r="B574" s="18"/>
      <c r="C574" s="18"/>
      <c r="D574" s="18"/>
      <c r="E574" s="18"/>
      <c r="F574" s="18"/>
      <c r="G574" s="18"/>
      <c r="H574" s="18"/>
      <c r="I574" s="18"/>
      <c r="J574" s="18"/>
      <c r="K574" s="18"/>
      <c r="L574" s="18"/>
      <c r="M574" s="18"/>
      <c r="N574" s="18"/>
      <c r="O574" s="18"/>
      <c r="P574" s="18"/>
      <c r="Q574" s="18"/>
      <c r="R574" s="18"/>
      <c r="S574" s="18"/>
      <c r="T574" s="18"/>
      <c r="U574" s="18"/>
      <c r="V574" s="18"/>
      <c r="W574" s="18"/>
      <c r="X574" s="18"/>
      <c r="Y574" s="18"/>
      <c r="Z574" s="18"/>
    </row>
    <row r="575" spans="1:26" s="20" customFormat="1" x14ac:dyDescent="0.2">
      <c r="A575" s="18"/>
      <c r="B575" s="18"/>
      <c r="C575" s="18"/>
      <c r="D575" s="18"/>
      <c r="E575" s="18"/>
      <c r="F575" s="18"/>
      <c r="G575" s="18"/>
      <c r="H575" s="18"/>
      <c r="I575" s="18"/>
      <c r="J575" s="18"/>
      <c r="K575" s="18"/>
      <c r="L575" s="18"/>
      <c r="M575" s="18"/>
      <c r="N575" s="18"/>
      <c r="O575" s="18"/>
      <c r="P575" s="18"/>
      <c r="Q575" s="18"/>
      <c r="R575" s="18"/>
      <c r="S575" s="18"/>
      <c r="T575" s="18"/>
      <c r="U575" s="18"/>
      <c r="V575" s="18"/>
      <c r="W575" s="18"/>
      <c r="X575" s="18"/>
      <c r="Y575" s="18"/>
      <c r="Z575" s="18"/>
    </row>
    <row r="576" spans="1:26" s="20" customFormat="1" x14ac:dyDescent="0.2">
      <c r="A576" s="18"/>
      <c r="B576" s="18"/>
      <c r="C576" s="18"/>
      <c r="D576" s="18"/>
      <c r="E576" s="18"/>
      <c r="F576" s="18"/>
      <c r="G576" s="18"/>
      <c r="H576" s="18"/>
      <c r="I576" s="18"/>
      <c r="J576" s="18"/>
      <c r="K576" s="18"/>
      <c r="L576" s="18"/>
      <c r="M576" s="18"/>
      <c r="N576" s="18"/>
      <c r="O576" s="18"/>
      <c r="P576" s="18"/>
      <c r="Q576" s="18"/>
      <c r="R576" s="18"/>
      <c r="S576" s="18"/>
      <c r="T576" s="18"/>
      <c r="U576" s="18"/>
      <c r="V576" s="18"/>
      <c r="W576" s="18"/>
      <c r="X576" s="18"/>
      <c r="Y576" s="18"/>
      <c r="Z576" s="18"/>
    </row>
    <row r="577" spans="1:26" s="20" customFormat="1" x14ac:dyDescent="0.2">
      <c r="A577" s="18"/>
      <c r="B577" s="18"/>
      <c r="C577" s="18"/>
      <c r="D577" s="18"/>
      <c r="E577" s="18"/>
      <c r="F577" s="18"/>
      <c r="G577" s="18"/>
      <c r="H577" s="18"/>
      <c r="I577" s="18"/>
      <c r="J577" s="18"/>
      <c r="K577" s="18"/>
      <c r="L577" s="18"/>
      <c r="M577" s="18"/>
      <c r="N577" s="18"/>
      <c r="O577" s="18"/>
      <c r="P577" s="18"/>
      <c r="Q577" s="18"/>
      <c r="R577" s="18"/>
      <c r="S577" s="18"/>
      <c r="T577" s="18"/>
      <c r="U577" s="18"/>
      <c r="V577" s="18"/>
      <c r="W577" s="18"/>
      <c r="X577" s="18"/>
      <c r="Y577" s="18"/>
      <c r="Z577" s="18"/>
    </row>
    <row r="578" spans="1:26" s="20" customFormat="1" x14ac:dyDescent="0.2">
      <c r="A578" s="18"/>
      <c r="B578" s="18"/>
      <c r="C578" s="18"/>
      <c r="D578" s="18"/>
      <c r="E578" s="18"/>
      <c r="F578" s="18"/>
      <c r="G578" s="18"/>
      <c r="H578" s="18"/>
      <c r="I578" s="18"/>
      <c r="J578" s="18"/>
      <c r="K578" s="18"/>
      <c r="L578" s="18"/>
      <c r="M578" s="18"/>
      <c r="N578" s="18"/>
      <c r="O578" s="18"/>
      <c r="P578" s="18"/>
      <c r="Q578" s="18"/>
      <c r="R578" s="18"/>
      <c r="S578" s="18"/>
      <c r="T578" s="18"/>
      <c r="U578" s="18"/>
      <c r="V578" s="18"/>
      <c r="W578" s="18"/>
      <c r="X578" s="18"/>
      <c r="Y578" s="18"/>
      <c r="Z578" s="18"/>
    </row>
    <row r="579" spans="1:26" s="20" customFormat="1" x14ac:dyDescent="0.2">
      <c r="A579" s="18"/>
      <c r="B579" s="18"/>
      <c r="C579" s="18"/>
      <c r="D579" s="18"/>
      <c r="E579" s="18"/>
      <c r="F579" s="18"/>
      <c r="G579" s="18"/>
      <c r="H579" s="18"/>
      <c r="I579" s="18"/>
      <c r="J579" s="18"/>
      <c r="K579" s="18"/>
      <c r="L579" s="18"/>
      <c r="M579" s="18"/>
      <c r="N579" s="18"/>
      <c r="O579" s="18"/>
      <c r="P579" s="18"/>
      <c r="Q579" s="18"/>
      <c r="R579" s="18"/>
      <c r="S579" s="18"/>
      <c r="T579" s="18"/>
      <c r="U579" s="18"/>
      <c r="V579" s="18"/>
      <c r="W579" s="18"/>
      <c r="X579" s="18"/>
      <c r="Y579" s="18"/>
      <c r="Z579" s="18"/>
    </row>
    <row r="580" spans="1:26" s="20" customFormat="1" x14ac:dyDescent="0.2">
      <c r="A580" s="18"/>
      <c r="B580" s="18"/>
      <c r="C580" s="18"/>
      <c r="D580" s="18"/>
      <c r="E580" s="18"/>
      <c r="F580" s="18"/>
      <c r="G580" s="18"/>
      <c r="H580" s="18"/>
      <c r="I580" s="18"/>
      <c r="J580" s="18"/>
      <c r="K580" s="18"/>
      <c r="L580" s="18"/>
      <c r="M580" s="18"/>
      <c r="N580" s="18"/>
      <c r="O580" s="18"/>
      <c r="P580" s="18"/>
      <c r="Q580" s="18"/>
      <c r="R580" s="18"/>
      <c r="S580" s="18"/>
      <c r="T580" s="18"/>
      <c r="U580" s="18"/>
      <c r="V580" s="18"/>
      <c r="W580" s="18"/>
      <c r="X580" s="18"/>
      <c r="Y580" s="18"/>
      <c r="Z580" s="18"/>
    </row>
    <row r="581" spans="1:26" s="20" customFormat="1" x14ac:dyDescent="0.2">
      <c r="A581" s="18"/>
      <c r="B581" s="18"/>
      <c r="C581" s="18"/>
      <c r="D581" s="18"/>
      <c r="E581" s="18"/>
      <c r="F581" s="18"/>
      <c r="G581" s="18"/>
      <c r="H581" s="18"/>
      <c r="I581" s="18"/>
      <c r="J581" s="18"/>
      <c r="K581" s="18"/>
      <c r="L581" s="18"/>
      <c r="M581" s="18"/>
      <c r="N581" s="18"/>
      <c r="O581" s="18"/>
      <c r="P581" s="18"/>
      <c r="Q581" s="18"/>
      <c r="R581" s="18"/>
      <c r="S581" s="18"/>
      <c r="T581" s="18"/>
      <c r="U581" s="18"/>
      <c r="V581" s="18"/>
      <c r="W581" s="18"/>
      <c r="X581" s="18"/>
      <c r="Y581" s="18"/>
      <c r="Z581" s="18"/>
    </row>
    <row r="582" spans="1:26" s="20" customFormat="1" x14ac:dyDescent="0.2">
      <c r="A582" s="18"/>
      <c r="B582" s="18"/>
      <c r="C582" s="18"/>
      <c r="D582" s="18"/>
      <c r="E582" s="18"/>
      <c r="F582" s="18"/>
      <c r="G582" s="18"/>
      <c r="H582" s="18"/>
      <c r="I582" s="18"/>
      <c r="J582" s="18"/>
      <c r="K582" s="18"/>
      <c r="L582" s="18"/>
      <c r="M582" s="18"/>
      <c r="N582" s="18"/>
      <c r="O582" s="18"/>
      <c r="P582" s="18"/>
      <c r="Q582" s="18"/>
      <c r="R582" s="18"/>
      <c r="S582" s="18"/>
      <c r="T582" s="18"/>
      <c r="U582" s="18"/>
      <c r="V582" s="18"/>
      <c r="W582" s="18"/>
      <c r="X582" s="18"/>
      <c r="Y582" s="18"/>
      <c r="Z582" s="18"/>
    </row>
    <row r="583" spans="1:26" s="20" customFormat="1" x14ac:dyDescent="0.2">
      <c r="A583" s="18"/>
      <c r="B583" s="18"/>
      <c r="C583" s="18"/>
      <c r="D583" s="18"/>
      <c r="E583" s="18"/>
      <c r="F583" s="18"/>
      <c r="G583" s="18"/>
      <c r="H583" s="18"/>
      <c r="I583" s="18"/>
      <c r="J583" s="18"/>
      <c r="K583" s="18"/>
      <c r="L583" s="18"/>
      <c r="M583" s="18"/>
      <c r="N583" s="18"/>
      <c r="O583" s="18"/>
      <c r="P583" s="18"/>
      <c r="Q583" s="18"/>
      <c r="R583" s="18"/>
      <c r="S583" s="18"/>
      <c r="T583" s="18"/>
      <c r="U583" s="18"/>
      <c r="V583" s="18"/>
      <c r="W583" s="18"/>
      <c r="X583" s="18"/>
      <c r="Y583" s="18"/>
      <c r="Z583" s="18"/>
    </row>
    <row r="584" spans="1:26" s="20" customFormat="1" x14ac:dyDescent="0.2">
      <c r="A584" s="18"/>
      <c r="B584" s="18"/>
      <c r="C584" s="18"/>
      <c r="D584" s="18"/>
      <c r="E584" s="18"/>
      <c r="F584" s="18"/>
      <c r="G584" s="18"/>
      <c r="H584" s="18"/>
      <c r="I584" s="18"/>
      <c r="J584" s="18"/>
      <c r="K584" s="18"/>
      <c r="L584" s="18"/>
      <c r="M584" s="18"/>
      <c r="N584" s="18"/>
      <c r="O584" s="18"/>
      <c r="P584" s="18"/>
      <c r="Q584" s="18"/>
      <c r="R584" s="18"/>
      <c r="S584" s="18"/>
      <c r="T584" s="18"/>
      <c r="U584" s="18"/>
      <c r="V584" s="18"/>
      <c r="W584" s="18"/>
      <c r="X584" s="18"/>
      <c r="Y584" s="18"/>
      <c r="Z584" s="18"/>
    </row>
    <row r="585" spans="1:26" s="20" customFormat="1" x14ac:dyDescent="0.2">
      <c r="A585" s="18"/>
      <c r="B585" s="18"/>
      <c r="C585" s="18"/>
      <c r="D585" s="18"/>
      <c r="E585" s="18"/>
      <c r="F585" s="18"/>
      <c r="G585" s="18"/>
      <c r="H585" s="18"/>
      <c r="I585" s="18"/>
      <c r="J585" s="18"/>
      <c r="K585" s="18"/>
      <c r="L585" s="18"/>
      <c r="M585" s="18"/>
      <c r="N585" s="18"/>
      <c r="O585" s="18"/>
      <c r="P585" s="18"/>
      <c r="Q585" s="18"/>
      <c r="R585" s="18"/>
      <c r="S585" s="18"/>
      <c r="T585" s="18"/>
      <c r="U585" s="18"/>
      <c r="V585" s="18"/>
      <c r="W585" s="18"/>
      <c r="X585" s="18"/>
      <c r="Y585" s="18"/>
      <c r="Z585" s="18"/>
    </row>
    <row r="586" spans="1:26" s="20" customFormat="1" x14ac:dyDescent="0.2">
      <c r="A586" s="18"/>
      <c r="B586" s="18"/>
      <c r="C586" s="18"/>
      <c r="D586" s="18"/>
      <c r="E586" s="18"/>
      <c r="F586" s="18"/>
      <c r="G586" s="18"/>
      <c r="H586" s="18"/>
      <c r="I586" s="18"/>
      <c r="J586" s="18"/>
      <c r="K586" s="18"/>
      <c r="L586" s="18"/>
      <c r="M586" s="18"/>
      <c r="N586" s="18"/>
      <c r="O586" s="18"/>
      <c r="P586" s="18"/>
      <c r="Q586" s="18"/>
      <c r="R586" s="18"/>
      <c r="S586" s="18"/>
      <c r="T586" s="18"/>
      <c r="U586" s="18"/>
      <c r="V586" s="18"/>
      <c r="W586" s="18"/>
      <c r="X586" s="18"/>
      <c r="Y586" s="18"/>
      <c r="Z586" s="18"/>
    </row>
    <row r="587" spans="1:26" s="20" customFormat="1" x14ac:dyDescent="0.2">
      <c r="A587" s="18"/>
      <c r="B587" s="18"/>
      <c r="C587" s="18"/>
      <c r="D587" s="18"/>
      <c r="E587" s="18"/>
      <c r="F587" s="18"/>
      <c r="G587" s="18"/>
      <c r="H587" s="18"/>
      <c r="I587" s="18"/>
      <c r="J587" s="18"/>
      <c r="K587" s="18"/>
      <c r="L587" s="18"/>
      <c r="M587" s="18"/>
      <c r="N587" s="18"/>
      <c r="O587" s="18"/>
      <c r="P587" s="18"/>
      <c r="Q587" s="18"/>
      <c r="R587" s="18"/>
      <c r="S587" s="18"/>
      <c r="T587" s="18"/>
      <c r="U587" s="18"/>
      <c r="V587" s="18"/>
      <c r="W587" s="18"/>
      <c r="X587" s="18"/>
      <c r="Y587" s="18"/>
      <c r="Z587" s="18"/>
    </row>
    <row r="588" spans="1:26" s="20" customFormat="1" x14ac:dyDescent="0.2">
      <c r="A588" s="18"/>
      <c r="B588" s="18"/>
      <c r="C588" s="18"/>
      <c r="D588" s="18"/>
      <c r="E588" s="18"/>
      <c r="F588" s="18"/>
      <c r="G588" s="18"/>
      <c r="H588" s="18"/>
      <c r="I588" s="18"/>
      <c r="J588" s="18"/>
      <c r="K588" s="18"/>
      <c r="L588" s="18"/>
      <c r="M588" s="18"/>
      <c r="N588" s="18"/>
      <c r="O588" s="18"/>
      <c r="P588" s="18"/>
      <c r="Q588" s="18"/>
      <c r="R588" s="18"/>
      <c r="S588" s="18"/>
      <c r="T588" s="18"/>
      <c r="U588" s="18"/>
      <c r="V588" s="18"/>
      <c r="W588" s="18"/>
      <c r="X588" s="18"/>
      <c r="Y588" s="18"/>
      <c r="Z588" s="18"/>
    </row>
    <row r="589" spans="1:26" s="20" customFormat="1" x14ac:dyDescent="0.2">
      <c r="A589" s="18"/>
      <c r="B589" s="18"/>
      <c r="C589" s="18"/>
      <c r="D589" s="18"/>
      <c r="E589" s="18"/>
      <c r="F589" s="18"/>
      <c r="G589" s="18"/>
      <c r="H589" s="18"/>
      <c r="I589" s="18"/>
      <c r="J589" s="18"/>
      <c r="K589" s="18"/>
      <c r="L589" s="18"/>
      <c r="M589" s="18"/>
      <c r="N589" s="18"/>
      <c r="O589" s="18"/>
      <c r="P589" s="18"/>
      <c r="Q589" s="18"/>
      <c r="R589" s="18"/>
      <c r="S589" s="18"/>
      <c r="T589" s="18"/>
      <c r="U589" s="18"/>
      <c r="V589" s="18"/>
      <c r="W589" s="18"/>
      <c r="X589" s="18"/>
      <c r="Y589" s="18"/>
      <c r="Z589" s="18"/>
    </row>
    <row r="590" spans="1:26" s="20" customFormat="1" x14ac:dyDescent="0.2">
      <c r="A590" s="18"/>
      <c r="B590" s="18"/>
      <c r="C590" s="18"/>
      <c r="D590" s="18"/>
      <c r="E590" s="18"/>
      <c r="F590" s="18"/>
      <c r="G590" s="18"/>
      <c r="H590" s="18"/>
      <c r="I590" s="18"/>
      <c r="J590" s="18"/>
      <c r="K590" s="18"/>
      <c r="L590" s="18"/>
      <c r="M590" s="18"/>
      <c r="N590" s="18"/>
      <c r="O590" s="18"/>
      <c r="P590" s="18"/>
      <c r="Q590" s="18"/>
      <c r="R590" s="18"/>
      <c r="S590" s="18"/>
      <c r="T590" s="18"/>
      <c r="U590" s="18"/>
      <c r="V590" s="18"/>
      <c r="W590" s="18"/>
      <c r="X590" s="18"/>
      <c r="Y590" s="18"/>
      <c r="Z590" s="18"/>
    </row>
    <row r="591" spans="1:26" s="20" customFormat="1" x14ac:dyDescent="0.2">
      <c r="A591" s="18"/>
      <c r="B591" s="18"/>
      <c r="C591" s="18"/>
      <c r="D591" s="18"/>
      <c r="E591" s="18"/>
      <c r="F591" s="18"/>
      <c r="G591" s="18"/>
      <c r="H591" s="18"/>
      <c r="I591" s="18"/>
      <c r="J591" s="18"/>
      <c r="K591" s="18"/>
      <c r="L591" s="18"/>
      <c r="M591" s="18"/>
      <c r="N591" s="18"/>
      <c r="O591" s="18"/>
      <c r="P591" s="18"/>
      <c r="Q591" s="18"/>
      <c r="R591" s="18"/>
      <c r="S591" s="18"/>
      <c r="T591" s="18"/>
      <c r="U591" s="18"/>
      <c r="V591" s="18"/>
      <c r="W591" s="18"/>
      <c r="X591" s="18"/>
      <c r="Y591" s="18"/>
      <c r="Z591" s="18"/>
    </row>
    <row r="592" spans="1:26" s="20" customFormat="1" x14ac:dyDescent="0.2">
      <c r="A592" s="18"/>
      <c r="B592" s="18"/>
      <c r="C592" s="18"/>
      <c r="D592" s="18"/>
      <c r="E592" s="18"/>
      <c r="F592" s="18"/>
      <c r="G592" s="18"/>
      <c r="H592" s="18"/>
      <c r="I592" s="18"/>
      <c r="J592" s="18"/>
      <c r="K592" s="18"/>
      <c r="L592" s="18"/>
      <c r="M592" s="18"/>
      <c r="N592" s="18"/>
      <c r="O592" s="18"/>
      <c r="P592" s="18"/>
      <c r="Q592" s="18"/>
      <c r="R592" s="18"/>
      <c r="S592" s="18"/>
      <c r="T592" s="18"/>
      <c r="U592" s="18"/>
      <c r="V592" s="18"/>
      <c r="W592" s="18"/>
      <c r="X592" s="18"/>
      <c r="Y592" s="18"/>
      <c r="Z592" s="18"/>
    </row>
    <row r="593" spans="1:26" s="20" customFormat="1" x14ac:dyDescent="0.2">
      <c r="A593" s="18"/>
      <c r="B593" s="18"/>
      <c r="C593" s="18"/>
      <c r="D593" s="18"/>
      <c r="E593" s="18"/>
      <c r="F593" s="18"/>
      <c r="G593" s="18"/>
      <c r="H593" s="18"/>
      <c r="I593" s="18"/>
      <c r="J593" s="18"/>
      <c r="K593" s="18"/>
      <c r="L593" s="18"/>
      <c r="M593" s="18"/>
      <c r="N593" s="18"/>
      <c r="O593" s="18"/>
      <c r="P593" s="18"/>
      <c r="Q593" s="18"/>
      <c r="R593" s="18"/>
      <c r="S593" s="18"/>
      <c r="T593" s="18"/>
      <c r="U593" s="18"/>
      <c r="V593" s="18"/>
      <c r="W593" s="18"/>
      <c r="X593" s="18"/>
      <c r="Y593" s="18"/>
      <c r="Z593" s="18"/>
    </row>
    <row r="594" spans="1:26" s="20" customFormat="1" x14ac:dyDescent="0.2">
      <c r="A594" s="18"/>
      <c r="B594" s="18"/>
      <c r="C594" s="18"/>
      <c r="D594" s="18"/>
      <c r="E594" s="18"/>
      <c r="F594" s="18"/>
      <c r="G594" s="18"/>
      <c r="H594" s="18"/>
      <c r="I594" s="18"/>
      <c r="J594" s="18"/>
      <c r="K594" s="18"/>
      <c r="L594" s="18"/>
      <c r="M594" s="18"/>
      <c r="N594" s="18"/>
      <c r="O594" s="18"/>
      <c r="P594" s="18"/>
      <c r="Q594" s="18"/>
      <c r="R594" s="18"/>
      <c r="S594" s="18"/>
      <c r="T594" s="18"/>
      <c r="U594" s="18"/>
      <c r="V594" s="18"/>
      <c r="W594" s="18"/>
      <c r="X594" s="18"/>
      <c r="Y594" s="18"/>
      <c r="Z594" s="18"/>
    </row>
    <row r="595" spans="1:26" s="20" customFormat="1" x14ac:dyDescent="0.2">
      <c r="A595" s="18"/>
      <c r="B595" s="18"/>
      <c r="C595" s="18"/>
      <c r="D595" s="18"/>
      <c r="E595" s="18"/>
      <c r="F595" s="18"/>
      <c r="G595" s="18"/>
      <c r="H595" s="18"/>
      <c r="I595" s="18"/>
      <c r="J595" s="18"/>
      <c r="K595" s="18"/>
      <c r="L595" s="18"/>
      <c r="M595" s="18"/>
      <c r="N595" s="18"/>
      <c r="O595" s="18"/>
      <c r="P595" s="18"/>
      <c r="Q595" s="18"/>
      <c r="R595" s="18"/>
      <c r="S595" s="18"/>
      <c r="T595" s="18"/>
      <c r="U595" s="18"/>
      <c r="V595" s="18"/>
      <c r="W595" s="18"/>
      <c r="X595" s="18"/>
      <c r="Y595" s="18"/>
      <c r="Z595" s="18"/>
    </row>
    <row r="596" spans="1:26" s="20" customFormat="1" x14ac:dyDescent="0.2">
      <c r="A596" s="18"/>
      <c r="B596" s="18"/>
      <c r="C596" s="18"/>
      <c r="D596" s="18"/>
      <c r="E596" s="18"/>
      <c r="F596" s="18"/>
      <c r="G596" s="18"/>
      <c r="H596" s="18"/>
      <c r="I596" s="18"/>
      <c r="J596" s="18"/>
      <c r="K596" s="18"/>
      <c r="L596" s="18"/>
      <c r="M596" s="18"/>
      <c r="N596" s="18"/>
      <c r="O596" s="18"/>
      <c r="P596" s="18"/>
      <c r="Q596" s="18"/>
      <c r="R596" s="18"/>
      <c r="S596" s="18"/>
      <c r="T596" s="18"/>
      <c r="U596" s="18"/>
      <c r="V596" s="18"/>
      <c r="W596" s="18"/>
      <c r="X596" s="18"/>
      <c r="Y596" s="18"/>
      <c r="Z596" s="18"/>
    </row>
    <row r="597" spans="1:26" s="20" customFormat="1" x14ac:dyDescent="0.2">
      <c r="A597" s="18"/>
      <c r="B597" s="18"/>
      <c r="C597" s="18"/>
      <c r="D597" s="18"/>
      <c r="E597" s="18"/>
      <c r="F597" s="18"/>
      <c r="G597" s="18"/>
      <c r="H597" s="18"/>
      <c r="I597" s="18"/>
      <c r="J597" s="18"/>
      <c r="K597" s="18"/>
      <c r="L597" s="18"/>
      <c r="M597" s="18"/>
      <c r="N597" s="18"/>
      <c r="O597" s="18"/>
      <c r="P597" s="18"/>
      <c r="Q597" s="18"/>
      <c r="R597" s="18"/>
      <c r="S597" s="18"/>
      <c r="T597" s="18"/>
      <c r="U597" s="18"/>
      <c r="V597" s="18"/>
      <c r="W597" s="18"/>
      <c r="X597" s="18"/>
      <c r="Y597" s="18"/>
      <c r="Z597" s="18"/>
    </row>
    <row r="598" spans="1:26" s="20" customFormat="1" x14ac:dyDescent="0.2">
      <c r="A598" s="18"/>
      <c r="B598" s="18"/>
      <c r="C598" s="18"/>
      <c r="D598" s="18"/>
      <c r="E598" s="18"/>
      <c r="F598" s="18"/>
      <c r="G598" s="18"/>
      <c r="H598" s="18"/>
      <c r="I598" s="18"/>
      <c r="J598" s="18"/>
      <c r="K598" s="18"/>
      <c r="L598" s="18"/>
      <c r="M598" s="18"/>
      <c r="N598" s="18"/>
      <c r="O598" s="18"/>
      <c r="P598" s="18"/>
      <c r="Q598" s="18"/>
      <c r="R598" s="18"/>
      <c r="S598" s="18"/>
      <c r="T598" s="18"/>
      <c r="U598" s="18"/>
      <c r="V598" s="18"/>
      <c r="W598" s="18"/>
      <c r="X598" s="18"/>
      <c r="Y598" s="18"/>
      <c r="Z598" s="18"/>
    </row>
    <row r="599" spans="1:26" s="20" customFormat="1" x14ac:dyDescent="0.2">
      <c r="A599" s="18"/>
      <c r="B599" s="18"/>
      <c r="C599" s="18"/>
      <c r="D599" s="18"/>
      <c r="E599" s="18"/>
      <c r="F599" s="18"/>
      <c r="G599" s="18"/>
      <c r="H599" s="18"/>
      <c r="I599" s="18"/>
      <c r="J599" s="18"/>
      <c r="K599" s="18"/>
      <c r="L599" s="18"/>
      <c r="M599" s="18"/>
      <c r="N599" s="18"/>
      <c r="O599" s="18"/>
      <c r="P599" s="18"/>
      <c r="Q599" s="18"/>
      <c r="R599" s="18"/>
      <c r="S599" s="18"/>
      <c r="T599" s="18"/>
      <c r="U599" s="18"/>
      <c r="V599" s="18"/>
      <c r="W599" s="18"/>
      <c r="X599" s="18"/>
      <c r="Y599" s="18"/>
      <c r="Z599" s="18"/>
    </row>
    <row r="600" spans="1:26" s="20" customFormat="1" x14ac:dyDescent="0.2">
      <c r="A600" s="18"/>
      <c r="B600" s="18"/>
      <c r="C600" s="18"/>
      <c r="D600" s="18"/>
      <c r="E600" s="18"/>
      <c r="F600" s="18"/>
      <c r="G600" s="18"/>
      <c r="H600" s="18"/>
      <c r="I600" s="18"/>
      <c r="J600" s="18"/>
      <c r="K600" s="18"/>
      <c r="L600" s="18"/>
      <c r="M600" s="18"/>
      <c r="N600" s="18"/>
      <c r="O600" s="18"/>
      <c r="P600" s="18"/>
      <c r="Q600" s="18"/>
      <c r="R600" s="18"/>
      <c r="S600" s="18"/>
      <c r="T600" s="18"/>
      <c r="U600" s="18"/>
      <c r="V600" s="18"/>
      <c r="W600" s="18"/>
      <c r="X600" s="18"/>
      <c r="Y600" s="18"/>
      <c r="Z600" s="18"/>
    </row>
    <row r="601" spans="1:26" s="20" customFormat="1" x14ac:dyDescent="0.2">
      <c r="A601" s="18"/>
      <c r="B601" s="18"/>
      <c r="C601" s="18"/>
      <c r="D601" s="18"/>
      <c r="E601" s="18"/>
      <c r="F601" s="18"/>
      <c r="G601" s="18"/>
      <c r="H601" s="18"/>
      <c r="I601" s="18"/>
      <c r="J601" s="18"/>
      <c r="K601" s="18"/>
      <c r="L601" s="18"/>
      <c r="M601" s="18"/>
      <c r="N601" s="18"/>
      <c r="O601" s="18"/>
      <c r="P601" s="18"/>
      <c r="Q601" s="18"/>
      <c r="R601" s="18"/>
      <c r="S601" s="18"/>
      <c r="T601" s="18"/>
      <c r="U601" s="18"/>
      <c r="V601" s="18"/>
      <c r="W601" s="18"/>
      <c r="X601" s="18"/>
      <c r="Y601" s="18"/>
      <c r="Z601" s="18"/>
    </row>
    <row r="602" spans="1:26" s="20" customFormat="1" x14ac:dyDescent="0.2">
      <c r="A602" s="18"/>
      <c r="B602" s="18"/>
      <c r="C602" s="18"/>
      <c r="D602" s="18"/>
      <c r="E602" s="18"/>
      <c r="F602" s="18"/>
      <c r="G602" s="18"/>
      <c r="H602" s="18"/>
      <c r="I602" s="18"/>
      <c r="J602" s="18"/>
      <c r="K602" s="18"/>
      <c r="L602" s="18"/>
      <c r="M602" s="18"/>
      <c r="N602" s="18"/>
      <c r="O602" s="18"/>
      <c r="P602" s="18"/>
      <c r="Q602" s="18"/>
      <c r="R602" s="18"/>
      <c r="S602" s="18"/>
      <c r="T602" s="18"/>
      <c r="U602" s="18"/>
      <c r="V602" s="18"/>
      <c r="W602" s="18"/>
      <c r="X602" s="18"/>
      <c r="Y602" s="18"/>
      <c r="Z602" s="18"/>
    </row>
    <row r="603" spans="1:26" s="20" customFormat="1" x14ac:dyDescent="0.2">
      <c r="A603" s="18"/>
      <c r="B603" s="18"/>
      <c r="C603" s="18"/>
      <c r="D603" s="18"/>
      <c r="E603" s="18"/>
      <c r="F603" s="18"/>
      <c r="G603" s="18"/>
      <c r="H603" s="18"/>
      <c r="I603" s="18"/>
      <c r="J603" s="18"/>
      <c r="K603" s="18"/>
      <c r="L603" s="18"/>
      <c r="M603" s="18"/>
      <c r="N603" s="18"/>
      <c r="O603" s="18"/>
      <c r="P603" s="18"/>
      <c r="Q603" s="18"/>
      <c r="R603" s="18"/>
      <c r="S603" s="18"/>
      <c r="T603" s="18"/>
      <c r="U603" s="18"/>
      <c r="V603" s="18"/>
      <c r="W603" s="18"/>
      <c r="X603" s="18"/>
      <c r="Y603" s="18"/>
      <c r="Z603" s="18"/>
    </row>
    <row r="604" spans="1:26" s="20" customFormat="1" x14ac:dyDescent="0.2">
      <c r="A604" s="18"/>
      <c r="B604" s="18"/>
      <c r="C604" s="18"/>
      <c r="D604" s="18"/>
      <c r="E604" s="18"/>
      <c r="F604" s="18"/>
      <c r="G604" s="18"/>
      <c r="H604" s="18"/>
      <c r="I604" s="18"/>
      <c r="J604" s="18"/>
      <c r="K604" s="18"/>
      <c r="L604" s="18"/>
      <c r="M604" s="18"/>
      <c r="N604" s="18"/>
      <c r="O604" s="18"/>
      <c r="P604" s="18"/>
      <c r="Q604" s="18"/>
      <c r="R604" s="18"/>
      <c r="S604" s="18"/>
      <c r="T604" s="18"/>
      <c r="U604" s="18"/>
      <c r="V604" s="18"/>
      <c r="W604" s="18"/>
      <c r="X604" s="18"/>
      <c r="Y604" s="18"/>
      <c r="Z604" s="18"/>
    </row>
    <row r="605" spans="1:26" s="20" customFormat="1" x14ac:dyDescent="0.2">
      <c r="A605" s="18"/>
      <c r="B605" s="18"/>
      <c r="C605" s="18"/>
      <c r="D605" s="18"/>
      <c r="E605" s="18"/>
      <c r="F605" s="18"/>
      <c r="G605" s="18"/>
      <c r="H605" s="18"/>
      <c r="I605" s="18"/>
      <c r="J605" s="18"/>
      <c r="K605" s="18"/>
      <c r="L605" s="18"/>
      <c r="M605" s="18"/>
      <c r="N605" s="18"/>
      <c r="O605" s="18"/>
      <c r="P605" s="18"/>
      <c r="Q605" s="18"/>
      <c r="R605" s="18"/>
      <c r="S605" s="18"/>
      <c r="T605" s="18"/>
      <c r="U605" s="18"/>
      <c r="V605" s="18"/>
      <c r="W605" s="18"/>
      <c r="X605" s="18"/>
      <c r="Y605" s="18"/>
      <c r="Z605" s="18"/>
    </row>
    <row r="606" spans="1:26" s="20" customFormat="1" x14ac:dyDescent="0.2">
      <c r="A606" s="18"/>
      <c r="B606" s="18"/>
      <c r="C606" s="18"/>
      <c r="D606" s="18"/>
      <c r="E606" s="18"/>
      <c r="F606" s="18"/>
      <c r="G606" s="18"/>
      <c r="H606" s="18"/>
      <c r="I606" s="18"/>
      <c r="J606" s="18"/>
      <c r="K606" s="18"/>
      <c r="L606" s="18"/>
      <c r="M606" s="18"/>
      <c r="N606" s="18"/>
      <c r="O606" s="18"/>
      <c r="P606" s="18"/>
      <c r="Q606" s="18"/>
      <c r="R606" s="18"/>
      <c r="S606" s="18"/>
      <c r="T606" s="18"/>
      <c r="U606" s="18"/>
      <c r="V606" s="18"/>
      <c r="W606" s="18"/>
      <c r="X606" s="18"/>
      <c r="Y606" s="18"/>
      <c r="Z606" s="18"/>
    </row>
    <row r="607" spans="1:26" s="20" customFormat="1" x14ac:dyDescent="0.2">
      <c r="A607" s="18"/>
      <c r="B607" s="18"/>
      <c r="C607" s="18"/>
      <c r="D607" s="18"/>
      <c r="E607" s="18"/>
      <c r="F607" s="18"/>
      <c r="G607" s="18"/>
      <c r="H607" s="18"/>
      <c r="I607" s="18"/>
      <c r="J607" s="18"/>
      <c r="K607" s="18"/>
      <c r="L607" s="18"/>
      <c r="M607" s="18"/>
      <c r="N607" s="18"/>
      <c r="O607" s="18"/>
      <c r="P607" s="18"/>
      <c r="Q607" s="18"/>
      <c r="R607" s="18"/>
      <c r="S607" s="18"/>
      <c r="T607" s="18"/>
      <c r="U607" s="18"/>
      <c r="V607" s="18"/>
      <c r="W607" s="18"/>
      <c r="X607" s="18"/>
      <c r="Y607" s="18"/>
      <c r="Z607" s="18"/>
    </row>
    <row r="608" spans="1:26" s="20" customFormat="1" x14ac:dyDescent="0.2">
      <c r="A608" s="18"/>
      <c r="B608" s="18"/>
      <c r="C608" s="18"/>
      <c r="D608" s="18"/>
      <c r="E608" s="18"/>
      <c r="F608" s="18"/>
      <c r="G608" s="18"/>
      <c r="H608" s="18"/>
      <c r="I608" s="18"/>
      <c r="J608" s="18"/>
      <c r="K608" s="18"/>
      <c r="L608" s="18"/>
      <c r="M608" s="18"/>
      <c r="N608" s="18"/>
      <c r="O608" s="18"/>
      <c r="P608" s="18"/>
      <c r="Q608" s="18"/>
      <c r="R608" s="18"/>
      <c r="S608" s="18"/>
      <c r="T608" s="18"/>
      <c r="U608" s="18"/>
      <c r="V608" s="18"/>
      <c r="W608" s="18"/>
      <c r="X608" s="18"/>
      <c r="Y608" s="18"/>
      <c r="Z608" s="18"/>
    </row>
    <row r="609" spans="1:26" s="20" customFormat="1" x14ac:dyDescent="0.2">
      <c r="A609" s="18"/>
      <c r="B609" s="18"/>
      <c r="C609" s="18"/>
      <c r="D609" s="18"/>
      <c r="E609" s="18"/>
      <c r="F609" s="18"/>
      <c r="G609" s="18"/>
      <c r="H609" s="18"/>
      <c r="I609" s="18"/>
      <c r="J609" s="18"/>
      <c r="K609" s="18"/>
      <c r="L609" s="18"/>
      <c r="M609" s="18"/>
      <c r="N609" s="18"/>
      <c r="O609" s="18"/>
      <c r="P609" s="18"/>
      <c r="Q609" s="18"/>
      <c r="R609" s="18"/>
      <c r="S609" s="18"/>
      <c r="T609" s="18"/>
      <c r="U609" s="18"/>
      <c r="V609" s="18"/>
      <c r="W609" s="18"/>
      <c r="X609" s="18"/>
      <c r="Y609" s="18"/>
      <c r="Z609" s="18"/>
    </row>
    <row r="610" spans="1:26" s="20" customFormat="1" x14ac:dyDescent="0.2">
      <c r="A610" s="18"/>
      <c r="B610" s="18"/>
      <c r="C610" s="18"/>
      <c r="D610" s="18"/>
      <c r="E610" s="18"/>
      <c r="F610" s="18"/>
      <c r="G610" s="18"/>
      <c r="H610" s="18"/>
      <c r="I610" s="18"/>
      <c r="J610" s="18"/>
      <c r="K610" s="18"/>
      <c r="L610" s="18"/>
      <c r="M610" s="18"/>
      <c r="N610" s="18"/>
      <c r="O610" s="18"/>
      <c r="P610" s="18"/>
      <c r="Q610" s="18"/>
      <c r="R610" s="18"/>
      <c r="S610" s="18"/>
      <c r="T610" s="18"/>
      <c r="U610" s="18"/>
      <c r="V610" s="18"/>
      <c r="W610" s="18"/>
      <c r="X610" s="18"/>
      <c r="Y610" s="18"/>
      <c r="Z610" s="18"/>
    </row>
    <row r="611" spans="1:26" s="20" customFormat="1" x14ac:dyDescent="0.2">
      <c r="A611" s="18"/>
      <c r="B611" s="18"/>
      <c r="C611" s="18"/>
      <c r="D611" s="18"/>
      <c r="E611" s="18"/>
      <c r="F611" s="18"/>
      <c r="G611" s="18"/>
      <c r="H611" s="18"/>
      <c r="I611" s="18"/>
      <c r="J611" s="18"/>
      <c r="K611" s="18"/>
      <c r="L611" s="18"/>
      <c r="M611" s="18"/>
      <c r="N611" s="18"/>
      <c r="O611" s="18"/>
      <c r="P611" s="18"/>
      <c r="Q611" s="18"/>
      <c r="R611" s="18"/>
      <c r="S611" s="18"/>
      <c r="T611" s="18"/>
      <c r="U611" s="18"/>
      <c r="V611" s="18"/>
      <c r="W611" s="18"/>
      <c r="X611" s="18"/>
      <c r="Y611" s="18"/>
      <c r="Z611" s="18"/>
    </row>
    <row r="612" spans="1:26" s="20" customFormat="1" x14ac:dyDescent="0.2">
      <c r="A612" s="18"/>
      <c r="B612" s="18"/>
      <c r="C612" s="18"/>
      <c r="D612" s="18"/>
      <c r="E612" s="18"/>
      <c r="F612" s="18"/>
      <c r="G612" s="18"/>
      <c r="H612" s="18"/>
      <c r="I612" s="18"/>
      <c r="J612" s="18"/>
      <c r="K612" s="18"/>
      <c r="L612" s="18"/>
      <c r="M612" s="18"/>
      <c r="N612" s="18"/>
      <c r="O612" s="18"/>
      <c r="P612" s="18"/>
      <c r="Q612" s="18"/>
      <c r="R612" s="18"/>
      <c r="S612" s="18"/>
      <c r="T612" s="18"/>
      <c r="U612" s="18"/>
      <c r="V612" s="18"/>
      <c r="W612" s="18"/>
      <c r="X612" s="18"/>
      <c r="Y612" s="18"/>
      <c r="Z612" s="18"/>
    </row>
    <row r="613" spans="1:26" s="20" customFormat="1" x14ac:dyDescent="0.2">
      <c r="A613" s="18"/>
      <c r="B613" s="18"/>
      <c r="C613" s="18"/>
      <c r="D613" s="18"/>
      <c r="E613" s="18"/>
      <c r="F613" s="18"/>
      <c r="G613" s="18"/>
      <c r="H613" s="18"/>
      <c r="I613" s="18"/>
      <c r="J613" s="18"/>
      <c r="K613" s="18"/>
      <c r="L613" s="18"/>
      <c r="M613" s="18"/>
      <c r="N613" s="18"/>
      <c r="O613" s="18"/>
      <c r="P613" s="18"/>
      <c r="Q613" s="18"/>
      <c r="R613" s="18"/>
      <c r="S613" s="18"/>
      <c r="T613" s="18"/>
      <c r="U613" s="18"/>
      <c r="V613" s="18"/>
      <c r="W613" s="18"/>
      <c r="X613" s="18"/>
      <c r="Y613" s="18"/>
      <c r="Z613" s="18"/>
    </row>
    <row r="614" spans="1:26" s="20" customFormat="1" x14ac:dyDescent="0.2">
      <c r="A614" s="18"/>
      <c r="B614" s="18"/>
      <c r="C614" s="18"/>
      <c r="D614" s="18"/>
      <c r="E614" s="18"/>
      <c r="F614" s="18"/>
      <c r="G614" s="18"/>
      <c r="H614" s="18"/>
      <c r="I614" s="18"/>
      <c r="J614" s="18"/>
      <c r="K614" s="18"/>
      <c r="L614" s="18"/>
      <c r="M614" s="18"/>
      <c r="N614" s="18"/>
      <c r="O614" s="18"/>
      <c r="P614" s="18"/>
      <c r="Q614" s="18"/>
      <c r="R614" s="18"/>
      <c r="S614" s="18"/>
      <c r="T614" s="18"/>
      <c r="U614" s="18"/>
      <c r="V614" s="18"/>
      <c r="W614" s="18"/>
      <c r="X614" s="18"/>
      <c r="Y614" s="18"/>
      <c r="Z614" s="18"/>
    </row>
    <row r="615" spans="1:26" s="20" customFormat="1" x14ac:dyDescent="0.2">
      <c r="A615" s="18"/>
      <c r="B615" s="18"/>
      <c r="C615" s="18"/>
      <c r="D615" s="18"/>
      <c r="E615" s="18"/>
      <c r="F615" s="18"/>
      <c r="G615" s="18"/>
      <c r="H615" s="18"/>
      <c r="I615" s="18"/>
      <c r="J615" s="18"/>
      <c r="K615" s="18"/>
      <c r="L615" s="18"/>
      <c r="M615" s="18"/>
      <c r="N615" s="18"/>
      <c r="O615" s="18"/>
      <c r="P615" s="18"/>
      <c r="Q615" s="18"/>
      <c r="R615" s="18"/>
      <c r="S615" s="18"/>
      <c r="T615" s="18"/>
      <c r="U615" s="18"/>
      <c r="V615" s="18"/>
      <c r="W615" s="18"/>
      <c r="X615" s="18"/>
      <c r="Y615" s="18"/>
      <c r="Z615" s="18"/>
    </row>
    <row r="616" spans="1:26" s="20" customFormat="1" x14ac:dyDescent="0.2">
      <c r="A616" s="18"/>
      <c r="B616" s="18"/>
      <c r="C616" s="18"/>
      <c r="D616" s="18"/>
      <c r="E616" s="18"/>
      <c r="F616" s="18"/>
      <c r="G616" s="18"/>
      <c r="H616" s="18"/>
      <c r="I616" s="18"/>
      <c r="J616" s="18"/>
      <c r="K616" s="18"/>
      <c r="L616" s="18"/>
      <c r="M616" s="18"/>
      <c r="N616" s="18"/>
      <c r="O616" s="18"/>
      <c r="P616" s="18"/>
      <c r="Q616" s="18"/>
      <c r="R616" s="18"/>
      <c r="S616" s="18"/>
      <c r="T616" s="18"/>
      <c r="U616" s="18"/>
      <c r="V616" s="18"/>
      <c r="W616" s="18"/>
      <c r="X616" s="18"/>
      <c r="Y616" s="18"/>
      <c r="Z616" s="18"/>
    </row>
    <row r="617" spans="1:26" s="20" customFormat="1" x14ac:dyDescent="0.2">
      <c r="A617" s="18"/>
      <c r="B617" s="18"/>
      <c r="C617" s="18"/>
      <c r="D617" s="18"/>
      <c r="E617" s="18"/>
      <c r="F617" s="18"/>
      <c r="G617" s="18"/>
      <c r="H617" s="18"/>
      <c r="I617" s="18"/>
      <c r="J617" s="18"/>
      <c r="K617" s="18"/>
      <c r="L617" s="18"/>
      <c r="M617" s="18"/>
      <c r="N617" s="18"/>
      <c r="O617" s="18"/>
      <c r="P617" s="18"/>
      <c r="Q617" s="18"/>
      <c r="R617" s="18"/>
      <c r="S617" s="18"/>
      <c r="T617" s="18"/>
      <c r="U617" s="18"/>
      <c r="V617" s="18"/>
      <c r="W617" s="18"/>
      <c r="X617" s="18"/>
      <c r="Y617" s="18"/>
      <c r="Z617" s="18"/>
    </row>
    <row r="618" spans="1:26" s="20" customFormat="1" x14ac:dyDescent="0.2">
      <c r="A618" s="18"/>
      <c r="B618" s="18"/>
      <c r="C618" s="18"/>
      <c r="D618" s="18"/>
      <c r="E618" s="18"/>
      <c r="F618" s="18"/>
      <c r="G618" s="18"/>
      <c r="H618" s="18"/>
      <c r="I618" s="18"/>
      <c r="J618" s="18"/>
      <c r="K618" s="18"/>
      <c r="L618" s="18"/>
      <c r="M618" s="18"/>
      <c r="N618" s="18"/>
      <c r="O618" s="18"/>
      <c r="P618" s="18"/>
      <c r="Q618" s="18"/>
      <c r="R618" s="18"/>
      <c r="S618" s="18"/>
      <c r="T618" s="18"/>
      <c r="U618" s="18"/>
      <c r="V618" s="18"/>
      <c r="W618" s="18"/>
      <c r="X618" s="18"/>
      <c r="Y618" s="18"/>
      <c r="Z618" s="18"/>
    </row>
    <row r="619" spans="1:26" s="20" customFormat="1" x14ac:dyDescent="0.2">
      <c r="A619" s="18"/>
      <c r="B619" s="18"/>
      <c r="C619" s="18"/>
      <c r="D619" s="18"/>
      <c r="E619" s="18"/>
      <c r="F619" s="18"/>
      <c r="G619" s="18"/>
      <c r="H619" s="18"/>
      <c r="I619" s="18"/>
      <c r="J619" s="18"/>
      <c r="K619" s="18"/>
      <c r="L619" s="18"/>
      <c r="M619" s="18"/>
      <c r="N619" s="18"/>
      <c r="O619" s="18"/>
      <c r="P619" s="18"/>
      <c r="Q619" s="18"/>
      <c r="R619" s="18"/>
      <c r="S619" s="18"/>
      <c r="T619" s="18"/>
      <c r="U619" s="18"/>
      <c r="V619" s="18"/>
      <c r="W619" s="18"/>
      <c r="X619" s="18"/>
      <c r="Y619" s="18"/>
      <c r="Z619" s="18"/>
    </row>
    <row r="620" spans="1:26" s="20" customFormat="1" x14ac:dyDescent="0.2">
      <c r="A620" s="18"/>
      <c r="B620" s="18"/>
      <c r="C620" s="18"/>
      <c r="D620" s="18"/>
      <c r="E620" s="18"/>
      <c r="F620" s="18"/>
      <c r="G620" s="18"/>
      <c r="H620" s="18"/>
      <c r="I620" s="18"/>
      <c r="J620" s="18"/>
      <c r="K620" s="18"/>
      <c r="L620" s="18"/>
      <c r="M620" s="18"/>
      <c r="N620" s="18"/>
      <c r="O620" s="18"/>
      <c r="P620" s="18"/>
      <c r="Q620" s="18"/>
      <c r="R620" s="18"/>
      <c r="S620" s="18"/>
      <c r="T620" s="18"/>
      <c r="U620" s="18"/>
      <c r="V620" s="18"/>
      <c r="W620" s="18"/>
      <c r="X620" s="18"/>
      <c r="Y620" s="18"/>
      <c r="Z620" s="18"/>
    </row>
    <row r="621" spans="1:26" s="20" customFormat="1" x14ac:dyDescent="0.2">
      <c r="A621" s="18"/>
      <c r="B621" s="18"/>
      <c r="C621" s="18"/>
      <c r="D621" s="18"/>
      <c r="E621" s="18"/>
      <c r="F621" s="18"/>
      <c r="G621" s="18"/>
      <c r="H621" s="18"/>
      <c r="I621" s="18"/>
      <c r="J621" s="18"/>
      <c r="K621" s="18"/>
      <c r="L621" s="18"/>
      <c r="M621" s="18"/>
      <c r="N621" s="18"/>
      <c r="O621" s="18"/>
      <c r="P621" s="18"/>
      <c r="Q621" s="18"/>
      <c r="R621" s="18"/>
      <c r="S621" s="18"/>
      <c r="T621" s="18"/>
      <c r="U621" s="18"/>
      <c r="V621" s="18"/>
      <c r="W621" s="18"/>
      <c r="X621" s="18"/>
      <c r="Y621" s="18"/>
      <c r="Z621" s="18"/>
    </row>
    <row r="622" spans="1:26" s="20" customFormat="1" x14ac:dyDescent="0.2">
      <c r="A622" s="18"/>
      <c r="B622" s="18"/>
      <c r="C622" s="18"/>
      <c r="D622" s="18"/>
      <c r="E622" s="18"/>
      <c r="F622" s="18"/>
      <c r="G622" s="18"/>
      <c r="H622" s="18"/>
      <c r="I622" s="18"/>
      <c r="J622" s="18"/>
      <c r="K622" s="18"/>
      <c r="L622" s="18"/>
      <c r="M622" s="18"/>
      <c r="N622" s="18"/>
      <c r="O622" s="18"/>
      <c r="P622" s="18"/>
      <c r="Q622" s="18"/>
      <c r="R622" s="18"/>
      <c r="S622" s="18"/>
      <c r="T622" s="18"/>
      <c r="U622" s="18"/>
      <c r="V622" s="18"/>
      <c r="W622" s="18"/>
      <c r="X622" s="18"/>
      <c r="Y622" s="18"/>
      <c r="Z622" s="18"/>
    </row>
    <row r="623" spans="1:26" s="20" customFormat="1" x14ac:dyDescent="0.2">
      <c r="A623" s="18"/>
      <c r="B623" s="18"/>
      <c r="C623" s="18"/>
      <c r="D623" s="18"/>
      <c r="E623" s="18"/>
      <c r="F623" s="18"/>
      <c r="G623" s="18"/>
      <c r="H623" s="18"/>
      <c r="I623" s="18"/>
      <c r="J623" s="18"/>
      <c r="K623" s="18"/>
      <c r="L623" s="18"/>
      <c r="M623" s="18"/>
      <c r="N623" s="18"/>
      <c r="O623" s="18"/>
      <c r="P623" s="18"/>
      <c r="Q623" s="18"/>
      <c r="R623" s="18"/>
      <c r="S623" s="18"/>
      <c r="T623" s="18"/>
      <c r="U623" s="18"/>
      <c r="V623" s="18"/>
      <c r="W623" s="18"/>
      <c r="X623" s="18"/>
      <c r="Y623" s="18"/>
      <c r="Z623" s="18"/>
    </row>
    <row r="624" spans="1:26" s="20" customFormat="1" x14ac:dyDescent="0.2">
      <c r="A624" s="18"/>
      <c r="B624" s="18"/>
      <c r="C624" s="18"/>
      <c r="D624" s="18"/>
      <c r="E624" s="18"/>
      <c r="F624" s="18"/>
      <c r="G624" s="18"/>
      <c r="H624" s="18"/>
      <c r="I624" s="18"/>
      <c r="J624" s="18"/>
      <c r="K624" s="18"/>
      <c r="L624" s="18"/>
      <c r="M624" s="18"/>
      <c r="N624" s="18"/>
      <c r="O624" s="18"/>
      <c r="P624" s="18"/>
      <c r="Q624" s="18"/>
      <c r="R624" s="18"/>
      <c r="S624" s="18"/>
      <c r="T624" s="18"/>
      <c r="U624" s="18"/>
      <c r="V624" s="18"/>
      <c r="W624" s="18"/>
      <c r="X624" s="18"/>
      <c r="Y624" s="18"/>
      <c r="Z624" s="18"/>
    </row>
    <row r="625" spans="1:26" s="20" customFormat="1" x14ac:dyDescent="0.2">
      <c r="A625" s="18"/>
      <c r="B625" s="18"/>
      <c r="C625" s="18"/>
      <c r="D625" s="18"/>
      <c r="E625" s="18"/>
      <c r="F625" s="18"/>
      <c r="G625" s="18"/>
      <c r="H625" s="18"/>
      <c r="I625" s="18"/>
      <c r="J625" s="18"/>
      <c r="K625" s="18"/>
      <c r="L625" s="18"/>
      <c r="M625" s="18"/>
      <c r="N625" s="18"/>
      <c r="O625" s="18"/>
      <c r="P625" s="18"/>
      <c r="Q625" s="18"/>
      <c r="R625" s="18"/>
      <c r="S625" s="18"/>
      <c r="T625" s="18"/>
      <c r="U625" s="18"/>
      <c r="V625" s="18"/>
      <c r="W625" s="18"/>
      <c r="X625" s="18"/>
      <c r="Y625" s="18"/>
      <c r="Z625" s="18"/>
    </row>
    <row r="626" spans="1:26" s="20" customFormat="1" x14ac:dyDescent="0.2">
      <c r="A626" s="18"/>
      <c r="B626" s="18"/>
      <c r="C626" s="18"/>
      <c r="D626" s="18"/>
      <c r="E626" s="18"/>
      <c r="F626" s="18"/>
      <c r="G626" s="18"/>
      <c r="H626" s="18"/>
      <c r="I626" s="18"/>
      <c r="J626" s="18"/>
      <c r="K626" s="18"/>
      <c r="L626" s="18"/>
      <c r="M626" s="18"/>
      <c r="N626" s="18"/>
      <c r="O626" s="18"/>
      <c r="P626" s="18"/>
      <c r="Q626" s="18"/>
      <c r="R626" s="18"/>
      <c r="S626" s="18"/>
      <c r="T626" s="18"/>
      <c r="U626" s="18"/>
      <c r="V626" s="18"/>
      <c r="W626" s="18"/>
      <c r="X626" s="18"/>
      <c r="Y626" s="18"/>
      <c r="Z626" s="18"/>
    </row>
    <row r="627" spans="1:26" s="20" customFormat="1" x14ac:dyDescent="0.2">
      <c r="A627" s="18"/>
      <c r="B627" s="18"/>
      <c r="C627" s="18"/>
      <c r="D627" s="18"/>
      <c r="E627" s="18"/>
      <c r="F627" s="18"/>
      <c r="G627" s="18"/>
      <c r="H627" s="18"/>
      <c r="I627" s="18"/>
      <c r="J627" s="18"/>
      <c r="K627" s="18"/>
      <c r="L627" s="18"/>
      <c r="M627" s="18"/>
      <c r="N627" s="18"/>
      <c r="O627" s="18"/>
      <c r="P627" s="18"/>
      <c r="Q627" s="18"/>
      <c r="R627" s="18"/>
      <c r="S627" s="18"/>
      <c r="T627" s="18"/>
      <c r="U627" s="18"/>
      <c r="V627" s="18"/>
      <c r="W627" s="18"/>
      <c r="X627" s="18"/>
      <c r="Y627" s="18"/>
      <c r="Z627" s="18"/>
    </row>
    <row r="628" spans="1:26" s="20" customFormat="1" x14ac:dyDescent="0.2">
      <c r="A628" s="18"/>
      <c r="B628" s="18"/>
      <c r="C628" s="18"/>
      <c r="D628" s="18"/>
      <c r="E628" s="18"/>
      <c r="F628" s="18"/>
      <c r="G628" s="18"/>
      <c r="H628" s="18"/>
      <c r="I628" s="18"/>
      <c r="J628" s="18"/>
      <c r="K628" s="18"/>
      <c r="L628" s="18"/>
      <c r="M628" s="18"/>
      <c r="N628" s="18"/>
      <c r="O628" s="18"/>
      <c r="P628" s="18"/>
      <c r="Q628" s="18"/>
      <c r="R628" s="18"/>
      <c r="S628" s="18"/>
      <c r="T628" s="18"/>
      <c r="U628" s="18"/>
      <c r="V628" s="18"/>
      <c r="W628" s="18"/>
      <c r="X628" s="18"/>
      <c r="Y628" s="18"/>
      <c r="Z628" s="18"/>
    </row>
    <row r="629" spans="1:26" s="20" customFormat="1" x14ac:dyDescent="0.2">
      <c r="A629" s="18"/>
      <c r="B629" s="18"/>
      <c r="C629" s="18"/>
      <c r="D629" s="18"/>
      <c r="E629" s="18"/>
      <c r="F629" s="18"/>
      <c r="G629" s="18"/>
      <c r="H629" s="18"/>
      <c r="I629" s="18"/>
      <c r="J629" s="18"/>
      <c r="K629" s="18"/>
      <c r="L629" s="18"/>
      <c r="M629" s="18"/>
      <c r="N629" s="18"/>
      <c r="O629" s="18"/>
      <c r="P629" s="18"/>
      <c r="Q629" s="18"/>
      <c r="R629" s="18"/>
      <c r="S629" s="18"/>
      <c r="T629" s="18"/>
      <c r="U629" s="18"/>
      <c r="V629" s="18"/>
      <c r="W629" s="18"/>
      <c r="X629" s="18"/>
      <c r="Y629" s="18"/>
      <c r="Z629" s="18"/>
    </row>
    <row r="630" spans="1:26" s="20" customFormat="1" x14ac:dyDescent="0.2">
      <c r="A630" s="18"/>
      <c r="B630" s="18"/>
      <c r="C630" s="18"/>
      <c r="D630" s="18"/>
      <c r="E630" s="18"/>
      <c r="F630" s="18"/>
      <c r="G630" s="18"/>
      <c r="H630" s="18"/>
      <c r="I630" s="18"/>
      <c r="J630" s="18"/>
      <c r="K630" s="18"/>
      <c r="L630" s="18"/>
      <c r="M630" s="18"/>
      <c r="N630" s="18"/>
      <c r="O630" s="18"/>
      <c r="P630" s="18"/>
      <c r="Q630" s="18"/>
      <c r="R630" s="18"/>
      <c r="S630" s="18"/>
      <c r="T630" s="18"/>
      <c r="U630" s="18"/>
      <c r="V630" s="18"/>
      <c r="W630" s="18"/>
      <c r="X630" s="18"/>
      <c r="Y630" s="18"/>
      <c r="Z630" s="18"/>
    </row>
    <row r="631" spans="1:26" s="20" customFormat="1" x14ac:dyDescent="0.2">
      <c r="A631" s="18"/>
      <c r="B631" s="18"/>
      <c r="C631" s="18"/>
      <c r="D631" s="18"/>
      <c r="E631" s="18"/>
      <c r="F631" s="18"/>
      <c r="G631" s="18"/>
      <c r="H631" s="18"/>
      <c r="I631" s="18"/>
      <c r="J631" s="18"/>
      <c r="K631" s="18"/>
      <c r="L631" s="18"/>
      <c r="M631" s="18"/>
      <c r="N631" s="18"/>
      <c r="O631" s="18"/>
      <c r="P631" s="18"/>
      <c r="Q631" s="18"/>
      <c r="R631" s="18"/>
      <c r="S631" s="18"/>
      <c r="T631" s="18"/>
      <c r="U631" s="18"/>
      <c r="V631" s="18"/>
      <c r="W631" s="18"/>
      <c r="X631" s="18"/>
      <c r="Y631" s="18"/>
      <c r="Z631" s="18"/>
    </row>
    <row r="632" spans="1:26" s="20" customFormat="1" x14ac:dyDescent="0.2">
      <c r="A632" s="18"/>
      <c r="B632" s="18"/>
      <c r="C632" s="18"/>
      <c r="D632" s="18"/>
      <c r="E632" s="18"/>
      <c r="F632" s="18"/>
      <c r="G632" s="18"/>
      <c r="H632" s="18"/>
      <c r="I632" s="18"/>
      <c r="J632" s="18"/>
      <c r="K632" s="18"/>
      <c r="L632" s="18"/>
      <c r="M632" s="18"/>
      <c r="N632" s="18"/>
      <c r="O632" s="18"/>
      <c r="P632" s="18"/>
      <c r="Q632" s="18"/>
      <c r="R632" s="18"/>
      <c r="S632" s="18"/>
      <c r="T632" s="18"/>
      <c r="U632" s="18"/>
      <c r="V632" s="18"/>
      <c r="W632" s="18"/>
      <c r="X632" s="18"/>
      <c r="Y632" s="18"/>
      <c r="Z632" s="18"/>
    </row>
    <row r="633" spans="1:26" s="20" customFormat="1" x14ac:dyDescent="0.2">
      <c r="A633" s="18"/>
      <c r="B633" s="18"/>
      <c r="C633" s="18"/>
      <c r="D633" s="18"/>
      <c r="E633" s="18"/>
      <c r="F633" s="18"/>
      <c r="G633" s="18"/>
      <c r="H633" s="18"/>
      <c r="I633" s="18"/>
      <c r="J633" s="18"/>
      <c r="K633" s="18"/>
      <c r="L633" s="18"/>
      <c r="M633" s="18"/>
      <c r="N633" s="18"/>
      <c r="O633" s="18"/>
      <c r="P633" s="18"/>
      <c r="Q633" s="18"/>
      <c r="R633" s="18"/>
      <c r="S633" s="18"/>
      <c r="T633" s="18"/>
      <c r="U633" s="18"/>
      <c r="V633" s="18"/>
      <c r="W633" s="18"/>
      <c r="X633" s="18"/>
      <c r="Y633" s="18"/>
      <c r="Z633" s="18"/>
    </row>
    <row r="634" spans="1:26" s="20" customFormat="1" x14ac:dyDescent="0.2">
      <c r="A634" s="18"/>
      <c r="B634" s="18"/>
      <c r="C634" s="18"/>
      <c r="D634" s="18"/>
      <c r="E634" s="18"/>
      <c r="F634" s="18"/>
      <c r="G634" s="18"/>
      <c r="H634" s="18"/>
      <c r="I634" s="18"/>
      <c r="J634" s="18"/>
      <c r="K634" s="18"/>
      <c r="L634" s="18"/>
      <c r="M634" s="18"/>
      <c r="N634" s="18"/>
      <c r="O634" s="18"/>
      <c r="P634" s="18"/>
      <c r="Q634" s="18"/>
      <c r="R634" s="18"/>
      <c r="S634" s="18"/>
      <c r="T634" s="18"/>
      <c r="U634" s="18"/>
      <c r="V634" s="18"/>
      <c r="W634" s="18"/>
      <c r="X634" s="18"/>
      <c r="Y634" s="18"/>
      <c r="Z634" s="18"/>
    </row>
    <row r="635" spans="1:26" s="20" customFormat="1" x14ac:dyDescent="0.2">
      <c r="A635" s="18"/>
      <c r="B635" s="18"/>
      <c r="C635" s="18"/>
      <c r="D635" s="18"/>
      <c r="E635" s="18"/>
      <c r="F635" s="18"/>
      <c r="G635" s="18"/>
      <c r="H635" s="18"/>
      <c r="I635" s="18"/>
      <c r="J635" s="18"/>
      <c r="K635" s="18"/>
      <c r="L635" s="18"/>
      <c r="M635" s="18"/>
      <c r="N635" s="18"/>
      <c r="O635" s="18"/>
      <c r="P635" s="18"/>
      <c r="Q635" s="18"/>
      <c r="R635" s="18"/>
      <c r="S635" s="18"/>
      <c r="T635" s="18"/>
      <c r="U635" s="18"/>
      <c r="V635" s="18"/>
      <c r="W635" s="18"/>
      <c r="X635" s="18"/>
      <c r="Y635" s="18"/>
      <c r="Z635" s="18"/>
    </row>
    <row r="636" spans="1:26" s="20" customFormat="1" x14ac:dyDescent="0.2">
      <c r="A636" s="18"/>
      <c r="B636" s="18"/>
      <c r="C636" s="18"/>
      <c r="D636" s="18"/>
      <c r="E636" s="18"/>
      <c r="F636" s="18"/>
      <c r="G636" s="18"/>
      <c r="H636" s="18"/>
      <c r="I636" s="18"/>
      <c r="J636" s="18"/>
      <c r="K636" s="18"/>
      <c r="L636" s="18"/>
      <c r="M636" s="18"/>
      <c r="N636" s="18"/>
      <c r="O636" s="18"/>
      <c r="P636" s="18"/>
      <c r="Q636" s="18"/>
      <c r="R636" s="18"/>
      <c r="S636" s="18"/>
      <c r="T636" s="18"/>
      <c r="U636" s="18"/>
      <c r="V636" s="18"/>
      <c r="W636" s="18"/>
      <c r="X636" s="18"/>
      <c r="Y636" s="18"/>
      <c r="Z636" s="18"/>
    </row>
    <row r="637" spans="1:26" s="20" customFormat="1" x14ac:dyDescent="0.2">
      <c r="A637" s="18"/>
      <c r="B637" s="18"/>
      <c r="C637" s="18"/>
      <c r="D637" s="18"/>
      <c r="E637" s="18"/>
      <c r="F637" s="18"/>
      <c r="G637" s="18"/>
      <c r="H637" s="18"/>
      <c r="I637" s="18"/>
      <c r="J637" s="18"/>
      <c r="K637" s="18"/>
      <c r="L637" s="18"/>
      <c r="M637" s="18"/>
      <c r="N637" s="18"/>
      <c r="O637" s="18"/>
      <c r="P637" s="18"/>
      <c r="Q637" s="18"/>
      <c r="R637" s="18"/>
      <c r="S637" s="18"/>
      <c r="T637" s="18"/>
      <c r="U637" s="18"/>
      <c r="V637" s="18"/>
      <c r="W637" s="18"/>
      <c r="X637" s="18"/>
      <c r="Y637" s="18"/>
      <c r="Z637" s="18"/>
    </row>
    <row r="638" spans="1:26" s="20" customFormat="1" x14ac:dyDescent="0.2">
      <c r="A638" s="18"/>
      <c r="B638" s="18"/>
      <c r="C638" s="18"/>
      <c r="D638" s="18"/>
      <c r="E638" s="18"/>
      <c r="F638" s="18"/>
      <c r="G638" s="18"/>
      <c r="H638" s="18"/>
      <c r="I638" s="18"/>
      <c r="J638" s="18"/>
      <c r="K638" s="18"/>
      <c r="L638" s="18"/>
      <c r="M638" s="18"/>
      <c r="N638" s="18"/>
      <c r="O638" s="18"/>
      <c r="P638" s="18"/>
      <c r="Q638" s="18"/>
      <c r="R638" s="18"/>
      <c r="S638" s="18"/>
      <c r="T638" s="18"/>
      <c r="U638" s="18"/>
      <c r="V638" s="18"/>
      <c r="W638" s="18"/>
      <c r="X638" s="18"/>
      <c r="Y638" s="18"/>
      <c r="Z638" s="18"/>
    </row>
    <row r="639" spans="1:26" s="20" customFormat="1" x14ac:dyDescent="0.2">
      <c r="A639" s="18"/>
      <c r="B639" s="18"/>
      <c r="C639" s="18"/>
      <c r="D639" s="18"/>
      <c r="E639" s="18"/>
      <c r="F639" s="18"/>
      <c r="G639" s="18"/>
      <c r="H639" s="18"/>
      <c r="I639" s="18"/>
      <c r="J639" s="18"/>
      <c r="K639" s="18"/>
      <c r="L639" s="18"/>
      <c r="M639" s="18"/>
      <c r="N639" s="18"/>
      <c r="O639" s="18"/>
      <c r="P639" s="18"/>
      <c r="Q639" s="18"/>
      <c r="R639" s="18"/>
      <c r="S639" s="18"/>
      <c r="T639" s="18"/>
      <c r="U639" s="18"/>
      <c r="V639" s="18"/>
      <c r="W639" s="18"/>
      <c r="X639" s="18"/>
      <c r="Y639" s="18"/>
      <c r="Z639" s="18"/>
    </row>
    <row r="640" spans="1:26" s="20" customFormat="1" x14ac:dyDescent="0.2">
      <c r="A640" s="18"/>
      <c r="B640" s="18"/>
      <c r="C640" s="18"/>
      <c r="D640" s="18"/>
      <c r="E640" s="18"/>
      <c r="F640" s="18"/>
      <c r="G640" s="18"/>
      <c r="H640" s="18"/>
      <c r="I640" s="18"/>
      <c r="J640" s="18"/>
      <c r="K640" s="18"/>
      <c r="L640" s="18"/>
      <c r="M640" s="18"/>
      <c r="N640" s="18"/>
      <c r="O640" s="18"/>
      <c r="P640" s="18"/>
      <c r="Q640" s="18"/>
      <c r="R640" s="18"/>
      <c r="S640" s="18"/>
      <c r="T640" s="18"/>
      <c r="U640" s="18"/>
      <c r="V640" s="18"/>
      <c r="W640" s="18"/>
      <c r="X640" s="18"/>
      <c r="Y640" s="18"/>
      <c r="Z640" s="18"/>
    </row>
    <row r="641" spans="1:26" s="20" customFormat="1" x14ac:dyDescent="0.2">
      <c r="A641" s="18"/>
      <c r="B641" s="18"/>
      <c r="C641" s="18"/>
      <c r="D641" s="18"/>
      <c r="E641" s="18"/>
      <c r="F641" s="18"/>
      <c r="G641" s="18"/>
      <c r="H641" s="18"/>
      <c r="I641" s="18"/>
      <c r="J641" s="18"/>
      <c r="K641" s="18"/>
      <c r="L641" s="18"/>
      <c r="M641" s="18"/>
      <c r="N641" s="18"/>
      <c r="O641" s="18"/>
      <c r="P641" s="18"/>
      <c r="Q641" s="18"/>
      <c r="R641" s="18"/>
      <c r="S641" s="18"/>
      <c r="T641" s="18"/>
      <c r="U641" s="18"/>
      <c r="V641" s="18"/>
      <c r="W641" s="18"/>
      <c r="X641" s="18"/>
      <c r="Y641" s="18"/>
      <c r="Z641" s="18"/>
    </row>
    <row r="642" spans="1:26" s="20" customFormat="1" x14ac:dyDescent="0.2">
      <c r="A642" s="18"/>
      <c r="B642" s="18"/>
      <c r="C642" s="18"/>
      <c r="D642" s="18"/>
      <c r="E642" s="18"/>
      <c r="F642" s="18"/>
      <c r="G642" s="18"/>
      <c r="H642" s="18"/>
      <c r="I642" s="18"/>
      <c r="J642" s="18"/>
      <c r="K642" s="18"/>
      <c r="L642" s="18"/>
      <c r="M642" s="18"/>
      <c r="N642" s="18"/>
      <c r="O642" s="18"/>
      <c r="P642" s="18"/>
      <c r="Q642" s="18"/>
      <c r="R642" s="18"/>
      <c r="S642" s="18"/>
      <c r="T642" s="18"/>
      <c r="U642" s="18"/>
      <c r="V642" s="18"/>
      <c r="W642" s="18"/>
      <c r="X642" s="18"/>
      <c r="Y642" s="18"/>
      <c r="Z642" s="18"/>
    </row>
    <row r="643" spans="1:26" s="20" customFormat="1" x14ac:dyDescent="0.2">
      <c r="A643" s="18"/>
      <c r="B643" s="18"/>
      <c r="C643" s="18"/>
      <c r="D643" s="18"/>
      <c r="E643" s="18"/>
      <c r="F643" s="18"/>
      <c r="G643" s="18"/>
      <c r="H643" s="18"/>
      <c r="I643" s="18"/>
      <c r="J643" s="18"/>
      <c r="K643" s="18"/>
      <c r="L643" s="18"/>
      <c r="M643" s="18"/>
      <c r="N643" s="18"/>
      <c r="O643" s="18"/>
      <c r="P643" s="18"/>
      <c r="Q643" s="18"/>
      <c r="R643" s="18"/>
      <c r="S643" s="18"/>
      <c r="T643" s="18"/>
      <c r="U643" s="18"/>
      <c r="V643" s="18"/>
      <c r="W643" s="18"/>
      <c r="X643" s="18"/>
      <c r="Y643" s="18"/>
      <c r="Z643" s="18"/>
    </row>
    <row r="644" spans="1:26" s="20" customFormat="1" x14ac:dyDescent="0.2">
      <c r="A644" s="18"/>
      <c r="B644" s="18"/>
      <c r="C644" s="18"/>
      <c r="D644" s="18"/>
      <c r="E644" s="18"/>
      <c r="F644" s="18"/>
      <c r="G644" s="18"/>
      <c r="H644" s="18"/>
      <c r="I644" s="18"/>
      <c r="J644" s="18"/>
      <c r="K644" s="18"/>
      <c r="L644" s="18"/>
      <c r="M644" s="18"/>
      <c r="N644" s="18"/>
      <c r="O644" s="18"/>
      <c r="P644" s="18"/>
      <c r="Q644" s="18"/>
      <c r="R644" s="18"/>
      <c r="S644" s="18"/>
      <c r="T644" s="18"/>
      <c r="U644" s="18"/>
      <c r="V644" s="18"/>
      <c r="W644" s="18"/>
      <c r="X644" s="18"/>
      <c r="Y644" s="18"/>
      <c r="Z644" s="18"/>
    </row>
    <row r="645" spans="1:26" s="20" customFormat="1" x14ac:dyDescent="0.2">
      <c r="A645" s="18"/>
      <c r="B645" s="18"/>
      <c r="C645" s="18"/>
      <c r="D645" s="18"/>
      <c r="E645" s="18"/>
      <c r="F645" s="18"/>
      <c r="G645" s="18"/>
      <c r="H645" s="18"/>
      <c r="I645" s="18"/>
      <c r="J645" s="18"/>
      <c r="K645" s="18"/>
      <c r="L645" s="18"/>
      <c r="M645" s="18"/>
      <c r="N645" s="18"/>
      <c r="O645" s="18"/>
      <c r="P645" s="18"/>
      <c r="Q645" s="18"/>
      <c r="R645" s="18"/>
      <c r="S645" s="18"/>
      <c r="T645" s="18"/>
      <c r="U645" s="18"/>
      <c r="V645" s="18"/>
      <c r="W645" s="18"/>
      <c r="X645" s="18"/>
      <c r="Y645" s="18"/>
      <c r="Z645" s="18"/>
    </row>
    <row r="646" spans="1:26" s="20" customFormat="1" x14ac:dyDescent="0.2">
      <c r="A646" s="18"/>
      <c r="B646" s="18"/>
      <c r="C646" s="18"/>
      <c r="D646" s="18"/>
      <c r="E646" s="18"/>
      <c r="F646" s="18"/>
      <c r="G646" s="18"/>
      <c r="H646" s="18"/>
      <c r="I646" s="18"/>
      <c r="J646" s="18"/>
      <c r="K646" s="18"/>
      <c r="L646" s="18"/>
      <c r="M646" s="18"/>
      <c r="N646" s="18"/>
      <c r="O646" s="18"/>
      <c r="P646" s="18"/>
      <c r="Q646" s="18"/>
      <c r="R646" s="18"/>
      <c r="S646" s="18"/>
      <c r="T646" s="18"/>
      <c r="U646" s="18"/>
      <c r="V646" s="18"/>
      <c r="W646" s="18"/>
      <c r="X646" s="18"/>
      <c r="Y646" s="18"/>
      <c r="Z646" s="18"/>
    </row>
    <row r="647" spans="1:26" s="20" customFormat="1" x14ac:dyDescent="0.2">
      <c r="A647" s="18"/>
      <c r="B647" s="18"/>
      <c r="C647" s="18"/>
      <c r="D647" s="18"/>
      <c r="E647" s="18"/>
      <c r="F647" s="18"/>
      <c r="G647" s="18"/>
      <c r="H647" s="18"/>
      <c r="I647" s="18"/>
      <c r="J647" s="18"/>
      <c r="K647" s="18"/>
      <c r="L647" s="18"/>
      <c r="M647" s="18"/>
      <c r="N647" s="18"/>
      <c r="O647" s="18"/>
      <c r="P647" s="18"/>
      <c r="Q647" s="18"/>
      <c r="R647" s="18"/>
      <c r="S647" s="18"/>
      <c r="T647" s="18"/>
      <c r="U647" s="18"/>
      <c r="V647" s="18"/>
      <c r="W647" s="18"/>
      <c r="X647" s="18"/>
      <c r="Y647" s="18"/>
      <c r="Z647" s="18"/>
    </row>
    <row r="648" spans="1:26" s="20" customFormat="1" x14ac:dyDescent="0.2">
      <c r="A648" s="18"/>
      <c r="B648" s="18"/>
      <c r="C648" s="18"/>
      <c r="D648" s="18"/>
      <c r="E648" s="18"/>
      <c r="F648" s="18"/>
      <c r="G648" s="18"/>
      <c r="H648" s="18"/>
      <c r="I648" s="18"/>
      <c r="J648" s="18"/>
      <c r="K648" s="18"/>
      <c r="L648" s="18"/>
      <c r="M648" s="18"/>
      <c r="N648" s="18"/>
      <c r="O648" s="18"/>
      <c r="P648" s="18"/>
      <c r="Q648" s="18"/>
      <c r="R648" s="18"/>
      <c r="S648" s="18"/>
      <c r="T648" s="18"/>
      <c r="U648" s="18"/>
      <c r="V648" s="18"/>
      <c r="W648" s="18"/>
      <c r="X648" s="18"/>
      <c r="Y648" s="18"/>
      <c r="Z648" s="18"/>
    </row>
    <row r="649" spans="1:26" s="20" customFormat="1" x14ac:dyDescent="0.2">
      <c r="A649" s="18"/>
      <c r="B649" s="18"/>
      <c r="C649" s="18"/>
      <c r="D649" s="18"/>
      <c r="E649" s="18"/>
      <c r="F649" s="18"/>
      <c r="G649" s="18"/>
      <c r="H649" s="18"/>
      <c r="I649" s="18"/>
      <c r="J649" s="18"/>
      <c r="K649" s="18"/>
      <c r="L649" s="18"/>
      <c r="M649" s="18"/>
      <c r="N649" s="18"/>
      <c r="O649" s="18"/>
      <c r="P649" s="18"/>
      <c r="Q649" s="18"/>
      <c r="R649" s="18"/>
      <c r="S649" s="18"/>
      <c r="T649" s="18"/>
      <c r="U649" s="18"/>
      <c r="V649" s="18"/>
      <c r="W649" s="18"/>
      <c r="X649" s="18"/>
      <c r="Y649" s="18"/>
      <c r="Z649" s="18"/>
    </row>
    <row r="650" spans="1:26" s="20" customFormat="1" x14ac:dyDescent="0.2">
      <c r="A650" s="18"/>
      <c r="B650" s="18"/>
      <c r="C650" s="18"/>
      <c r="D650" s="18"/>
      <c r="E650" s="18"/>
      <c r="F650" s="18"/>
      <c r="G650" s="18"/>
      <c r="H650" s="18"/>
      <c r="I650" s="18"/>
      <c r="J650" s="18"/>
      <c r="K650" s="18"/>
      <c r="L650" s="18"/>
      <c r="M650" s="18"/>
      <c r="N650" s="18"/>
      <c r="O650" s="18"/>
      <c r="P650" s="18"/>
      <c r="Q650" s="18"/>
      <c r="R650" s="18"/>
      <c r="S650" s="18"/>
      <c r="T650" s="18"/>
      <c r="U650" s="18"/>
      <c r="V650" s="18"/>
      <c r="W650" s="18"/>
      <c r="X650" s="18"/>
      <c r="Y650" s="18"/>
      <c r="Z650" s="18"/>
    </row>
    <row r="651" spans="1:26" s="20" customFormat="1" x14ac:dyDescent="0.2">
      <c r="A651" s="18"/>
      <c r="B651" s="18"/>
      <c r="C651" s="18"/>
      <c r="D651" s="18"/>
      <c r="E651" s="18"/>
      <c r="F651" s="18"/>
      <c r="G651" s="18"/>
      <c r="H651" s="18"/>
      <c r="I651" s="18"/>
      <c r="J651" s="18"/>
      <c r="K651" s="18"/>
      <c r="L651" s="18"/>
      <c r="M651" s="18"/>
      <c r="N651" s="18"/>
      <c r="O651" s="18"/>
      <c r="P651" s="18"/>
      <c r="Q651" s="18"/>
      <c r="R651" s="18"/>
      <c r="S651" s="18"/>
      <c r="T651" s="18"/>
      <c r="U651" s="18"/>
      <c r="V651" s="18"/>
      <c r="W651" s="18"/>
      <c r="X651" s="18"/>
      <c r="Y651" s="18"/>
      <c r="Z651" s="18"/>
    </row>
    <row r="652" spans="1:26" s="20" customFormat="1" x14ac:dyDescent="0.2">
      <c r="A652" s="18"/>
      <c r="B652" s="18"/>
      <c r="C652" s="18"/>
      <c r="D652" s="18"/>
      <c r="E652" s="18"/>
      <c r="F652" s="18"/>
      <c r="G652" s="18"/>
      <c r="H652" s="18"/>
      <c r="I652" s="18"/>
      <c r="J652" s="18"/>
      <c r="K652" s="18"/>
      <c r="L652" s="18"/>
      <c r="M652" s="18"/>
      <c r="N652" s="18"/>
      <c r="O652" s="18"/>
      <c r="P652" s="18"/>
      <c r="Q652" s="18"/>
      <c r="R652" s="18"/>
      <c r="S652" s="18"/>
      <c r="T652" s="18"/>
      <c r="U652" s="18"/>
      <c r="V652" s="18"/>
      <c r="W652" s="18"/>
      <c r="X652" s="18"/>
      <c r="Y652" s="18"/>
      <c r="Z652" s="18"/>
    </row>
    <row r="653" spans="1:26" s="20" customFormat="1" x14ac:dyDescent="0.2">
      <c r="A653" s="18"/>
      <c r="B653" s="18"/>
      <c r="C653" s="18"/>
      <c r="D653" s="18"/>
      <c r="E653" s="18"/>
      <c r="F653" s="18"/>
      <c r="G653" s="18"/>
      <c r="H653" s="18"/>
      <c r="I653" s="18"/>
      <c r="J653" s="18"/>
      <c r="K653" s="18"/>
      <c r="L653" s="18"/>
      <c r="M653" s="18"/>
      <c r="N653" s="18"/>
      <c r="O653" s="18"/>
      <c r="P653" s="18"/>
      <c r="Q653" s="18"/>
      <c r="R653" s="18"/>
      <c r="S653" s="18"/>
      <c r="T653" s="18"/>
      <c r="U653" s="18"/>
      <c r="V653" s="18"/>
      <c r="W653" s="18"/>
      <c r="X653" s="18"/>
      <c r="Y653" s="18"/>
      <c r="Z653" s="18"/>
    </row>
    <row r="654" spans="1:26" s="20" customFormat="1" x14ac:dyDescent="0.2">
      <c r="A654" s="18"/>
      <c r="B654" s="18"/>
      <c r="C654" s="18"/>
      <c r="D654" s="18"/>
      <c r="E654" s="18"/>
      <c r="F654" s="18"/>
      <c r="G654" s="18"/>
      <c r="H654" s="18"/>
      <c r="I654" s="18"/>
      <c r="J654" s="18"/>
      <c r="K654" s="18"/>
      <c r="L654" s="18"/>
      <c r="M654" s="18"/>
      <c r="N654" s="18"/>
      <c r="O654" s="18"/>
      <c r="P654" s="18"/>
      <c r="Q654" s="18"/>
      <c r="R654" s="18"/>
      <c r="S654" s="18"/>
      <c r="T654" s="18"/>
      <c r="U654" s="18"/>
      <c r="V654" s="18"/>
      <c r="W654" s="18"/>
      <c r="X654" s="18"/>
      <c r="Y654" s="18"/>
      <c r="Z654" s="18"/>
    </row>
    <row r="655" spans="1:26" s="20" customFormat="1" x14ac:dyDescent="0.2">
      <c r="A655" s="18"/>
      <c r="B655" s="18"/>
      <c r="C655" s="18"/>
      <c r="D655" s="18"/>
      <c r="E655" s="18"/>
      <c r="F655" s="18"/>
      <c r="G655" s="18"/>
      <c r="H655" s="18"/>
      <c r="I655" s="18"/>
      <c r="J655" s="18"/>
      <c r="K655" s="18"/>
      <c r="L655" s="18"/>
      <c r="M655" s="18"/>
      <c r="N655" s="18"/>
      <c r="O655" s="18"/>
      <c r="P655" s="18"/>
      <c r="Q655" s="18"/>
      <c r="R655" s="18"/>
      <c r="S655" s="18"/>
      <c r="T655" s="18"/>
      <c r="U655" s="18"/>
      <c r="V655" s="18"/>
      <c r="W655" s="18"/>
      <c r="X655" s="18"/>
      <c r="Y655" s="18"/>
      <c r="Z655" s="18"/>
    </row>
    <row r="656" spans="1:26" s="20" customFormat="1" x14ac:dyDescent="0.2">
      <c r="A656" s="18"/>
      <c r="B656" s="18"/>
      <c r="C656" s="18"/>
      <c r="D656" s="18"/>
      <c r="E656" s="18"/>
      <c r="F656" s="18"/>
      <c r="G656" s="18"/>
      <c r="H656" s="18"/>
      <c r="I656" s="18"/>
      <c r="J656" s="18"/>
      <c r="K656" s="18"/>
      <c r="L656" s="18"/>
      <c r="M656" s="18"/>
      <c r="N656" s="18"/>
      <c r="O656" s="18"/>
      <c r="P656" s="18"/>
      <c r="Q656" s="18"/>
      <c r="R656" s="18"/>
      <c r="S656" s="18"/>
      <c r="T656" s="18"/>
      <c r="U656" s="18"/>
      <c r="V656" s="18"/>
      <c r="W656" s="18"/>
      <c r="X656" s="18"/>
      <c r="Y656" s="18"/>
      <c r="Z656" s="18"/>
    </row>
    <row r="657" spans="1:26" s="20" customFormat="1" x14ac:dyDescent="0.2">
      <c r="A657" s="18"/>
      <c r="B657" s="18"/>
      <c r="C657" s="18"/>
      <c r="D657" s="18"/>
      <c r="E657" s="18"/>
      <c r="F657" s="18"/>
      <c r="G657" s="18"/>
      <c r="H657" s="18"/>
      <c r="I657" s="18"/>
      <c r="J657" s="18"/>
      <c r="K657" s="18"/>
      <c r="L657" s="18"/>
      <c r="M657" s="18"/>
      <c r="N657" s="18"/>
      <c r="O657" s="18"/>
      <c r="P657" s="18"/>
      <c r="Q657" s="18"/>
      <c r="R657" s="18"/>
      <c r="S657" s="18"/>
      <c r="T657" s="18"/>
      <c r="U657" s="18"/>
      <c r="V657" s="18"/>
      <c r="W657" s="18"/>
      <c r="X657" s="18"/>
      <c r="Y657" s="18"/>
      <c r="Z657" s="18"/>
    </row>
    <row r="658" spans="1:26" s="20" customFormat="1" x14ac:dyDescent="0.2">
      <c r="A658" s="18"/>
      <c r="B658" s="18"/>
      <c r="C658" s="18"/>
      <c r="D658" s="18"/>
      <c r="E658" s="18"/>
      <c r="F658" s="18"/>
      <c r="G658" s="18"/>
      <c r="H658" s="18"/>
      <c r="I658" s="18"/>
      <c r="J658" s="18"/>
      <c r="K658" s="18"/>
      <c r="L658" s="18"/>
      <c r="M658" s="18"/>
      <c r="N658" s="18"/>
      <c r="O658" s="18"/>
      <c r="P658" s="18"/>
      <c r="Q658" s="18"/>
      <c r="R658" s="18"/>
      <c r="S658" s="18"/>
      <c r="T658" s="18"/>
      <c r="U658" s="18"/>
      <c r="V658" s="18"/>
      <c r="W658" s="18"/>
      <c r="X658" s="18"/>
      <c r="Y658" s="18"/>
      <c r="Z658" s="18"/>
    </row>
    <row r="659" spans="1:26" s="20" customFormat="1" x14ac:dyDescent="0.2">
      <c r="A659" s="18"/>
      <c r="B659" s="18"/>
      <c r="C659" s="18"/>
      <c r="D659" s="18"/>
      <c r="E659" s="18"/>
      <c r="F659" s="18"/>
      <c r="G659" s="18"/>
      <c r="H659" s="18"/>
      <c r="I659" s="18"/>
      <c r="J659" s="18"/>
      <c r="K659" s="18"/>
      <c r="L659" s="18"/>
      <c r="M659" s="18"/>
      <c r="N659" s="18"/>
      <c r="O659" s="18"/>
      <c r="P659" s="18"/>
      <c r="Q659" s="18"/>
      <c r="R659" s="18"/>
      <c r="S659" s="18"/>
      <c r="T659" s="18"/>
      <c r="U659" s="18"/>
      <c r="V659" s="18"/>
      <c r="W659" s="18"/>
      <c r="X659" s="18"/>
      <c r="Y659" s="18"/>
      <c r="Z659" s="18"/>
    </row>
    <row r="660" spans="1:26" s="20" customFormat="1" x14ac:dyDescent="0.2">
      <c r="A660" s="18"/>
      <c r="B660" s="18"/>
      <c r="C660" s="18"/>
      <c r="D660" s="18"/>
      <c r="E660" s="18"/>
      <c r="F660" s="18"/>
      <c r="G660" s="18"/>
      <c r="H660" s="18"/>
      <c r="I660" s="18"/>
      <c r="J660" s="18"/>
      <c r="K660" s="18"/>
      <c r="L660" s="18"/>
      <c r="M660" s="18"/>
      <c r="N660" s="18"/>
      <c r="O660" s="18"/>
      <c r="P660" s="18"/>
      <c r="Q660" s="18"/>
      <c r="R660" s="18"/>
      <c r="S660" s="18"/>
      <c r="T660" s="18"/>
      <c r="U660" s="18"/>
      <c r="V660" s="18"/>
      <c r="W660" s="18"/>
      <c r="X660" s="18"/>
      <c r="Y660" s="18"/>
      <c r="Z660" s="18"/>
    </row>
    <row r="661" spans="1:26" s="20" customFormat="1" x14ac:dyDescent="0.2">
      <c r="A661" s="18"/>
      <c r="B661" s="18"/>
      <c r="C661" s="18"/>
      <c r="D661" s="18"/>
      <c r="E661" s="18"/>
      <c r="F661" s="18"/>
      <c r="G661" s="18"/>
      <c r="H661" s="18"/>
      <c r="I661" s="18"/>
      <c r="J661" s="18"/>
      <c r="K661" s="18"/>
      <c r="L661" s="18"/>
      <c r="M661" s="18"/>
      <c r="N661" s="18"/>
      <c r="O661" s="18"/>
      <c r="P661" s="18"/>
      <c r="Q661" s="18"/>
      <c r="R661" s="18"/>
      <c r="S661" s="18"/>
      <c r="T661" s="18"/>
      <c r="U661" s="18"/>
      <c r="V661" s="18"/>
      <c r="W661" s="18"/>
      <c r="X661" s="18"/>
      <c r="Y661" s="18"/>
      <c r="Z661" s="18"/>
    </row>
    <row r="662" spans="1:26" s="20" customFormat="1" x14ac:dyDescent="0.2">
      <c r="A662" s="18"/>
      <c r="B662" s="18"/>
      <c r="C662" s="18"/>
      <c r="D662" s="18"/>
      <c r="E662" s="18"/>
      <c r="F662" s="18"/>
      <c r="G662" s="18"/>
      <c r="H662" s="18"/>
      <c r="I662" s="18"/>
      <c r="J662" s="18"/>
      <c r="K662" s="18"/>
      <c r="L662" s="18"/>
      <c r="M662" s="18"/>
      <c r="N662" s="18"/>
      <c r="O662" s="18"/>
      <c r="P662" s="18"/>
      <c r="Q662" s="18"/>
      <c r="R662" s="18"/>
      <c r="S662" s="18"/>
      <c r="T662" s="18"/>
      <c r="U662" s="18"/>
      <c r="V662" s="18"/>
      <c r="W662" s="18"/>
      <c r="X662" s="18"/>
      <c r="Y662" s="18"/>
      <c r="Z662" s="18"/>
    </row>
    <row r="663" spans="1:26" s="20" customFormat="1" x14ac:dyDescent="0.2">
      <c r="A663" s="18"/>
      <c r="B663" s="18"/>
      <c r="C663" s="18"/>
      <c r="D663" s="18"/>
      <c r="E663" s="18"/>
      <c r="F663" s="18"/>
      <c r="G663" s="18"/>
      <c r="H663" s="18"/>
      <c r="I663" s="18"/>
      <c r="J663" s="18"/>
      <c r="K663" s="18"/>
      <c r="L663" s="18"/>
      <c r="M663" s="18"/>
      <c r="N663" s="18"/>
      <c r="O663" s="18"/>
      <c r="P663" s="18"/>
      <c r="Q663" s="18"/>
      <c r="R663" s="18"/>
      <c r="S663" s="18"/>
      <c r="T663" s="18"/>
      <c r="U663" s="18"/>
      <c r="V663" s="18"/>
      <c r="W663" s="18"/>
      <c r="X663" s="18"/>
      <c r="Y663" s="18"/>
      <c r="Z663" s="18"/>
    </row>
    <row r="664" spans="1:26" s="20" customFormat="1" x14ac:dyDescent="0.2">
      <c r="A664" s="18"/>
      <c r="B664" s="18"/>
      <c r="C664" s="18"/>
      <c r="D664" s="18"/>
      <c r="E664" s="18"/>
      <c r="F664" s="18"/>
      <c r="G664" s="18"/>
      <c r="H664" s="18"/>
      <c r="I664" s="18"/>
      <c r="J664" s="18"/>
      <c r="K664" s="18"/>
      <c r="L664" s="18"/>
      <c r="M664" s="18"/>
      <c r="N664" s="18"/>
      <c r="O664" s="18"/>
      <c r="P664" s="18"/>
      <c r="Q664" s="18"/>
      <c r="R664" s="18"/>
      <c r="S664" s="18"/>
      <c r="T664" s="18"/>
      <c r="U664" s="18"/>
      <c r="V664" s="18"/>
      <c r="W664" s="18"/>
      <c r="X664" s="18"/>
      <c r="Y664" s="18"/>
      <c r="Z664" s="18"/>
    </row>
    <row r="665" spans="1:26" s="20" customFormat="1" x14ac:dyDescent="0.2">
      <c r="A665" s="18"/>
      <c r="B665" s="18"/>
      <c r="C665" s="18"/>
      <c r="D665" s="18"/>
      <c r="E665" s="18"/>
      <c r="F665" s="18"/>
      <c r="G665" s="18"/>
      <c r="H665" s="18"/>
      <c r="I665" s="18"/>
      <c r="J665" s="18"/>
      <c r="K665" s="18"/>
      <c r="L665" s="18"/>
      <c r="M665" s="18"/>
      <c r="N665" s="18"/>
      <c r="O665" s="18"/>
      <c r="P665" s="18"/>
      <c r="Q665" s="18"/>
      <c r="R665" s="18"/>
      <c r="S665" s="18"/>
      <c r="T665" s="18"/>
      <c r="U665" s="18"/>
      <c r="V665" s="18"/>
      <c r="W665" s="18"/>
      <c r="X665" s="18"/>
      <c r="Y665" s="18"/>
      <c r="Z665" s="18"/>
    </row>
    <row r="666" spans="1:26" s="20" customFormat="1" x14ac:dyDescent="0.2">
      <c r="A666" s="18"/>
      <c r="B666" s="18"/>
      <c r="C666" s="18"/>
      <c r="D666" s="18"/>
      <c r="E666" s="18"/>
      <c r="F666" s="18"/>
      <c r="G666" s="18"/>
      <c r="H666" s="18"/>
      <c r="I666" s="18"/>
      <c r="J666" s="18"/>
      <c r="K666" s="18"/>
      <c r="L666" s="18"/>
      <c r="M666" s="18"/>
      <c r="N666" s="18"/>
      <c r="O666" s="18"/>
      <c r="P666" s="18"/>
      <c r="Q666" s="18"/>
      <c r="R666" s="18"/>
      <c r="S666" s="18"/>
      <c r="T666" s="18"/>
      <c r="U666" s="18"/>
      <c r="V666" s="18"/>
      <c r="W666" s="18"/>
      <c r="X666" s="18"/>
      <c r="Y666" s="18"/>
      <c r="Z666" s="18"/>
    </row>
    <row r="667" spans="1:26" s="20" customFormat="1" x14ac:dyDescent="0.2">
      <c r="A667" s="18"/>
      <c r="B667" s="18"/>
      <c r="C667" s="18"/>
      <c r="D667" s="18"/>
      <c r="E667" s="18"/>
      <c r="F667" s="18"/>
      <c r="G667" s="18"/>
      <c r="H667" s="18"/>
      <c r="I667" s="18"/>
      <c r="J667" s="18"/>
      <c r="K667" s="18"/>
      <c r="L667" s="18"/>
      <c r="M667" s="18"/>
      <c r="N667" s="18"/>
      <c r="O667" s="18"/>
      <c r="P667" s="18"/>
      <c r="Q667" s="18"/>
      <c r="R667" s="18"/>
      <c r="S667" s="18"/>
      <c r="T667" s="18"/>
      <c r="U667" s="18"/>
      <c r="V667" s="18"/>
      <c r="W667" s="18"/>
      <c r="X667" s="18"/>
      <c r="Y667" s="18"/>
      <c r="Z667" s="18"/>
    </row>
    <row r="668" spans="1:26" s="20" customFormat="1" x14ac:dyDescent="0.2">
      <c r="A668" s="18"/>
      <c r="B668" s="18"/>
      <c r="C668" s="18"/>
      <c r="D668" s="18"/>
      <c r="E668" s="18"/>
      <c r="F668" s="18"/>
      <c r="G668" s="18"/>
      <c r="H668" s="18"/>
      <c r="I668" s="18"/>
      <c r="J668" s="18"/>
      <c r="K668" s="18"/>
      <c r="L668" s="18"/>
      <c r="M668" s="18"/>
      <c r="N668" s="18"/>
      <c r="O668" s="18"/>
      <c r="P668" s="18"/>
      <c r="Q668" s="18"/>
      <c r="R668" s="18"/>
      <c r="S668" s="18"/>
      <c r="T668" s="18"/>
      <c r="U668" s="18"/>
      <c r="V668" s="18"/>
      <c r="W668" s="18"/>
      <c r="X668" s="18"/>
      <c r="Y668" s="18"/>
      <c r="Z668" s="18"/>
    </row>
    <row r="669" spans="1:26" s="20" customFormat="1" x14ac:dyDescent="0.2">
      <c r="A669" s="18"/>
      <c r="B669" s="18"/>
      <c r="C669" s="18"/>
      <c r="D669" s="18"/>
      <c r="E669" s="18"/>
      <c r="F669" s="18"/>
      <c r="G669" s="18"/>
      <c r="H669" s="18"/>
      <c r="I669" s="18"/>
      <c r="J669" s="18"/>
      <c r="K669" s="18"/>
      <c r="L669" s="18"/>
      <c r="M669" s="18"/>
      <c r="N669" s="18"/>
      <c r="O669" s="18"/>
      <c r="P669" s="18"/>
      <c r="Q669" s="18"/>
      <c r="R669" s="18"/>
      <c r="S669" s="18"/>
      <c r="T669" s="18"/>
      <c r="U669" s="18"/>
      <c r="V669" s="18"/>
      <c r="W669" s="18"/>
      <c r="X669" s="18"/>
      <c r="Y669" s="18"/>
      <c r="Z669" s="18"/>
    </row>
    <row r="670" spans="1:26" s="20" customFormat="1" x14ac:dyDescent="0.2">
      <c r="A670" s="18"/>
      <c r="B670" s="18"/>
      <c r="C670" s="18"/>
      <c r="D670" s="18"/>
      <c r="E670" s="18"/>
      <c r="F670" s="18"/>
      <c r="G670" s="18"/>
      <c r="H670" s="18"/>
      <c r="I670" s="18"/>
      <c r="J670" s="18"/>
      <c r="K670" s="18"/>
      <c r="L670" s="18"/>
      <c r="M670" s="18"/>
      <c r="N670" s="18"/>
      <c r="O670" s="18"/>
      <c r="P670" s="18"/>
      <c r="Q670" s="18"/>
      <c r="R670" s="18"/>
      <c r="S670" s="18"/>
      <c r="T670" s="18"/>
      <c r="U670" s="18"/>
      <c r="V670" s="18"/>
      <c r="W670" s="18"/>
      <c r="X670" s="18"/>
      <c r="Y670" s="18"/>
      <c r="Z670" s="18"/>
    </row>
    <row r="671" spans="1:26" s="20" customFormat="1" x14ac:dyDescent="0.2">
      <c r="A671" s="18"/>
      <c r="B671" s="18"/>
      <c r="C671" s="18"/>
      <c r="D671" s="18"/>
      <c r="E671" s="18"/>
      <c r="F671" s="18"/>
      <c r="G671" s="18"/>
      <c r="H671" s="18"/>
      <c r="I671" s="18"/>
      <c r="J671" s="18"/>
      <c r="K671" s="18"/>
      <c r="L671" s="18"/>
      <c r="M671" s="18"/>
      <c r="N671" s="18"/>
      <c r="O671" s="18"/>
      <c r="P671" s="18"/>
      <c r="Q671" s="18"/>
      <c r="R671" s="18"/>
      <c r="S671" s="18"/>
      <c r="T671" s="18"/>
      <c r="U671" s="18"/>
      <c r="V671" s="18"/>
      <c r="W671" s="18"/>
      <c r="X671" s="18"/>
      <c r="Y671" s="18"/>
      <c r="Z671" s="18"/>
    </row>
    <row r="672" spans="1:26" s="20" customFormat="1" x14ac:dyDescent="0.2">
      <c r="A672" s="18"/>
      <c r="B672" s="18"/>
      <c r="C672" s="18"/>
      <c r="D672" s="18"/>
      <c r="E672" s="18"/>
      <c r="F672" s="18"/>
      <c r="G672" s="18"/>
      <c r="H672" s="18"/>
      <c r="I672" s="18"/>
      <c r="J672" s="18"/>
      <c r="K672" s="18"/>
      <c r="L672" s="18"/>
      <c r="M672" s="18"/>
      <c r="N672" s="18"/>
      <c r="O672" s="18"/>
      <c r="P672" s="18"/>
      <c r="Q672" s="18"/>
      <c r="R672" s="18"/>
      <c r="S672" s="18"/>
      <c r="T672" s="18"/>
      <c r="U672" s="18"/>
      <c r="V672" s="18"/>
      <c r="W672" s="18"/>
      <c r="X672" s="18"/>
      <c r="Y672" s="18"/>
      <c r="Z672" s="18"/>
    </row>
    <row r="673" spans="1:26" s="20" customFormat="1" x14ac:dyDescent="0.2">
      <c r="A673" s="18"/>
      <c r="B673" s="18"/>
      <c r="C673" s="18"/>
      <c r="D673" s="18"/>
      <c r="E673" s="18"/>
      <c r="F673" s="18"/>
      <c r="G673" s="18"/>
      <c r="H673" s="18"/>
      <c r="I673" s="18"/>
      <c r="J673" s="18"/>
      <c r="K673" s="18"/>
      <c r="L673" s="18"/>
      <c r="M673" s="18"/>
      <c r="N673" s="18"/>
      <c r="O673" s="18"/>
      <c r="P673" s="18"/>
      <c r="Q673" s="18"/>
      <c r="R673" s="18"/>
      <c r="S673" s="18"/>
      <c r="T673" s="18"/>
      <c r="U673" s="18"/>
      <c r="V673" s="18"/>
      <c r="W673" s="18"/>
      <c r="X673" s="18"/>
      <c r="Y673" s="18"/>
      <c r="Z673" s="18"/>
    </row>
    <row r="674" spans="1:26" s="20" customFormat="1" x14ac:dyDescent="0.2">
      <c r="A674" s="18"/>
      <c r="B674" s="18"/>
      <c r="C674" s="18"/>
      <c r="D674" s="18"/>
      <c r="E674" s="18"/>
      <c r="F674" s="18"/>
      <c r="G674" s="18"/>
      <c r="H674" s="18"/>
      <c r="I674" s="18"/>
      <c r="J674" s="18"/>
      <c r="K674" s="18"/>
      <c r="L674" s="18"/>
      <c r="M674" s="18"/>
      <c r="N674" s="18"/>
      <c r="O674" s="18"/>
      <c r="P674" s="18"/>
      <c r="Q674" s="18"/>
      <c r="R674" s="18"/>
      <c r="S674" s="18"/>
      <c r="T674" s="18"/>
      <c r="U674" s="18"/>
      <c r="V674" s="18"/>
      <c r="W674" s="18"/>
      <c r="X674" s="18"/>
      <c r="Y674" s="18"/>
      <c r="Z674" s="18"/>
    </row>
    <row r="675" spans="1:26" s="20" customFormat="1" x14ac:dyDescent="0.2">
      <c r="A675" s="18"/>
      <c r="B675" s="18"/>
      <c r="C675" s="18"/>
      <c r="D675" s="18"/>
      <c r="E675" s="18"/>
      <c r="F675" s="18"/>
      <c r="G675" s="18"/>
      <c r="H675" s="18"/>
      <c r="I675" s="18"/>
      <c r="J675" s="18"/>
      <c r="K675" s="18"/>
      <c r="L675" s="18"/>
      <c r="M675" s="18"/>
      <c r="N675" s="18"/>
      <c r="O675" s="18"/>
      <c r="P675" s="18"/>
      <c r="Q675" s="18"/>
      <c r="R675" s="18"/>
      <c r="S675" s="18"/>
      <c r="T675" s="18"/>
      <c r="U675" s="18"/>
      <c r="V675" s="18"/>
      <c r="W675" s="18"/>
      <c r="X675" s="18"/>
      <c r="Y675" s="18"/>
      <c r="Z675" s="18"/>
    </row>
    <row r="676" spans="1:26" s="20" customFormat="1" x14ac:dyDescent="0.2">
      <c r="A676" s="18"/>
      <c r="B676" s="18"/>
      <c r="C676" s="18"/>
      <c r="D676" s="18"/>
      <c r="E676" s="18"/>
      <c r="F676" s="18"/>
      <c r="G676" s="18"/>
      <c r="H676" s="18"/>
      <c r="I676" s="18"/>
      <c r="J676" s="18"/>
      <c r="K676" s="18"/>
      <c r="L676" s="18"/>
      <c r="M676" s="18"/>
      <c r="N676" s="18"/>
      <c r="O676" s="18"/>
      <c r="P676" s="18"/>
      <c r="Q676" s="18"/>
      <c r="R676" s="18"/>
      <c r="S676" s="18"/>
      <c r="T676" s="18"/>
      <c r="U676" s="18"/>
      <c r="V676" s="18"/>
      <c r="W676" s="18"/>
      <c r="X676" s="18"/>
      <c r="Y676" s="18"/>
      <c r="Z676" s="18"/>
    </row>
    <row r="677" spans="1:26" s="20" customFormat="1" x14ac:dyDescent="0.2">
      <c r="A677" s="18"/>
      <c r="B677" s="18"/>
      <c r="C677" s="18"/>
      <c r="D677" s="18"/>
      <c r="E677" s="18"/>
      <c r="F677" s="18"/>
      <c r="G677" s="18"/>
      <c r="H677" s="18"/>
      <c r="I677" s="18"/>
      <c r="J677" s="18"/>
      <c r="K677" s="18"/>
      <c r="L677" s="18"/>
      <c r="M677" s="18"/>
      <c r="N677" s="18"/>
      <c r="O677" s="18"/>
      <c r="P677" s="18"/>
      <c r="Q677" s="18"/>
      <c r="R677" s="18"/>
      <c r="S677" s="18"/>
      <c r="T677" s="18"/>
      <c r="U677" s="18"/>
      <c r="V677" s="18"/>
      <c r="W677" s="18"/>
      <c r="X677" s="18"/>
      <c r="Y677" s="18"/>
      <c r="Z677" s="18"/>
    </row>
    <row r="678" spans="1:26" s="20" customFormat="1" x14ac:dyDescent="0.2">
      <c r="A678" s="18"/>
      <c r="B678" s="18"/>
      <c r="C678" s="18"/>
      <c r="D678" s="18"/>
      <c r="E678" s="18"/>
      <c r="F678" s="18"/>
      <c r="G678" s="18"/>
      <c r="H678" s="18"/>
      <c r="I678" s="18"/>
      <c r="J678" s="18"/>
      <c r="K678" s="18"/>
      <c r="L678" s="18"/>
      <c r="M678" s="18"/>
      <c r="N678" s="18"/>
      <c r="O678" s="18"/>
      <c r="P678" s="18"/>
      <c r="Q678" s="18"/>
      <c r="R678" s="18"/>
      <c r="S678" s="18"/>
      <c r="T678" s="18"/>
      <c r="U678" s="18"/>
      <c r="V678" s="18"/>
      <c r="W678" s="18"/>
      <c r="X678" s="18"/>
      <c r="Y678" s="18"/>
      <c r="Z678" s="18"/>
    </row>
    <row r="679" spans="1:26" s="20" customFormat="1" x14ac:dyDescent="0.2">
      <c r="A679" s="18"/>
      <c r="B679" s="18"/>
      <c r="C679" s="18"/>
      <c r="D679" s="18"/>
      <c r="E679" s="18"/>
      <c r="F679" s="18"/>
      <c r="G679" s="18"/>
      <c r="H679" s="18"/>
      <c r="I679" s="18"/>
      <c r="J679" s="18"/>
      <c r="K679" s="18"/>
      <c r="L679" s="18"/>
      <c r="M679" s="18"/>
      <c r="N679" s="18"/>
      <c r="O679" s="18"/>
      <c r="P679" s="18"/>
      <c r="Q679" s="18"/>
      <c r="R679" s="18"/>
      <c r="S679" s="18"/>
      <c r="T679" s="18"/>
      <c r="U679" s="18"/>
      <c r="V679" s="18"/>
      <c r="W679" s="18"/>
      <c r="X679" s="18"/>
      <c r="Y679" s="18"/>
      <c r="Z679" s="18"/>
    </row>
    <row r="680" spans="1:26" s="20" customFormat="1" x14ac:dyDescent="0.2">
      <c r="A680" s="18"/>
      <c r="B680" s="18"/>
      <c r="C680" s="18"/>
      <c r="D680" s="18"/>
      <c r="E680" s="18"/>
      <c r="F680" s="18"/>
      <c r="G680" s="18"/>
      <c r="H680" s="18"/>
      <c r="I680" s="18"/>
      <c r="J680" s="18"/>
      <c r="K680" s="18"/>
      <c r="L680" s="18"/>
      <c r="M680" s="18"/>
      <c r="N680" s="18"/>
      <c r="O680" s="18"/>
      <c r="P680" s="18"/>
      <c r="Q680" s="18"/>
      <c r="R680" s="18"/>
      <c r="S680" s="18"/>
      <c r="T680" s="18"/>
      <c r="U680" s="18"/>
      <c r="V680" s="18"/>
      <c r="W680" s="18"/>
      <c r="X680" s="18"/>
      <c r="Y680" s="18"/>
      <c r="Z680" s="18"/>
    </row>
    <row r="681" spans="1:26" s="20" customFormat="1" x14ac:dyDescent="0.2">
      <c r="A681" s="18"/>
      <c r="B681" s="18"/>
      <c r="C681" s="18"/>
      <c r="D681" s="18"/>
      <c r="E681" s="18"/>
      <c r="F681" s="18"/>
      <c r="G681" s="18"/>
      <c r="H681" s="18"/>
      <c r="I681" s="18"/>
      <c r="J681" s="18"/>
      <c r="K681" s="18"/>
      <c r="L681" s="18"/>
      <c r="M681" s="18"/>
      <c r="N681" s="18"/>
      <c r="O681" s="18"/>
      <c r="P681" s="18"/>
      <c r="Q681" s="18"/>
      <c r="R681" s="18"/>
      <c r="S681" s="18"/>
      <c r="T681" s="18"/>
      <c r="U681" s="18"/>
      <c r="V681" s="18"/>
      <c r="W681" s="18"/>
      <c r="X681" s="18"/>
      <c r="Y681" s="18"/>
      <c r="Z681" s="18"/>
    </row>
    <row r="682" spans="1:26" s="20" customFormat="1" x14ac:dyDescent="0.2">
      <c r="A682" s="18"/>
      <c r="B682" s="18"/>
      <c r="C682" s="18"/>
      <c r="D682" s="18"/>
      <c r="E682" s="18"/>
      <c r="F682" s="18"/>
      <c r="G682" s="18"/>
      <c r="H682" s="18"/>
      <c r="I682" s="18"/>
      <c r="J682" s="18"/>
      <c r="K682" s="18"/>
      <c r="L682" s="18"/>
      <c r="M682" s="18"/>
      <c r="N682" s="18"/>
      <c r="O682" s="18"/>
      <c r="P682" s="18"/>
      <c r="Q682" s="18"/>
      <c r="R682" s="18"/>
      <c r="S682" s="18"/>
      <c r="T682" s="18"/>
      <c r="U682" s="18"/>
      <c r="V682" s="18"/>
      <c r="W682" s="18"/>
      <c r="X682" s="18"/>
      <c r="Y682" s="18"/>
      <c r="Z682" s="18"/>
    </row>
    <row r="683" spans="1:26" s="20" customFormat="1" x14ac:dyDescent="0.2">
      <c r="A683" s="18"/>
      <c r="B683" s="18"/>
      <c r="C683" s="18"/>
      <c r="D683" s="18"/>
      <c r="E683" s="18"/>
      <c r="F683" s="18"/>
      <c r="G683" s="18"/>
      <c r="H683" s="18"/>
      <c r="I683" s="18"/>
      <c r="J683" s="18"/>
      <c r="K683" s="18"/>
      <c r="L683" s="18"/>
      <c r="M683" s="18"/>
      <c r="N683" s="18"/>
      <c r="O683" s="18"/>
      <c r="P683" s="18"/>
      <c r="Q683" s="18"/>
      <c r="R683" s="18"/>
      <c r="S683" s="18"/>
      <c r="T683" s="18"/>
      <c r="U683" s="18"/>
      <c r="V683" s="18"/>
      <c r="W683" s="18"/>
      <c r="X683" s="18"/>
      <c r="Y683" s="18"/>
      <c r="Z683" s="18"/>
    </row>
    <row r="684" spans="1:26" s="20" customFormat="1" x14ac:dyDescent="0.2">
      <c r="A684" s="18"/>
      <c r="B684" s="18"/>
      <c r="C684" s="18"/>
      <c r="D684" s="18"/>
      <c r="E684" s="18"/>
      <c r="F684" s="18"/>
      <c r="G684" s="18"/>
      <c r="H684" s="18"/>
      <c r="I684" s="18"/>
      <c r="J684" s="18"/>
      <c r="K684" s="18"/>
      <c r="L684" s="18"/>
      <c r="M684" s="18"/>
      <c r="N684" s="18"/>
      <c r="O684" s="18"/>
      <c r="P684" s="18"/>
      <c r="Q684" s="18"/>
      <c r="R684" s="18"/>
      <c r="S684" s="18"/>
      <c r="T684" s="18"/>
      <c r="U684" s="18"/>
      <c r="V684" s="18"/>
      <c r="W684" s="18"/>
      <c r="X684" s="18"/>
      <c r="Y684" s="18"/>
      <c r="Z684" s="18"/>
    </row>
    <row r="685" spans="1:26" s="20" customFormat="1" x14ac:dyDescent="0.2">
      <c r="A685" s="18"/>
      <c r="B685" s="18"/>
      <c r="C685" s="18"/>
      <c r="D685" s="18"/>
      <c r="E685" s="18"/>
      <c r="F685" s="18"/>
      <c r="G685" s="18"/>
      <c r="H685" s="18"/>
      <c r="I685" s="18"/>
      <c r="J685" s="18"/>
      <c r="K685" s="18"/>
      <c r="L685" s="18"/>
      <c r="M685" s="18"/>
      <c r="N685" s="18"/>
      <c r="O685" s="18"/>
      <c r="P685" s="18"/>
      <c r="Q685" s="18"/>
      <c r="R685" s="18"/>
      <c r="S685" s="18"/>
      <c r="T685" s="18"/>
      <c r="U685" s="18"/>
      <c r="V685" s="18"/>
      <c r="W685" s="18"/>
      <c r="X685" s="18"/>
      <c r="Y685" s="18"/>
      <c r="Z685" s="18"/>
    </row>
    <row r="686" spans="1:26" s="20" customFormat="1" x14ac:dyDescent="0.2">
      <c r="A686" s="18"/>
      <c r="B686" s="18"/>
      <c r="C686" s="18"/>
      <c r="D686" s="18"/>
      <c r="E686" s="18"/>
      <c r="F686" s="18"/>
      <c r="G686" s="18"/>
      <c r="H686" s="18"/>
      <c r="I686" s="18"/>
      <c r="J686" s="18"/>
      <c r="K686" s="18"/>
      <c r="L686" s="18"/>
      <c r="M686" s="18"/>
      <c r="N686" s="18"/>
      <c r="O686" s="18"/>
      <c r="P686" s="18"/>
      <c r="Q686" s="18"/>
      <c r="R686" s="18"/>
      <c r="S686" s="18"/>
      <c r="T686" s="18"/>
      <c r="U686" s="18"/>
      <c r="V686" s="18"/>
      <c r="W686" s="18"/>
      <c r="X686" s="18"/>
      <c r="Y686" s="18"/>
      <c r="Z686" s="18"/>
    </row>
    <row r="687" spans="1:26" s="20" customFormat="1" x14ac:dyDescent="0.2">
      <c r="A687" s="18"/>
      <c r="B687" s="18"/>
      <c r="C687" s="18"/>
      <c r="D687" s="18"/>
      <c r="E687" s="18"/>
      <c r="F687" s="18"/>
      <c r="G687" s="18"/>
      <c r="H687" s="18"/>
      <c r="I687" s="18"/>
      <c r="J687" s="18"/>
      <c r="K687" s="18"/>
      <c r="L687" s="18"/>
      <c r="M687" s="18"/>
      <c r="N687" s="18"/>
      <c r="O687" s="18"/>
      <c r="P687" s="18"/>
      <c r="Q687" s="18"/>
      <c r="R687" s="18"/>
      <c r="S687" s="18"/>
      <c r="T687" s="18"/>
      <c r="U687" s="18"/>
      <c r="V687" s="18"/>
      <c r="W687" s="18"/>
      <c r="X687" s="18"/>
      <c r="Y687" s="18"/>
      <c r="Z687" s="18"/>
    </row>
    <row r="688" spans="1:26" s="20" customFormat="1" x14ac:dyDescent="0.2">
      <c r="A688" s="18"/>
      <c r="B688" s="18"/>
      <c r="C688" s="18"/>
      <c r="D688" s="18"/>
      <c r="E688" s="18"/>
      <c r="F688" s="18"/>
      <c r="G688" s="18"/>
      <c r="H688" s="18"/>
      <c r="I688" s="18"/>
      <c r="J688" s="18"/>
      <c r="K688" s="18"/>
      <c r="L688" s="18"/>
      <c r="M688" s="18"/>
      <c r="N688" s="18"/>
      <c r="O688" s="18"/>
      <c r="P688" s="18"/>
      <c r="Q688" s="18"/>
      <c r="R688" s="18"/>
      <c r="S688" s="18"/>
      <c r="T688" s="18"/>
      <c r="U688" s="18"/>
      <c r="V688" s="18"/>
      <c r="W688" s="18"/>
      <c r="X688" s="18"/>
      <c r="Y688" s="18"/>
      <c r="Z688" s="18"/>
    </row>
    <row r="689" spans="1:26" s="20" customFormat="1" x14ac:dyDescent="0.2">
      <c r="A689" s="18"/>
      <c r="B689" s="18"/>
      <c r="C689" s="18"/>
      <c r="D689" s="18"/>
      <c r="E689" s="18"/>
      <c r="F689" s="18"/>
      <c r="G689" s="18"/>
      <c r="H689" s="18"/>
      <c r="I689" s="18"/>
      <c r="J689" s="18"/>
      <c r="K689" s="18"/>
      <c r="L689" s="18"/>
      <c r="M689" s="18"/>
      <c r="N689" s="18"/>
      <c r="O689" s="18"/>
      <c r="P689" s="18"/>
      <c r="Q689" s="18"/>
      <c r="R689" s="18"/>
      <c r="S689" s="18"/>
      <c r="T689" s="18"/>
      <c r="U689" s="18"/>
      <c r="V689" s="18"/>
      <c r="W689" s="18"/>
      <c r="X689" s="18"/>
      <c r="Y689" s="18"/>
      <c r="Z689" s="18"/>
    </row>
    <row r="690" spans="1:26" s="20" customFormat="1" x14ac:dyDescent="0.2">
      <c r="A690" s="18"/>
      <c r="B690" s="18"/>
      <c r="C690" s="18"/>
      <c r="D690" s="18"/>
      <c r="E690" s="18"/>
      <c r="F690" s="18"/>
      <c r="G690" s="18"/>
      <c r="H690" s="18"/>
      <c r="I690" s="18"/>
      <c r="J690" s="18"/>
      <c r="K690" s="18"/>
      <c r="L690" s="18"/>
      <c r="M690" s="18"/>
      <c r="N690" s="18"/>
      <c r="O690" s="18"/>
      <c r="P690" s="18"/>
      <c r="Q690" s="18"/>
      <c r="R690" s="18"/>
      <c r="S690" s="18"/>
      <c r="T690" s="18"/>
      <c r="U690" s="18"/>
      <c r="V690" s="18"/>
      <c r="W690" s="18"/>
      <c r="X690" s="18"/>
      <c r="Y690" s="18"/>
      <c r="Z690" s="18"/>
    </row>
    <row r="691" spans="1:26" s="20" customFormat="1" x14ac:dyDescent="0.2">
      <c r="A691" s="18"/>
      <c r="B691" s="18"/>
      <c r="C691" s="18"/>
      <c r="D691" s="18"/>
      <c r="E691" s="18"/>
      <c r="F691" s="18"/>
      <c r="G691" s="18"/>
      <c r="H691" s="18"/>
      <c r="I691" s="18"/>
      <c r="J691" s="18"/>
      <c r="K691" s="18"/>
      <c r="L691" s="18"/>
      <c r="M691" s="18"/>
      <c r="N691" s="18"/>
      <c r="O691" s="18"/>
      <c r="P691" s="18"/>
      <c r="Q691" s="18"/>
      <c r="R691" s="18"/>
      <c r="S691" s="18"/>
      <c r="T691" s="18"/>
      <c r="U691" s="18"/>
      <c r="V691" s="18"/>
      <c r="W691" s="18"/>
      <c r="X691" s="18"/>
      <c r="Y691" s="18"/>
      <c r="Z691" s="18"/>
    </row>
    <row r="692" spans="1:26" s="20" customFormat="1" x14ac:dyDescent="0.2">
      <c r="A692" s="18"/>
      <c r="B692" s="18"/>
      <c r="C692" s="18"/>
      <c r="D692" s="18"/>
      <c r="E692" s="18"/>
      <c r="F692" s="18"/>
      <c r="G692" s="18"/>
      <c r="H692" s="18"/>
      <c r="I692" s="18"/>
      <c r="J692" s="18"/>
      <c r="K692" s="18"/>
      <c r="L692" s="18"/>
      <c r="M692" s="18"/>
      <c r="N692" s="18"/>
      <c r="O692" s="18"/>
      <c r="P692" s="18"/>
      <c r="Q692" s="18"/>
      <c r="R692" s="18"/>
      <c r="S692" s="18"/>
      <c r="T692" s="18"/>
      <c r="U692" s="18"/>
      <c r="V692" s="18"/>
      <c r="W692" s="18"/>
      <c r="X692" s="18"/>
      <c r="Y692" s="18"/>
      <c r="Z692" s="18"/>
    </row>
    <row r="693" spans="1:26" s="20" customFormat="1" x14ac:dyDescent="0.2">
      <c r="A693" s="18"/>
      <c r="B693" s="18"/>
      <c r="C693" s="18"/>
      <c r="D693" s="18"/>
      <c r="E693" s="18"/>
      <c r="F693" s="18"/>
      <c r="G693" s="18"/>
      <c r="H693" s="18"/>
      <c r="I693" s="18"/>
      <c r="J693" s="18"/>
      <c r="K693" s="18"/>
      <c r="L693" s="18"/>
      <c r="M693" s="18"/>
      <c r="N693" s="18"/>
      <c r="O693" s="18"/>
      <c r="P693" s="18"/>
      <c r="Q693" s="18"/>
      <c r="R693" s="18"/>
      <c r="S693" s="18"/>
      <c r="T693" s="18"/>
      <c r="U693" s="18"/>
      <c r="V693" s="18"/>
      <c r="W693" s="18"/>
      <c r="X693" s="18"/>
      <c r="Y693" s="18"/>
      <c r="Z693" s="18"/>
    </row>
    <row r="694" spans="1:26" s="20" customFormat="1" x14ac:dyDescent="0.2">
      <c r="A694" s="18"/>
      <c r="B694" s="18"/>
      <c r="C694" s="18"/>
      <c r="D694" s="18"/>
      <c r="E694" s="18"/>
      <c r="F694" s="18"/>
      <c r="G694" s="18"/>
      <c r="H694" s="18"/>
      <c r="I694" s="18"/>
      <c r="J694" s="18"/>
      <c r="K694" s="18"/>
      <c r="L694" s="18"/>
      <c r="M694" s="18"/>
      <c r="N694" s="18"/>
      <c r="O694" s="18"/>
      <c r="P694" s="18"/>
      <c r="Q694" s="18"/>
      <c r="R694" s="18"/>
      <c r="S694" s="18"/>
      <c r="T694" s="18"/>
      <c r="U694" s="18"/>
      <c r="V694" s="18"/>
      <c r="W694" s="18"/>
      <c r="X694" s="18"/>
      <c r="Y694" s="18"/>
      <c r="Z694" s="18"/>
    </row>
    <row r="695" spans="1:26" s="20" customFormat="1" x14ac:dyDescent="0.2">
      <c r="A695" s="18"/>
      <c r="B695" s="18"/>
      <c r="C695" s="18"/>
      <c r="D695" s="18"/>
      <c r="E695" s="18"/>
      <c r="F695" s="18"/>
      <c r="G695" s="18"/>
      <c r="H695" s="18"/>
      <c r="I695" s="18"/>
      <c r="J695" s="18"/>
      <c r="K695" s="18"/>
      <c r="L695" s="18"/>
      <c r="M695" s="18"/>
      <c r="N695" s="18"/>
      <c r="O695" s="18"/>
      <c r="P695" s="18"/>
      <c r="Q695" s="18"/>
      <c r="R695" s="18"/>
      <c r="S695" s="18"/>
      <c r="T695" s="18"/>
      <c r="U695" s="18"/>
      <c r="V695" s="18"/>
      <c r="W695" s="18"/>
      <c r="X695" s="18"/>
      <c r="Y695" s="18"/>
      <c r="Z695" s="18"/>
    </row>
    <row r="696" spans="1:26" s="20" customFormat="1" x14ac:dyDescent="0.2">
      <c r="A696" s="18"/>
      <c r="B696" s="18"/>
      <c r="C696" s="18"/>
      <c r="D696" s="18"/>
      <c r="E696" s="18"/>
      <c r="F696" s="18"/>
      <c r="G696" s="18"/>
      <c r="H696" s="18"/>
      <c r="I696" s="18"/>
      <c r="J696" s="18"/>
      <c r="K696" s="18"/>
      <c r="L696" s="18"/>
      <c r="M696" s="18"/>
      <c r="N696" s="18"/>
      <c r="O696" s="18"/>
      <c r="P696" s="18"/>
      <c r="Q696" s="18"/>
      <c r="R696" s="18"/>
      <c r="S696" s="18"/>
      <c r="T696" s="18"/>
      <c r="U696" s="18"/>
      <c r="V696" s="18"/>
      <c r="W696" s="18"/>
      <c r="X696" s="18"/>
      <c r="Y696" s="18"/>
      <c r="Z696" s="18"/>
    </row>
    <row r="697" spans="1:26" s="20" customFormat="1" x14ac:dyDescent="0.2">
      <c r="A697" s="18"/>
      <c r="B697" s="18"/>
      <c r="C697" s="18"/>
      <c r="D697" s="18"/>
      <c r="E697" s="18"/>
      <c r="F697" s="18"/>
      <c r="G697" s="18"/>
      <c r="H697" s="18"/>
      <c r="I697" s="18"/>
      <c r="J697" s="18"/>
      <c r="K697" s="18"/>
      <c r="L697" s="18"/>
      <c r="M697" s="18"/>
      <c r="N697" s="18"/>
      <c r="O697" s="18"/>
      <c r="P697" s="18"/>
      <c r="Q697" s="18"/>
      <c r="R697" s="18"/>
      <c r="S697" s="18"/>
      <c r="T697" s="18"/>
      <c r="U697" s="18"/>
      <c r="V697" s="18"/>
      <c r="W697" s="18"/>
      <c r="X697" s="18"/>
      <c r="Y697" s="18"/>
      <c r="Z697" s="18"/>
    </row>
    <row r="698" spans="1:26" s="20" customFormat="1" x14ac:dyDescent="0.2">
      <c r="A698" s="18"/>
      <c r="B698" s="18"/>
      <c r="C698" s="18"/>
      <c r="D698" s="18"/>
      <c r="E698" s="18"/>
      <c r="F698" s="18"/>
      <c r="G698" s="18"/>
      <c r="H698" s="18"/>
      <c r="I698" s="18"/>
      <c r="J698" s="18"/>
      <c r="K698" s="18"/>
      <c r="L698" s="18"/>
      <c r="M698" s="18"/>
      <c r="N698" s="18"/>
      <c r="O698" s="18"/>
      <c r="P698" s="18"/>
      <c r="Q698" s="18"/>
      <c r="R698" s="18"/>
      <c r="S698" s="18"/>
      <c r="T698" s="18"/>
      <c r="U698" s="18"/>
      <c r="V698" s="18"/>
      <c r="W698" s="18"/>
      <c r="X698" s="18"/>
      <c r="Y698" s="18"/>
      <c r="Z698" s="18"/>
    </row>
    <row r="699" spans="1:26" s="20" customFormat="1" x14ac:dyDescent="0.2">
      <c r="A699" s="18"/>
      <c r="B699" s="18"/>
      <c r="C699" s="18"/>
      <c r="D699" s="18"/>
      <c r="E699" s="18"/>
      <c r="F699" s="18"/>
      <c r="G699" s="18"/>
      <c r="H699" s="18"/>
      <c r="I699" s="18"/>
      <c r="J699" s="18"/>
      <c r="K699" s="18"/>
      <c r="L699" s="18"/>
      <c r="M699" s="18"/>
      <c r="N699" s="18"/>
      <c r="O699" s="18"/>
      <c r="P699" s="18"/>
      <c r="Q699" s="18"/>
      <c r="R699" s="18"/>
      <c r="S699" s="18"/>
      <c r="T699" s="18"/>
      <c r="U699" s="18"/>
      <c r="V699" s="18"/>
      <c r="W699" s="18"/>
      <c r="X699" s="18"/>
      <c r="Y699" s="18"/>
      <c r="Z699" s="18"/>
    </row>
    <row r="700" spans="1:26" s="20" customFormat="1" x14ac:dyDescent="0.2">
      <c r="A700" s="18"/>
      <c r="B700" s="18"/>
      <c r="C700" s="18"/>
      <c r="D700" s="18"/>
      <c r="E700" s="18"/>
      <c r="F700" s="18"/>
      <c r="G700" s="18"/>
      <c r="H700" s="18"/>
      <c r="I700" s="18"/>
      <c r="J700" s="18"/>
      <c r="K700" s="18"/>
      <c r="L700" s="18"/>
      <c r="M700" s="18"/>
      <c r="N700" s="18"/>
      <c r="O700" s="18"/>
      <c r="P700" s="18"/>
      <c r="Q700" s="18"/>
      <c r="R700" s="18"/>
      <c r="S700" s="18"/>
      <c r="T700" s="18"/>
      <c r="U700" s="18"/>
      <c r="V700" s="18"/>
      <c r="W700" s="18"/>
      <c r="X700" s="18"/>
      <c r="Y700" s="18"/>
      <c r="Z700" s="18"/>
    </row>
    <row r="701" spans="1:26" s="20" customFormat="1" x14ac:dyDescent="0.2">
      <c r="A701" s="18"/>
      <c r="B701" s="18"/>
      <c r="C701" s="18"/>
      <c r="D701" s="18"/>
      <c r="E701" s="18"/>
      <c r="F701" s="18"/>
      <c r="G701" s="18"/>
      <c r="H701" s="18"/>
      <c r="I701" s="18"/>
      <c r="J701" s="18"/>
      <c r="K701" s="18"/>
      <c r="L701" s="18"/>
      <c r="M701" s="18"/>
      <c r="N701" s="18"/>
      <c r="O701" s="18"/>
      <c r="P701" s="18"/>
      <c r="Q701" s="18"/>
      <c r="R701" s="18"/>
      <c r="S701" s="18"/>
      <c r="T701" s="18"/>
      <c r="U701" s="18"/>
      <c r="V701" s="18"/>
      <c r="W701" s="18"/>
      <c r="X701" s="18"/>
      <c r="Y701" s="18"/>
      <c r="Z701" s="18"/>
    </row>
    <row r="702" spans="1:26" s="20" customFormat="1" x14ac:dyDescent="0.2">
      <c r="A702" s="18"/>
      <c r="B702" s="18"/>
      <c r="C702" s="18"/>
      <c r="D702" s="18"/>
      <c r="E702" s="18"/>
      <c r="F702" s="18"/>
      <c r="G702" s="18"/>
      <c r="H702" s="18"/>
      <c r="I702" s="18"/>
      <c r="J702" s="18"/>
      <c r="K702" s="18"/>
      <c r="L702" s="18"/>
      <c r="M702" s="18"/>
      <c r="N702" s="18"/>
      <c r="O702" s="18"/>
      <c r="P702" s="18"/>
      <c r="Q702" s="18"/>
      <c r="R702" s="18"/>
      <c r="S702" s="18"/>
      <c r="T702" s="18"/>
      <c r="U702" s="18"/>
      <c r="V702" s="18"/>
      <c r="W702" s="18"/>
      <c r="X702" s="18"/>
      <c r="Y702" s="18"/>
      <c r="Z702" s="18"/>
    </row>
    <row r="703" spans="1:26" s="20" customFormat="1" x14ac:dyDescent="0.2">
      <c r="A703" s="18"/>
      <c r="B703" s="18"/>
      <c r="C703" s="18"/>
      <c r="D703" s="18"/>
      <c r="E703" s="18"/>
      <c r="F703" s="18"/>
      <c r="G703" s="18"/>
      <c r="H703" s="18"/>
      <c r="I703" s="18"/>
      <c r="J703" s="18"/>
      <c r="K703" s="18"/>
      <c r="L703" s="18"/>
      <c r="M703" s="18"/>
      <c r="N703" s="18"/>
      <c r="O703" s="18"/>
      <c r="P703" s="18"/>
      <c r="Q703" s="18"/>
      <c r="R703" s="18"/>
      <c r="S703" s="18"/>
      <c r="T703" s="18"/>
      <c r="U703" s="18"/>
      <c r="V703" s="18"/>
      <c r="W703" s="18"/>
      <c r="X703" s="18"/>
      <c r="Y703" s="18"/>
      <c r="Z703" s="18"/>
    </row>
    <row r="704" spans="1:26" s="20" customFormat="1" x14ac:dyDescent="0.2">
      <c r="A704" s="18"/>
      <c r="B704" s="18"/>
      <c r="C704" s="18"/>
      <c r="D704" s="18"/>
      <c r="E704" s="18"/>
      <c r="F704" s="18"/>
      <c r="G704" s="18"/>
      <c r="H704" s="18"/>
      <c r="I704" s="18"/>
      <c r="J704" s="18"/>
      <c r="K704" s="18"/>
      <c r="L704" s="18"/>
      <c r="M704" s="18"/>
      <c r="N704" s="18"/>
      <c r="O704" s="18"/>
      <c r="P704" s="18"/>
      <c r="Q704" s="18"/>
      <c r="R704" s="18"/>
      <c r="S704" s="18"/>
      <c r="T704" s="18"/>
      <c r="U704" s="18"/>
      <c r="V704" s="18"/>
      <c r="W704" s="18"/>
      <c r="X704" s="18"/>
      <c r="Y704" s="18"/>
      <c r="Z704" s="18"/>
    </row>
    <row r="705" spans="1:26" s="20" customFormat="1" x14ac:dyDescent="0.2">
      <c r="A705" s="18"/>
      <c r="B705" s="18"/>
      <c r="C705" s="18"/>
      <c r="D705" s="18"/>
      <c r="E705" s="18"/>
      <c r="F705" s="18"/>
      <c r="G705" s="18"/>
      <c r="H705" s="18"/>
      <c r="I705" s="18"/>
      <c r="J705" s="18"/>
      <c r="K705" s="18"/>
      <c r="L705" s="18"/>
      <c r="M705" s="18"/>
      <c r="N705" s="18"/>
      <c r="O705" s="18"/>
      <c r="P705" s="18"/>
      <c r="Q705" s="18"/>
      <c r="R705" s="18"/>
      <c r="S705" s="18"/>
      <c r="T705" s="18"/>
      <c r="U705" s="18"/>
      <c r="V705" s="18"/>
      <c r="W705" s="18"/>
      <c r="X705" s="18"/>
      <c r="Y705" s="18"/>
      <c r="Z705" s="18"/>
    </row>
    <row r="706" spans="1:26" s="20" customFormat="1" x14ac:dyDescent="0.2">
      <c r="A706" s="18"/>
      <c r="B706" s="18"/>
      <c r="C706" s="18"/>
      <c r="D706" s="18"/>
      <c r="E706" s="18"/>
      <c r="F706" s="18"/>
      <c r="G706" s="18"/>
      <c r="H706" s="18"/>
      <c r="I706" s="18"/>
      <c r="J706" s="18"/>
      <c r="K706" s="18"/>
      <c r="L706" s="18"/>
      <c r="M706" s="18"/>
      <c r="N706" s="18"/>
      <c r="O706" s="18"/>
      <c r="P706" s="18"/>
      <c r="Q706" s="18"/>
      <c r="R706" s="18"/>
      <c r="S706" s="18"/>
      <c r="T706" s="18"/>
      <c r="U706" s="18"/>
      <c r="V706" s="18"/>
      <c r="W706" s="18"/>
      <c r="X706" s="18"/>
      <c r="Y706" s="18"/>
      <c r="Z706" s="18"/>
    </row>
    <row r="707" spans="1:26" s="20" customFormat="1" x14ac:dyDescent="0.2">
      <c r="A707" s="18"/>
      <c r="B707" s="18"/>
      <c r="C707" s="18"/>
      <c r="D707" s="18"/>
      <c r="E707" s="18"/>
      <c r="F707" s="18"/>
      <c r="G707" s="18"/>
      <c r="H707" s="18"/>
      <c r="I707" s="18"/>
      <c r="J707" s="18"/>
      <c r="K707" s="18"/>
      <c r="L707" s="18"/>
      <c r="M707" s="18"/>
      <c r="N707" s="18"/>
      <c r="O707" s="18"/>
      <c r="P707" s="18"/>
      <c r="Q707" s="18"/>
      <c r="R707" s="18"/>
      <c r="S707" s="18"/>
      <c r="T707" s="18"/>
      <c r="U707" s="18"/>
      <c r="V707" s="18"/>
      <c r="W707" s="18"/>
      <c r="X707" s="18"/>
      <c r="Y707" s="18"/>
      <c r="Z707" s="18"/>
    </row>
    <row r="708" spans="1:26" s="20" customFormat="1" x14ac:dyDescent="0.2">
      <c r="A708" s="18"/>
      <c r="B708" s="18"/>
      <c r="C708" s="18"/>
      <c r="D708" s="18"/>
      <c r="E708" s="18"/>
      <c r="F708" s="18"/>
      <c r="G708" s="18"/>
      <c r="H708" s="18"/>
      <c r="I708" s="18"/>
      <c r="J708" s="18"/>
      <c r="K708" s="18"/>
      <c r="L708" s="18"/>
      <c r="M708" s="18"/>
      <c r="N708" s="18"/>
      <c r="O708" s="18"/>
      <c r="P708" s="18"/>
      <c r="Q708" s="18"/>
      <c r="R708" s="18"/>
      <c r="S708" s="18"/>
      <c r="T708" s="18"/>
      <c r="U708" s="18"/>
      <c r="V708" s="18"/>
      <c r="W708" s="18"/>
      <c r="X708" s="18"/>
      <c r="Y708" s="18"/>
      <c r="Z708" s="18"/>
    </row>
    <row r="709" spans="1:26" s="20" customFormat="1" x14ac:dyDescent="0.2">
      <c r="A709" s="18"/>
      <c r="B709" s="18"/>
      <c r="C709" s="18"/>
      <c r="D709" s="18"/>
      <c r="E709" s="18"/>
      <c r="F709" s="18"/>
      <c r="G709" s="18"/>
      <c r="H709" s="18"/>
      <c r="I709" s="18"/>
      <c r="J709" s="18"/>
      <c r="K709" s="18"/>
      <c r="L709" s="18"/>
      <c r="M709" s="18"/>
      <c r="N709" s="18"/>
      <c r="O709" s="18"/>
      <c r="P709" s="18"/>
      <c r="Q709" s="18"/>
      <c r="R709" s="18"/>
      <c r="S709" s="18"/>
      <c r="T709" s="18"/>
      <c r="U709" s="18"/>
      <c r="V709" s="18"/>
      <c r="W709" s="18"/>
      <c r="X709" s="18"/>
      <c r="Y709" s="18"/>
      <c r="Z709" s="18"/>
    </row>
    <row r="710" spans="1:26" s="20" customFormat="1" x14ac:dyDescent="0.2">
      <c r="A710" s="18"/>
      <c r="B710" s="18"/>
      <c r="C710" s="18"/>
      <c r="D710" s="18"/>
      <c r="E710" s="18"/>
      <c r="F710" s="18"/>
      <c r="G710" s="18"/>
      <c r="H710" s="18"/>
      <c r="I710" s="18"/>
      <c r="J710" s="18"/>
      <c r="K710" s="18"/>
      <c r="L710" s="18"/>
      <c r="M710" s="18"/>
      <c r="N710" s="18"/>
      <c r="O710" s="18"/>
      <c r="P710" s="18"/>
      <c r="Q710" s="18"/>
      <c r="R710" s="18"/>
      <c r="S710" s="18"/>
      <c r="T710" s="18"/>
      <c r="U710" s="18"/>
      <c r="V710" s="18"/>
      <c r="W710" s="18"/>
      <c r="X710" s="18"/>
      <c r="Y710" s="18"/>
      <c r="Z710" s="18"/>
    </row>
    <row r="711" spans="1:26" s="20" customFormat="1" x14ac:dyDescent="0.2">
      <c r="A711" s="18"/>
      <c r="B711" s="18"/>
      <c r="C711" s="18"/>
      <c r="D711" s="18"/>
      <c r="E711" s="18"/>
      <c r="F711" s="18"/>
      <c r="G711" s="18"/>
      <c r="H711" s="18"/>
      <c r="I711" s="18"/>
      <c r="J711" s="18"/>
      <c r="K711" s="18"/>
      <c r="L711" s="18"/>
      <c r="M711" s="18"/>
      <c r="N711" s="18"/>
      <c r="O711" s="18"/>
      <c r="P711" s="18"/>
      <c r="Q711" s="18"/>
      <c r="R711" s="18"/>
      <c r="S711" s="18"/>
      <c r="T711" s="18"/>
      <c r="U711" s="18"/>
      <c r="V711" s="18"/>
      <c r="W711" s="18"/>
      <c r="X711" s="18"/>
      <c r="Y711" s="18"/>
      <c r="Z711" s="18"/>
    </row>
    <row r="712" spans="1:26" s="20" customFormat="1" x14ac:dyDescent="0.2">
      <c r="A712" s="18"/>
      <c r="B712" s="18"/>
      <c r="C712" s="18"/>
      <c r="D712" s="18"/>
      <c r="E712" s="18"/>
      <c r="F712" s="18"/>
      <c r="G712" s="18"/>
      <c r="H712" s="18"/>
      <c r="I712" s="18"/>
      <c r="J712" s="18"/>
      <c r="K712" s="18"/>
      <c r="L712" s="18"/>
      <c r="M712" s="18"/>
      <c r="N712" s="18"/>
      <c r="O712" s="18"/>
      <c r="P712" s="18"/>
      <c r="Q712" s="18"/>
      <c r="R712" s="18"/>
      <c r="S712" s="18"/>
      <c r="T712" s="18"/>
      <c r="U712" s="18"/>
      <c r="V712" s="18"/>
      <c r="W712" s="18"/>
      <c r="X712" s="18"/>
      <c r="Y712" s="18"/>
      <c r="Z712" s="18"/>
    </row>
    <row r="713" spans="1:26" s="20" customFormat="1" x14ac:dyDescent="0.2">
      <c r="A713" s="18"/>
      <c r="B713" s="18"/>
      <c r="C713" s="18"/>
      <c r="D713" s="18"/>
      <c r="E713" s="18"/>
      <c r="F713" s="18"/>
      <c r="G713" s="18"/>
      <c r="H713" s="18"/>
      <c r="I713" s="18"/>
      <c r="J713" s="18"/>
      <c r="K713" s="18"/>
      <c r="L713" s="18"/>
      <c r="M713" s="18"/>
      <c r="N713" s="18"/>
      <c r="O713" s="18"/>
      <c r="P713" s="18"/>
      <c r="Q713" s="18"/>
      <c r="R713" s="18"/>
      <c r="S713" s="18"/>
      <c r="T713" s="18"/>
      <c r="U713" s="18"/>
      <c r="V713" s="18"/>
      <c r="W713" s="18"/>
      <c r="X713" s="18"/>
      <c r="Y713" s="18"/>
      <c r="Z713" s="18"/>
    </row>
    <row r="714" spans="1:26" s="20" customFormat="1" x14ac:dyDescent="0.2">
      <c r="A714" s="18"/>
      <c r="B714" s="18"/>
      <c r="C714" s="18"/>
      <c r="D714" s="18"/>
      <c r="E714" s="18"/>
      <c r="F714" s="18"/>
      <c r="G714" s="18"/>
      <c r="H714" s="18"/>
      <c r="I714" s="18"/>
      <c r="J714" s="18"/>
      <c r="K714" s="18"/>
      <c r="L714" s="18"/>
      <c r="M714" s="18"/>
      <c r="N714" s="18"/>
      <c r="O714" s="18"/>
      <c r="P714" s="18"/>
      <c r="Q714" s="18"/>
      <c r="R714" s="18"/>
      <c r="S714" s="18"/>
      <c r="T714" s="18"/>
      <c r="U714" s="18"/>
      <c r="V714" s="18"/>
      <c r="W714" s="18"/>
      <c r="X714" s="18"/>
      <c r="Y714" s="18"/>
      <c r="Z714" s="18"/>
    </row>
    <row r="715" spans="1:26" s="20" customFormat="1" x14ac:dyDescent="0.2">
      <c r="A715" s="18"/>
      <c r="B715" s="18"/>
      <c r="C715" s="18"/>
      <c r="D715" s="18"/>
      <c r="E715" s="18"/>
      <c r="F715" s="18"/>
      <c r="G715" s="18"/>
      <c r="H715" s="18"/>
      <c r="I715" s="18"/>
      <c r="J715" s="18"/>
      <c r="K715" s="18"/>
      <c r="L715" s="18"/>
      <c r="M715" s="18"/>
      <c r="N715" s="18"/>
      <c r="O715" s="18"/>
      <c r="P715" s="18"/>
      <c r="Q715" s="18"/>
      <c r="R715" s="18"/>
      <c r="S715" s="18"/>
      <c r="T715" s="18"/>
      <c r="U715" s="18"/>
      <c r="V715" s="18"/>
      <c r="W715" s="18"/>
      <c r="X715" s="18"/>
      <c r="Y715" s="18"/>
      <c r="Z715" s="18"/>
    </row>
    <row r="716" spans="1:26" s="20" customFormat="1" x14ac:dyDescent="0.2">
      <c r="A716" s="18"/>
      <c r="B716" s="18"/>
      <c r="C716" s="18"/>
      <c r="D716" s="18"/>
      <c r="E716" s="18"/>
      <c r="F716" s="18"/>
      <c r="G716" s="18"/>
      <c r="H716" s="18"/>
      <c r="I716" s="18"/>
      <c r="J716" s="18"/>
      <c r="K716" s="18"/>
      <c r="L716" s="18"/>
      <c r="M716" s="18"/>
      <c r="N716" s="18"/>
      <c r="O716" s="18"/>
      <c r="P716" s="18"/>
      <c r="Q716" s="18"/>
      <c r="R716" s="18"/>
      <c r="S716" s="18"/>
      <c r="T716" s="18"/>
      <c r="U716" s="18"/>
      <c r="V716" s="18"/>
      <c r="W716" s="18"/>
      <c r="X716" s="18"/>
      <c r="Y716" s="18"/>
      <c r="Z716" s="18"/>
    </row>
    <row r="717" spans="1:26" s="20" customFormat="1" x14ac:dyDescent="0.2">
      <c r="A717" s="18"/>
      <c r="B717" s="18"/>
      <c r="C717" s="18"/>
      <c r="D717" s="18"/>
      <c r="E717" s="18"/>
      <c r="F717" s="18"/>
      <c r="G717" s="18"/>
      <c r="H717" s="18"/>
      <c r="I717" s="18"/>
      <c r="J717" s="18"/>
      <c r="K717" s="18"/>
      <c r="L717" s="18"/>
      <c r="M717" s="18"/>
      <c r="N717" s="18"/>
      <c r="O717" s="18"/>
      <c r="P717" s="18"/>
      <c r="Q717" s="18"/>
      <c r="R717" s="18"/>
      <c r="S717" s="18"/>
      <c r="T717" s="18"/>
      <c r="U717" s="18"/>
      <c r="V717" s="18"/>
      <c r="W717" s="18"/>
      <c r="X717" s="18"/>
      <c r="Y717" s="18"/>
      <c r="Z717" s="18"/>
    </row>
    <row r="718" spans="1:26" s="20" customFormat="1" x14ac:dyDescent="0.2">
      <c r="A718" s="18"/>
      <c r="B718" s="18"/>
      <c r="C718" s="18"/>
      <c r="D718" s="18"/>
      <c r="E718" s="18"/>
      <c r="F718" s="18"/>
      <c r="G718" s="18"/>
      <c r="H718" s="18"/>
      <c r="I718" s="18"/>
      <c r="J718" s="18"/>
      <c r="K718" s="18"/>
      <c r="L718" s="18"/>
      <c r="M718" s="18"/>
      <c r="N718" s="18"/>
      <c r="O718" s="18"/>
      <c r="P718" s="18"/>
      <c r="Q718" s="18"/>
      <c r="R718" s="18"/>
      <c r="S718" s="18"/>
      <c r="T718" s="18"/>
      <c r="U718" s="18"/>
      <c r="V718" s="18"/>
      <c r="W718" s="18"/>
      <c r="X718" s="18"/>
      <c r="Y718" s="18"/>
      <c r="Z718" s="18"/>
    </row>
    <row r="719" spans="1:26" s="20" customFormat="1" x14ac:dyDescent="0.2">
      <c r="A719" s="18"/>
      <c r="B719" s="18"/>
      <c r="C719" s="18"/>
      <c r="D719" s="18"/>
      <c r="E719" s="18"/>
      <c r="F719" s="18"/>
      <c r="G719" s="18"/>
      <c r="H719" s="18"/>
      <c r="I719" s="18"/>
      <c r="J719" s="18"/>
      <c r="K719" s="18"/>
      <c r="L719" s="18"/>
      <c r="M719" s="18"/>
      <c r="N719" s="18"/>
      <c r="O719" s="18"/>
      <c r="P719" s="18"/>
      <c r="Q719" s="18"/>
      <c r="R719" s="18"/>
      <c r="S719" s="18"/>
      <c r="T719" s="18"/>
      <c r="U719" s="18"/>
      <c r="V719" s="18"/>
      <c r="W719" s="18"/>
      <c r="X719" s="18"/>
      <c r="Y719" s="18"/>
      <c r="Z719" s="18"/>
    </row>
    <row r="720" spans="1:26" s="20" customFormat="1" x14ac:dyDescent="0.2">
      <c r="A720" s="18"/>
      <c r="B720" s="18"/>
      <c r="C720" s="18"/>
      <c r="D720" s="18"/>
      <c r="E720" s="18"/>
      <c r="F720" s="18"/>
      <c r="G720" s="18"/>
      <c r="H720" s="18"/>
      <c r="I720" s="18"/>
      <c r="J720" s="18"/>
      <c r="K720" s="18"/>
      <c r="L720" s="18"/>
      <c r="M720" s="18"/>
      <c r="N720" s="18"/>
      <c r="O720" s="18"/>
      <c r="P720" s="18"/>
      <c r="Q720" s="18"/>
      <c r="R720" s="18"/>
      <c r="S720" s="18"/>
      <c r="T720" s="18"/>
      <c r="U720" s="18"/>
      <c r="V720" s="18"/>
      <c r="W720" s="18"/>
      <c r="X720" s="18"/>
      <c r="Y720" s="18"/>
      <c r="Z720" s="18"/>
    </row>
    <row r="721" spans="1:26" s="20" customFormat="1" x14ac:dyDescent="0.2">
      <c r="A721" s="18"/>
      <c r="B721" s="18"/>
      <c r="C721" s="18"/>
      <c r="D721" s="18"/>
      <c r="E721" s="18"/>
      <c r="F721" s="18"/>
      <c r="G721" s="18"/>
      <c r="H721" s="18"/>
      <c r="I721" s="18"/>
      <c r="J721" s="18"/>
      <c r="K721" s="18"/>
      <c r="L721" s="18"/>
      <c r="M721" s="18"/>
      <c r="N721" s="18"/>
      <c r="O721" s="18"/>
      <c r="P721" s="18"/>
      <c r="Q721" s="18"/>
      <c r="R721" s="18"/>
      <c r="S721" s="18"/>
      <c r="T721" s="18"/>
      <c r="U721" s="18"/>
      <c r="V721" s="18"/>
      <c r="W721" s="18"/>
      <c r="X721" s="18"/>
      <c r="Y721" s="18"/>
      <c r="Z721" s="18"/>
    </row>
    <row r="722" spans="1:26" s="20" customFormat="1" x14ac:dyDescent="0.2">
      <c r="A722" s="18"/>
      <c r="B722" s="18"/>
      <c r="C722" s="18"/>
      <c r="D722" s="18"/>
      <c r="E722" s="18"/>
      <c r="F722" s="18"/>
      <c r="G722" s="18"/>
      <c r="H722" s="18"/>
      <c r="I722" s="18"/>
      <c r="J722" s="18"/>
      <c r="K722" s="18"/>
      <c r="L722" s="18"/>
      <c r="M722" s="18"/>
      <c r="N722" s="18"/>
      <c r="O722" s="18"/>
      <c r="P722" s="18"/>
      <c r="Q722" s="18"/>
      <c r="R722" s="18"/>
      <c r="S722" s="18"/>
      <c r="T722" s="18"/>
      <c r="U722" s="18"/>
      <c r="V722" s="18"/>
      <c r="W722" s="18"/>
      <c r="X722" s="18"/>
      <c r="Y722" s="18"/>
      <c r="Z722" s="18"/>
    </row>
    <row r="723" spans="1:26" s="20" customFormat="1" x14ac:dyDescent="0.2">
      <c r="A723" s="18"/>
      <c r="B723" s="18"/>
      <c r="C723" s="18"/>
      <c r="D723" s="18"/>
      <c r="E723" s="18"/>
      <c r="F723" s="18"/>
      <c r="G723" s="18"/>
      <c r="H723" s="18"/>
      <c r="I723" s="18"/>
      <c r="J723" s="18"/>
      <c r="K723" s="18"/>
      <c r="L723" s="18"/>
      <c r="M723" s="18"/>
      <c r="N723" s="18"/>
      <c r="O723" s="18"/>
      <c r="P723" s="18"/>
      <c r="Q723" s="18"/>
      <c r="R723" s="18"/>
      <c r="S723" s="18"/>
      <c r="T723" s="18"/>
      <c r="U723" s="18"/>
      <c r="V723" s="18"/>
      <c r="W723" s="18"/>
      <c r="X723" s="18"/>
      <c r="Y723" s="18"/>
      <c r="Z723" s="18"/>
    </row>
    <row r="724" spans="1:26" s="20" customFormat="1" x14ac:dyDescent="0.2">
      <c r="A724" s="18"/>
      <c r="B724" s="18"/>
      <c r="C724" s="18"/>
      <c r="D724" s="18"/>
      <c r="E724" s="18"/>
      <c r="F724" s="18"/>
      <c r="G724" s="18"/>
      <c r="H724" s="18"/>
      <c r="I724" s="18"/>
      <c r="J724" s="18"/>
      <c r="K724" s="18"/>
      <c r="L724" s="18"/>
      <c r="M724" s="18"/>
      <c r="N724" s="18"/>
      <c r="O724" s="18"/>
      <c r="P724" s="18"/>
      <c r="Q724" s="18"/>
      <c r="R724" s="18"/>
      <c r="S724" s="18"/>
      <c r="T724" s="18"/>
      <c r="U724" s="18"/>
      <c r="V724" s="18"/>
      <c r="W724" s="18"/>
      <c r="X724" s="18"/>
      <c r="Y724" s="18"/>
      <c r="Z724" s="18"/>
    </row>
    <row r="725" spans="1:26" s="20" customFormat="1" x14ac:dyDescent="0.2">
      <c r="A725" s="18"/>
      <c r="B725" s="18"/>
      <c r="C725" s="18"/>
      <c r="D725" s="18"/>
      <c r="E725" s="18"/>
      <c r="F725" s="18"/>
      <c r="G725" s="18"/>
      <c r="H725" s="18"/>
      <c r="I725" s="18"/>
      <c r="J725" s="18"/>
      <c r="K725" s="18"/>
      <c r="L725" s="18"/>
      <c r="M725" s="18"/>
      <c r="N725" s="18"/>
      <c r="O725" s="18"/>
      <c r="P725" s="18"/>
      <c r="Q725" s="18"/>
      <c r="R725" s="18"/>
      <c r="S725" s="18"/>
      <c r="T725" s="18"/>
      <c r="U725" s="18"/>
      <c r="V725" s="18"/>
      <c r="W725" s="18"/>
      <c r="X725" s="18"/>
      <c r="Y725" s="18"/>
      <c r="Z725" s="18"/>
    </row>
    <row r="726" spans="1:26" s="20" customFormat="1" x14ac:dyDescent="0.2">
      <c r="A726" s="18"/>
      <c r="B726" s="18"/>
      <c r="C726" s="18"/>
      <c r="D726" s="18"/>
      <c r="E726" s="18"/>
      <c r="F726" s="18"/>
      <c r="G726" s="18"/>
      <c r="H726" s="18"/>
      <c r="I726" s="18"/>
      <c r="J726" s="18"/>
      <c r="K726" s="18"/>
      <c r="L726" s="18"/>
      <c r="M726" s="18"/>
      <c r="N726" s="18"/>
      <c r="O726" s="18"/>
      <c r="P726" s="18"/>
      <c r="Q726" s="18"/>
      <c r="R726" s="18"/>
      <c r="S726" s="18"/>
      <c r="T726" s="18"/>
      <c r="U726" s="18"/>
      <c r="V726" s="18"/>
      <c r="W726" s="18"/>
      <c r="X726" s="18"/>
      <c r="Y726" s="18"/>
      <c r="Z726" s="18"/>
    </row>
    <row r="727" spans="1:26" s="20" customFormat="1" x14ac:dyDescent="0.2">
      <c r="A727" s="18"/>
      <c r="B727" s="18"/>
      <c r="C727" s="18"/>
      <c r="D727" s="18"/>
      <c r="E727" s="18"/>
      <c r="F727" s="18"/>
      <c r="G727" s="18"/>
      <c r="H727" s="18"/>
      <c r="I727" s="18"/>
      <c r="J727" s="18"/>
      <c r="K727" s="18"/>
      <c r="L727" s="18"/>
      <c r="M727" s="18"/>
      <c r="N727" s="18"/>
      <c r="O727" s="18"/>
      <c r="P727" s="18"/>
      <c r="Q727" s="18"/>
      <c r="R727" s="18"/>
      <c r="S727" s="18"/>
      <c r="T727" s="18"/>
      <c r="U727" s="18"/>
      <c r="V727" s="18"/>
      <c r="W727" s="18"/>
      <c r="X727" s="18"/>
      <c r="Y727" s="18"/>
      <c r="Z727" s="18"/>
    </row>
    <row r="728" spans="1:26" s="20" customFormat="1" x14ac:dyDescent="0.2">
      <c r="A728" s="18"/>
      <c r="B728" s="18"/>
      <c r="C728" s="18"/>
      <c r="D728" s="18"/>
      <c r="E728" s="18"/>
      <c r="F728" s="18"/>
      <c r="G728" s="18"/>
      <c r="H728" s="18"/>
      <c r="I728" s="18"/>
      <c r="J728" s="18"/>
      <c r="K728" s="18"/>
      <c r="L728" s="18"/>
      <c r="M728" s="18"/>
      <c r="N728" s="18"/>
      <c r="O728" s="18"/>
      <c r="P728" s="18"/>
      <c r="Q728" s="18"/>
      <c r="R728" s="18"/>
      <c r="S728" s="18"/>
      <c r="T728" s="18"/>
      <c r="U728" s="18"/>
      <c r="V728" s="18"/>
      <c r="W728" s="18"/>
      <c r="X728" s="18"/>
      <c r="Y728" s="18"/>
      <c r="Z728" s="18"/>
    </row>
    <row r="729" spans="1:26" s="20" customFormat="1" x14ac:dyDescent="0.2">
      <c r="A729" s="18"/>
      <c r="B729" s="18"/>
      <c r="C729" s="18"/>
      <c r="D729" s="18"/>
      <c r="E729" s="18"/>
      <c r="F729" s="18"/>
      <c r="G729" s="18"/>
      <c r="H729" s="18"/>
      <c r="I729" s="18"/>
      <c r="J729" s="18"/>
      <c r="K729" s="18"/>
      <c r="L729" s="18"/>
      <c r="M729" s="18"/>
      <c r="N729" s="18"/>
      <c r="O729" s="18"/>
      <c r="P729" s="18"/>
      <c r="Q729" s="18"/>
      <c r="R729" s="18"/>
      <c r="S729" s="18"/>
      <c r="T729" s="18"/>
      <c r="U729" s="18"/>
      <c r="V729" s="18"/>
      <c r="W729" s="18"/>
      <c r="X729" s="18"/>
      <c r="Y729" s="18"/>
      <c r="Z729" s="18"/>
    </row>
    <row r="730" spans="1:26" s="20" customFormat="1" x14ac:dyDescent="0.2">
      <c r="A730" s="18"/>
      <c r="B730" s="18"/>
      <c r="C730" s="18"/>
      <c r="D730" s="18"/>
      <c r="E730" s="18"/>
      <c r="F730" s="18"/>
      <c r="G730" s="18"/>
      <c r="H730" s="18"/>
      <c r="I730" s="18"/>
      <c r="J730" s="18"/>
      <c r="K730" s="18"/>
      <c r="L730" s="18"/>
      <c r="M730" s="18"/>
      <c r="N730" s="18"/>
      <c r="O730" s="18"/>
      <c r="P730" s="18"/>
      <c r="Q730" s="18"/>
      <c r="R730" s="18"/>
      <c r="S730" s="18"/>
      <c r="T730" s="18"/>
      <c r="U730" s="18"/>
      <c r="V730" s="18"/>
      <c r="W730" s="18"/>
      <c r="X730" s="18"/>
      <c r="Y730" s="18"/>
      <c r="Z730" s="18"/>
    </row>
    <row r="731" spans="1:26" s="20" customFormat="1" x14ac:dyDescent="0.2">
      <c r="A731" s="18"/>
      <c r="B731" s="18"/>
      <c r="C731" s="18"/>
      <c r="D731" s="18"/>
      <c r="E731" s="18"/>
      <c r="F731" s="18"/>
      <c r="G731" s="18"/>
      <c r="H731" s="18"/>
      <c r="I731" s="18"/>
      <c r="J731" s="18"/>
      <c r="K731" s="18"/>
      <c r="L731" s="18"/>
      <c r="M731" s="18"/>
      <c r="N731" s="18"/>
      <c r="O731" s="18"/>
      <c r="P731" s="18"/>
      <c r="Q731" s="18"/>
      <c r="R731" s="18"/>
      <c r="S731" s="18"/>
      <c r="T731" s="18"/>
      <c r="U731" s="18"/>
      <c r="V731" s="18"/>
      <c r="W731" s="18"/>
      <c r="X731" s="18"/>
      <c r="Y731" s="18"/>
      <c r="Z731" s="18"/>
    </row>
    <row r="732" spans="1:26" s="20" customFormat="1" x14ac:dyDescent="0.2">
      <c r="A732" s="18"/>
      <c r="B732" s="18"/>
      <c r="C732" s="18"/>
      <c r="D732" s="18"/>
      <c r="E732" s="18"/>
      <c r="F732" s="18"/>
      <c r="G732" s="18"/>
      <c r="H732" s="18"/>
      <c r="I732" s="18"/>
      <c r="J732" s="18"/>
      <c r="K732" s="18"/>
      <c r="L732" s="18"/>
      <c r="M732" s="18"/>
      <c r="N732" s="18"/>
      <c r="O732" s="18"/>
      <c r="P732" s="18"/>
      <c r="Q732" s="18"/>
      <c r="R732" s="18"/>
      <c r="S732" s="18"/>
      <c r="T732" s="18"/>
      <c r="U732" s="18"/>
      <c r="V732" s="18"/>
      <c r="W732" s="18"/>
      <c r="X732" s="18"/>
      <c r="Y732" s="18"/>
      <c r="Z732" s="18"/>
    </row>
    <row r="733" spans="1:26" s="20" customFormat="1" x14ac:dyDescent="0.2">
      <c r="A733" s="18"/>
      <c r="B733" s="18"/>
      <c r="C733" s="18"/>
      <c r="D733" s="18"/>
      <c r="E733" s="18"/>
      <c r="F733" s="18"/>
      <c r="G733" s="18"/>
      <c r="H733" s="18"/>
      <c r="I733" s="18"/>
      <c r="J733" s="18"/>
      <c r="K733" s="18"/>
      <c r="L733" s="18"/>
      <c r="M733" s="18"/>
      <c r="N733" s="18"/>
      <c r="O733" s="18"/>
      <c r="P733" s="18"/>
      <c r="Q733" s="18"/>
      <c r="R733" s="18"/>
      <c r="S733" s="18"/>
      <c r="T733" s="18"/>
      <c r="U733" s="18"/>
      <c r="V733" s="18"/>
      <c r="W733" s="18"/>
      <c r="X733" s="18"/>
      <c r="Y733" s="18"/>
      <c r="Z733" s="18"/>
    </row>
    <row r="734" spans="1:26" s="20" customFormat="1" x14ac:dyDescent="0.2">
      <c r="A734" s="18"/>
      <c r="B734" s="18"/>
      <c r="C734" s="18"/>
      <c r="D734" s="18"/>
      <c r="E734" s="18"/>
      <c r="F734" s="18"/>
      <c r="G734" s="18"/>
      <c r="H734" s="18"/>
      <c r="I734" s="18"/>
      <c r="J734" s="18"/>
      <c r="K734" s="18"/>
      <c r="L734" s="18"/>
      <c r="M734" s="18"/>
      <c r="N734" s="18"/>
      <c r="O734" s="18"/>
      <c r="P734" s="18"/>
      <c r="Q734" s="18"/>
      <c r="R734" s="18"/>
      <c r="S734" s="18"/>
      <c r="T734" s="18"/>
      <c r="U734" s="18"/>
      <c r="V734" s="18"/>
      <c r="W734" s="18"/>
      <c r="X734" s="18"/>
      <c r="Y734" s="18"/>
      <c r="Z734" s="18"/>
    </row>
    <row r="735" spans="1:26" s="20" customFormat="1" x14ac:dyDescent="0.2">
      <c r="A735" s="18"/>
      <c r="B735" s="18"/>
      <c r="C735" s="18"/>
      <c r="D735" s="18"/>
      <c r="E735" s="18"/>
      <c r="F735" s="18"/>
      <c r="G735" s="18"/>
      <c r="H735" s="18"/>
      <c r="I735" s="18"/>
      <c r="J735" s="18"/>
      <c r="K735" s="18"/>
      <c r="L735" s="18"/>
      <c r="M735" s="18"/>
      <c r="N735" s="18"/>
      <c r="O735" s="18"/>
      <c r="P735" s="18"/>
      <c r="Q735" s="18"/>
      <c r="R735" s="18"/>
      <c r="S735" s="18"/>
      <c r="T735" s="18"/>
      <c r="U735" s="18"/>
      <c r="V735" s="18"/>
      <c r="W735" s="18"/>
      <c r="X735" s="18"/>
      <c r="Y735" s="18"/>
      <c r="Z735" s="18"/>
    </row>
    <row r="736" spans="1:26" s="20" customFormat="1" x14ac:dyDescent="0.2">
      <c r="A736" s="18"/>
      <c r="B736" s="18"/>
      <c r="C736" s="18"/>
      <c r="D736" s="18"/>
      <c r="E736" s="18"/>
      <c r="F736" s="18"/>
      <c r="G736" s="18"/>
      <c r="H736" s="18"/>
      <c r="I736" s="18"/>
      <c r="J736" s="18"/>
      <c r="K736" s="18"/>
      <c r="L736" s="18"/>
      <c r="M736" s="18"/>
      <c r="N736" s="18"/>
      <c r="O736" s="18"/>
      <c r="P736" s="18"/>
      <c r="Q736" s="18"/>
      <c r="R736" s="18"/>
      <c r="S736" s="18"/>
      <c r="T736" s="18"/>
      <c r="U736" s="18"/>
      <c r="V736" s="18"/>
      <c r="W736" s="18"/>
      <c r="X736" s="18"/>
      <c r="Y736" s="18"/>
      <c r="Z736" s="18"/>
    </row>
    <row r="737" spans="1:26" s="20" customFormat="1" x14ac:dyDescent="0.2">
      <c r="A737" s="18"/>
      <c r="B737" s="18"/>
      <c r="C737" s="18"/>
      <c r="D737" s="18"/>
      <c r="E737" s="18"/>
      <c r="F737" s="18"/>
      <c r="G737" s="18"/>
      <c r="H737" s="18"/>
      <c r="I737" s="18"/>
      <c r="J737" s="18"/>
      <c r="K737" s="18"/>
      <c r="L737" s="18"/>
      <c r="M737" s="18"/>
      <c r="N737" s="18"/>
      <c r="O737" s="18"/>
      <c r="P737" s="18"/>
      <c r="Q737" s="18"/>
      <c r="R737" s="18"/>
      <c r="S737" s="18"/>
      <c r="T737" s="18"/>
      <c r="U737" s="18"/>
      <c r="V737" s="18"/>
      <c r="W737" s="18"/>
      <c r="X737" s="18"/>
      <c r="Y737" s="18"/>
      <c r="Z737" s="18"/>
    </row>
    <row r="738" spans="1:26" s="20" customFormat="1" x14ac:dyDescent="0.2">
      <c r="A738" s="18"/>
      <c r="B738" s="18"/>
      <c r="C738" s="18"/>
      <c r="D738" s="18"/>
      <c r="E738" s="18"/>
      <c r="F738" s="18"/>
      <c r="G738" s="18"/>
      <c r="H738" s="18"/>
      <c r="I738" s="18"/>
      <c r="J738" s="18"/>
      <c r="K738" s="18"/>
      <c r="L738" s="18"/>
      <c r="M738" s="18"/>
      <c r="N738" s="18"/>
      <c r="O738" s="18"/>
      <c r="P738" s="18"/>
      <c r="Q738" s="18"/>
      <c r="R738" s="18"/>
      <c r="S738" s="18"/>
      <c r="T738" s="18"/>
      <c r="U738" s="18"/>
      <c r="V738" s="18"/>
      <c r="W738" s="18"/>
      <c r="X738" s="18"/>
      <c r="Y738" s="18"/>
      <c r="Z738" s="18"/>
    </row>
    <row r="739" spans="1:26" s="20" customFormat="1" x14ac:dyDescent="0.2">
      <c r="A739" s="18"/>
      <c r="B739" s="18"/>
      <c r="C739" s="18"/>
      <c r="D739" s="18"/>
      <c r="E739" s="18"/>
      <c r="F739" s="18"/>
      <c r="G739" s="18"/>
      <c r="H739" s="18"/>
      <c r="I739" s="18"/>
      <c r="J739" s="18"/>
      <c r="K739" s="18"/>
      <c r="L739" s="18"/>
      <c r="M739" s="18"/>
      <c r="N739" s="18"/>
      <c r="O739" s="18"/>
      <c r="P739" s="18"/>
      <c r="Q739" s="18"/>
      <c r="R739" s="18"/>
      <c r="S739" s="18"/>
      <c r="T739" s="18"/>
      <c r="U739" s="18"/>
      <c r="V739" s="18"/>
      <c r="W739" s="18"/>
      <c r="X739" s="18"/>
      <c r="Y739" s="18"/>
      <c r="Z739" s="18"/>
    </row>
    <row r="740" spans="1:26" s="20" customFormat="1" x14ac:dyDescent="0.2">
      <c r="A740" s="18"/>
      <c r="B740" s="18"/>
      <c r="C740" s="18"/>
      <c r="D740" s="18"/>
      <c r="E740" s="18"/>
      <c r="F740" s="18"/>
      <c r="G740" s="18"/>
      <c r="H740" s="18"/>
      <c r="I740" s="18"/>
      <c r="J740" s="18"/>
      <c r="K740" s="18"/>
      <c r="L740" s="18"/>
      <c r="M740" s="18"/>
      <c r="N740" s="18"/>
      <c r="O740" s="18"/>
      <c r="P740" s="18"/>
      <c r="Q740" s="18"/>
      <c r="R740" s="18"/>
      <c r="S740" s="18"/>
      <c r="T740" s="18"/>
      <c r="U740" s="18"/>
      <c r="V740" s="18"/>
      <c r="W740" s="18"/>
      <c r="X740" s="18"/>
      <c r="Y740" s="18"/>
      <c r="Z740" s="18"/>
    </row>
    <row r="741" spans="1:26" s="20" customFormat="1" x14ac:dyDescent="0.2">
      <c r="A741" s="18"/>
      <c r="B741" s="18"/>
      <c r="C741" s="18"/>
      <c r="D741" s="18"/>
      <c r="E741" s="18"/>
      <c r="F741" s="18"/>
      <c r="G741" s="18"/>
      <c r="H741" s="18"/>
      <c r="I741" s="18"/>
      <c r="J741" s="18"/>
      <c r="K741" s="18"/>
      <c r="L741" s="18"/>
      <c r="M741" s="18"/>
      <c r="N741" s="18"/>
      <c r="O741" s="18"/>
      <c r="P741" s="18"/>
      <c r="Q741" s="18"/>
      <c r="R741" s="18"/>
      <c r="S741" s="18"/>
      <c r="T741" s="18"/>
      <c r="U741" s="18"/>
      <c r="V741" s="18"/>
      <c r="W741" s="18"/>
      <c r="X741" s="18"/>
      <c r="Y741" s="18"/>
      <c r="Z741" s="18"/>
    </row>
    <row r="742" spans="1:26" s="20" customFormat="1" x14ac:dyDescent="0.2">
      <c r="A742" s="18"/>
      <c r="B742" s="18"/>
      <c r="C742" s="18"/>
      <c r="D742" s="18"/>
      <c r="E742" s="18"/>
      <c r="F742" s="18"/>
      <c r="G742" s="18"/>
      <c r="H742" s="18"/>
      <c r="I742" s="18"/>
      <c r="J742" s="18"/>
      <c r="K742" s="18"/>
      <c r="L742" s="18"/>
      <c r="M742" s="18"/>
      <c r="N742" s="18"/>
      <c r="O742" s="18"/>
      <c r="P742" s="18"/>
      <c r="Q742" s="18"/>
      <c r="R742" s="18"/>
      <c r="S742" s="18"/>
      <c r="T742" s="18"/>
      <c r="U742" s="18"/>
      <c r="V742" s="18"/>
      <c r="W742" s="18"/>
      <c r="X742" s="18"/>
      <c r="Y742" s="18"/>
      <c r="Z742" s="18"/>
    </row>
    <row r="743" spans="1:26" s="20" customFormat="1" x14ac:dyDescent="0.2">
      <c r="A743" s="18"/>
      <c r="B743" s="18"/>
      <c r="C743" s="18"/>
      <c r="D743" s="18"/>
      <c r="E743" s="18"/>
      <c r="F743" s="18"/>
      <c r="G743" s="18"/>
      <c r="H743" s="18"/>
      <c r="I743" s="18"/>
      <c r="J743" s="18"/>
      <c r="K743" s="18"/>
      <c r="L743" s="18"/>
      <c r="M743" s="18"/>
      <c r="N743" s="18"/>
      <c r="O743" s="18"/>
      <c r="P743" s="18"/>
      <c r="Q743" s="18"/>
      <c r="R743" s="18"/>
      <c r="S743" s="18"/>
      <c r="T743" s="18"/>
      <c r="U743" s="18"/>
      <c r="V743" s="18"/>
      <c r="W743" s="18"/>
      <c r="X743" s="18"/>
      <c r="Y743" s="18"/>
      <c r="Z743" s="18"/>
    </row>
    <row r="744" spans="1:26" s="20" customFormat="1" x14ac:dyDescent="0.2">
      <c r="A744" s="18"/>
      <c r="B744" s="18"/>
      <c r="C744" s="18"/>
      <c r="D744" s="18"/>
      <c r="E744" s="18"/>
      <c r="F744" s="18"/>
      <c r="G744" s="18"/>
      <c r="H744" s="18"/>
      <c r="I744" s="18"/>
      <c r="J744" s="18"/>
      <c r="K744" s="18"/>
      <c r="L744" s="18"/>
      <c r="M744" s="18"/>
      <c r="N744" s="18"/>
      <c r="O744" s="18"/>
      <c r="P744" s="18"/>
      <c r="Q744" s="18"/>
      <c r="R744" s="18"/>
      <c r="S744" s="18"/>
      <c r="T744" s="18"/>
      <c r="U744" s="18"/>
      <c r="V744" s="18"/>
      <c r="W744" s="18"/>
      <c r="X744" s="18"/>
      <c r="Y744" s="18"/>
      <c r="Z744" s="18"/>
    </row>
    <row r="745" spans="1:26" s="20" customFormat="1" x14ac:dyDescent="0.2">
      <c r="A745" s="18"/>
      <c r="B745" s="18"/>
      <c r="C745" s="18"/>
      <c r="D745" s="18"/>
      <c r="E745" s="18"/>
      <c r="F745" s="18"/>
      <c r="G745" s="18"/>
      <c r="H745" s="18"/>
      <c r="I745" s="18"/>
      <c r="J745" s="18"/>
      <c r="K745" s="18"/>
      <c r="L745" s="18"/>
      <c r="M745" s="18"/>
      <c r="N745" s="18"/>
      <c r="O745" s="18"/>
      <c r="P745" s="18"/>
      <c r="Q745" s="18"/>
      <c r="R745" s="18"/>
      <c r="S745" s="18"/>
      <c r="T745" s="18"/>
      <c r="U745" s="18"/>
      <c r="V745" s="18"/>
      <c r="W745" s="18"/>
      <c r="X745" s="18"/>
      <c r="Y745" s="18"/>
      <c r="Z745" s="18"/>
    </row>
    <row r="746" spans="1:26" s="20" customFormat="1" x14ac:dyDescent="0.2">
      <c r="A746" s="18"/>
      <c r="B746" s="18"/>
      <c r="C746" s="18"/>
      <c r="D746" s="18"/>
      <c r="E746" s="18"/>
      <c r="F746" s="18"/>
      <c r="G746" s="18"/>
      <c r="H746" s="18"/>
      <c r="I746" s="18"/>
      <c r="J746" s="18"/>
      <c r="K746" s="18"/>
      <c r="L746" s="18"/>
      <c r="M746" s="18"/>
      <c r="N746" s="18"/>
      <c r="O746" s="18"/>
      <c r="P746" s="18"/>
      <c r="Q746" s="18"/>
      <c r="R746" s="18"/>
      <c r="S746" s="18"/>
      <c r="T746" s="18"/>
      <c r="U746" s="18"/>
      <c r="V746" s="18"/>
      <c r="W746" s="18"/>
      <c r="X746" s="18"/>
      <c r="Y746" s="18"/>
      <c r="Z746" s="18"/>
    </row>
    <row r="747" spans="1:26" s="20" customFormat="1" x14ac:dyDescent="0.2">
      <c r="A747" s="18"/>
      <c r="B747" s="18"/>
      <c r="C747" s="18"/>
      <c r="D747" s="18"/>
      <c r="E747" s="18"/>
      <c r="F747" s="18"/>
      <c r="G747" s="18"/>
      <c r="H747" s="18"/>
      <c r="I747" s="18"/>
      <c r="J747" s="18"/>
      <c r="K747" s="18"/>
      <c r="L747" s="18"/>
      <c r="M747" s="18"/>
      <c r="N747" s="18"/>
      <c r="O747" s="18"/>
      <c r="P747" s="18"/>
      <c r="Q747" s="18"/>
      <c r="R747" s="18"/>
      <c r="S747" s="18"/>
      <c r="T747" s="18"/>
      <c r="U747" s="18"/>
      <c r="V747" s="18"/>
      <c r="W747" s="18"/>
      <c r="X747" s="18"/>
      <c r="Y747" s="18"/>
      <c r="Z747" s="18"/>
    </row>
    <row r="748" spans="1:26" s="20" customFormat="1" x14ac:dyDescent="0.2">
      <c r="A748" s="18"/>
      <c r="B748" s="18"/>
      <c r="C748" s="18"/>
      <c r="D748" s="18"/>
      <c r="E748" s="18"/>
      <c r="F748" s="18"/>
      <c r="G748" s="18"/>
      <c r="H748" s="18"/>
      <c r="I748" s="18"/>
      <c r="J748" s="18"/>
      <c r="K748" s="18"/>
      <c r="L748" s="18"/>
      <c r="M748" s="18"/>
      <c r="N748" s="18"/>
      <c r="O748" s="18"/>
      <c r="P748" s="18"/>
      <c r="Q748" s="18"/>
      <c r="R748" s="18"/>
      <c r="S748" s="18"/>
      <c r="T748" s="18"/>
      <c r="U748" s="18"/>
      <c r="V748" s="18"/>
      <c r="W748" s="18"/>
      <c r="X748" s="18"/>
      <c r="Y748" s="18"/>
      <c r="Z748" s="18"/>
    </row>
    <row r="749" spans="1:26" s="20" customFormat="1" x14ac:dyDescent="0.2">
      <c r="A749" s="18"/>
      <c r="B749" s="18"/>
      <c r="C749" s="18"/>
      <c r="D749" s="18"/>
      <c r="E749" s="18"/>
      <c r="F749" s="18"/>
      <c r="G749" s="18"/>
      <c r="H749" s="18"/>
      <c r="I749" s="18"/>
      <c r="J749" s="18"/>
      <c r="K749" s="18"/>
      <c r="L749" s="18"/>
      <c r="M749" s="18"/>
      <c r="N749" s="18"/>
      <c r="O749" s="18"/>
      <c r="P749" s="18"/>
      <c r="Q749" s="18"/>
      <c r="R749" s="18"/>
      <c r="S749" s="18"/>
      <c r="T749" s="18"/>
      <c r="U749" s="18"/>
      <c r="V749" s="18"/>
      <c r="W749" s="18"/>
      <c r="X749" s="18"/>
      <c r="Y749" s="18"/>
      <c r="Z749" s="18"/>
    </row>
    <row r="750" spans="1:26" s="20" customFormat="1" x14ac:dyDescent="0.2">
      <c r="A750" s="18"/>
      <c r="B750" s="18"/>
      <c r="C750" s="18"/>
      <c r="D750" s="18"/>
      <c r="E750" s="18"/>
      <c r="F750" s="18"/>
      <c r="G750" s="18"/>
      <c r="H750" s="18"/>
      <c r="I750" s="18"/>
      <c r="J750" s="18"/>
      <c r="K750" s="18"/>
      <c r="L750" s="18"/>
      <c r="M750" s="18"/>
      <c r="N750" s="18"/>
      <c r="O750" s="18"/>
      <c r="P750" s="18"/>
      <c r="Q750" s="18"/>
      <c r="R750" s="18"/>
      <c r="S750" s="18"/>
      <c r="T750" s="18"/>
      <c r="U750" s="18"/>
      <c r="V750" s="18"/>
      <c r="W750" s="18"/>
      <c r="X750" s="18"/>
      <c r="Y750" s="18"/>
      <c r="Z750" s="18"/>
    </row>
    <row r="751" spans="1:26" s="20" customFormat="1" x14ac:dyDescent="0.2">
      <c r="A751" s="18"/>
      <c r="B751" s="18"/>
      <c r="C751" s="18"/>
      <c r="D751" s="18"/>
      <c r="E751" s="18"/>
      <c r="F751" s="18"/>
      <c r="G751" s="18"/>
      <c r="H751" s="18"/>
      <c r="I751" s="18"/>
      <c r="J751" s="18"/>
      <c r="K751" s="18"/>
      <c r="L751" s="18"/>
      <c r="M751" s="18"/>
      <c r="N751" s="18"/>
      <c r="O751" s="18"/>
      <c r="P751" s="18"/>
      <c r="Q751" s="18"/>
      <c r="R751" s="18"/>
      <c r="S751" s="18"/>
      <c r="T751" s="18"/>
      <c r="U751" s="18"/>
      <c r="V751" s="18"/>
      <c r="W751" s="18"/>
      <c r="X751" s="18"/>
      <c r="Y751" s="18"/>
      <c r="Z751" s="18"/>
    </row>
    <row r="752" spans="1:26" s="20" customFormat="1" x14ac:dyDescent="0.2">
      <c r="A752" s="18"/>
      <c r="B752" s="18"/>
      <c r="C752" s="18"/>
      <c r="D752" s="18"/>
      <c r="E752" s="18"/>
      <c r="F752" s="18"/>
      <c r="G752" s="18"/>
      <c r="H752" s="18"/>
      <c r="I752" s="18"/>
      <c r="J752" s="18"/>
      <c r="K752" s="18"/>
      <c r="L752" s="18"/>
      <c r="M752" s="18"/>
      <c r="N752" s="18"/>
      <c r="O752" s="18"/>
      <c r="P752" s="18"/>
      <c r="Q752" s="18"/>
      <c r="R752" s="18"/>
      <c r="S752" s="18"/>
      <c r="T752" s="18"/>
      <c r="U752" s="18"/>
      <c r="V752" s="18"/>
      <c r="W752" s="18"/>
      <c r="X752" s="18"/>
      <c r="Y752" s="18"/>
      <c r="Z752" s="18"/>
    </row>
    <row r="753" spans="1:26" s="20" customFormat="1" x14ac:dyDescent="0.2">
      <c r="A753" s="18"/>
      <c r="B753" s="18"/>
      <c r="C753" s="18"/>
      <c r="D753" s="18"/>
      <c r="E753" s="18"/>
      <c r="F753" s="18"/>
      <c r="G753" s="18"/>
      <c r="H753" s="18"/>
      <c r="I753" s="18"/>
      <c r="J753" s="18"/>
      <c r="K753" s="18"/>
      <c r="L753" s="18"/>
      <c r="M753" s="18"/>
      <c r="N753" s="18"/>
      <c r="O753" s="18"/>
      <c r="P753" s="18"/>
      <c r="Q753" s="18"/>
      <c r="R753" s="18"/>
      <c r="S753" s="18"/>
      <c r="T753" s="18"/>
      <c r="U753" s="18"/>
      <c r="V753" s="18"/>
      <c r="W753" s="18"/>
      <c r="X753" s="18"/>
      <c r="Y753" s="18"/>
      <c r="Z753" s="18"/>
    </row>
    <row r="754" spans="1:26" s="20" customFormat="1" x14ac:dyDescent="0.2">
      <c r="A754" s="18"/>
      <c r="B754" s="18"/>
      <c r="C754" s="18"/>
      <c r="D754" s="18"/>
      <c r="E754" s="18"/>
      <c r="F754" s="18"/>
      <c r="G754" s="18"/>
      <c r="H754" s="18"/>
      <c r="I754" s="18"/>
      <c r="J754" s="18"/>
      <c r="K754" s="18"/>
      <c r="L754" s="18"/>
      <c r="M754" s="18"/>
      <c r="N754" s="18"/>
      <c r="O754" s="18"/>
      <c r="P754" s="18"/>
      <c r="Q754" s="18"/>
      <c r="R754" s="18"/>
      <c r="S754" s="18"/>
      <c r="T754" s="18"/>
      <c r="U754" s="18"/>
      <c r="V754" s="18"/>
      <c r="W754" s="18"/>
      <c r="X754" s="18"/>
      <c r="Y754" s="18"/>
      <c r="Z754" s="18"/>
    </row>
    <row r="755" spans="1:26" s="20" customFormat="1" x14ac:dyDescent="0.2">
      <c r="A755" s="18"/>
      <c r="B755" s="18"/>
      <c r="C755" s="18"/>
      <c r="D755" s="18"/>
      <c r="E755" s="18"/>
      <c r="F755" s="18"/>
      <c r="G755" s="18"/>
      <c r="H755" s="18"/>
      <c r="I755" s="18"/>
      <c r="J755" s="18"/>
      <c r="K755" s="18"/>
      <c r="L755" s="18"/>
      <c r="M755" s="18"/>
      <c r="N755" s="18"/>
      <c r="O755" s="18"/>
      <c r="P755" s="18"/>
      <c r="Q755" s="18"/>
      <c r="R755" s="18"/>
      <c r="S755" s="18"/>
      <c r="T755" s="18"/>
      <c r="U755" s="18"/>
      <c r="V755" s="18"/>
      <c r="W755" s="18"/>
      <c r="X755" s="18"/>
      <c r="Y755" s="18"/>
      <c r="Z755" s="18"/>
    </row>
    <row r="756" spans="1:26" s="20" customFormat="1" x14ac:dyDescent="0.2">
      <c r="A756" s="18"/>
      <c r="B756" s="18"/>
      <c r="C756" s="18"/>
      <c r="D756" s="18"/>
      <c r="E756" s="18"/>
      <c r="F756" s="18"/>
      <c r="G756" s="18"/>
      <c r="H756" s="18"/>
      <c r="I756" s="18"/>
      <c r="J756" s="18"/>
      <c r="K756" s="18"/>
      <c r="L756" s="18"/>
      <c r="M756" s="18"/>
      <c r="N756" s="18"/>
      <c r="O756" s="18"/>
      <c r="P756" s="18"/>
      <c r="Q756" s="18"/>
      <c r="R756" s="18"/>
      <c r="S756" s="18"/>
      <c r="T756" s="18"/>
      <c r="U756" s="18"/>
      <c r="V756" s="18"/>
      <c r="W756" s="18"/>
      <c r="X756" s="18"/>
      <c r="Y756" s="18"/>
      <c r="Z756" s="18"/>
    </row>
    <row r="757" spans="1:26" s="20" customFormat="1" x14ac:dyDescent="0.2">
      <c r="A757" s="18"/>
      <c r="B757" s="18"/>
      <c r="C757" s="18"/>
      <c r="D757" s="18"/>
      <c r="E757" s="18"/>
      <c r="F757" s="18"/>
      <c r="G757" s="18"/>
      <c r="H757" s="18"/>
      <c r="I757" s="18"/>
      <c r="J757" s="18"/>
      <c r="K757" s="18"/>
      <c r="L757" s="18"/>
      <c r="M757" s="18"/>
      <c r="N757" s="18"/>
      <c r="O757" s="18"/>
      <c r="P757" s="18"/>
      <c r="Q757" s="18"/>
      <c r="R757" s="18"/>
      <c r="S757" s="18"/>
      <c r="T757" s="18"/>
      <c r="U757" s="18"/>
      <c r="V757" s="18"/>
      <c r="W757" s="18"/>
      <c r="X757" s="18"/>
      <c r="Y757" s="18"/>
      <c r="Z757" s="18"/>
    </row>
    <row r="758" spans="1:26" s="20" customFormat="1" x14ac:dyDescent="0.2">
      <c r="A758" s="18"/>
      <c r="B758" s="18"/>
      <c r="C758" s="18"/>
      <c r="D758" s="18"/>
      <c r="E758" s="18"/>
      <c r="F758" s="18"/>
      <c r="G758" s="18"/>
      <c r="H758" s="18"/>
      <c r="I758" s="18"/>
      <c r="J758" s="18"/>
      <c r="K758" s="18"/>
      <c r="L758" s="18"/>
      <c r="M758" s="18"/>
      <c r="N758" s="18"/>
      <c r="O758" s="18"/>
      <c r="P758" s="18"/>
      <c r="Q758" s="18"/>
      <c r="R758" s="18"/>
      <c r="S758" s="18"/>
      <c r="T758" s="18"/>
      <c r="U758" s="18"/>
      <c r="V758" s="18"/>
      <c r="W758" s="18"/>
      <c r="X758" s="18"/>
      <c r="Y758" s="18"/>
      <c r="Z758" s="18"/>
    </row>
    <row r="759" spans="1:26" s="20" customFormat="1" x14ac:dyDescent="0.2">
      <c r="A759" s="18"/>
      <c r="B759" s="18"/>
      <c r="C759" s="18"/>
      <c r="D759" s="18"/>
      <c r="E759" s="18"/>
      <c r="F759" s="18"/>
      <c r="G759" s="18"/>
      <c r="H759" s="18"/>
      <c r="I759" s="18"/>
      <c r="J759" s="18"/>
      <c r="K759" s="18"/>
      <c r="L759" s="18"/>
      <c r="M759" s="18"/>
      <c r="N759" s="18"/>
      <c r="O759" s="18"/>
      <c r="P759" s="18"/>
      <c r="Q759" s="18"/>
      <c r="R759" s="18"/>
      <c r="S759" s="18"/>
      <c r="T759" s="18"/>
      <c r="U759" s="18"/>
      <c r="V759" s="18"/>
      <c r="W759" s="18"/>
      <c r="X759" s="18"/>
      <c r="Y759" s="18"/>
      <c r="Z759" s="18"/>
    </row>
    <row r="760" spans="1:26" s="20" customFormat="1" x14ac:dyDescent="0.2">
      <c r="A760" s="18"/>
      <c r="B760" s="18"/>
      <c r="C760" s="18"/>
      <c r="D760" s="18"/>
      <c r="E760" s="18"/>
      <c r="F760" s="18"/>
      <c r="G760" s="18"/>
      <c r="H760" s="18"/>
      <c r="I760" s="18"/>
      <c r="J760" s="18"/>
      <c r="K760" s="18"/>
      <c r="L760" s="18"/>
      <c r="M760" s="18"/>
      <c r="N760" s="18"/>
      <c r="O760" s="18"/>
      <c r="P760" s="18"/>
      <c r="Q760" s="18"/>
      <c r="R760" s="18"/>
      <c r="S760" s="18"/>
      <c r="T760" s="18"/>
      <c r="U760" s="18"/>
      <c r="V760" s="18"/>
      <c r="W760" s="18"/>
      <c r="X760" s="18"/>
      <c r="Y760" s="18"/>
      <c r="Z760" s="18"/>
    </row>
    <row r="761" spans="1:26" s="20" customFormat="1" x14ac:dyDescent="0.2">
      <c r="A761" s="18"/>
      <c r="B761" s="18"/>
      <c r="C761" s="18"/>
      <c r="D761" s="18"/>
      <c r="E761" s="18"/>
      <c r="F761" s="18"/>
      <c r="G761" s="18"/>
      <c r="H761" s="18"/>
      <c r="I761" s="18"/>
      <c r="J761" s="18"/>
      <c r="K761" s="18"/>
      <c r="L761" s="18"/>
      <c r="M761" s="18"/>
      <c r="N761" s="18"/>
      <c r="O761" s="18"/>
      <c r="P761" s="18"/>
      <c r="Q761" s="18"/>
      <c r="R761" s="18"/>
      <c r="S761" s="18"/>
      <c r="T761" s="18"/>
      <c r="U761" s="18"/>
      <c r="V761" s="18"/>
      <c r="W761" s="18"/>
      <c r="X761" s="18"/>
      <c r="Y761" s="18"/>
      <c r="Z761" s="18"/>
    </row>
    <row r="762" spans="1:26" s="20" customFormat="1" x14ac:dyDescent="0.2">
      <c r="A762" s="18"/>
      <c r="B762" s="18"/>
      <c r="C762" s="18"/>
      <c r="D762" s="18"/>
      <c r="E762" s="18"/>
      <c r="F762" s="18"/>
      <c r="G762" s="18"/>
      <c r="H762" s="18"/>
      <c r="I762" s="18"/>
      <c r="J762" s="18"/>
      <c r="K762" s="18"/>
      <c r="L762" s="18"/>
      <c r="M762" s="18"/>
      <c r="N762" s="18"/>
      <c r="O762" s="18"/>
      <c r="P762" s="18"/>
      <c r="Q762" s="18"/>
      <c r="R762" s="18"/>
      <c r="S762" s="18"/>
      <c r="T762" s="18"/>
      <c r="U762" s="18"/>
      <c r="V762" s="18"/>
      <c r="W762" s="18"/>
      <c r="X762" s="18"/>
      <c r="Y762" s="18"/>
      <c r="Z762" s="18"/>
    </row>
    <row r="763" spans="1:26" s="20" customFormat="1" x14ac:dyDescent="0.2">
      <c r="A763" s="18"/>
      <c r="B763" s="18"/>
      <c r="C763" s="18"/>
      <c r="D763" s="18"/>
      <c r="E763" s="18"/>
      <c r="F763" s="18"/>
      <c r="G763" s="18"/>
      <c r="H763" s="18"/>
      <c r="I763" s="18"/>
      <c r="J763" s="18"/>
      <c r="K763" s="18"/>
      <c r="L763" s="18"/>
      <c r="M763" s="18"/>
      <c r="N763" s="18"/>
      <c r="O763" s="18"/>
      <c r="P763" s="18"/>
      <c r="Q763" s="18"/>
      <c r="R763" s="18"/>
      <c r="S763" s="18"/>
      <c r="T763" s="18"/>
      <c r="U763" s="18"/>
      <c r="V763" s="18"/>
      <c r="W763" s="18"/>
      <c r="X763" s="18"/>
      <c r="Y763" s="18"/>
      <c r="Z763" s="18"/>
    </row>
    <row r="764" spans="1:26" s="20" customFormat="1" x14ac:dyDescent="0.2">
      <c r="A764" s="18"/>
      <c r="B764" s="18"/>
      <c r="C764" s="18"/>
      <c r="D764" s="18"/>
      <c r="E764" s="18"/>
      <c r="F764" s="18"/>
      <c r="G764" s="18"/>
      <c r="H764" s="18"/>
      <c r="I764" s="18"/>
      <c r="J764" s="18"/>
      <c r="K764" s="18"/>
      <c r="L764" s="18"/>
      <c r="M764" s="18"/>
      <c r="N764" s="18"/>
      <c r="O764" s="18"/>
      <c r="P764" s="18"/>
      <c r="Q764" s="18"/>
      <c r="R764" s="18"/>
      <c r="S764" s="18"/>
      <c r="T764" s="18"/>
      <c r="U764" s="18"/>
      <c r="V764" s="18"/>
      <c r="W764" s="18"/>
      <c r="X764" s="18"/>
      <c r="Y764" s="18"/>
      <c r="Z764" s="18"/>
    </row>
    <row r="765" spans="1:26" s="20" customFormat="1" x14ac:dyDescent="0.2">
      <c r="A765" s="18"/>
      <c r="B765" s="18"/>
      <c r="C765" s="18"/>
      <c r="D765" s="18"/>
      <c r="E765" s="18"/>
      <c r="F765" s="18"/>
      <c r="G765" s="18"/>
      <c r="H765" s="18"/>
      <c r="I765" s="18"/>
      <c r="J765" s="18"/>
      <c r="K765" s="18"/>
      <c r="L765" s="18"/>
      <c r="M765" s="18"/>
      <c r="N765" s="18"/>
      <c r="O765" s="18"/>
      <c r="P765" s="18"/>
      <c r="Q765" s="18"/>
      <c r="R765" s="18"/>
      <c r="S765" s="18"/>
      <c r="T765" s="18"/>
      <c r="U765" s="18"/>
      <c r="V765" s="18"/>
      <c r="W765" s="18"/>
      <c r="X765" s="18"/>
      <c r="Y765" s="18"/>
      <c r="Z765" s="18"/>
    </row>
    <row r="766" spans="1:26" s="20" customFormat="1" x14ac:dyDescent="0.2">
      <c r="A766" s="18"/>
      <c r="B766" s="18"/>
      <c r="C766" s="18"/>
      <c r="D766" s="18"/>
      <c r="E766" s="18"/>
      <c r="F766" s="18"/>
      <c r="G766" s="18"/>
      <c r="H766" s="18"/>
      <c r="I766" s="18"/>
      <c r="J766" s="18"/>
      <c r="K766" s="18"/>
      <c r="L766" s="18"/>
      <c r="M766" s="18"/>
      <c r="N766" s="18"/>
      <c r="O766" s="18"/>
      <c r="P766" s="18"/>
      <c r="Q766" s="18"/>
      <c r="R766" s="18"/>
      <c r="S766" s="18"/>
      <c r="T766" s="18"/>
      <c r="U766" s="18"/>
      <c r="V766" s="18"/>
      <c r="W766" s="18"/>
      <c r="X766" s="18"/>
      <c r="Y766" s="18"/>
      <c r="Z766" s="18"/>
    </row>
    <row r="767" spans="1:26" s="20" customFormat="1" x14ac:dyDescent="0.2">
      <c r="A767" s="18"/>
      <c r="B767" s="18"/>
      <c r="C767" s="18"/>
      <c r="D767" s="18"/>
      <c r="E767" s="18"/>
      <c r="F767" s="18"/>
      <c r="G767" s="18"/>
      <c r="H767" s="18"/>
      <c r="I767" s="18"/>
      <c r="J767" s="18"/>
      <c r="K767" s="18"/>
      <c r="L767" s="18"/>
      <c r="M767" s="18"/>
      <c r="N767" s="18"/>
      <c r="O767" s="18"/>
      <c r="P767" s="18"/>
      <c r="Q767" s="18"/>
      <c r="R767" s="18"/>
      <c r="S767" s="18"/>
      <c r="T767" s="18"/>
      <c r="U767" s="18"/>
      <c r="V767" s="18"/>
      <c r="W767" s="18"/>
      <c r="X767" s="18"/>
      <c r="Y767" s="18"/>
      <c r="Z767" s="18"/>
    </row>
    <row r="768" spans="1:26" s="20" customFormat="1" x14ac:dyDescent="0.2">
      <c r="A768" s="18"/>
      <c r="B768" s="18"/>
      <c r="C768" s="18"/>
      <c r="D768" s="18"/>
      <c r="E768" s="18"/>
      <c r="F768" s="18"/>
      <c r="G768" s="18"/>
      <c r="H768" s="18"/>
      <c r="I768" s="18"/>
      <c r="J768" s="18"/>
      <c r="K768" s="18"/>
      <c r="L768" s="18"/>
      <c r="M768" s="18"/>
      <c r="N768" s="18"/>
      <c r="O768" s="18"/>
      <c r="P768" s="18"/>
      <c r="Q768" s="18"/>
      <c r="R768" s="18"/>
      <c r="S768" s="18"/>
      <c r="T768" s="18"/>
      <c r="U768" s="18"/>
      <c r="V768" s="18"/>
      <c r="W768" s="18"/>
      <c r="X768" s="18"/>
      <c r="Y768" s="18"/>
      <c r="Z768" s="18"/>
    </row>
    <row r="769" spans="1:26" s="20" customFormat="1" x14ac:dyDescent="0.2">
      <c r="A769" s="18"/>
      <c r="B769" s="18"/>
      <c r="C769" s="18"/>
      <c r="D769" s="18"/>
      <c r="E769" s="18"/>
      <c r="F769" s="18"/>
      <c r="G769" s="18"/>
      <c r="H769" s="18"/>
      <c r="I769" s="18"/>
      <c r="J769" s="18"/>
      <c r="K769" s="18"/>
      <c r="L769" s="18"/>
      <c r="M769" s="18"/>
      <c r="N769" s="18"/>
      <c r="O769" s="18"/>
      <c r="P769" s="18"/>
      <c r="Q769" s="18"/>
      <c r="R769" s="18"/>
      <c r="S769" s="18"/>
      <c r="T769" s="18"/>
      <c r="U769" s="18"/>
      <c r="V769" s="18"/>
      <c r="W769" s="18"/>
      <c r="X769" s="18"/>
      <c r="Y769" s="18"/>
      <c r="Z769" s="18"/>
    </row>
    <row r="770" spans="1:26" s="20" customFormat="1" x14ac:dyDescent="0.2">
      <c r="A770" s="18"/>
      <c r="B770" s="18"/>
      <c r="C770" s="18"/>
      <c r="D770" s="18"/>
      <c r="E770" s="18"/>
      <c r="F770" s="18"/>
      <c r="G770" s="18"/>
      <c r="H770" s="18"/>
      <c r="I770" s="18"/>
      <c r="J770" s="18"/>
      <c r="K770" s="18"/>
      <c r="L770" s="18"/>
      <c r="M770" s="18"/>
      <c r="N770" s="18"/>
      <c r="O770" s="18"/>
      <c r="P770" s="18"/>
      <c r="Q770" s="18"/>
      <c r="R770" s="18"/>
      <c r="S770" s="18"/>
      <c r="T770" s="18"/>
      <c r="U770" s="18"/>
      <c r="V770" s="18"/>
      <c r="W770" s="18"/>
      <c r="X770" s="18"/>
      <c r="Y770" s="18"/>
      <c r="Z770" s="18"/>
    </row>
    <row r="771" spans="1:26" s="20" customFormat="1" x14ac:dyDescent="0.2">
      <c r="A771" s="18"/>
      <c r="B771" s="18"/>
      <c r="C771" s="18"/>
      <c r="D771" s="18"/>
      <c r="E771" s="18"/>
      <c r="F771" s="18"/>
      <c r="G771" s="18"/>
      <c r="H771" s="18"/>
      <c r="I771" s="18"/>
      <c r="J771" s="18"/>
      <c r="K771" s="18"/>
      <c r="L771" s="18"/>
      <c r="M771" s="18"/>
      <c r="N771" s="18"/>
      <c r="O771" s="18"/>
      <c r="P771" s="18"/>
      <c r="Q771" s="18"/>
      <c r="R771" s="18"/>
      <c r="S771" s="18"/>
      <c r="T771" s="18"/>
      <c r="U771" s="18"/>
      <c r="V771" s="18"/>
      <c r="W771" s="18"/>
      <c r="X771" s="18"/>
      <c r="Y771" s="18"/>
      <c r="Z771" s="18"/>
    </row>
    <row r="772" spans="1:26" s="20" customFormat="1" x14ac:dyDescent="0.2">
      <c r="A772" s="18"/>
      <c r="B772" s="18"/>
      <c r="C772" s="18"/>
      <c r="D772" s="18"/>
      <c r="E772" s="18"/>
      <c r="F772" s="18"/>
      <c r="G772" s="18"/>
      <c r="H772" s="18"/>
      <c r="I772" s="18"/>
      <c r="J772" s="18"/>
      <c r="K772" s="18"/>
      <c r="L772" s="18"/>
      <c r="M772" s="18"/>
      <c r="N772" s="18"/>
      <c r="O772" s="18"/>
      <c r="P772" s="18"/>
      <c r="Q772" s="18"/>
      <c r="R772" s="18"/>
      <c r="S772" s="18"/>
      <c r="T772" s="18"/>
      <c r="U772" s="18"/>
      <c r="V772" s="18"/>
      <c r="W772" s="18"/>
      <c r="X772" s="18"/>
      <c r="Y772" s="18"/>
      <c r="Z772" s="18"/>
    </row>
    <row r="773" spans="1:26" s="20" customFormat="1" x14ac:dyDescent="0.2">
      <c r="A773" s="18"/>
      <c r="B773" s="18"/>
      <c r="C773" s="18"/>
      <c r="D773" s="18"/>
      <c r="E773" s="18"/>
      <c r="F773" s="18"/>
      <c r="G773" s="18"/>
      <c r="H773" s="18"/>
      <c r="I773" s="18"/>
      <c r="J773" s="18"/>
      <c r="K773" s="18"/>
      <c r="L773" s="18"/>
      <c r="M773" s="18"/>
      <c r="N773" s="18"/>
      <c r="O773" s="18"/>
      <c r="P773" s="18"/>
      <c r="Q773" s="18"/>
      <c r="R773" s="18"/>
      <c r="S773" s="18"/>
      <c r="T773" s="18"/>
      <c r="U773" s="18"/>
      <c r="V773" s="18"/>
      <c r="W773" s="18"/>
      <c r="X773" s="18"/>
      <c r="Y773" s="18"/>
      <c r="Z773" s="18"/>
    </row>
    <row r="774" spans="1:26" s="20" customFormat="1" x14ac:dyDescent="0.2">
      <c r="A774" s="18"/>
      <c r="B774" s="18"/>
      <c r="C774" s="18"/>
      <c r="D774" s="18"/>
      <c r="E774" s="18"/>
      <c r="F774" s="18"/>
      <c r="G774" s="18"/>
      <c r="H774" s="18"/>
      <c r="I774" s="18"/>
      <c r="J774" s="18"/>
      <c r="K774" s="18"/>
      <c r="L774" s="18"/>
      <c r="M774" s="18"/>
      <c r="N774" s="18"/>
      <c r="O774" s="18"/>
      <c r="P774" s="18"/>
      <c r="Q774" s="18"/>
      <c r="R774" s="18"/>
      <c r="S774" s="18"/>
      <c r="T774" s="18"/>
      <c r="U774" s="18"/>
      <c r="V774" s="18"/>
      <c r="W774" s="18"/>
      <c r="X774" s="18"/>
      <c r="Y774" s="18"/>
      <c r="Z774" s="18"/>
    </row>
    <row r="775" spans="1:26" s="20" customFormat="1" x14ac:dyDescent="0.2">
      <c r="A775" s="18"/>
      <c r="B775" s="18"/>
      <c r="C775" s="18"/>
      <c r="D775" s="18"/>
      <c r="E775" s="18"/>
      <c r="F775" s="18"/>
      <c r="G775" s="18"/>
      <c r="H775" s="18"/>
      <c r="I775" s="18"/>
      <c r="J775" s="18"/>
      <c r="K775" s="18"/>
      <c r="L775" s="18"/>
      <c r="M775" s="18"/>
      <c r="N775" s="18"/>
      <c r="O775" s="18"/>
      <c r="P775" s="18"/>
      <c r="Q775" s="18"/>
      <c r="R775" s="18"/>
      <c r="S775" s="18"/>
      <c r="T775" s="18"/>
      <c r="U775" s="18"/>
      <c r="V775" s="18"/>
      <c r="W775" s="18"/>
      <c r="X775" s="18"/>
      <c r="Y775" s="18"/>
      <c r="Z775" s="18"/>
    </row>
    <row r="776" spans="1:26" s="20" customFormat="1" x14ac:dyDescent="0.2">
      <c r="A776" s="18"/>
      <c r="B776" s="18"/>
      <c r="C776" s="18"/>
      <c r="D776" s="18"/>
      <c r="E776" s="18"/>
      <c r="F776" s="18"/>
      <c r="G776" s="18"/>
      <c r="H776" s="18"/>
      <c r="I776" s="18"/>
      <c r="J776" s="18"/>
      <c r="K776" s="18"/>
      <c r="L776" s="18"/>
      <c r="M776" s="18"/>
      <c r="N776" s="18"/>
      <c r="O776" s="18"/>
      <c r="P776" s="18"/>
      <c r="Q776" s="18"/>
      <c r="R776" s="18"/>
      <c r="S776" s="18"/>
      <c r="T776" s="18"/>
      <c r="U776" s="18"/>
      <c r="V776" s="18"/>
      <c r="W776" s="18"/>
      <c r="X776" s="18"/>
      <c r="Y776" s="18"/>
      <c r="Z776" s="18"/>
    </row>
    <row r="777" spans="1:26" s="20" customFormat="1" x14ac:dyDescent="0.2">
      <c r="A777" s="18"/>
      <c r="B777" s="18"/>
      <c r="C777" s="18"/>
      <c r="D777" s="18"/>
      <c r="E777" s="18"/>
      <c r="F777" s="18"/>
      <c r="G777" s="18"/>
      <c r="H777" s="18"/>
      <c r="I777" s="18"/>
      <c r="J777" s="18"/>
      <c r="K777" s="18"/>
      <c r="L777" s="18"/>
      <c r="M777" s="18"/>
      <c r="N777" s="18"/>
      <c r="O777" s="18"/>
      <c r="P777" s="18"/>
      <c r="Q777" s="18"/>
      <c r="R777" s="18"/>
      <c r="S777" s="18"/>
      <c r="T777" s="18"/>
      <c r="U777" s="18"/>
      <c r="V777" s="18"/>
      <c r="W777" s="18"/>
      <c r="X777" s="18"/>
      <c r="Y777" s="18"/>
      <c r="Z777" s="18"/>
    </row>
    <row r="778" spans="1:26" s="20" customFormat="1" x14ac:dyDescent="0.2">
      <c r="A778" s="18"/>
      <c r="B778" s="18"/>
      <c r="C778" s="18"/>
      <c r="D778" s="18"/>
      <c r="E778" s="18"/>
      <c r="F778" s="18"/>
      <c r="G778" s="18"/>
      <c r="H778" s="18"/>
      <c r="I778" s="18"/>
      <c r="J778" s="18"/>
      <c r="K778" s="18"/>
      <c r="L778" s="18"/>
      <c r="M778" s="18"/>
      <c r="N778" s="18"/>
      <c r="O778" s="18"/>
      <c r="P778" s="18"/>
      <c r="Q778" s="18"/>
      <c r="R778" s="18"/>
      <c r="S778" s="18"/>
      <c r="T778" s="18"/>
      <c r="U778" s="18"/>
      <c r="V778" s="18"/>
      <c r="W778" s="18"/>
      <c r="X778" s="18"/>
      <c r="Y778" s="18"/>
      <c r="Z778" s="18"/>
    </row>
    <row r="779" spans="1:26" s="20" customFormat="1" x14ac:dyDescent="0.2">
      <c r="A779" s="18"/>
      <c r="B779" s="18"/>
      <c r="C779" s="18"/>
      <c r="D779" s="18"/>
      <c r="E779" s="18"/>
      <c r="F779" s="18"/>
      <c r="G779" s="18"/>
      <c r="H779" s="18"/>
      <c r="I779" s="18"/>
      <c r="J779" s="18"/>
      <c r="K779" s="18"/>
      <c r="L779" s="18"/>
      <c r="M779" s="18"/>
      <c r="N779" s="18"/>
      <c r="O779" s="18"/>
      <c r="P779" s="18"/>
      <c r="Q779" s="18"/>
      <c r="R779" s="18"/>
      <c r="S779" s="18"/>
      <c r="T779" s="18"/>
      <c r="U779" s="18"/>
      <c r="V779" s="18"/>
      <c r="W779" s="18"/>
      <c r="X779" s="18"/>
      <c r="Y779" s="18"/>
      <c r="Z779" s="18"/>
    </row>
    <row r="780" spans="1:26" s="20" customFormat="1" x14ac:dyDescent="0.2">
      <c r="A780" s="18"/>
      <c r="B780" s="18"/>
      <c r="C780" s="18"/>
      <c r="D780" s="18"/>
      <c r="E780" s="18"/>
      <c r="F780" s="18"/>
      <c r="G780" s="18"/>
      <c r="H780" s="18"/>
      <c r="I780" s="18"/>
      <c r="J780" s="18"/>
      <c r="K780" s="18"/>
      <c r="L780" s="18"/>
      <c r="M780" s="18"/>
      <c r="N780" s="18"/>
      <c r="O780" s="18"/>
      <c r="P780" s="18"/>
      <c r="Q780" s="18"/>
      <c r="R780" s="18"/>
      <c r="S780" s="18"/>
      <c r="T780" s="18"/>
      <c r="U780" s="18"/>
      <c r="V780" s="18"/>
      <c r="W780" s="18"/>
      <c r="X780" s="18"/>
      <c r="Y780" s="18"/>
      <c r="Z780" s="18"/>
    </row>
    <row r="781" spans="1:26" s="20" customFormat="1" x14ac:dyDescent="0.2">
      <c r="A781" s="18"/>
      <c r="B781" s="18"/>
      <c r="C781" s="18"/>
      <c r="D781" s="18"/>
      <c r="E781" s="18"/>
      <c r="F781" s="18"/>
      <c r="G781" s="18"/>
      <c r="H781" s="18"/>
      <c r="I781" s="18"/>
      <c r="J781" s="18"/>
      <c r="K781" s="18"/>
      <c r="L781" s="18"/>
      <c r="M781" s="18"/>
      <c r="N781" s="18"/>
      <c r="O781" s="18"/>
      <c r="P781" s="18"/>
      <c r="Q781" s="18"/>
      <c r="R781" s="18"/>
      <c r="S781" s="18"/>
      <c r="T781" s="18"/>
      <c r="U781" s="18"/>
      <c r="V781" s="18"/>
      <c r="W781" s="18"/>
      <c r="X781" s="18"/>
      <c r="Y781" s="18"/>
      <c r="Z781" s="18"/>
    </row>
    <row r="782" spans="1:26" s="20" customFormat="1" x14ac:dyDescent="0.2">
      <c r="A782" s="18"/>
      <c r="B782" s="18"/>
      <c r="C782" s="18"/>
      <c r="D782" s="18"/>
      <c r="E782" s="18"/>
      <c r="F782" s="18"/>
      <c r="G782" s="18"/>
      <c r="H782" s="18"/>
      <c r="I782" s="18"/>
      <c r="J782" s="18"/>
      <c r="K782" s="18"/>
      <c r="L782" s="18"/>
      <c r="M782" s="18"/>
      <c r="N782" s="18"/>
      <c r="O782" s="18"/>
      <c r="P782" s="18"/>
      <c r="Q782" s="18"/>
      <c r="R782" s="18"/>
      <c r="S782" s="18"/>
      <c r="T782" s="18"/>
      <c r="U782" s="18"/>
      <c r="V782" s="18"/>
      <c r="W782" s="18"/>
      <c r="X782" s="18"/>
      <c r="Y782" s="18"/>
      <c r="Z782" s="18"/>
    </row>
    <row r="783" spans="1:26" s="20" customFormat="1" x14ac:dyDescent="0.2">
      <c r="A783" s="18"/>
      <c r="B783" s="18"/>
      <c r="C783" s="18"/>
      <c r="D783" s="18"/>
      <c r="E783" s="18"/>
      <c r="F783" s="18"/>
      <c r="G783" s="18"/>
      <c r="H783" s="18"/>
      <c r="I783" s="18"/>
      <c r="J783" s="18"/>
      <c r="K783" s="18"/>
      <c r="L783" s="18"/>
      <c r="M783" s="18"/>
      <c r="N783" s="18"/>
      <c r="O783" s="18"/>
      <c r="P783" s="18"/>
      <c r="Q783" s="18"/>
      <c r="R783" s="18"/>
      <c r="S783" s="18"/>
      <c r="T783" s="18"/>
      <c r="U783" s="18"/>
      <c r="V783" s="18"/>
      <c r="W783" s="18"/>
      <c r="X783" s="18"/>
      <c r="Y783" s="18"/>
      <c r="Z783" s="18"/>
    </row>
    <row r="784" spans="1:26" s="20" customFormat="1" x14ac:dyDescent="0.2">
      <c r="A784" s="18"/>
      <c r="B784" s="18"/>
      <c r="C784" s="18"/>
      <c r="D784" s="18"/>
      <c r="E784" s="18"/>
      <c r="F784" s="18"/>
      <c r="G784" s="18"/>
      <c r="H784" s="18"/>
      <c r="I784" s="18"/>
      <c r="J784" s="18"/>
      <c r="K784" s="18"/>
      <c r="L784" s="18"/>
      <c r="M784" s="18"/>
      <c r="N784" s="18"/>
      <c r="O784" s="18"/>
      <c r="P784" s="18"/>
      <c r="Q784" s="18"/>
      <c r="R784" s="18"/>
      <c r="S784" s="18"/>
      <c r="T784" s="18"/>
      <c r="U784" s="18"/>
      <c r="V784" s="18"/>
      <c r="W784" s="18"/>
      <c r="X784" s="18"/>
      <c r="Y784" s="18"/>
      <c r="Z784" s="18"/>
    </row>
    <row r="785" spans="1:26" s="20" customFormat="1" x14ac:dyDescent="0.2">
      <c r="A785" s="18"/>
      <c r="B785" s="18"/>
      <c r="C785" s="18"/>
      <c r="D785" s="18"/>
      <c r="E785" s="18"/>
      <c r="F785" s="18"/>
      <c r="G785" s="18"/>
      <c r="H785" s="18"/>
      <c r="I785" s="18"/>
      <c r="J785" s="18"/>
      <c r="K785" s="18"/>
      <c r="L785" s="18"/>
      <c r="M785" s="18"/>
      <c r="N785" s="18"/>
      <c r="O785" s="18"/>
      <c r="P785" s="18"/>
      <c r="Q785" s="18"/>
      <c r="R785" s="18"/>
      <c r="S785" s="18"/>
      <c r="T785" s="18"/>
      <c r="U785" s="18"/>
      <c r="V785" s="18"/>
      <c r="W785" s="18"/>
      <c r="X785" s="18"/>
      <c r="Y785" s="18"/>
      <c r="Z785" s="18"/>
    </row>
    <row r="786" spans="1:26" s="20" customFormat="1" x14ac:dyDescent="0.2">
      <c r="A786" s="18"/>
      <c r="B786" s="18"/>
      <c r="C786" s="18"/>
      <c r="D786" s="18"/>
      <c r="E786" s="18"/>
      <c r="F786" s="18"/>
      <c r="G786" s="18"/>
      <c r="H786" s="18"/>
      <c r="I786" s="18"/>
      <c r="J786" s="18"/>
      <c r="K786" s="18"/>
      <c r="L786" s="18"/>
      <c r="M786" s="18"/>
      <c r="N786" s="18"/>
      <c r="O786" s="18"/>
      <c r="P786" s="18"/>
      <c r="Q786" s="18"/>
      <c r="R786" s="18"/>
      <c r="S786" s="18"/>
      <c r="T786" s="18"/>
      <c r="U786" s="18"/>
      <c r="V786" s="18"/>
      <c r="W786" s="18"/>
      <c r="X786" s="18"/>
      <c r="Y786" s="18"/>
      <c r="Z786" s="18"/>
    </row>
    <row r="787" spans="1:26" s="20" customFormat="1" x14ac:dyDescent="0.2">
      <c r="A787" s="18"/>
      <c r="B787" s="18"/>
      <c r="C787" s="18"/>
      <c r="D787" s="18"/>
      <c r="E787" s="18"/>
      <c r="F787" s="18"/>
      <c r="G787" s="18"/>
      <c r="H787" s="18"/>
      <c r="I787" s="18"/>
      <c r="J787" s="18"/>
      <c r="K787" s="18"/>
      <c r="L787" s="18"/>
      <c r="M787" s="18"/>
      <c r="N787" s="18"/>
      <c r="O787" s="18"/>
      <c r="P787" s="18"/>
      <c r="Q787" s="18"/>
      <c r="R787" s="18"/>
      <c r="S787" s="18"/>
      <c r="T787" s="18"/>
      <c r="U787" s="18"/>
      <c r="V787" s="18"/>
      <c r="W787" s="18"/>
      <c r="X787" s="18"/>
      <c r="Y787" s="18"/>
      <c r="Z787" s="18"/>
    </row>
    <row r="788" spans="1:26" s="20" customFormat="1" x14ac:dyDescent="0.2">
      <c r="A788" s="18"/>
      <c r="B788" s="18"/>
      <c r="C788" s="18"/>
      <c r="D788" s="18"/>
      <c r="E788" s="18"/>
      <c r="F788" s="18"/>
      <c r="G788" s="18"/>
      <c r="H788" s="18"/>
      <c r="I788" s="18"/>
      <c r="J788" s="18"/>
      <c r="K788" s="18"/>
      <c r="L788" s="18"/>
      <c r="M788" s="18"/>
      <c r="N788" s="18"/>
      <c r="O788" s="18"/>
      <c r="P788" s="18"/>
      <c r="Q788" s="18"/>
      <c r="R788" s="18"/>
      <c r="S788" s="18"/>
      <c r="T788" s="18"/>
      <c r="U788" s="18"/>
      <c r="V788" s="18"/>
      <c r="W788" s="18"/>
      <c r="X788" s="18"/>
      <c r="Y788" s="18"/>
      <c r="Z788" s="18"/>
    </row>
    <row r="789" spans="1:26" s="20" customFormat="1" x14ac:dyDescent="0.2">
      <c r="A789" s="18"/>
      <c r="B789" s="18"/>
      <c r="C789" s="18"/>
      <c r="D789" s="18"/>
      <c r="E789" s="18"/>
      <c r="F789" s="18"/>
      <c r="G789" s="18"/>
      <c r="H789" s="18"/>
      <c r="I789" s="18"/>
      <c r="J789" s="18"/>
      <c r="K789" s="18"/>
      <c r="L789" s="18"/>
      <c r="M789" s="18"/>
      <c r="N789" s="18"/>
      <c r="O789" s="18"/>
      <c r="P789" s="18"/>
      <c r="Q789" s="18"/>
      <c r="R789" s="18"/>
      <c r="S789" s="18"/>
      <c r="T789" s="18"/>
      <c r="U789" s="18"/>
      <c r="V789" s="18"/>
      <c r="W789" s="18"/>
      <c r="X789" s="18"/>
      <c r="Y789" s="18"/>
      <c r="Z789" s="18"/>
    </row>
    <row r="790" spans="1:26" s="20" customFormat="1" x14ac:dyDescent="0.2">
      <c r="A790" s="18"/>
      <c r="B790" s="18"/>
      <c r="C790" s="18"/>
      <c r="D790" s="18"/>
      <c r="E790" s="18"/>
      <c r="F790" s="18"/>
      <c r="G790" s="18"/>
      <c r="H790" s="18"/>
      <c r="I790" s="18"/>
      <c r="J790" s="18"/>
      <c r="K790" s="18"/>
      <c r="L790" s="18"/>
      <c r="M790" s="18"/>
      <c r="N790" s="18"/>
      <c r="O790" s="18"/>
      <c r="P790" s="18"/>
      <c r="Q790" s="18"/>
      <c r="R790" s="18"/>
      <c r="S790" s="18"/>
      <c r="T790" s="18"/>
      <c r="U790" s="18"/>
      <c r="V790" s="18"/>
      <c r="W790" s="18"/>
      <c r="X790" s="18"/>
      <c r="Y790" s="18"/>
      <c r="Z790" s="18"/>
    </row>
    <row r="791" spans="1:26" s="20" customFormat="1" x14ac:dyDescent="0.2">
      <c r="A791" s="18"/>
      <c r="B791" s="18"/>
      <c r="C791" s="18"/>
      <c r="D791" s="18"/>
      <c r="E791" s="18"/>
      <c r="F791" s="18"/>
      <c r="G791" s="18"/>
      <c r="H791" s="18"/>
      <c r="I791" s="18"/>
      <c r="J791" s="18"/>
      <c r="K791" s="18"/>
      <c r="L791" s="18"/>
      <c r="M791" s="18"/>
      <c r="N791" s="18"/>
      <c r="O791" s="18"/>
      <c r="P791" s="18"/>
      <c r="Q791" s="18"/>
      <c r="R791" s="18"/>
      <c r="S791" s="18"/>
      <c r="T791" s="18"/>
      <c r="U791" s="18"/>
      <c r="V791" s="18"/>
      <c r="W791" s="18"/>
      <c r="X791" s="18"/>
      <c r="Y791" s="18"/>
      <c r="Z791" s="18"/>
    </row>
    <row r="792" spans="1:26" s="20" customFormat="1" x14ac:dyDescent="0.2">
      <c r="A792" s="18"/>
      <c r="B792" s="18"/>
      <c r="C792" s="18"/>
      <c r="D792" s="18"/>
      <c r="E792" s="18"/>
      <c r="F792" s="18"/>
      <c r="G792" s="18"/>
      <c r="H792" s="18"/>
      <c r="I792" s="18"/>
      <c r="J792" s="18"/>
      <c r="K792" s="18"/>
      <c r="L792" s="18"/>
      <c r="M792" s="18"/>
      <c r="N792" s="18"/>
      <c r="O792" s="18"/>
      <c r="P792" s="18"/>
      <c r="Q792" s="18"/>
      <c r="R792" s="18"/>
      <c r="S792" s="18"/>
      <c r="T792" s="18"/>
      <c r="U792" s="18"/>
      <c r="V792" s="18"/>
      <c r="W792" s="18"/>
      <c r="X792" s="18"/>
      <c r="Y792" s="18"/>
      <c r="Z792" s="18"/>
    </row>
    <row r="793" spans="1:26" s="20" customFormat="1" x14ac:dyDescent="0.2">
      <c r="A793" s="18"/>
      <c r="B793" s="18"/>
      <c r="C793" s="18"/>
      <c r="D793" s="18"/>
      <c r="E793" s="18"/>
      <c r="F793" s="18"/>
      <c r="G793" s="18"/>
      <c r="H793" s="18"/>
      <c r="I793" s="18"/>
      <c r="J793" s="18"/>
      <c r="K793" s="18"/>
      <c r="L793" s="18"/>
      <c r="M793" s="18"/>
      <c r="N793" s="18"/>
      <c r="O793" s="18"/>
      <c r="P793" s="18"/>
      <c r="Q793" s="18"/>
      <c r="R793" s="18"/>
      <c r="S793" s="18"/>
      <c r="T793" s="18"/>
      <c r="U793" s="18"/>
      <c r="V793" s="18"/>
      <c r="W793" s="18"/>
      <c r="X793" s="18"/>
      <c r="Y793" s="18"/>
      <c r="Z793" s="18"/>
    </row>
    <row r="794" spans="1:26" s="20" customFormat="1" x14ac:dyDescent="0.2">
      <c r="A794" s="18"/>
      <c r="B794" s="18"/>
      <c r="C794" s="18"/>
      <c r="D794" s="18"/>
      <c r="E794" s="18"/>
      <c r="F794" s="18"/>
      <c r="G794" s="18"/>
      <c r="H794" s="18"/>
      <c r="I794" s="18"/>
      <c r="J794" s="18"/>
      <c r="K794" s="18"/>
      <c r="L794" s="18"/>
      <c r="M794" s="18"/>
      <c r="N794" s="18"/>
      <c r="O794" s="18"/>
      <c r="P794" s="18"/>
      <c r="Q794" s="18"/>
      <c r="R794" s="18"/>
      <c r="S794" s="18"/>
      <c r="T794" s="18"/>
      <c r="U794" s="18"/>
      <c r="V794" s="18"/>
      <c r="W794" s="18"/>
      <c r="X794" s="18"/>
      <c r="Y794" s="18"/>
      <c r="Z794" s="18"/>
    </row>
    <row r="795" spans="1:26" s="20" customFormat="1" x14ac:dyDescent="0.2">
      <c r="A795" s="18"/>
      <c r="B795" s="18"/>
      <c r="C795" s="18"/>
      <c r="D795" s="18"/>
      <c r="E795" s="18"/>
      <c r="F795" s="18"/>
      <c r="G795" s="18"/>
      <c r="H795" s="18"/>
      <c r="I795" s="18"/>
      <c r="J795" s="18"/>
      <c r="K795" s="18"/>
      <c r="L795" s="18"/>
      <c r="M795" s="18"/>
      <c r="N795" s="18"/>
      <c r="O795" s="18"/>
      <c r="P795" s="18"/>
      <c r="Q795" s="18"/>
      <c r="R795" s="18"/>
      <c r="S795" s="18"/>
      <c r="T795" s="18"/>
      <c r="U795" s="18"/>
      <c r="V795" s="18"/>
      <c r="W795" s="18"/>
      <c r="X795" s="18"/>
      <c r="Y795" s="18"/>
      <c r="Z795" s="18"/>
    </row>
    <row r="796" spans="1:26" s="20" customFormat="1" x14ac:dyDescent="0.2">
      <c r="A796" s="18"/>
      <c r="B796" s="18"/>
      <c r="C796" s="18"/>
      <c r="D796" s="18"/>
      <c r="E796" s="18"/>
      <c r="F796" s="18"/>
      <c r="G796" s="18"/>
      <c r="H796" s="18"/>
      <c r="I796" s="18"/>
      <c r="J796" s="18"/>
      <c r="K796" s="18"/>
      <c r="L796" s="18"/>
      <c r="M796" s="18"/>
      <c r="N796" s="18"/>
      <c r="O796" s="18"/>
      <c r="P796" s="18"/>
      <c r="Q796" s="18"/>
      <c r="R796" s="18"/>
      <c r="S796" s="18"/>
      <c r="T796" s="18"/>
      <c r="U796" s="18"/>
      <c r="V796" s="18"/>
      <c r="W796" s="18"/>
      <c r="X796" s="18"/>
      <c r="Y796" s="18"/>
      <c r="Z796" s="18"/>
    </row>
    <row r="797" spans="1:26" s="20" customFormat="1" x14ac:dyDescent="0.2">
      <c r="A797" s="18"/>
      <c r="B797" s="18"/>
      <c r="C797" s="18"/>
      <c r="D797" s="18"/>
      <c r="E797" s="18"/>
      <c r="F797" s="18"/>
      <c r="G797" s="18"/>
      <c r="H797" s="18"/>
      <c r="I797" s="18"/>
      <c r="J797" s="18"/>
      <c r="K797" s="18"/>
      <c r="L797" s="18"/>
      <c r="M797" s="18"/>
      <c r="N797" s="18"/>
      <c r="O797" s="18"/>
      <c r="P797" s="18"/>
      <c r="Q797" s="18"/>
      <c r="R797" s="18"/>
      <c r="S797" s="18"/>
      <c r="T797" s="18"/>
      <c r="U797" s="18"/>
      <c r="V797" s="18"/>
      <c r="W797" s="18"/>
      <c r="X797" s="18"/>
      <c r="Y797" s="18"/>
      <c r="Z797" s="18"/>
    </row>
    <row r="798" spans="1:26" s="20" customFormat="1" x14ac:dyDescent="0.2">
      <c r="A798" s="18"/>
      <c r="B798" s="18"/>
      <c r="C798" s="18"/>
      <c r="D798" s="18"/>
      <c r="E798" s="18"/>
      <c r="F798" s="18"/>
      <c r="G798" s="18"/>
      <c r="H798" s="18"/>
      <c r="I798" s="18"/>
      <c r="J798" s="18"/>
      <c r="K798" s="18"/>
      <c r="L798" s="18"/>
      <c r="M798" s="18"/>
      <c r="N798" s="18"/>
      <c r="O798" s="18"/>
      <c r="P798" s="18"/>
      <c r="Q798" s="18"/>
      <c r="R798" s="18"/>
      <c r="S798" s="18"/>
      <c r="T798" s="18"/>
      <c r="U798" s="18"/>
      <c r="V798" s="18"/>
      <c r="W798" s="18"/>
      <c r="X798" s="18"/>
      <c r="Y798" s="18"/>
      <c r="Z798" s="18"/>
    </row>
    <row r="799" spans="1:26" s="20" customFormat="1" x14ac:dyDescent="0.2">
      <c r="A799" s="18"/>
      <c r="B799" s="18"/>
      <c r="C799" s="18"/>
      <c r="D799" s="18"/>
      <c r="E799" s="18"/>
      <c r="F799" s="18"/>
      <c r="G799" s="18"/>
      <c r="H799" s="18"/>
      <c r="I799" s="18"/>
      <c r="J799" s="18"/>
      <c r="K799" s="18"/>
      <c r="L799" s="18"/>
      <c r="M799" s="18"/>
      <c r="N799" s="18"/>
      <c r="O799" s="18"/>
      <c r="P799" s="18"/>
      <c r="Q799" s="18"/>
      <c r="R799" s="18"/>
      <c r="S799" s="18"/>
      <c r="T799" s="18"/>
      <c r="U799" s="18"/>
      <c r="V799" s="18"/>
      <c r="W799" s="18"/>
      <c r="X799" s="18"/>
      <c r="Y799" s="18"/>
      <c r="Z799" s="18"/>
    </row>
    <row r="800" spans="1:26" s="20" customFormat="1" x14ac:dyDescent="0.2">
      <c r="A800" s="18"/>
      <c r="B800" s="18"/>
      <c r="C800" s="18"/>
      <c r="D800" s="18"/>
      <c r="E800" s="18"/>
      <c r="F800" s="18"/>
      <c r="G800" s="18"/>
      <c r="H800" s="18"/>
      <c r="I800" s="18"/>
      <c r="J800" s="18"/>
      <c r="K800" s="18"/>
      <c r="L800" s="18"/>
      <c r="M800" s="18"/>
      <c r="N800" s="18"/>
      <c r="O800" s="18"/>
      <c r="P800" s="18"/>
      <c r="Q800" s="18"/>
      <c r="R800" s="18"/>
      <c r="S800" s="18"/>
      <c r="T800" s="18"/>
      <c r="U800" s="18"/>
      <c r="V800" s="18"/>
      <c r="W800" s="18"/>
      <c r="X800" s="18"/>
      <c r="Y800" s="18"/>
      <c r="Z800" s="18"/>
    </row>
    <row r="801" spans="1:26" s="20" customFormat="1" x14ac:dyDescent="0.2">
      <c r="A801" s="18"/>
      <c r="B801" s="18"/>
      <c r="C801" s="18"/>
      <c r="D801" s="18"/>
      <c r="E801" s="18"/>
      <c r="F801" s="18"/>
      <c r="G801" s="18"/>
      <c r="H801" s="18"/>
      <c r="I801" s="18"/>
      <c r="J801" s="18"/>
      <c r="K801" s="18"/>
      <c r="L801" s="18"/>
      <c r="M801" s="18"/>
      <c r="N801" s="18"/>
      <c r="O801" s="18"/>
      <c r="P801" s="18"/>
      <c r="Q801" s="18"/>
      <c r="R801" s="18"/>
      <c r="S801" s="18"/>
      <c r="T801" s="18"/>
      <c r="U801" s="18"/>
      <c r="V801" s="18"/>
      <c r="W801" s="18"/>
      <c r="X801" s="18"/>
      <c r="Y801" s="18"/>
      <c r="Z801" s="18"/>
    </row>
    <row r="802" spans="1:26" s="20" customFormat="1" x14ac:dyDescent="0.2">
      <c r="A802" s="18"/>
      <c r="B802" s="18"/>
      <c r="C802" s="18"/>
      <c r="D802" s="18"/>
      <c r="E802" s="18"/>
      <c r="F802" s="18"/>
      <c r="G802" s="18"/>
      <c r="H802" s="18"/>
      <c r="I802" s="18"/>
      <c r="J802" s="18"/>
      <c r="K802" s="18"/>
      <c r="L802" s="18"/>
      <c r="M802" s="18"/>
      <c r="N802" s="18"/>
      <c r="O802" s="18"/>
      <c r="P802" s="18"/>
      <c r="Q802" s="18"/>
      <c r="R802" s="18"/>
      <c r="S802" s="18"/>
      <c r="T802" s="18"/>
      <c r="U802" s="18"/>
      <c r="V802" s="18"/>
      <c r="W802" s="18"/>
      <c r="X802" s="18"/>
      <c r="Y802" s="18"/>
      <c r="Z802" s="18"/>
    </row>
    <row r="803" spans="1:26" s="20" customFormat="1" x14ac:dyDescent="0.2">
      <c r="A803" s="18"/>
      <c r="B803" s="18"/>
      <c r="C803" s="18"/>
      <c r="D803" s="18"/>
      <c r="E803" s="18"/>
      <c r="F803" s="18"/>
      <c r="G803" s="18"/>
      <c r="H803" s="18"/>
      <c r="I803" s="18"/>
      <c r="J803" s="18"/>
      <c r="K803" s="18"/>
      <c r="L803" s="18"/>
      <c r="M803" s="18"/>
      <c r="N803" s="18"/>
      <c r="O803" s="18"/>
      <c r="P803" s="18"/>
      <c r="Q803" s="18"/>
      <c r="R803" s="18"/>
      <c r="S803" s="18"/>
      <c r="T803" s="18"/>
      <c r="U803" s="18"/>
      <c r="V803" s="18"/>
      <c r="W803" s="18"/>
      <c r="X803" s="18"/>
      <c r="Y803" s="18"/>
      <c r="Z803" s="18"/>
    </row>
    <row r="804" spans="1:26" s="20" customFormat="1" x14ac:dyDescent="0.2">
      <c r="A804" s="18"/>
      <c r="B804" s="18"/>
      <c r="C804" s="18"/>
      <c r="D804" s="18"/>
      <c r="E804" s="18"/>
      <c r="F804" s="18"/>
      <c r="G804" s="18"/>
      <c r="H804" s="18"/>
      <c r="I804" s="18"/>
      <c r="J804" s="18"/>
      <c r="K804" s="18"/>
      <c r="L804" s="18"/>
      <c r="M804" s="18"/>
      <c r="N804" s="18"/>
      <c r="O804" s="18"/>
      <c r="P804" s="18"/>
      <c r="Q804" s="18"/>
      <c r="R804" s="18"/>
      <c r="S804" s="18"/>
      <c r="T804" s="18"/>
      <c r="U804" s="18"/>
      <c r="V804" s="18"/>
      <c r="W804" s="18"/>
      <c r="X804" s="18"/>
      <c r="Y804" s="18"/>
      <c r="Z804" s="18"/>
    </row>
    <row r="805" spans="1:26" s="20" customFormat="1" x14ac:dyDescent="0.2">
      <c r="A805" s="18"/>
      <c r="B805" s="18"/>
      <c r="C805" s="18"/>
      <c r="D805" s="18"/>
      <c r="E805" s="18"/>
      <c r="F805" s="18"/>
      <c r="G805" s="18"/>
      <c r="H805" s="18"/>
      <c r="I805" s="18"/>
      <c r="J805" s="18"/>
      <c r="K805" s="18"/>
      <c r="L805" s="18"/>
      <c r="M805" s="18"/>
      <c r="N805" s="18"/>
      <c r="O805" s="18"/>
      <c r="P805" s="18"/>
      <c r="Q805" s="18"/>
      <c r="R805" s="18"/>
      <c r="S805" s="18"/>
      <c r="T805" s="18"/>
      <c r="U805" s="18"/>
      <c r="V805" s="18"/>
      <c r="W805" s="18"/>
      <c r="X805" s="18"/>
      <c r="Y805" s="18"/>
      <c r="Z805" s="18"/>
    </row>
    <row r="806" spans="1:26" s="20" customFormat="1" x14ac:dyDescent="0.2">
      <c r="A806" s="18"/>
      <c r="B806" s="18"/>
      <c r="C806" s="18"/>
      <c r="D806" s="18"/>
      <c r="E806" s="18"/>
      <c r="F806" s="18"/>
      <c r="G806" s="18"/>
      <c r="H806" s="18"/>
      <c r="I806" s="18"/>
      <c r="J806" s="18"/>
      <c r="K806" s="18"/>
      <c r="L806" s="18"/>
      <c r="M806" s="18"/>
      <c r="N806" s="18"/>
      <c r="O806" s="18"/>
      <c r="P806" s="18"/>
      <c r="Q806" s="18"/>
      <c r="R806" s="18"/>
      <c r="S806" s="18"/>
      <c r="T806" s="18"/>
      <c r="U806" s="18"/>
      <c r="V806" s="18"/>
      <c r="W806" s="18"/>
      <c r="X806" s="18"/>
      <c r="Y806" s="18"/>
      <c r="Z806" s="18"/>
    </row>
    <row r="807" spans="1:26" s="20" customFormat="1" x14ac:dyDescent="0.2">
      <c r="A807" s="18"/>
      <c r="B807" s="18"/>
      <c r="C807" s="18"/>
      <c r="D807" s="18"/>
      <c r="E807" s="18"/>
      <c r="F807" s="18"/>
      <c r="G807" s="18"/>
      <c r="H807" s="18"/>
      <c r="I807" s="18"/>
      <c r="J807" s="18"/>
      <c r="K807" s="18"/>
      <c r="L807" s="18"/>
      <c r="M807" s="18"/>
      <c r="N807" s="18"/>
      <c r="O807" s="18"/>
      <c r="P807" s="18"/>
      <c r="Q807" s="18"/>
      <c r="R807" s="18"/>
      <c r="S807" s="18"/>
      <c r="T807" s="18"/>
      <c r="U807" s="18"/>
      <c r="V807" s="18"/>
      <c r="W807" s="18"/>
      <c r="X807" s="18"/>
      <c r="Y807" s="18"/>
      <c r="Z807" s="18"/>
    </row>
    <row r="808" spans="1:26" s="20" customFormat="1" x14ac:dyDescent="0.2">
      <c r="A808" s="18"/>
      <c r="B808" s="18"/>
      <c r="C808" s="18"/>
      <c r="D808" s="18"/>
      <c r="E808" s="18"/>
      <c r="F808" s="18"/>
      <c r="G808" s="18"/>
      <c r="H808" s="18"/>
      <c r="I808" s="18"/>
      <c r="J808" s="18"/>
      <c r="K808" s="18"/>
      <c r="L808" s="18"/>
      <c r="M808" s="18"/>
      <c r="N808" s="18"/>
      <c r="O808" s="18"/>
      <c r="P808" s="18"/>
      <c r="Q808" s="18"/>
      <c r="R808" s="18"/>
      <c r="S808" s="18"/>
      <c r="T808" s="18"/>
      <c r="U808" s="18"/>
      <c r="V808" s="18"/>
      <c r="W808" s="18"/>
      <c r="X808" s="18"/>
      <c r="Y808" s="18"/>
      <c r="Z808" s="18"/>
    </row>
    <row r="809" spans="1:26" s="20" customFormat="1" x14ac:dyDescent="0.2">
      <c r="A809" s="18"/>
      <c r="B809" s="18"/>
      <c r="C809" s="18"/>
      <c r="D809" s="18"/>
      <c r="E809" s="18"/>
      <c r="F809" s="18"/>
      <c r="G809" s="18"/>
      <c r="H809" s="18"/>
      <c r="I809" s="18"/>
      <c r="J809" s="18"/>
      <c r="K809" s="18"/>
      <c r="L809" s="18"/>
      <c r="M809" s="18"/>
      <c r="N809" s="18"/>
      <c r="O809" s="18"/>
      <c r="P809" s="18"/>
      <c r="Q809" s="18"/>
      <c r="R809" s="18"/>
      <c r="S809" s="18"/>
      <c r="T809" s="18"/>
      <c r="U809" s="18"/>
      <c r="V809" s="18"/>
      <c r="W809" s="18"/>
    </row>
    <row r="810" spans="1:26" s="20" customFormat="1" x14ac:dyDescent="0.2">
      <c r="A810" s="18"/>
      <c r="B810" s="18"/>
      <c r="C810" s="18"/>
      <c r="D810" s="18"/>
      <c r="E810" s="18"/>
      <c r="F810" s="18"/>
      <c r="G810" s="18"/>
      <c r="H810" s="18"/>
      <c r="I810" s="18"/>
      <c r="J810" s="18"/>
      <c r="K810" s="18"/>
      <c r="L810" s="18"/>
      <c r="M810" s="18"/>
      <c r="N810" s="18"/>
      <c r="O810" s="18"/>
      <c r="P810" s="18"/>
      <c r="Q810" s="18"/>
      <c r="R810" s="18"/>
      <c r="S810" s="18"/>
      <c r="T810" s="18"/>
      <c r="U810" s="18"/>
      <c r="V810" s="18"/>
      <c r="W810" s="18"/>
    </row>
    <row r="811" spans="1:26" s="20" customFormat="1" x14ac:dyDescent="0.2">
      <c r="A811" s="18"/>
      <c r="B811" s="18"/>
      <c r="C811" s="18"/>
      <c r="D811" s="18"/>
      <c r="E811" s="18"/>
      <c r="F811" s="18"/>
      <c r="G811" s="18"/>
      <c r="H811" s="18"/>
      <c r="I811" s="18"/>
      <c r="J811" s="18"/>
      <c r="K811" s="18"/>
      <c r="L811" s="18"/>
      <c r="M811" s="18"/>
      <c r="N811" s="18"/>
      <c r="O811" s="18"/>
      <c r="P811" s="18"/>
      <c r="Q811" s="18"/>
      <c r="R811" s="18"/>
      <c r="S811" s="18"/>
      <c r="T811" s="18"/>
      <c r="U811" s="18"/>
      <c r="V811" s="18"/>
      <c r="W811" s="18"/>
    </row>
    <row r="812" spans="1:26" s="20" customFormat="1" x14ac:dyDescent="0.2">
      <c r="A812" s="18"/>
      <c r="B812" s="18"/>
      <c r="C812" s="18"/>
      <c r="D812" s="18"/>
      <c r="E812" s="18"/>
      <c r="F812" s="18"/>
      <c r="G812" s="18"/>
      <c r="H812" s="18"/>
      <c r="I812" s="18"/>
      <c r="J812" s="18"/>
      <c r="K812" s="18"/>
      <c r="L812" s="18"/>
      <c r="M812" s="18"/>
      <c r="N812" s="18"/>
      <c r="O812" s="18"/>
      <c r="P812" s="18"/>
      <c r="Q812" s="18"/>
      <c r="R812" s="18"/>
      <c r="S812" s="18"/>
      <c r="T812" s="18"/>
      <c r="U812" s="18"/>
      <c r="V812" s="18"/>
      <c r="W812" s="18"/>
    </row>
    <row r="813" spans="1:26" s="20" customFormat="1" x14ac:dyDescent="0.2"/>
    <row r="814" spans="1:26" s="20" customFormat="1" x14ac:dyDescent="0.2"/>
    <row r="815" spans="1:26" s="20" customFormat="1" x14ac:dyDescent="0.2"/>
    <row r="816" spans="1:26" s="20" customFormat="1" x14ac:dyDescent="0.2"/>
    <row r="817" s="20" customFormat="1" x14ac:dyDescent="0.2"/>
    <row r="818" s="20" customFormat="1" x14ac:dyDescent="0.2"/>
    <row r="819" s="20" customFormat="1" x14ac:dyDescent="0.2"/>
    <row r="820" s="20" customFormat="1" x14ac:dyDescent="0.2"/>
    <row r="821" s="20" customFormat="1" x14ac:dyDescent="0.2"/>
    <row r="822" s="20" customFormat="1" x14ac:dyDescent="0.2"/>
    <row r="823" s="20" customFormat="1" x14ac:dyDescent="0.2"/>
    <row r="824" s="20" customFormat="1" x14ac:dyDescent="0.2"/>
    <row r="825" s="20" customFormat="1" x14ac:dyDescent="0.2"/>
    <row r="826" s="20" customFormat="1" x14ac:dyDescent="0.2"/>
    <row r="827" s="20" customFormat="1" x14ac:dyDescent="0.2"/>
    <row r="828" s="20" customFormat="1" x14ac:dyDescent="0.2"/>
    <row r="829" s="20" customFormat="1" x14ac:dyDescent="0.2"/>
    <row r="830" s="20" customFormat="1" x14ac:dyDescent="0.2"/>
    <row r="831" s="20" customFormat="1" x14ac:dyDescent="0.2"/>
    <row r="832" s="20" customFormat="1" x14ac:dyDescent="0.2"/>
    <row r="833" s="20" customFormat="1" x14ac:dyDescent="0.2"/>
    <row r="834" s="20" customFormat="1" x14ac:dyDescent="0.2"/>
    <row r="835" s="20" customFormat="1" x14ac:dyDescent="0.2"/>
    <row r="836" s="20" customFormat="1" x14ac:dyDescent="0.2"/>
    <row r="837" s="20" customFormat="1" x14ac:dyDescent="0.2"/>
    <row r="838" s="20" customFormat="1" x14ac:dyDescent="0.2"/>
    <row r="839" s="20" customFormat="1" x14ac:dyDescent="0.2"/>
    <row r="840" s="20" customFormat="1" x14ac:dyDescent="0.2"/>
    <row r="841" s="20" customFormat="1" x14ac:dyDescent="0.2"/>
    <row r="842" s="20" customFormat="1" x14ac:dyDescent="0.2"/>
    <row r="843" s="20" customFormat="1" x14ac:dyDescent="0.2"/>
    <row r="844" s="20" customFormat="1" x14ac:dyDescent="0.2"/>
    <row r="845" s="20" customFormat="1" x14ac:dyDescent="0.2"/>
    <row r="846" s="20" customFormat="1" x14ac:dyDescent="0.2"/>
    <row r="847" s="20" customFormat="1" x14ac:dyDescent="0.2"/>
    <row r="848" s="20" customFormat="1" x14ac:dyDescent="0.2"/>
    <row r="849" s="20" customFormat="1" x14ac:dyDescent="0.2"/>
    <row r="850" s="20" customFormat="1" x14ac:dyDescent="0.2"/>
    <row r="851" s="20" customFormat="1" x14ac:dyDescent="0.2"/>
    <row r="852" s="20" customFormat="1" x14ac:dyDescent="0.2"/>
    <row r="853" s="20" customFormat="1" x14ac:dyDescent="0.2"/>
    <row r="854" s="20" customFormat="1" x14ac:dyDescent="0.2"/>
    <row r="855" s="20" customFormat="1" x14ac:dyDescent="0.2"/>
    <row r="856" s="20" customFormat="1" x14ac:dyDescent="0.2"/>
    <row r="857" s="20" customFormat="1" x14ac:dyDescent="0.2"/>
    <row r="858" s="20" customFormat="1" x14ac:dyDescent="0.2"/>
    <row r="859" s="20" customFormat="1" x14ac:dyDescent="0.2"/>
    <row r="860" s="20" customFormat="1" x14ac:dyDescent="0.2"/>
    <row r="861" s="20" customFormat="1" x14ac:dyDescent="0.2"/>
    <row r="862" s="20" customFormat="1" x14ac:dyDescent="0.2"/>
    <row r="863" s="20" customFormat="1" x14ac:dyDescent="0.2"/>
    <row r="864" s="20" customFormat="1" x14ac:dyDescent="0.2"/>
    <row r="865" s="20" customFormat="1" x14ac:dyDescent="0.2"/>
    <row r="866" s="20" customFormat="1" x14ac:dyDescent="0.2"/>
    <row r="867" s="20" customFormat="1" x14ac:dyDescent="0.2"/>
    <row r="868" s="20" customFormat="1" x14ac:dyDescent="0.2"/>
    <row r="869" s="20" customFormat="1" x14ac:dyDescent="0.2"/>
    <row r="870" s="20" customFormat="1" x14ac:dyDescent="0.2"/>
    <row r="871" s="20" customFormat="1" x14ac:dyDescent="0.2"/>
    <row r="872" s="20" customFormat="1" x14ac:dyDescent="0.2"/>
    <row r="873" s="20" customFormat="1" x14ac:dyDescent="0.2"/>
    <row r="874" s="20" customFormat="1" x14ac:dyDescent="0.2"/>
    <row r="875" s="20" customFormat="1" x14ac:dyDescent="0.2"/>
    <row r="876" s="20" customFormat="1" x14ac:dyDescent="0.2"/>
    <row r="877" s="20" customFormat="1" x14ac:dyDescent="0.2"/>
    <row r="878" s="20" customFormat="1" x14ac:dyDescent="0.2"/>
    <row r="879" s="20" customFormat="1" x14ac:dyDescent="0.2"/>
    <row r="880" s="20" customFormat="1" x14ac:dyDescent="0.2"/>
    <row r="881" s="20" customFormat="1" x14ac:dyDescent="0.2"/>
    <row r="882" s="20" customFormat="1" x14ac:dyDescent="0.2"/>
    <row r="883" s="20" customFormat="1" x14ac:dyDescent="0.2"/>
    <row r="884" s="20" customFormat="1" x14ac:dyDescent="0.2"/>
    <row r="885" s="20" customFormat="1" x14ac:dyDescent="0.2"/>
    <row r="886" s="20" customFormat="1" x14ac:dyDescent="0.2"/>
    <row r="887" s="20" customFormat="1" x14ac:dyDescent="0.2"/>
    <row r="888" s="20" customFormat="1" x14ac:dyDescent="0.2"/>
    <row r="889" s="20" customFormat="1" x14ac:dyDescent="0.2"/>
    <row r="890" s="20" customFormat="1" x14ac:dyDescent="0.2"/>
    <row r="891" s="20" customFormat="1" x14ac:dyDescent="0.2"/>
    <row r="892" s="20" customFormat="1" x14ac:dyDescent="0.2"/>
    <row r="893" s="20" customFormat="1" x14ac:dyDescent="0.2"/>
    <row r="894" s="20" customFormat="1" x14ac:dyDescent="0.2"/>
    <row r="895" s="20" customFormat="1" x14ac:dyDescent="0.2"/>
    <row r="896" s="20" customFormat="1" x14ac:dyDescent="0.2"/>
    <row r="897" s="20" customFormat="1" x14ac:dyDescent="0.2"/>
    <row r="898" s="20" customFormat="1" x14ac:dyDescent="0.2"/>
    <row r="899" s="20" customFormat="1" x14ac:dyDescent="0.2"/>
    <row r="900" s="20" customFormat="1" x14ac:dyDescent="0.2"/>
    <row r="901" s="20" customFormat="1" x14ac:dyDescent="0.2"/>
    <row r="902" s="20" customFormat="1" x14ac:dyDescent="0.2"/>
    <row r="903" s="20" customFormat="1" x14ac:dyDescent="0.2"/>
    <row r="904" s="20" customFormat="1" x14ac:dyDescent="0.2"/>
    <row r="905" s="20" customFormat="1" x14ac:dyDescent="0.2"/>
    <row r="906" s="20" customFormat="1" x14ac:dyDescent="0.2"/>
    <row r="907" s="20" customFormat="1" x14ac:dyDescent="0.2"/>
    <row r="908" s="20" customFormat="1" x14ac:dyDescent="0.2"/>
    <row r="909" s="20" customFormat="1" x14ac:dyDescent="0.2"/>
    <row r="910" s="20" customFormat="1" x14ac:dyDescent="0.2"/>
    <row r="911" s="20" customFormat="1" x14ac:dyDescent="0.2"/>
    <row r="912" s="20" customFormat="1" x14ac:dyDescent="0.2"/>
    <row r="913" s="20" customFormat="1" x14ac:dyDescent="0.2"/>
    <row r="914" s="20" customFormat="1" x14ac:dyDescent="0.2"/>
    <row r="915" s="20" customFormat="1" x14ac:dyDescent="0.2"/>
    <row r="916" s="20" customFormat="1" x14ac:dyDescent="0.2"/>
    <row r="917" s="20" customFormat="1" x14ac:dyDescent="0.2"/>
    <row r="918" s="20" customFormat="1" x14ac:dyDescent="0.2"/>
    <row r="919" s="20" customFormat="1" x14ac:dyDescent="0.2"/>
    <row r="920" s="20" customFormat="1" x14ac:dyDescent="0.2"/>
    <row r="921" s="20" customFormat="1" x14ac:dyDescent="0.2"/>
    <row r="922" s="20" customFormat="1" x14ac:dyDescent="0.2"/>
    <row r="923" s="20" customFormat="1" x14ac:dyDescent="0.2"/>
    <row r="924" s="20" customFormat="1" x14ac:dyDescent="0.2"/>
    <row r="925" s="20" customFormat="1" x14ac:dyDescent="0.2"/>
    <row r="926" s="20" customFormat="1" x14ac:dyDescent="0.2"/>
    <row r="927" s="20" customFormat="1" x14ac:dyDescent="0.2"/>
    <row r="928" s="20" customFormat="1" x14ac:dyDescent="0.2"/>
    <row r="929" s="20" customFormat="1" x14ac:dyDescent="0.2"/>
    <row r="930" s="20" customFormat="1" x14ac:dyDescent="0.2"/>
    <row r="931" s="20" customFormat="1" x14ac:dyDescent="0.2"/>
    <row r="932" s="20" customFormat="1" x14ac:dyDescent="0.2"/>
    <row r="933" s="20" customFormat="1" x14ac:dyDescent="0.2"/>
    <row r="934" s="20" customFormat="1" x14ac:dyDescent="0.2"/>
    <row r="935" s="20" customFormat="1" x14ac:dyDescent="0.2"/>
    <row r="936" s="20" customFormat="1" x14ac:dyDescent="0.2"/>
    <row r="937" s="20" customFormat="1" x14ac:dyDescent="0.2"/>
    <row r="938" s="20" customFormat="1" x14ac:dyDescent="0.2"/>
    <row r="939" s="20" customFormat="1" x14ac:dyDescent="0.2"/>
    <row r="940" s="20" customFormat="1" x14ac:dyDescent="0.2"/>
    <row r="941" s="20" customFormat="1" x14ac:dyDescent="0.2"/>
    <row r="942" s="20" customFormat="1" x14ac:dyDescent="0.2"/>
    <row r="943" s="20" customFormat="1" x14ac:dyDescent="0.2"/>
    <row r="944" s="20" customFormat="1" x14ac:dyDescent="0.2"/>
    <row r="945" s="20" customFormat="1" x14ac:dyDescent="0.2"/>
    <row r="946" s="20" customFormat="1" x14ac:dyDescent="0.2"/>
    <row r="947" s="20" customFormat="1" x14ac:dyDescent="0.2"/>
    <row r="948" s="20" customFormat="1" x14ac:dyDescent="0.2"/>
    <row r="949" s="20" customFormat="1" x14ac:dyDescent="0.2"/>
    <row r="950" s="20" customFormat="1" x14ac:dyDescent="0.2"/>
    <row r="951" s="20" customFormat="1" x14ac:dyDescent="0.2"/>
    <row r="952" s="20" customFormat="1" x14ac:dyDescent="0.2"/>
    <row r="953" s="20" customFormat="1" x14ac:dyDescent="0.2"/>
    <row r="954" s="20" customFormat="1" x14ac:dyDescent="0.2"/>
    <row r="955" s="20" customFormat="1" x14ac:dyDescent="0.2"/>
    <row r="956" s="20" customFormat="1" x14ac:dyDescent="0.2"/>
    <row r="957" s="20" customFormat="1" x14ac:dyDescent="0.2"/>
    <row r="958" s="20" customFormat="1" x14ac:dyDescent="0.2"/>
    <row r="959" s="20" customFormat="1" x14ac:dyDescent="0.2"/>
    <row r="960" s="20" customFormat="1" x14ac:dyDescent="0.2"/>
    <row r="961" s="20" customFormat="1" x14ac:dyDescent="0.2"/>
    <row r="962" s="20" customFormat="1" x14ac:dyDescent="0.2"/>
    <row r="963" s="20" customFormat="1" x14ac:dyDescent="0.2"/>
    <row r="964" s="20" customFormat="1" x14ac:dyDescent="0.2"/>
    <row r="965" s="20" customFormat="1" x14ac:dyDescent="0.2"/>
    <row r="966" s="20" customFormat="1" x14ac:dyDescent="0.2"/>
    <row r="967" s="20" customFormat="1" x14ac:dyDescent="0.2"/>
    <row r="968" s="20" customFormat="1" x14ac:dyDescent="0.2"/>
    <row r="969" s="20" customFormat="1" x14ac:dyDescent="0.2"/>
    <row r="970" s="20" customFormat="1" x14ac:dyDescent="0.2"/>
    <row r="971" s="20" customFormat="1" x14ac:dyDescent="0.2"/>
    <row r="972" s="20" customFormat="1" x14ac:dyDescent="0.2"/>
    <row r="973" s="20" customFormat="1" x14ac:dyDescent="0.2"/>
    <row r="974" s="20" customFormat="1" x14ac:dyDescent="0.2"/>
    <row r="975" s="20" customFormat="1" x14ac:dyDescent="0.2"/>
    <row r="976" s="20" customFormat="1" x14ac:dyDescent="0.2"/>
    <row r="977" s="20" customFormat="1" x14ac:dyDescent="0.2"/>
    <row r="978" s="20" customFormat="1" x14ac:dyDescent="0.2"/>
    <row r="979" s="20" customFormat="1" x14ac:dyDescent="0.2"/>
    <row r="980" s="20" customFormat="1" x14ac:dyDescent="0.2"/>
    <row r="981" s="20" customFormat="1" x14ac:dyDescent="0.2"/>
    <row r="982" s="20" customFormat="1" x14ac:dyDescent="0.2"/>
    <row r="983" s="20" customFormat="1" x14ac:dyDescent="0.2"/>
    <row r="984" s="20" customFormat="1" x14ac:dyDescent="0.2"/>
    <row r="985" s="20" customFormat="1" x14ac:dyDescent="0.2"/>
    <row r="986" s="20" customFormat="1" x14ac:dyDescent="0.2"/>
    <row r="987" s="20" customFormat="1" x14ac:dyDescent="0.2"/>
    <row r="988" s="20" customFormat="1" x14ac:dyDescent="0.2"/>
    <row r="989" s="20" customFormat="1" x14ac:dyDescent="0.2"/>
    <row r="990" s="20" customFormat="1" x14ac:dyDescent="0.2"/>
    <row r="991" s="20" customFormat="1" x14ac:dyDescent="0.2"/>
    <row r="992" s="20" customFormat="1" x14ac:dyDescent="0.2"/>
    <row r="993" s="20" customFormat="1" x14ac:dyDescent="0.2"/>
    <row r="994" s="20" customFormat="1" x14ac:dyDescent="0.2"/>
    <row r="995" s="20" customFormat="1" x14ac:dyDescent="0.2"/>
    <row r="996" s="20" customFormat="1" x14ac:dyDescent="0.2"/>
    <row r="997" s="20" customFormat="1" x14ac:dyDescent="0.2"/>
    <row r="998" s="20" customFormat="1" x14ac:dyDescent="0.2"/>
    <row r="999" s="20" customFormat="1" x14ac:dyDescent="0.2"/>
    <row r="1000" s="20" customFormat="1" x14ac:dyDescent="0.2"/>
    <row r="1001" s="20" customFormat="1" x14ac:dyDescent="0.2"/>
    <row r="1002" s="20" customFormat="1" x14ac:dyDescent="0.2"/>
    <row r="1003" s="20" customFormat="1" x14ac:dyDescent="0.2"/>
    <row r="1004" s="20" customFormat="1" x14ac:dyDescent="0.2"/>
    <row r="1005" s="20" customFormat="1" x14ac:dyDescent="0.2"/>
    <row r="1006" s="20" customFormat="1" x14ac:dyDescent="0.2"/>
    <row r="1007" s="20" customFormat="1" x14ac:dyDescent="0.2"/>
    <row r="1008" s="20" customFormat="1" x14ac:dyDescent="0.2"/>
    <row r="1009" s="20" customFormat="1" x14ac:dyDescent="0.2"/>
    <row r="1010" s="20" customFormat="1" x14ac:dyDescent="0.2"/>
    <row r="1011" s="20" customFormat="1" x14ac:dyDescent="0.2"/>
    <row r="1012" s="20" customFormat="1" x14ac:dyDescent="0.2"/>
    <row r="1013" s="20" customFormat="1" x14ac:dyDescent="0.2"/>
    <row r="1014" s="20" customFormat="1" x14ac:dyDescent="0.2"/>
    <row r="1015" s="20" customFormat="1" x14ac:dyDescent="0.2"/>
    <row r="1016" s="20" customFormat="1" x14ac:dyDescent="0.2"/>
    <row r="1017" s="20" customFormat="1" x14ac:dyDescent="0.2"/>
    <row r="1018" s="20" customFormat="1" x14ac:dyDescent="0.2"/>
    <row r="1019" s="20" customFormat="1" x14ac:dyDescent="0.2"/>
    <row r="1020" s="20" customFormat="1" x14ac:dyDescent="0.2"/>
    <row r="1021" s="20" customFormat="1" x14ac:dyDescent="0.2"/>
    <row r="1022" s="20" customFormat="1" x14ac:dyDescent="0.2"/>
    <row r="1023" s="20" customFormat="1" x14ac:dyDescent="0.2"/>
    <row r="1024" s="20" customFormat="1" x14ac:dyDescent="0.2"/>
    <row r="1025" s="20" customFormat="1" x14ac:dyDescent="0.2"/>
    <row r="1026" s="20" customFormat="1" x14ac:dyDescent="0.2"/>
    <row r="1027" s="20" customFormat="1" x14ac:dyDescent="0.2"/>
    <row r="1028" s="20" customFormat="1" x14ac:dyDescent="0.2"/>
    <row r="1029" s="20" customFormat="1" x14ac:dyDescent="0.2"/>
    <row r="1030" s="20" customFormat="1" x14ac:dyDescent="0.2"/>
    <row r="1031" s="20" customFormat="1" x14ac:dyDescent="0.2"/>
    <row r="1032" s="20" customFormat="1" x14ac:dyDescent="0.2"/>
    <row r="1033" s="20" customFormat="1" x14ac:dyDescent="0.2"/>
    <row r="1034" s="20" customFormat="1" x14ac:dyDescent="0.2"/>
    <row r="1035" s="20" customFormat="1" x14ac:dyDescent="0.2"/>
    <row r="1036" s="20" customFormat="1" x14ac:dyDescent="0.2"/>
    <row r="1037" s="20" customFormat="1" x14ac:dyDescent="0.2"/>
    <row r="1038" s="20" customFormat="1" x14ac:dyDescent="0.2"/>
    <row r="1039" s="20" customFormat="1" x14ac:dyDescent="0.2"/>
    <row r="1040" s="20" customFormat="1" x14ac:dyDescent="0.2"/>
    <row r="1041" s="20" customFormat="1" x14ac:dyDescent="0.2"/>
    <row r="1042" s="20" customFormat="1" x14ac:dyDescent="0.2"/>
    <row r="1043" s="20" customFormat="1" x14ac:dyDescent="0.2"/>
    <row r="1044" s="20" customFormat="1" x14ac:dyDescent="0.2"/>
    <row r="1045" s="20" customFormat="1" x14ac:dyDescent="0.2"/>
    <row r="1046" s="20" customFormat="1" x14ac:dyDescent="0.2"/>
    <row r="1047" s="20" customFormat="1" x14ac:dyDescent="0.2"/>
    <row r="1048" s="20" customFormat="1" x14ac:dyDescent="0.2"/>
    <row r="1049" s="20" customFormat="1" x14ac:dyDescent="0.2"/>
    <row r="1050" s="20" customFormat="1" x14ac:dyDescent="0.2"/>
    <row r="1051" s="20" customFormat="1" x14ac:dyDescent="0.2"/>
    <row r="1052" s="20" customFormat="1" x14ac:dyDescent="0.2"/>
    <row r="1053" s="20" customFormat="1" x14ac:dyDescent="0.2"/>
    <row r="1054" s="20" customFormat="1" x14ac:dyDescent="0.2"/>
    <row r="1055" s="20" customFormat="1" x14ac:dyDescent="0.2"/>
    <row r="1056" s="20" customFormat="1" x14ac:dyDescent="0.2"/>
    <row r="1057" s="20" customFormat="1" x14ac:dyDescent="0.2"/>
    <row r="1058" s="20" customFormat="1" x14ac:dyDescent="0.2"/>
    <row r="1059" s="20" customFormat="1" x14ac:dyDescent="0.2"/>
    <row r="1060" s="20" customFormat="1" x14ac:dyDescent="0.2"/>
    <row r="1061" s="20" customFormat="1" x14ac:dyDescent="0.2"/>
    <row r="1062" s="20" customFormat="1" x14ac:dyDescent="0.2"/>
    <row r="1063" s="20" customFormat="1" x14ac:dyDescent="0.2"/>
    <row r="1064" s="20" customFormat="1" x14ac:dyDescent="0.2"/>
    <row r="1065" s="20" customFormat="1" x14ac:dyDescent="0.2"/>
    <row r="1066" s="20" customFormat="1" x14ac:dyDescent="0.2"/>
    <row r="1067" s="20" customFormat="1" x14ac:dyDescent="0.2"/>
    <row r="1068" s="20" customFormat="1" x14ac:dyDescent="0.2"/>
    <row r="1069" s="20" customFormat="1" x14ac:dyDescent="0.2"/>
    <row r="1070" s="20" customFormat="1" x14ac:dyDescent="0.2"/>
    <row r="1071" s="20" customFormat="1" x14ac:dyDescent="0.2"/>
    <row r="1072" s="20" customFormat="1" x14ac:dyDescent="0.2"/>
    <row r="1073" s="20" customFormat="1" x14ac:dyDescent="0.2"/>
    <row r="1074" s="20" customFormat="1" x14ac:dyDescent="0.2"/>
    <row r="1075" s="20" customFormat="1" x14ac:dyDescent="0.2"/>
    <row r="1076" s="20" customFormat="1" x14ac:dyDescent="0.2"/>
    <row r="1077" s="20" customFormat="1" x14ac:dyDescent="0.2"/>
    <row r="1078" s="20" customFormat="1" x14ac:dyDescent="0.2"/>
    <row r="1079" s="20" customFormat="1" x14ac:dyDescent="0.2"/>
    <row r="1080" s="20" customFormat="1" x14ac:dyDescent="0.2"/>
    <row r="1081" s="20" customFormat="1" x14ac:dyDescent="0.2"/>
    <row r="1082" s="20" customFormat="1" x14ac:dyDescent="0.2"/>
    <row r="1083" s="20" customFormat="1" x14ac:dyDescent="0.2"/>
    <row r="1084" s="20" customFormat="1" x14ac:dyDescent="0.2"/>
    <row r="1085" s="20" customFormat="1" x14ac:dyDescent="0.2"/>
    <row r="1086" s="20" customFormat="1" x14ac:dyDescent="0.2"/>
    <row r="1087" s="20" customFormat="1" x14ac:dyDescent="0.2"/>
    <row r="1088" s="20" customFormat="1" x14ac:dyDescent="0.2"/>
    <row r="1089" s="20" customFormat="1" x14ac:dyDescent="0.2"/>
    <row r="1090" s="20" customFormat="1" x14ac:dyDescent="0.2"/>
    <row r="1091" s="20" customFormat="1" x14ac:dyDescent="0.2"/>
    <row r="1092" s="20" customFormat="1" x14ac:dyDescent="0.2"/>
    <row r="1093" s="20" customFormat="1" x14ac:dyDescent="0.2"/>
    <row r="1094" s="20" customFormat="1" x14ac:dyDescent="0.2"/>
    <row r="1095" s="20" customFormat="1" x14ac:dyDescent="0.2"/>
    <row r="1096" s="20" customFormat="1" x14ac:dyDescent="0.2"/>
    <row r="1097" s="20" customFormat="1" x14ac:dyDescent="0.2"/>
    <row r="1098" s="20" customFormat="1" x14ac:dyDescent="0.2"/>
    <row r="1099" s="20" customFormat="1" x14ac:dyDescent="0.2"/>
    <row r="1100" s="20" customFormat="1" x14ac:dyDescent="0.2"/>
    <row r="1101" s="20" customFormat="1" x14ac:dyDescent="0.2"/>
    <row r="1102" s="20" customFormat="1" x14ac:dyDescent="0.2"/>
    <row r="1103" s="20" customFormat="1" x14ac:dyDescent="0.2"/>
    <row r="1104" s="20" customFormat="1" x14ac:dyDescent="0.2"/>
    <row r="1105" s="20" customFormat="1" x14ac:dyDescent="0.2"/>
    <row r="1106" s="20" customFormat="1" x14ac:dyDescent="0.2"/>
    <row r="1107" s="20" customFormat="1" x14ac:dyDescent="0.2"/>
    <row r="1108" s="20" customFormat="1" x14ac:dyDescent="0.2"/>
    <row r="1109" s="20" customFormat="1" x14ac:dyDescent="0.2"/>
    <row r="1110" s="20" customFormat="1" x14ac:dyDescent="0.2"/>
    <row r="1111" s="20" customFormat="1" x14ac:dyDescent="0.2"/>
    <row r="1112" s="20" customFormat="1" x14ac:dyDescent="0.2"/>
    <row r="1113" s="20" customFormat="1" x14ac:dyDescent="0.2"/>
    <row r="1114" s="20" customFormat="1" x14ac:dyDescent="0.2"/>
    <row r="1115" s="20" customFormat="1" x14ac:dyDescent="0.2"/>
    <row r="1116" s="20" customFormat="1" x14ac:dyDescent="0.2"/>
    <row r="1117" s="20" customFormat="1" x14ac:dyDescent="0.2"/>
    <row r="1118" s="20" customFormat="1" x14ac:dyDescent="0.2"/>
    <row r="1119" s="20" customFormat="1" x14ac:dyDescent="0.2"/>
    <row r="1120" s="20" customFormat="1" x14ac:dyDescent="0.2"/>
    <row r="1121" s="20" customFormat="1" x14ac:dyDescent="0.2"/>
    <row r="1122" s="20" customFormat="1" x14ac:dyDescent="0.2"/>
    <row r="1123" s="20" customFormat="1" x14ac:dyDescent="0.2"/>
    <row r="1124" s="20" customFormat="1" x14ac:dyDescent="0.2"/>
    <row r="1125" s="20" customFormat="1" x14ac:dyDescent="0.2"/>
    <row r="1126" s="20" customFormat="1" x14ac:dyDescent="0.2"/>
    <row r="1127" s="20" customFormat="1" x14ac:dyDescent="0.2"/>
    <row r="1128" s="20" customFormat="1" x14ac:dyDescent="0.2"/>
    <row r="1129" s="20" customFormat="1" x14ac:dyDescent="0.2"/>
    <row r="1130" s="20" customFormat="1" x14ac:dyDescent="0.2"/>
    <row r="1131" s="20" customFormat="1" x14ac:dyDescent="0.2"/>
    <row r="1132" s="20" customFormat="1" x14ac:dyDescent="0.2"/>
    <row r="1133" s="20" customFormat="1" x14ac:dyDescent="0.2"/>
    <row r="1134" s="20" customFormat="1" x14ac:dyDescent="0.2"/>
    <row r="1135" s="20" customFormat="1" x14ac:dyDescent="0.2"/>
    <row r="1136" s="20" customFormat="1" x14ac:dyDescent="0.2"/>
    <row r="1137" s="20" customFormat="1" x14ac:dyDescent="0.2"/>
    <row r="1138" s="20" customFormat="1" x14ac:dyDescent="0.2"/>
    <row r="1139" s="20" customFormat="1" x14ac:dyDescent="0.2"/>
    <row r="1140" s="20" customFormat="1" x14ac:dyDescent="0.2"/>
    <row r="1141" s="20" customFormat="1" x14ac:dyDescent="0.2"/>
    <row r="1142" s="20" customFormat="1" x14ac:dyDescent="0.2"/>
    <row r="1143" s="20" customFormat="1" x14ac:dyDescent="0.2"/>
    <row r="1144" s="20" customFormat="1" x14ac:dyDescent="0.2"/>
    <row r="1145" s="20" customFormat="1" x14ac:dyDescent="0.2"/>
    <row r="1146" s="20" customFormat="1" x14ac:dyDescent="0.2"/>
    <row r="1147" s="20" customFormat="1" x14ac:dyDescent="0.2"/>
    <row r="1148" s="20" customFormat="1" x14ac:dyDescent="0.2"/>
    <row r="1149" s="20" customFormat="1" x14ac:dyDescent="0.2"/>
    <row r="1150" s="20" customFormat="1" x14ac:dyDescent="0.2"/>
    <row r="1151" s="20" customFormat="1" x14ac:dyDescent="0.2"/>
    <row r="1152" s="20" customFormat="1" x14ac:dyDescent="0.2"/>
    <row r="1153" s="20" customFormat="1" x14ac:dyDescent="0.2"/>
    <row r="1154" s="20" customFormat="1" x14ac:dyDescent="0.2"/>
    <row r="1155" s="20" customFormat="1" x14ac:dyDescent="0.2"/>
    <row r="1156" s="20" customFormat="1" x14ac:dyDescent="0.2"/>
    <row r="1157" s="20" customFormat="1" x14ac:dyDescent="0.2"/>
    <row r="1158" s="20" customFormat="1" x14ac:dyDescent="0.2"/>
    <row r="1159" s="20" customFormat="1" x14ac:dyDescent="0.2"/>
    <row r="1160" s="20" customFormat="1" x14ac:dyDescent="0.2"/>
    <row r="1161" s="20" customFormat="1" x14ac:dyDescent="0.2"/>
    <row r="1162" s="20" customFormat="1" x14ac:dyDescent="0.2"/>
    <row r="1163" s="20" customFormat="1" x14ac:dyDescent="0.2"/>
    <row r="1164" s="20" customFormat="1" x14ac:dyDescent="0.2"/>
    <row r="1165" s="20" customFormat="1" x14ac:dyDescent="0.2"/>
    <row r="1166" s="20" customFormat="1" x14ac:dyDescent="0.2"/>
    <row r="1167" s="20" customFormat="1" x14ac:dyDescent="0.2"/>
    <row r="1168" s="20" customFormat="1" x14ac:dyDescent="0.2"/>
    <row r="1169" s="20" customFormat="1" x14ac:dyDescent="0.2"/>
    <row r="1170" s="20" customFormat="1" x14ac:dyDescent="0.2"/>
    <row r="1171" s="20" customFormat="1" x14ac:dyDescent="0.2"/>
    <row r="1172" s="20" customFormat="1" x14ac:dyDescent="0.2"/>
    <row r="1173" s="20" customFormat="1" x14ac:dyDescent="0.2"/>
    <row r="1174" s="20" customFormat="1" x14ac:dyDescent="0.2"/>
    <row r="1175" s="20" customFormat="1" x14ac:dyDescent="0.2"/>
    <row r="1176" s="20" customFormat="1" x14ac:dyDescent="0.2"/>
    <row r="1177" s="20" customFormat="1" x14ac:dyDescent="0.2"/>
    <row r="1178" s="20" customFormat="1" x14ac:dyDescent="0.2"/>
    <row r="1179" s="20" customFormat="1" x14ac:dyDescent="0.2"/>
    <row r="1180" s="20" customFormat="1" x14ac:dyDescent="0.2"/>
    <row r="1181" s="20" customFormat="1" x14ac:dyDescent="0.2"/>
    <row r="1182" s="20" customFormat="1" x14ac:dyDescent="0.2"/>
    <row r="1183" s="20" customFormat="1" x14ac:dyDescent="0.2"/>
    <row r="1184" s="20" customFormat="1" x14ac:dyDescent="0.2"/>
    <row r="1185" s="20" customFormat="1" x14ac:dyDescent="0.2"/>
    <row r="1186" s="20" customFormat="1" x14ac:dyDescent="0.2"/>
    <row r="1187" s="20" customFormat="1" x14ac:dyDescent="0.2"/>
    <row r="1188" s="20" customFormat="1" x14ac:dyDescent="0.2"/>
    <row r="1189" s="20" customFormat="1" x14ac:dyDescent="0.2"/>
    <row r="1190" s="20" customFormat="1" x14ac:dyDescent="0.2"/>
    <row r="1191" s="20" customFormat="1" x14ac:dyDescent="0.2"/>
    <row r="1192" s="20" customFormat="1" x14ac:dyDescent="0.2"/>
    <row r="1193" s="20" customFormat="1" x14ac:dyDescent="0.2"/>
    <row r="1194" s="20" customFormat="1" x14ac:dyDescent="0.2"/>
    <row r="1195" s="20" customFormat="1" x14ac:dyDescent="0.2"/>
    <row r="1196" s="20" customFormat="1" x14ac:dyDescent="0.2"/>
    <row r="1197" s="20" customFormat="1" x14ac:dyDescent="0.2"/>
    <row r="1198" s="20" customFormat="1" x14ac:dyDescent="0.2"/>
    <row r="1199" s="20" customFormat="1" x14ac:dyDescent="0.2"/>
    <row r="1200" s="20" customFormat="1" x14ac:dyDescent="0.2"/>
    <row r="1201" s="20" customFormat="1" x14ac:dyDescent="0.2"/>
    <row r="1202" s="20" customFormat="1" x14ac:dyDescent="0.2"/>
    <row r="1203" s="20" customFormat="1" x14ac:dyDescent="0.2"/>
    <row r="1204" s="20" customFormat="1" x14ac:dyDescent="0.2"/>
    <row r="1205" s="20" customFormat="1" x14ac:dyDescent="0.2"/>
    <row r="1206" s="20" customFormat="1" x14ac:dyDescent="0.2"/>
    <row r="1207" s="20" customFormat="1" x14ac:dyDescent="0.2"/>
    <row r="1208" s="20" customFormat="1" x14ac:dyDescent="0.2"/>
    <row r="1209" s="20" customFormat="1" x14ac:dyDescent="0.2"/>
    <row r="1210" s="20" customFormat="1" x14ac:dyDescent="0.2"/>
    <row r="1211" s="20" customFormat="1" x14ac:dyDescent="0.2"/>
    <row r="1212" s="20" customFormat="1" x14ac:dyDescent="0.2"/>
    <row r="1213" s="20" customFormat="1" x14ac:dyDescent="0.2"/>
    <row r="1214" s="20" customFormat="1" x14ac:dyDescent="0.2"/>
    <row r="1215" s="20" customFormat="1" x14ac:dyDescent="0.2"/>
    <row r="1216" s="20" customFormat="1" x14ac:dyDescent="0.2"/>
    <row r="1217" s="20" customFormat="1" x14ac:dyDescent="0.2"/>
    <row r="1218" s="20" customFormat="1" x14ac:dyDescent="0.2"/>
    <row r="1219" s="20" customFormat="1" x14ac:dyDescent="0.2"/>
    <row r="1220" s="20" customFormat="1" x14ac:dyDescent="0.2"/>
    <row r="1221" s="20" customFormat="1" x14ac:dyDescent="0.2"/>
    <row r="1222" s="20" customFormat="1" x14ac:dyDescent="0.2"/>
    <row r="1223" s="20" customFormat="1" x14ac:dyDescent="0.2"/>
    <row r="1224" s="20" customFormat="1" x14ac:dyDescent="0.2"/>
    <row r="1225" s="20" customFormat="1" x14ac:dyDescent="0.2"/>
    <row r="1226" s="20" customFormat="1" x14ac:dyDescent="0.2"/>
    <row r="1227" s="20" customFormat="1" x14ac:dyDescent="0.2"/>
    <row r="1228" s="20" customFormat="1" x14ac:dyDescent="0.2"/>
    <row r="1229" s="20" customFormat="1" x14ac:dyDescent="0.2"/>
    <row r="1230" s="20" customFormat="1" x14ac:dyDescent="0.2"/>
    <row r="1231" s="20" customFormat="1" x14ac:dyDescent="0.2"/>
    <row r="1232" s="20" customFormat="1" x14ac:dyDescent="0.2"/>
    <row r="1233" s="20" customFormat="1" x14ac:dyDescent="0.2"/>
    <row r="1234" s="20" customFormat="1" x14ac:dyDescent="0.2"/>
    <row r="1235" s="20" customFormat="1" x14ac:dyDescent="0.2"/>
    <row r="1236" s="20" customFormat="1" x14ac:dyDescent="0.2"/>
    <row r="1237" s="20" customFormat="1" x14ac:dyDescent="0.2"/>
    <row r="1238" s="20" customFormat="1" x14ac:dyDescent="0.2"/>
    <row r="1239" s="20" customFormat="1" x14ac:dyDescent="0.2"/>
    <row r="1240" s="20" customFormat="1" x14ac:dyDescent="0.2"/>
    <row r="1241" s="20" customFormat="1" x14ac:dyDescent="0.2"/>
    <row r="1242" s="20" customFormat="1" x14ac:dyDescent="0.2"/>
    <row r="1243" s="20" customFormat="1" x14ac:dyDescent="0.2"/>
    <row r="1244" s="20" customFormat="1" x14ac:dyDescent="0.2"/>
    <row r="1245" s="20" customFormat="1" x14ac:dyDescent="0.2"/>
    <row r="1246" s="20" customFormat="1" x14ac:dyDescent="0.2"/>
    <row r="1247" s="20" customFormat="1" x14ac:dyDescent="0.2"/>
    <row r="1248" s="20" customFormat="1" x14ac:dyDescent="0.2"/>
    <row r="1249" s="20" customFormat="1" x14ac:dyDescent="0.2"/>
    <row r="1250" s="20" customFormat="1" x14ac:dyDescent="0.2"/>
    <row r="1251" s="20" customFormat="1" x14ac:dyDescent="0.2"/>
    <row r="1252" s="20" customFormat="1" x14ac:dyDescent="0.2"/>
    <row r="1253" s="20" customFormat="1" x14ac:dyDescent="0.2"/>
    <row r="1254" s="20" customFormat="1" x14ac:dyDescent="0.2"/>
    <row r="1255" s="20" customFormat="1" x14ac:dyDescent="0.2"/>
    <row r="1256" s="20" customFormat="1" x14ac:dyDescent="0.2"/>
    <row r="1257" s="20" customFormat="1" x14ac:dyDescent="0.2"/>
    <row r="1258" s="20" customFormat="1" x14ac:dyDescent="0.2"/>
    <row r="1259" s="20" customFormat="1" x14ac:dyDescent="0.2"/>
    <row r="1260" s="20" customFormat="1" x14ac:dyDescent="0.2"/>
    <row r="1261" s="20" customFormat="1" x14ac:dyDescent="0.2"/>
    <row r="1262" s="20" customFormat="1" x14ac:dyDescent="0.2"/>
    <row r="1263" s="20" customFormat="1" x14ac:dyDescent="0.2"/>
    <row r="1264" s="20" customFormat="1" x14ac:dyDescent="0.2"/>
    <row r="1265" s="20" customFormat="1" x14ac:dyDescent="0.2"/>
    <row r="1266" s="20" customFormat="1" x14ac:dyDescent="0.2"/>
    <row r="1267" s="20" customFormat="1" x14ac:dyDescent="0.2"/>
    <row r="1268" s="20" customFormat="1" x14ac:dyDescent="0.2"/>
    <row r="1269" s="20" customFormat="1" x14ac:dyDescent="0.2"/>
    <row r="1270" s="20" customFormat="1" x14ac:dyDescent="0.2"/>
    <row r="1271" s="20" customFormat="1" x14ac:dyDescent="0.2"/>
    <row r="1272" s="20" customFormat="1" x14ac:dyDescent="0.2"/>
    <row r="1273" s="20" customFormat="1" x14ac:dyDescent="0.2"/>
    <row r="1274" s="20" customFormat="1" x14ac:dyDescent="0.2"/>
    <row r="1275" s="20" customFormat="1" x14ac:dyDescent="0.2"/>
    <row r="1276" s="20" customFormat="1" x14ac:dyDescent="0.2"/>
    <row r="1277" s="20" customFormat="1" x14ac:dyDescent="0.2"/>
    <row r="1278" s="20" customFormat="1" x14ac:dyDescent="0.2"/>
    <row r="1279" s="20" customFormat="1" x14ac:dyDescent="0.2"/>
    <row r="1280" s="20" customFormat="1" x14ac:dyDescent="0.2"/>
    <row r="1281" s="20" customFormat="1" x14ac:dyDescent="0.2"/>
    <row r="1282" s="20" customFormat="1" x14ac:dyDescent="0.2"/>
    <row r="1283" s="20" customFormat="1" x14ac:dyDescent="0.2"/>
    <row r="1284" s="20" customFormat="1" x14ac:dyDescent="0.2"/>
    <row r="1285" s="20" customFormat="1" x14ac:dyDescent="0.2"/>
    <row r="1286" s="20" customFormat="1" x14ac:dyDescent="0.2"/>
    <row r="1287" s="20" customFormat="1" x14ac:dyDescent="0.2"/>
    <row r="1288" s="20" customFormat="1" x14ac:dyDescent="0.2"/>
    <row r="1289" s="20" customFormat="1" x14ac:dyDescent="0.2"/>
    <row r="1290" s="20" customFormat="1" x14ac:dyDescent="0.2"/>
    <row r="1291" s="20" customFormat="1" x14ac:dyDescent="0.2"/>
    <row r="1292" s="20" customFormat="1" x14ac:dyDescent="0.2"/>
    <row r="1293" s="20" customFormat="1" x14ac:dyDescent="0.2"/>
    <row r="1294" s="20" customFormat="1" x14ac:dyDescent="0.2"/>
    <row r="1295" s="20" customFormat="1" x14ac:dyDescent="0.2"/>
    <row r="1296" s="20" customFormat="1" x14ac:dyDescent="0.2"/>
    <row r="1297" s="20" customFormat="1" x14ac:dyDescent="0.2"/>
    <row r="1298" s="20" customFormat="1" x14ac:dyDescent="0.2"/>
    <row r="1299" s="20" customFormat="1" x14ac:dyDescent="0.2"/>
    <row r="1300" s="20" customFormat="1" x14ac:dyDescent="0.2"/>
    <row r="1301" s="20" customFormat="1" x14ac:dyDescent="0.2"/>
    <row r="1302" s="20" customFormat="1" x14ac:dyDescent="0.2"/>
    <row r="1303" s="20" customFormat="1" x14ac:dyDescent="0.2"/>
    <row r="1304" s="20" customFormat="1" x14ac:dyDescent="0.2"/>
    <row r="1305" s="20" customFormat="1" x14ac:dyDescent="0.2"/>
    <row r="1306" s="20" customFormat="1" x14ac:dyDescent="0.2"/>
    <row r="1307" s="20" customFormat="1" x14ac:dyDescent="0.2"/>
    <row r="1308" s="20" customFormat="1" x14ac:dyDescent="0.2"/>
    <row r="1309" s="20" customFormat="1" x14ac:dyDescent="0.2"/>
    <row r="1310" s="20" customFormat="1" x14ac:dyDescent="0.2"/>
    <row r="1311" s="20" customFormat="1" x14ac:dyDescent="0.2"/>
    <row r="1312" s="20" customFormat="1" x14ac:dyDescent="0.2"/>
    <row r="1313" s="20" customFormat="1" x14ac:dyDescent="0.2"/>
    <row r="1314" s="20" customFormat="1" x14ac:dyDescent="0.2"/>
    <row r="1315" s="20" customFormat="1" x14ac:dyDescent="0.2"/>
    <row r="1316" s="20" customFormat="1" x14ac:dyDescent="0.2"/>
    <row r="1317" s="20" customFormat="1" x14ac:dyDescent="0.2"/>
    <row r="1318" s="20" customFormat="1" x14ac:dyDescent="0.2"/>
    <row r="1319" s="20" customFormat="1" x14ac:dyDescent="0.2"/>
    <row r="1320" s="20" customFormat="1" x14ac:dyDescent="0.2"/>
    <row r="1321" s="20" customFormat="1" x14ac:dyDescent="0.2"/>
    <row r="1322" s="20" customFormat="1" x14ac:dyDescent="0.2"/>
    <row r="1323" s="20" customFormat="1" x14ac:dyDescent="0.2"/>
    <row r="1324" s="20" customFormat="1" x14ac:dyDescent="0.2"/>
    <row r="1325" s="20" customFormat="1" x14ac:dyDescent="0.2"/>
    <row r="1326" s="20" customFormat="1" x14ac:dyDescent="0.2"/>
    <row r="1327" s="20" customFormat="1" x14ac:dyDescent="0.2"/>
    <row r="1328" s="20" customFormat="1" x14ac:dyDescent="0.2"/>
    <row r="1329" s="20" customFormat="1" x14ac:dyDescent="0.2"/>
    <row r="1330" s="20" customFormat="1" x14ac:dyDescent="0.2"/>
    <row r="1331" s="20" customFormat="1" x14ac:dyDescent="0.2"/>
    <row r="1332" s="20" customFormat="1" x14ac:dyDescent="0.2"/>
    <row r="1333" s="20" customFormat="1" x14ac:dyDescent="0.2"/>
    <row r="1334" s="20" customFormat="1" x14ac:dyDescent="0.2"/>
    <row r="1335" s="20" customFormat="1" x14ac:dyDescent="0.2"/>
    <row r="1336" s="20" customFormat="1" x14ac:dyDescent="0.2"/>
    <row r="1337" s="20" customFormat="1" x14ac:dyDescent="0.2"/>
    <row r="1338" s="20" customFormat="1" x14ac:dyDescent="0.2"/>
    <row r="1339" s="20" customFormat="1" x14ac:dyDescent="0.2"/>
    <row r="1340" s="20" customFormat="1" x14ac:dyDescent="0.2"/>
    <row r="1341" s="20" customFormat="1" x14ac:dyDescent="0.2"/>
    <row r="1342" s="20" customFormat="1" x14ac:dyDescent="0.2"/>
    <row r="1343" s="20" customFormat="1" x14ac:dyDescent="0.2"/>
    <row r="1344" s="20" customFormat="1" x14ac:dyDescent="0.2"/>
    <row r="1345" s="20" customFormat="1" x14ac:dyDescent="0.2"/>
    <row r="1346" s="20" customFormat="1" x14ac:dyDescent="0.2"/>
    <row r="1347" s="20" customFormat="1" x14ac:dyDescent="0.2"/>
    <row r="1348" s="20" customFormat="1" x14ac:dyDescent="0.2"/>
    <row r="1349" s="20" customFormat="1" x14ac:dyDescent="0.2"/>
    <row r="1350" s="20" customFormat="1" x14ac:dyDescent="0.2"/>
    <row r="1351" s="20" customFormat="1" x14ac:dyDescent="0.2"/>
    <row r="1352" s="20" customFormat="1" x14ac:dyDescent="0.2"/>
    <row r="1353" s="20" customFormat="1" x14ac:dyDescent="0.2"/>
    <row r="1354" s="20" customFormat="1" x14ac:dyDescent="0.2"/>
    <row r="1355" s="20" customFormat="1" x14ac:dyDescent="0.2"/>
    <row r="1356" s="20" customFormat="1" x14ac:dyDescent="0.2"/>
    <row r="1357" s="20" customFormat="1" x14ac:dyDescent="0.2"/>
    <row r="1358" s="20" customFormat="1" x14ac:dyDescent="0.2"/>
    <row r="1359" s="20" customFormat="1" x14ac:dyDescent="0.2"/>
    <row r="1360" s="20" customFormat="1" x14ac:dyDescent="0.2"/>
    <row r="1361" s="20" customFormat="1" x14ac:dyDescent="0.2"/>
    <row r="1362" s="20" customFormat="1" x14ac:dyDescent="0.2"/>
    <row r="1363" s="20" customFormat="1" x14ac:dyDescent="0.2"/>
    <row r="1364" s="20" customFormat="1" x14ac:dyDescent="0.2"/>
    <row r="1365" s="20" customFormat="1" x14ac:dyDescent="0.2"/>
    <row r="1366" s="20" customFormat="1" x14ac:dyDescent="0.2"/>
    <row r="1367" s="20" customFormat="1" x14ac:dyDescent="0.2"/>
    <row r="1368" s="20" customFormat="1" x14ac:dyDescent="0.2"/>
    <row r="1369" s="20" customFormat="1" x14ac:dyDescent="0.2"/>
    <row r="1370" s="20" customFormat="1" x14ac:dyDescent="0.2"/>
    <row r="1371" s="20" customFormat="1" x14ac:dyDescent="0.2"/>
    <row r="1372" s="20" customFormat="1" x14ac:dyDescent="0.2"/>
    <row r="1373" s="20" customFormat="1" x14ac:dyDescent="0.2"/>
    <row r="1374" s="20" customFormat="1" x14ac:dyDescent="0.2"/>
    <row r="1375" s="20" customFormat="1" x14ac:dyDescent="0.2"/>
    <row r="1376" s="20" customFormat="1" x14ac:dyDescent="0.2"/>
    <row r="1377" s="20" customFormat="1" x14ac:dyDescent="0.2"/>
    <row r="1378" s="20" customFormat="1" x14ac:dyDescent="0.2"/>
    <row r="1379" s="20" customFormat="1" x14ac:dyDescent="0.2"/>
    <row r="1380" s="20" customFormat="1" x14ac:dyDescent="0.2"/>
    <row r="1381" s="20" customFormat="1" x14ac:dyDescent="0.2"/>
    <row r="1382" s="20" customFormat="1" x14ac:dyDescent="0.2"/>
    <row r="1383" s="20" customFormat="1" x14ac:dyDescent="0.2"/>
    <row r="1384" s="20" customFormat="1" x14ac:dyDescent="0.2"/>
    <row r="1385" s="20" customFormat="1" x14ac:dyDescent="0.2"/>
    <row r="1386" s="20" customFormat="1" x14ac:dyDescent="0.2"/>
    <row r="1387" s="20" customFormat="1" x14ac:dyDescent="0.2"/>
    <row r="1388" s="20" customFormat="1" x14ac:dyDescent="0.2"/>
    <row r="1389" s="20" customFormat="1" x14ac:dyDescent="0.2"/>
    <row r="1390" s="20" customFormat="1" x14ac:dyDescent="0.2"/>
    <row r="1391" s="20" customFormat="1" x14ac:dyDescent="0.2"/>
    <row r="1392" s="20" customFormat="1" x14ac:dyDescent="0.2"/>
    <row r="1393" s="20" customFormat="1" x14ac:dyDescent="0.2"/>
    <row r="1394" s="20" customFormat="1" x14ac:dyDescent="0.2"/>
    <row r="1395" s="20" customFormat="1" x14ac:dyDescent="0.2"/>
    <row r="1396" s="20" customFormat="1" x14ac:dyDescent="0.2"/>
    <row r="1397" s="20" customFormat="1" x14ac:dyDescent="0.2"/>
    <row r="1398" s="20" customFormat="1" x14ac:dyDescent="0.2"/>
    <row r="1399" s="20" customFormat="1" x14ac:dyDescent="0.2"/>
    <row r="1400" s="20" customFormat="1" x14ac:dyDescent="0.2"/>
    <row r="1401" s="20" customFormat="1" x14ac:dyDescent="0.2"/>
    <row r="1402" s="20" customFormat="1" x14ac:dyDescent="0.2"/>
    <row r="1403" s="20" customFormat="1" x14ac:dyDescent="0.2"/>
    <row r="1404" s="20" customFormat="1" x14ac:dyDescent="0.2"/>
    <row r="1405" s="20" customFormat="1" x14ac:dyDescent="0.2"/>
    <row r="1406" s="20" customFormat="1" x14ac:dyDescent="0.2"/>
    <row r="1407" s="20" customFormat="1" x14ac:dyDescent="0.2"/>
    <row r="1408" s="20" customFormat="1" x14ac:dyDescent="0.2"/>
    <row r="1409" s="20" customFormat="1" x14ac:dyDescent="0.2"/>
    <row r="1410" s="20" customFormat="1" x14ac:dyDescent="0.2"/>
    <row r="1411" s="20" customFormat="1" x14ac:dyDescent="0.2"/>
    <row r="1412" s="20" customFormat="1" x14ac:dyDescent="0.2"/>
    <row r="1413" s="20" customFormat="1" x14ac:dyDescent="0.2"/>
    <row r="1414" s="20" customFormat="1" x14ac:dyDescent="0.2"/>
    <row r="1415" s="20" customFormat="1" x14ac:dyDescent="0.2"/>
    <row r="1416" s="20" customFormat="1" x14ac:dyDescent="0.2"/>
    <row r="1417" s="20" customFormat="1" x14ac:dyDescent="0.2"/>
    <row r="1418" s="20" customFormat="1" x14ac:dyDescent="0.2"/>
    <row r="1419" s="20" customFormat="1" x14ac:dyDescent="0.2"/>
    <row r="1420" s="20" customFormat="1" x14ac:dyDescent="0.2"/>
    <row r="1421" s="20" customFormat="1" x14ac:dyDescent="0.2"/>
    <row r="1422" s="20" customFormat="1" x14ac:dyDescent="0.2"/>
    <row r="1423" s="20" customFormat="1" x14ac:dyDescent="0.2"/>
    <row r="1424" s="20" customFormat="1" x14ac:dyDescent="0.2"/>
    <row r="1425" s="20" customFormat="1" x14ac:dyDescent="0.2"/>
    <row r="1426" s="20" customFormat="1" x14ac:dyDescent="0.2"/>
    <row r="1427" s="20" customFormat="1" x14ac:dyDescent="0.2"/>
    <row r="1428" s="20" customFormat="1" x14ac:dyDescent="0.2"/>
    <row r="1429" s="20" customFormat="1" x14ac:dyDescent="0.2"/>
    <row r="1430" s="20" customFormat="1" x14ac:dyDescent="0.2"/>
    <row r="1431" s="20" customFormat="1" x14ac:dyDescent="0.2"/>
    <row r="1432" s="20" customFormat="1" x14ac:dyDescent="0.2"/>
    <row r="1433" s="20" customFormat="1" x14ac:dyDescent="0.2"/>
    <row r="1434" s="20" customFormat="1" x14ac:dyDescent="0.2"/>
    <row r="1435" s="20" customFormat="1" x14ac:dyDescent="0.2"/>
    <row r="1436" s="20" customFormat="1" x14ac:dyDescent="0.2"/>
    <row r="1437" s="20" customFormat="1" x14ac:dyDescent="0.2"/>
    <row r="1438" s="20" customFormat="1" x14ac:dyDescent="0.2"/>
    <row r="1439" s="20" customFormat="1" x14ac:dyDescent="0.2"/>
    <row r="1440" s="20" customFormat="1" x14ac:dyDescent="0.2"/>
    <row r="1441" s="20" customFormat="1" x14ac:dyDescent="0.2"/>
    <row r="1442" s="20" customFormat="1" x14ac:dyDescent="0.2"/>
    <row r="1443" s="20" customFormat="1" x14ac:dyDescent="0.2"/>
    <row r="1444" s="20" customFormat="1" x14ac:dyDescent="0.2"/>
    <row r="1445" s="20" customFormat="1" x14ac:dyDescent="0.2"/>
    <row r="1446" s="20" customFormat="1" x14ac:dyDescent="0.2"/>
    <row r="1447" s="20" customFormat="1" x14ac:dyDescent="0.2"/>
    <row r="1448" s="20" customFormat="1" x14ac:dyDescent="0.2"/>
    <row r="1449" s="20" customFormat="1" x14ac:dyDescent="0.2"/>
    <row r="1450" s="20" customFormat="1" x14ac:dyDescent="0.2"/>
    <row r="1451" s="20" customFormat="1" x14ac:dyDescent="0.2"/>
    <row r="1452" s="20" customFormat="1" x14ac:dyDescent="0.2"/>
    <row r="1453" s="20" customFormat="1" x14ac:dyDescent="0.2"/>
    <row r="1454" s="20" customFormat="1" x14ac:dyDescent="0.2"/>
    <row r="1455" s="20" customFormat="1" x14ac:dyDescent="0.2"/>
    <row r="1456" s="20" customFormat="1" x14ac:dyDescent="0.2"/>
    <row r="1457" s="20" customFormat="1" x14ac:dyDescent="0.2"/>
    <row r="1458" s="20" customFormat="1" x14ac:dyDescent="0.2"/>
    <row r="1459" s="20" customFormat="1" x14ac:dyDescent="0.2"/>
    <row r="1460" s="20" customFormat="1" x14ac:dyDescent="0.2"/>
    <row r="1461" s="20" customFormat="1" x14ac:dyDescent="0.2"/>
    <row r="1462" s="20" customFormat="1" x14ac:dyDescent="0.2"/>
    <row r="1463" s="20" customFormat="1" x14ac:dyDescent="0.2"/>
    <row r="1464" s="20" customFormat="1" x14ac:dyDescent="0.2"/>
    <row r="1465" s="20" customFormat="1" x14ac:dyDescent="0.2"/>
    <row r="1466" s="20" customFormat="1" x14ac:dyDescent="0.2"/>
    <row r="1467" s="20" customFormat="1" x14ac:dyDescent="0.2"/>
    <row r="1468" s="20" customFormat="1" x14ac:dyDescent="0.2"/>
    <row r="1469" s="20" customFormat="1" x14ac:dyDescent="0.2"/>
    <row r="1470" s="20" customFormat="1" x14ac:dyDescent="0.2"/>
    <row r="1471" s="20" customFormat="1" x14ac:dyDescent="0.2"/>
    <row r="1472" s="20" customFormat="1" x14ac:dyDescent="0.2"/>
    <row r="1473" s="20" customFormat="1" x14ac:dyDescent="0.2"/>
    <row r="1474" s="20" customFormat="1" x14ac:dyDescent="0.2"/>
    <row r="1475" s="20" customFormat="1" x14ac:dyDescent="0.2"/>
    <row r="1476" s="20" customFormat="1" x14ac:dyDescent="0.2"/>
    <row r="1477" s="20" customFormat="1" x14ac:dyDescent="0.2"/>
    <row r="1478" s="20" customFormat="1" x14ac:dyDescent="0.2"/>
    <row r="1479" s="20" customFormat="1" x14ac:dyDescent="0.2"/>
    <row r="1480" s="20" customFormat="1" x14ac:dyDescent="0.2"/>
    <row r="1481" s="20" customFormat="1" x14ac:dyDescent="0.2"/>
    <row r="1482" s="20" customFormat="1" x14ac:dyDescent="0.2"/>
    <row r="1483" s="20" customFormat="1" x14ac:dyDescent="0.2"/>
    <row r="1484" s="20" customFormat="1" x14ac:dyDescent="0.2"/>
    <row r="1485" s="20" customFormat="1" x14ac:dyDescent="0.2"/>
    <row r="1486" s="20" customFormat="1" x14ac:dyDescent="0.2"/>
    <row r="1487" s="20" customFormat="1" x14ac:dyDescent="0.2"/>
    <row r="1488" s="20" customFormat="1" x14ac:dyDescent="0.2"/>
    <row r="1489" s="20" customFormat="1" x14ac:dyDescent="0.2"/>
    <row r="1490" s="20" customFormat="1" x14ac:dyDescent="0.2"/>
    <row r="1491" s="20" customFormat="1" x14ac:dyDescent="0.2"/>
    <row r="1492" s="20" customFormat="1" x14ac:dyDescent="0.2"/>
    <row r="1493" s="20" customFormat="1" x14ac:dyDescent="0.2"/>
    <row r="1494" s="20" customFormat="1" x14ac:dyDescent="0.2"/>
    <row r="1495" s="20" customFormat="1" x14ac:dyDescent="0.2"/>
    <row r="1496" s="20" customFormat="1" x14ac:dyDescent="0.2"/>
    <row r="1497" s="20" customFormat="1" x14ac:dyDescent="0.2"/>
    <row r="1498" s="20" customFormat="1" x14ac:dyDescent="0.2"/>
    <row r="1499" s="20" customFormat="1" x14ac:dyDescent="0.2"/>
    <row r="1500" s="20" customFormat="1" x14ac:dyDescent="0.2"/>
    <row r="1501" s="20" customFormat="1" x14ac:dyDescent="0.2"/>
    <row r="1502" s="20" customFormat="1" x14ac:dyDescent="0.2"/>
    <row r="1503" s="20" customFormat="1" x14ac:dyDescent="0.2"/>
    <row r="1504" s="20" customFormat="1" x14ac:dyDescent="0.2"/>
    <row r="1505" s="20" customFormat="1" x14ac:dyDescent="0.2"/>
    <row r="1506" s="20" customFormat="1" x14ac:dyDescent="0.2"/>
    <row r="1507" s="20" customFormat="1" x14ac:dyDescent="0.2"/>
    <row r="1508" s="20" customFormat="1" x14ac:dyDescent="0.2"/>
    <row r="1509" s="20" customFormat="1" x14ac:dyDescent="0.2"/>
    <row r="1510" s="20" customFormat="1" x14ac:dyDescent="0.2"/>
    <row r="1511" s="20" customFormat="1" x14ac:dyDescent="0.2"/>
    <row r="1512" s="20" customFormat="1" x14ac:dyDescent="0.2"/>
    <row r="1513" s="20" customFormat="1" x14ac:dyDescent="0.2"/>
    <row r="1514" s="20" customFormat="1" x14ac:dyDescent="0.2"/>
    <row r="1515" s="20" customFormat="1" x14ac:dyDescent="0.2"/>
    <row r="1516" s="20" customFormat="1" x14ac:dyDescent="0.2"/>
    <row r="1517" s="20" customFormat="1" x14ac:dyDescent="0.2"/>
    <row r="1518" s="20" customFormat="1" x14ac:dyDescent="0.2"/>
    <row r="1519" s="20" customFormat="1" x14ac:dyDescent="0.2"/>
    <row r="1520" s="20" customFormat="1" x14ac:dyDescent="0.2"/>
    <row r="1521" s="20" customFormat="1" x14ac:dyDescent="0.2"/>
    <row r="1522" s="20" customFormat="1" x14ac:dyDescent="0.2"/>
    <row r="1523" s="20" customFormat="1" x14ac:dyDescent="0.2"/>
    <row r="1524" s="20" customFormat="1" x14ac:dyDescent="0.2"/>
    <row r="1525" s="20" customFormat="1" x14ac:dyDescent="0.2"/>
    <row r="1526" s="20" customFormat="1" x14ac:dyDescent="0.2"/>
    <row r="1527" s="20" customFormat="1" x14ac:dyDescent="0.2"/>
    <row r="1528" s="20" customFormat="1" x14ac:dyDescent="0.2"/>
    <row r="1529" s="20" customFormat="1" x14ac:dyDescent="0.2"/>
    <row r="1530" s="20" customFormat="1" x14ac:dyDescent="0.2"/>
    <row r="1531" s="20" customFormat="1" x14ac:dyDescent="0.2"/>
    <row r="1532" s="20" customFormat="1" x14ac:dyDescent="0.2"/>
    <row r="1533" s="20" customFormat="1" x14ac:dyDescent="0.2"/>
    <row r="1534" s="20" customFormat="1" x14ac:dyDescent="0.2"/>
    <row r="1535" s="20" customFormat="1" x14ac:dyDescent="0.2"/>
    <row r="1536" s="20" customFormat="1" x14ac:dyDescent="0.2"/>
    <row r="1537" s="20" customFormat="1" x14ac:dyDescent="0.2"/>
    <row r="1538" s="20" customFormat="1" x14ac:dyDescent="0.2"/>
    <row r="1539" s="20" customFormat="1" x14ac:dyDescent="0.2"/>
    <row r="1540" s="20" customFormat="1" x14ac:dyDescent="0.2"/>
    <row r="1541" s="20" customFormat="1" x14ac:dyDescent="0.2"/>
    <row r="1542" s="20" customFormat="1" x14ac:dyDescent="0.2"/>
    <row r="1543" s="20" customFormat="1" x14ac:dyDescent="0.2"/>
    <row r="1544" s="20" customFormat="1" x14ac:dyDescent="0.2"/>
    <row r="1545" s="20" customFormat="1" x14ac:dyDescent="0.2"/>
    <row r="1546" s="20" customFormat="1" x14ac:dyDescent="0.2"/>
    <row r="1547" s="20" customFormat="1" x14ac:dyDescent="0.2"/>
    <row r="1548" s="20" customFormat="1" x14ac:dyDescent="0.2"/>
    <row r="1549" s="20" customFormat="1" x14ac:dyDescent="0.2"/>
    <row r="1550" s="20" customFormat="1" x14ac:dyDescent="0.2"/>
    <row r="1551" s="20" customFormat="1" x14ac:dyDescent="0.2"/>
    <row r="1552" s="20" customFormat="1" x14ac:dyDescent="0.2"/>
    <row r="1553" s="20" customFormat="1" x14ac:dyDescent="0.2"/>
    <row r="1554" s="20" customFormat="1" x14ac:dyDescent="0.2"/>
  </sheetData>
  <mergeCells count="15">
    <mergeCell ref="Q9:Q10"/>
    <mergeCell ref="E9:J9"/>
    <mergeCell ref="K9:O9"/>
    <mergeCell ref="A14:C14"/>
    <mergeCell ref="P9:P10"/>
    <mergeCell ref="A9:A10"/>
    <mergeCell ref="B9:B10"/>
    <mergeCell ref="C9:C10"/>
    <mergeCell ref="D9:D10"/>
    <mergeCell ref="A7:Q7"/>
    <mergeCell ref="A6:Q6"/>
    <mergeCell ref="A5:Q5"/>
    <mergeCell ref="A4:Q4"/>
    <mergeCell ref="A3:Q3"/>
    <mergeCell ref="A2:Q2"/>
  </mergeCells>
  <phoneticPr fontId="0" type="noConversion"/>
  <printOptions horizontalCentered="1"/>
  <pageMargins left="1.4960629921259843" right="0.94488188976377963" top="1.1811023622047245" bottom="0.78740157480314965" header="0.78740157480314965" footer="0.51181102362204722"/>
  <pageSetup paperSize="5" scale="50" firstPageNumber="0" orientation="landscape" r:id="rId1"/>
  <headerFooter scaleWithDoc="0"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U6324"/>
  <sheetViews>
    <sheetView showGridLines="0" zoomScale="124" zoomScaleNormal="124" workbookViewId="0">
      <selection activeCell="C12" sqref="C12"/>
    </sheetView>
  </sheetViews>
  <sheetFormatPr baseColWidth="10" defaultColWidth="11.5703125" defaultRowHeight="12.75" x14ac:dyDescent="0.2"/>
  <cols>
    <col min="1" max="1" width="8.42578125" customWidth="1"/>
    <col min="2" max="2" width="38.42578125" customWidth="1"/>
    <col min="3" max="3" width="32.5703125" customWidth="1"/>
    <col min="4" max="5" width="17.85546875" customWidth="1"/>
    <col min="6" max="6" width="17.5703125" customWidth="1"/>
    <col min="7" max="7" width="18.85546875" customWidth="1"/>
    <col min="8" max="8" width="11.85546875" customWidth="1"/>
    <col min="9" max="9" width="10.5703125" customWidth="1"/>
    <col min="10" max="10" width="10.42578125" customWidth="1"/>
    <col min="11" max="12" width="0" hidden="1" customWidth="1"/>
    <col min="13" max="13" width="8.5703125" hidden="1" customWidth="1"/>
    <col min="14" max="14" width="14.85546875" hidden="1" customWidth="1"/>
    <col min="15" max="16" width="0" hidden="1" customWidth="1"/>
    <col min="18" max="18" width="13.7109375" customWidth="1"/>
    <col min="20" max="20" width="13.5703125" hidden="1" customWidth="1"/>
    <col min="21" max="22" width="0" hidden="1" customWidth="1"/>
  </cols>
  <sheetData>
    <row r="2" spans="1:33" ht="19.5" customHeight="1" x14ac:dyDescent="0.3">
      <c r="A2" s="286" t="s">
        <v>1</v>
      </c>
      <c r="B2" s="286"/>
      <c r="C2" s="286"/>
      <c r="D2" s="286"/>
      <c r="E2" s="286"/>
      <c r="F2" s="286"/>
      <c r="G2" s="286"/>
      <c r="H2" s="286"/>
    </row>
    <row r="3" spans="1:33" ht="19.5" x14ac:dyDescent="0.3">
      <c r="A3" s="287" t="s">
        <v>0</v>
      </c>
      <c r="B3" s="287"/>
      <c r="C3" s="287"/>
      <c r="D3" s="287"/>
      <c r="E3" s="287"/>
      <c r="F3" s="287"/>
      <c r="G3" s="287"/>
      <c r="H3" s="287"/>
    </row>
    <row r="4" spans="1:33" ht="15.75" customHeight="1" x14ac:dyDescent="0.2">
      <c r="A4" s="288" t="s">
        <v>31</v>
      </c>
      <c r="B4" s="288"/>
      <c r="C4" s="288"/>
      <c r="D4" s="288"/>
      <c r="E4" s="288"/>
      <c r="F4" s="288"/>
      <c r="G4" s="288"/>
      <c r="H4" s="288"/>
    </row>
    <row r="5" spans="1:33" x14ac:dyDescent="0.2">
      <c r="A5" s="289" t="s">
        <v>11</v>
      </c>
      <c r="B5" s="289"/>
      <c r="C5" s="289"/>
      <c r="D5" s="289"/>
      <c r="E5" s="289"/>
      <c r="F5" s="289"/>
      <c r="G5" s="289"/>
      <c r="H5" s="289"/>
    </row>
    <row r="6" spans="1:33" ht="14.25" customHeight="1" x14ac:dyDescent="0.2">
      <c r="A6" s="289" t="s">
        <v>6</v>
      </c>
      <c r="B6" s="289"/>
      <c r="C6" s="289"/>
      <c r="D6" s="289"/>
      <c r="E6" s="289"/>
      <c r="F6" s="289"/>
      <c r="G6" s="289"/>
      <c r="H6" s="289"/>
    </row>
    <row r="7" spans="1:33" ht="14.25" customHeight="1" x14ac:dyDescent="0.2">
      <c r="A7" s="256" t="s">
        <v>1050</v>
      </c>
      <c r="B7" s="256"/>
      <c r="C7" s="256"/>
      <c r="D7" s="256"/>
      <c r="E7" s="256"/>
      <c r="F7" s="256"/>
      <c r="G7" s="256"/>
      <c r="H7" s="256"/>
      <c r="I7" s="186"/>
      <c r="J7" s="186"/>
      <c r="K7" s="186"/>
      <c r="L7" s="186"/>
      <c r="M7" s="186"/>
      <c r="N7" s="186"/>
    </row>
    <row r="8" spans="1:33" ht="13.5" thickBot="1" x14ac:dyDescent="0.25"/>
    <row r="9" spans="1:33" ht="31.5" customHeight="1" x14ac:dyDescent="0.2">
      <c r="A9" s="183" t="s">
        <v>7</v>
      </c>
      <c r="B9" s="180" t="s">
        <v>13</v>
      </c>
      <c r="C9" s="193" t="s">
        <v>1049</v>
      </c>
      <c r="D9" s="192" t="s">
        <v>1035</v>
      </c>
      <c r="E9" s="184" t="s">
        <v>985</v>
      </c>
      <c r="F9" s="181" t="s">
        <v>25</v>
      </c>
      <c r="G9" s="181" t="s">
        <v>24</v>
      </c>
      <c r="H9" s="179" t="s">
        <v>986</v>
      </c>
    </row>
    <row r="10" spans="1:33" ht="31.5" customHeight="1" x14ac:dyDescent="0.2">
      <c r="A10" s="217">
        <v>1</v>
      </c>
      <c r="B10" s="194" t="s">
        <v>1037</v>
      </c>
      <c r="C10" s="33" t="s">
        <v>467</v>
      </c>
      <c r="D10" s="195">
        <v>10000</v>
      </c>
      <c r="E10" s="196">
        <v>0</v>
      </c>
      <c r="F10" s="196">
        <v>0</v>
      </c>
      <c r="G10" s="195">
        <v>10000</v>
      </c>
      <c r="H10" s="131">
        <v>0</v>
      </c>
    </row>
    <row r="11" spans="1:33" ht="24" customHeight="1" x14ac:dyDescent="0.2">
      <c r="A11" s="69">
        <v>2</v>
      </c>
      <c r="B11" s="33" t="s">
        <v>1019</v>
      </c>
      <c r="C11" s="33" t="s">
        <v>467</v>
      </c>
      <c r="D11" s="195">
        <v>6500</v>
      </c>
      <c r="E11" s="196">
        <v>0</v>
      </c>
      <c r="F11" s="196">
        <v>0</v>
      </c>
      <c r="G11" s="195">
        <v>6500</v>
      </c>
      <c r="H11" s="131">
        <v>0</v>
      </c>
      <c r="I11" s="7"/>
      <c r="J11" s="7"/>
      <c r="K11" s="7"/>
      <c r="L11" s="7"/>
      <c r="M11" s="7"/>
      <c r="N11" s="7"/>
      <c r="O11" s="7"/>
      <c r="P11" s="7"/>
      <c r="Q11" s="7"/>
      <c r="R11" s="7"/>
      <c r="S11" s="7"/>
      <c r="T11" s="7"/>
      <c r="U11" s="7"/>
      <c r="V11" s="7"/>
      <c r="W11" s="7"/>
      <c r="X11" s="7"/>
      <c r="Y11" s="7"/>
      <c r="Z11" s="7"/>
      <c r="AA11" s="7"/>
      <c r="AB11" s="7"/>
      <c r="AC11" s="7"/>
      <c r="AD11" s="7"/>
      <c r="AE11" s="7"/>
      <c r="AF11" s="7"/>
      <c r="AG11" s="7"/>
    </row>
    <row r="12" spans="1:33" ht="24" customHeight="1" x14ac:dyDescent="0.2">
      <c r="A12" s="217">
        <v>3</v>
      </c>
      <c r="B12" s="197" t="s">
        <v>990</v>
      </c>
      <c r="C12" s="33" t="s">
        <v>467</v>
      </c>
      <c r="D12" s="198">
        <v>15000</v>
      </c>
      <c r="E12" s="196">
        <v>0</v>
      </c>
      <c r="F12" s="53">
        <v>0</v>
      </c>
      <c r="G12" s="198">
        <v>15000</v>
      </c>
      <c r="H12" s="131">
        <v>0</v>
      </c>
      <c r="I12" s="7"/>
      <c r="J12" s="7"/>
      <c r="K12" s="7"/>
      <c r="L12" s="7"/>
      <c r="M12" s="7"/>
      <c r="N12" s="7"/>
      <c r="O12" s="7"/>
      <c r="P12" s="7"/>
      <c r="Q12" s="7"/>
      <c r="R12" s="7"/>
      <c r="S12" s="7"/>
      <c r="T12" s="7"/>
      <c r="U12" s="7"/>
      <c r="V12" s="7"/>
      <c r="W12" s="7"/>
      <c r="X12" s="7"/>
      <c r="Y12" s="7"/>
      <c r="Z12" s="7"/>
      <c r="AA12" s="7"/>
      <c r="AB12" s="7"/>
      <c r="AC12" s="7"/>
      <c r="AD12" s="7"/>
      <c r="AE12" s="7"/>
      <c r="AF12" s="7"/>
      <c r="AG12" s="7"/>
    </row>
    <row r="13" spans="1:33" ht="24" customHeight="1" x14ac:dyDescent="0.2">
      <c r="A13" s="69">
        <v>4</v>
      </c>
      <c r="B13" s="143" t="s">
        <v>1057</v>
      </c>
      <c r="C13" s="33" t="s">
        <v>963</v>
      </c>
      <c r="D13" s="198">
        <v>3825</v>
      </c>
      <c r="E13" s="196">
        <v>0</v>
      </c>
      <c r="F13" s="53">
        <v>0</v>
      </c>
      <c r="G13" s="198">
        <v>3825</v>
      </c>
      <c r="H13" s="131">
        <v>0</v>
      </c>
      <c r="I13" s="7"/>
      <c r="J13" s="7"/>
      <c r="K13" s="7"/>
      <c r="L13" s="7"/>
      <c r="M13" s="7"/>
      <c r="N13" s="7"/>
      <c r="O13" s="7"/>
      <c r="P13" s="7"/>
      <c r="Q13" s="7"/>
      <c r="R13" s="7"/>
      <c r="S13" s="7"/>
      <c r="T13" s="7"/>
      <c r="U13" s="7"/>
      <c r="V13" s="7"/>
      <c r="W13" s="7"/>
      <c r="X13" s="7"/>
      <c r="Y13" s="7"/>
      <c r="Z13" s="7"/>
      <c r="AA13" s="7"/>
      <c r="AB13" s="7"/>
      <c r="AC13" s="7"/>
      <c r="AD13" s="7"/>
      <c r="AE13" s="7"/>
      <c r="AF13" s="7"/>
      <c r="AG13" s="7"/>
    </row>
    <row r="14" spans="1:33" ht="24" customHeight="1" x14ac:dyDescent="0.2">
      <c r="A14" s="217">
        <v>5</v>
      </c>
      <c r="B14" s="37" t="s">
        <v>193</v>
      </c>
      <c r="C14" s="199" t="s">
        <v>467</v>
      </c>
      <c r="D14" s="200">
        <v>7000</v>
      </c>
      <c r="E14" s="196">
        <v>0</v>
      </c>
      <c r="F14" s="53">
        <v>0</v>
      </c>
      <c r="G14" s="200">
        <v>7000</v>
      </c>
      <c r="H14" s="131">
        <v>0</v>
      </c>
      <c r="I14" s="7"/>
      <c r="J14" s="7"/>
      <c r="K14" s="7"/>
      <c r="L14" s="7"/>
      <c r="M14" s="7"/>
      <c r="N14" s="7"/>
      <c r="O14" s="7"/>
      <c r="P14" s="7"/>
      <c r="Q14" s="7"/>
      <c r="R14" s="7"/>
      <c r="S14" s="7"/>
      <c r="T14" s="7"/>
      <c r="U14" s="7"/>
      <c r="V14" s="7"/>
      <c r="W14" s="7"/>
      <c r="X14" s="7"/>
      <c r="Y14" s="7"/>
      <c r="Z14" s="7"/>
      <c r="AA14" s="7"/>
      <c r="AB14" s="7"/>
      <c r="AC14" s="7"/>
      <c r="AD14" s="7"/>
      <c r="AE14" s="7"/>
      <c r="AF14" s="7"/>
      <c r="AG14" s="7"/>
    </row>
    <row r="15" spans="1:33" s="20" customFormat="1" ht="24" customHeight="1" x14ac:dyDescent="0.2">
      <c r="A15" s="69">
        <v>6</v>
      </c>
      <c r="B15" s="201" t="s">
        <v>120</v>
      </c>
      <c r="C15" s="199" t="s">
        <v>467</v>
      </c>
      <c r="D15" s="196">
        <v>7000</v>
      </c>
      <c r="E15" s="196">
        <v>0</v>
      </c>
      <c r="F15" s="53">
        <v>0</v>
      </c>
      <c r="G15" s="196">
        <v>7000</v>
      </c>
      <c r="H15" s="131">
        <v>0</v>
      </c>
      <c r="I15" s="18"/>
      <c r="J15" s="18"/>
      <c r="K15" s="18"/>
      <c r="L15" s="18"/>
      <c r="M15" s="18"/>
      <c r="N15" s="18"/>
      <c r="O15" s="18"/>
      <c r="P15" s="18"/>
      <c r="Q15" s="18"/>
      <c r="R15" s="18"/>
      <c r="S15" s="18"/>
      <c r="T15" s="18"/>
      <c r="U15" s="18"/>
      <c r="V15" s="18"/>
      <c r="W15" s="18"/>
      <c r="X15" s="18"/>
      <c r="Y15" s="18"/>
      <c r="Z15" s="18"/>
      <c r="AA15" s="18"/>
      <c r="AB15" s="18"/>
      <c r="AC15" s="18"/>
      <c r="AD15" s="18"/>
      <c r="AE15" s="18"/>
      <c r="AF15" s="18"/>
      <c r="AG15" s="18"/>
    </row>
    <row r="16" spans="1:33" s="20" customFormat="1" ht="24" customHeight="1" x14ac:dyDescent="0.2">
      <c r="A16" s="217">
        <v>7</v>
      </c>
      <c r="B16" s="33" t="s">
        <v>1023</v>
      </c>
      <c r="C16" s="33" t="s">
        <v>467</v>
      </c>
      <c r="D16" s="195">
        <v>15000</v>
      </c>
      <c r="E16" s="196">
        <v>0</v>
      </c>
      <c r="F16" s="196">
        <v>0</v>
      </c>
      <c r="G16" s="195">
        <v>15000</v>
      </c>
      <c r="H16" s="131">
        <v>0</v>
      </c>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row>
    <row r="17" spans="1:33" ht="24" customHeight="1" x14ac:dyDescent="0.2">
      <c r="A17" s="69">
        <v>8</v>
      </c>
      <c r="B17" s="33" t="s">
        <v>1024</v>
      </c>
      <c r="C17" s="33" t="s">
        <v>467</v>
      </c>
      <c r="D17" s="195">
        <v>18000</v>
      </c>
      <c r="E17" s="196">
        <v>0</v>
      </c>
      <c r="F17" s="196">
        <v>0</v>
      </c>
      <c r="G17" s="195">
        <v>18000</v>
      </c>
      <c r="H17" s="131">
        <v>0</v>
      </c>
      <c r="I17" s="7"/>
      <c r="J17" s="7"/>
      <c r="K17" s="7"/>
      <c r="L17" s="7"/>
      <c r="M17" s="7"/>
      <c r="N17" s="7"/>
      <c r="O17" s="7"/>
      <c r="P17" s="7"/>
      <c r="Q17" s="7"/>
      <c r="R17" s="7"/>
      <c r="S17" s="7"/>
      <c r="T17" s="7"/>
      <c r="U17" s="7"/>
      <c r="V17" s="7"/>
      <c r="W17" s="7"/>
      <c r="X17" s="7"/>
      <c r="Y17" s="7"/>
      <c r="Z17" s="7"/>
      <c r="AA17" s="7"/>
      <c r="AB17" s="7"/>
      <c r="AC17" s="7"/>
      <c r="AD17" s="7"/>
      <c r="AE17" s="7"/>
      <c r="AF17" s="7"/>
      <c r="AG17" s="7"/>
    </row>
    <row r="18" spans="1:33" ht="24" customHeight="1" x14ac:dyDescent="0.2">
      <c r="A18" s="217">
        <v>9</v>
      </c>
      <c r="B18" s="33" t="s">
        <v>519</v>
      </c>
      <c r="C18" s="199" t="s">
        <v>467</v>
      </c>
      <c r="D18" s="202">
        <v>7800</v>
      </c>
      <c r="E18" s="196">
        <v>0</v>
      </c>
      <c r="F18" s="53">
        <v>0</v>
      </c>
      <c r="G18" s="202">
        <v>7800</v>
      </c>
      <c r="H18" s="131">
        <v>0</v>
      </c>
      <c r="I18" s="7"/>
      <c r="J18" s="7"/>
      <c r="K18" s="7"/>
      <c r="L18" s="7"/>
      <c r="M18" s="7"/>
      <c r="N18" s="7"/>
      <c r="O18" s="7"/>
      <c r="P18" s="7"/>
      <c r="Q18" s="7"/>
      <c r="R18" s="7"/>
      <c r="S18" s="7"/>
      <c r="T18" s="7"/>
      <c r="U18" s="7"/>
      <c r="V18" s="7"/>
      <c r="W18" s="7"/>
      <c r="X18" s="7"/>
      <c r="Y18" s="7"/>
      <c r="Z18" s="7"/>
      <c r="AA18" s="7"/>
      <c r="AB18" s="7"/>
      <c r="AC18" s="7"/>
      <c r="AD18" s="7"/>
      <c r="AE18" s="7"/>
      <c r="AF18" s="7"/>
      <c r="AG18" s="7"/>
    </row>
    <row r="19" spans="1:33" ht="24" customHeight="1" x14ac:dyDescent="0.2">
      <c r="A19" s="69">
        <v>10</v>
      </c>
      <c r="B19" s="201" t="s">
        <v>195</v>
      </c>
      <c r="C19" s="199" t="s">
        <v>467</v>
      </c>
      <c r="D19" s="196">
        <v>7000</v>
      </c>
      <c r="E19" s="196">
        <v>0</v>
      </c>
      <c r="F19" s="53">
        <v>0</v>
      </c>
      <c r="G19" s="196">
        <v>7000</v>
      </c>
      <c r="H19" s="131">
        <v>0</v>
      </c>
      <c r="I19" s="7"/>
      <c r="J19" s="7"/>
      <c r="K19" s="7"/>
      <c r="L19" s="7"/>
      <c r="M19" s="7"/>
      <c r="N19" s="7"/>
      <c r="O19" s="7"/>
      <c r="P19" s="7"/>
      <c r="Q19" s="7"/>
      <c r="R19" s="7"/>
      <c r="S19" s="7"/>
      <c r="T19" s="7"/>
      <c r="U19" s="7"/>
      <c r="V19" s="7"/>
      <c r="W19" s="7"/>
      <c r="X19" s="7"/>
      <c r="Y19" s="7"/>
      <c r="Z19" s="7"/>
      <c r="AA19" s="7"/>
      <c r="AB19" s="7"/>
      <c r="AC19" s="7"/>
      <c r="AD19" s="7"/>
      <c r="AE19" s="7"/>
      <c r="AF19" s="7"/>
      <c r="AG19" s="7"/>
    </row>
    <row r="20" spans="1:33" ht="24" customHeight="1" x14ac:dyDescent="0.2">
      <c r="A20" s="217">
        <v>11</v>
      </c>
      <c r="B20" s="33" t="s">
        <v>1022</v>
      </c>
      <c r="C20" s="33" t="s">
        <v>467</v>
      </c>
      <c r="D20" s="195">
        <v>5500</v>
      </c>
      <c r="E20" s="196">
        <v>0</v>
      </c>
      <c r="F20" s="196">
        <v>0</v>
      </c>
      <c r="G20" s="195">
        <v>5500</v>
      </c>
      <c r="H20" s="131">
        <v>0</v>
      </c>
      <c r="I20" s="7"/>
      <c r="J20" s="7"/>
      <c r="K20" s="7"/>
      <c r="L20" s="7"/>
      <c r="M20" s="7"/>
      <c r="N20" s="7"/>
      <c r="O20" s="7"/>
      <c r="P20" s="7"/>
      <c r="Q20" s="7"/>
      <c r="R20" s="7"/>
      <c r="S20" s="7"/>
      <c r="T20" s="7"/>
      <c r="U20" s="7"/>
      <c r="V20" s="7"/>
      <c r="W20" s="7"/>
      <c r="X20" s="7"/>
      <c r="Y20" s="7"/>
      <c r="Z20" s="7"/>
      <c r="AA20" s="7"/>
      <c r="AB20" s="7"/>
      <c r="AC20" s="7"/>
      <c r="AD20" s="7"/>
      <c r="AE20" s="7"/>
      <c r="AF20" s="7"/>
      <c r="AG20" s="7"/>
    </row>
    <row r="21" spans="1:33" ht="24" customHeight="1" x14ac:dyDescent="0.2">
      <c r="A21" s="69">
        <v>12</v>
      </c>
      <c r="B21" s="33" t="s">
        <v>1025</v>
      </c>
      <c r="C21" s="33" t="s">
        <v>467</v>
      </c>
      <c r="D21" s="195">
        <v>10000</v>
      </c>
      <c r="E21" s="196">
        <v>0</v>
      </c>
      <c r="F21" s="196">
        <v>0</v>
      </c>
      <c r="G21" s="195">
        <v>10000</v>
      </c>
      <c r="H21" s="131">
        <v>0</v>
      </c>
      <c r="I21" s="7"/>
      <c r="J21" s="7"/>
      <c r="K21" s="7"/>
      <c r="L21" s="7"/>
      <c r="M21" s="7"/>
      <c r="N21" s="7"/>
      <c r="O21" s="7"/>
      <c r="P21" s="7"/>
      <c r="Q21" s="7"/>
      <c r="R21" s="7"/>
      <c r="S21" s="7"/>
      <c r="T21" s="7"/>
      <c r="U21" s="7"/>
      <c r="V21" s="7"/>
      <c r="W21" s="7"/>
      <c r="X21" s="7"/>
      <c r="Y21" s="7"/>
      <c r="Z21" s="7"/>
      <c r="AA21" s="7"/>
      <c r="AB21" s="7"/>
      <c r="AC21" s="7"/>
      <c r="AD21" s="7"/>
      <c r="AE21" s="7"/>
      <c r="AF21" s="7"/>
      <c r="AG21" s="7"/>
    </row>
    <row r="22" spans="1:33" ht="24" customHeight="1" x14ac:dyDescent="0.2">
      <c r="A22" s="217">
        <v>13</v>
      </c>
      <c r="B22" s="48" t="s">
        <v>140</v>
      </c>
      <c r="C22" s="33" t="s">
        <v>963</v>
      </c>
      <c r="D22" s="200">
        <v>5500</v>
      </c>
      <c r="E22" s="196">
        <v>0</v>
      </c>
      <c r="F22" s="53">
        <v>0</v>
      </c>
      <c r="G22" s="200">
        <v>5500</v>
      </c>
      <c r="H22" s="131">
        <v>0</v>
      </c>
      <c r="I22" s="7"/>
      <c r="J22" s="7"/>
      <c r="K22" s="7"/>
      <c r="L22" s="7"/>
      <c r="M22" s="7"/>
      <c r="N22" s="7"/>
      <c r="O22" s="7"/>
      <c r="P22" s="7"/>
      <c r="Q22" s="7"/>
      <c r="R22" s="7"/>
      <c r="S22" s="7"/>
      <c r="T22" s="7"/>
      <c r="U22" s="7"/>
      <c r="V22" s="7"/>
      <c r="W22" s="7"/>
      <c r="X22" s="7"/>
      <c r="Y22" s="7"/>
      <c r="Z22" s="7"/>
      <c r="AA22" s="7"/>
      <c r="AB22" s="7"/>
      <c r="AC22" s="7"/>
      <c r="AD22" s="7"/>
      <c r="AE22" s="7"/>
      <c r="AF22" s="7"/>
      <c r="AG22" s="7"/>
    </row>
    <row r="23" spans="1:33" ht="24" customHeight="1" x14ac:dyDescent="0.2">
      <c r="A23" s="69">
        <v>14</v>
      </c>
      <c r="B23" s="33" t="s">
        <v>1018</v>
      </c>
      <c r="C23" s="33" t="s">
        <v>963</v>
      </c>
      <c r="D23" s="195">
        <v>5000</v>
      </c>
      <c r="E23" s="196">
        <v>0</v>
      </c>
      <c r="F23" s="196">
        <v>0</v>
      </c>
      <c r="G23" s="195">
        <v>5000</v>
      </c>
      <c r="H23" s="131">
        <v>0</v>
      </c>
      <c r="I23" s="7"/>
      <c r="J23" s="7"/>
      <c r="K23" s="7"/>
      <c r="L23" s="7"/>
      <c r="M23" s="7"/>
      <c r="N23" s="7"/>
      <c r="O23" s="7"/>
      <c r="P23" s="7"/>
      <c r="Q23" s="7"/>
      <c r="R23" s="7"/>
      <c r="S23" s="7"/>
      <c r="T23" s="7"/>
      <c r="U23" s="7"/>
      <c r="V23" s="7"/>
      <c r="W23" s="7"/>
      <c r="X23" s="7"/>
      <c r="Y23" s="7"/>
      <c r="Z23" s="7"/>
      <c r="AA23" s="7"/>
      <c r="AB23" s="7"/>
      <c r="AC23" s="7"/>
      <c r="AD23" s="7"/>
      <c r="AE23" s="7"/>
      <c r="AF23" s="7"/>
      <c r="AG23" s="7"/>
    </row>
    <row r="24" spans="1:33" ht="24" customHeight="1" x14ac:dyDescent="0.2">
      <c r="A24" s="217">
        <v>15</v>
      </c>
      <c r="B24" s="33" t="s">
        <v>1011</v>
      </c>
      <c r="C24" s="33" t="s">
        <v>963</v>
      </c>
      <c r="D24" s="200">
        <v>3500</v>
      </c>
      <c r="E24" s="196">
        <v>0</v>
      </c>
      <c r="F24" s="53">
        <v>0</v>
      </c>
      <c r="G24" s="200">
        <v>3500</v>
      </c>
      <c r="H24" s="131">
        <v>0</v>
      </c>
      <c r="I24" s="7"/>
      <c r="J24" s="7"/>
      <c r="K24" s="7"/>
      <c r="L24" s="7"/>
      <c r="M24" s="7"/>
      <c r="N24" s="7"/>
      <c r="O24" s="7"/>
      <c r="P24" s="7"/>
      <c r="Q24" s="7"/>
      <c r="R24" s="7"/>
      <c r="S24" s="7"/>
      <c r="T24" s="7"/>
      <c r="U24" s="7"/>
      <c r="V24" s="7"/>
      <c r="W24" s="7"/>
      <c r="X24" s="7"/>
      <c r="Y24" s="7"/>
      <c r="Z24" s="7"/>
      <c r="AA24" s="7"/>
      <c r="AB24" s="7"/>
      <c r="AC24" s="7"/>
      <c r="AD24" s="7"/>
      <c r="AE24" s="7"/>
      <c r="AF24" s="7"/>
      <c r="AG24" s="7"/>
    </row>
    <row r="25" spans="1:33" ht="24" customHeight="1" x14ac:dyDescent="0.2">
      <c r="A25" s="69">
        <v>16</v>
      </c>
      <c r="B25" s="24" t="s">
        <v>125</v>
      </c>
      <c r="C25" s="33" t="s">
        <v>963</v>
      </c>
      <c r="D25" s="203">
        <v>6000</v>
      </c>
      <c r="E25" s="196">
        <v>0</v>
      </c>
      <c r="F25" s="53">
        <v>0</v>
      </c>
      <c r="G25" s="203">
        <v>6000</v>
      </c>
      <c r="H25" s="131">
        <v>0</v>
      </c>
      <c r="I25" s="7"/>
      <c r="J25" s="7"/>
      <c r="K25" s="7"/>
      <c r="L25" s="7"/>
      <c r="M25" s="7"/>
      <c r="N25" s="7"/>
      <c r="O25" s="7"/>
      <c r="P25" s="7"/>
      <c r="Q25" s="7"/>
      <c r="R25" s="7"/>
      <c r="S25" s="7"/>
      <c r="T25" s="7"/>
      <c r="U25" s="7"/>
      <c r="V25" s="7"/>
      <c r="W25" s="7"/>
      <c r="X25" s="7"/>
      <c r="Y25" s="7"/>
      <c r="Z25" s="7"/>
      <c r="AA25" s="7"/>
      <c r="AB25" s="7"/>
      <c r="AC25" s="7"/>
      <c r="AD25" s="7"/>
      <c r="AE25" s="7"/>
      <c r="AF25" s="7"/>
      <c r="AG25" s="7"/>
    </row>
    <row r="26" spans="1:33" ht="24" customHeight="1" x14ac:dyDescent="0.2">
      <c r="A26" s="217">
        <v>17</v>
      </c>
      <c r="B26" s="33" t="s">
        <v>1013</v>
      </c>
      <c r="C26" s="33" t="s">
        <v>963</v>
      </c>
      <c r="D26" s="122">
        <v>4000</v>
      </c>
      <c r="E26" s="196">
        <v>0</v>
      </c>
      <c r="F26" s="53">
        <v>0</v>
      </c>
      <c r="G26" s="122">
        <v>4000</v>
      </c>
      <c r="H26" s="131">
        <v>0</v>
      </c>
      <c r="I26" s="7"/>
      <c r="J26" s="7"/>
      <c r="K26" s="7"/>
      <c r="L26" s="7"/>
      <c r="M26" s="7"/>
      <c r="N26" s="7"/>
      <c r="O26" s="7"/>
      <c r="P26" s="7"/>
      <c r="Q26" s="7"/>
      <c r="R26" s="7"/>
      <c r="S26" s="7"/>
      <c r="T26" s="7"/>
      <c r="U26" s="7"/>
      <c r="V26" s="7"/>
      <c r="W26" s="7"/>
      <c r="X26" s="7"/>
      <c r="Y26" s="7"/>
      <c r="Z26" s="7"/>
      <c r="AA26" s="7"/>
      <c r="AB26" s="7"/>
      <c r="AC26" s="7"/>
      <c r="AD26" s="7"/>
      <c r="AE26" s="7"/>
      <c r="AF26" s="7"/>
      <c r="AG26" s="7"/>
    </row>
    <row r="27" spans="1:33" s="20" customFormat="1" ht="24" customHeight="1" x14ac:dyDescent="0.2">
      <c r="A27" s="69">
        <v>18</v>
      </c>
      <c r="B27" s="32" t="s">
        <v>998</v>
      </c>
      <c r="C27" s="33" t="s">
        <v>963</v>
      </c>
      <c r="D27" s="122">
        <v>4000</v>
      </c>
      <c r="E27" s="196">
        <v>0</v>
      </c>
      <c r="F27" s="53">
        <v>0</v>
      </c>
      <c r="G27" s="122">
        <v>4000</v>
      </c>
      <c r="H27" s="131">
        <v>0</v>
      </c>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row>
    <row r="28" spans="1:33" ht="24" customHeight="1" x14ac:dyDescent="0.2">
      <c r="A28" s="217">
        <v>19</v>
      </c>
      <c r="B28" s="197" t="s">
        <v>119</v>
      </c>
      <c r="C28" s="33" t="s">
        <v>963</v>
      </c>
      <c r="D28" s="198">
        <v>6000</v>
      </c>
      <c r="E28" s="196">
        <v>0</v>
      </c>
      <c r="F28" s="53">
        <v>0</v>
      </c>
      <c r="G28" s="198">
        <v>6000</v>
      </c>
      <c r="H28" s="131">
        <v>0</v>
      </c>
      <c r="I28" s="7"/>
      <c r="J28" s="7"/>
      <c r="K28" s="7"/>
      <c r="L28" s="7"/>
      <c r="M28" s="7"/>
      <c r="N28" s="7"/>
      <c r="O28" s="7"/>
      <c r="P28" s="7"/>
      <c r="Q28" s="7"/>
      <c r="R28" s="7"/>
      <c r="S28" s="7"/>
      <c r="T28" s="7"/>
      <c r="U28" s="7"/>
      <c r="V28" s="7"/>
      <c r="W28" s="18"/>
      <c r="X28" s="7"/>
      <c r="Y28" s="7"/>
      <c r="Z28" s="7"/>
      <c r="AA28" s="7"/>
      <c r="AB28" s="7"/>
      <c r="AC28" s="7"/>
      <c r="AD28" s="7"/>
      <c r="AE28" s="7"/>
      <c r="AF28" s="7"/>
      <c r="AG28" s="7"/>
    </row>
    <row r="29" spans="1:33" ht="24" customHeight="1" x14ac:dyDescent="0.2">
      <c r="A29" s="69">
        <v>20</v>
      </c>
      <c r="B29" s="194" t="s">
        <v>969</v>
      </c>
      <c r="C29" s="33" t="s">
        <v>963</v>
      </c>
      <c r="D29" s="202">
        <v>15000</v>
      </c>
      <c r="E29" s="196">
        <v>0</v>
      </c>
      <c r="F29" s="73">
        <v>0</v>
      </c>
      <c r="G29" s="202">
        <v>15000</v>
      </c>
      <c r="H29" s="187">
        <v>0</v>
      </c>
      <c r="I29" s="7"/>
      <c r="J29" s="7"/>
      <c r="K29" s="7"/>
      <c r="L29" s="7"/>
      <c r="M29" s="7"/>
      <c r="N29" s="7"/>
      <c r="O29" s="7"/>
      <c r="P29" s="7"/>
      <c r="Q29" s="7"/>
      <c r="R29" s="7"/>
      <c r="S29" s="7"/>
      <c r="T29" s="7"/>
      <c r="U29" s="7"/>
      <c r="V29" s="7"/>
      <c r="W29" s="18"/>
      <c r="X29" s="7"/>
      <c r="Y29" s="7"/>
      <c r="Z29" s="7"/>
      <c r="AA29" s="7"/>
      <c r="AB29" s="7"/>
      <c r="AC29" s="7"/>
      <c r="AD29" s="7"/>
      <c r="AE29" s="7"/>
      <c r="AF29" s="7"/>
      <c r="AG29" s="7"/>
    </row>
    <row r="30" spans="1:33" s="7" customFormat="1" ht="24" customHeight="1" x14ac:dyDescent="0.2">
      <c r="A30" s="217">
        <v>21</v>
      </c>
      <c r="B30" s="33" t="s">
        <v>1014</v>
      </c>
      <c r="C30" s="33" t="s">
        <v>963</v>
      </c>
      <c r="D30" s="122">
        <v>4000</v>
      </c>
      <c r="E30" s="196">
        <v>0</v>
      </c>
      <c r="F30" s="53">
        <v>0</v>
      </c>
      <c r="G30" s="122">
        <v>4000</v>
      </c>
      <c r="H30" s="131">
        <v>0</v>
      </c>
      <c r="W30" s="18"/>
    </row>
    <row r="31" spans="1:33" s="7" customFormat="1" ht="24" customHeight="1" x14ac:dyDescent="0.2">
      <c r="A31" s="69">
        <v>22</v>
      </c>
      <c r="B31" s="33" t="s">
        <v>960</v>
      </c>
      <c r="C31" s="33" t="s">
        <v>963</v>
      </c>
      <c r="D31" s="202">
        <v>7000</v>
      </c>
      <c r="E31" s="196">
        <v>0</v>
      </c>
      <c r="F31" s="73">
        <v>0</v>
      </c>
      <c r="G31" s="202">
        <v>7000</v>
      </c>
      <c r="H31" s="132">
        <v>0</v>
      </c>
      <c r="W31" s="18"/>
    </row>
    <row r="32" spans="1:33" s="7" customFormat="1" ht="24" customHeight="1" x14ac:dyDescent="0.2">
      <c r="A32" s="217">
        <v>23</v>
      </c>
      <c r="B32" s="33" t="s">
        <v>1029</v>
      </c>
      <c r="C32" s="33" t="s">
        <v>963</v>
      </c>
      <c r="D32" s="202">
        <v>4000</v>
      </c>
      <c r="E32" s="196">
        <v>0</v>
      </c>
      <c r="F32" s="73">
        <v>0</v>
      </c>
      <c r="G32" s="202">
        <v>4000</v>
      </c>
      <c r="H32" s="132">
        <v>0</v>
      </c>
      <c r="W32" s="18"/>
    </row>
    <row r="33" spans="1:23" s="7" customFormat="1" ht="24" customHeight="1" x14ac:dyDescent="0.2">
      <c r="A33" s="69">
        <v>24</v>
      </c>
      <c r="B33" s="33" t="s">
        <v>1012</v>
      </c>
      <c r="C33" s="33" t="s">
        <v>963</v>
      </c>
      <c r="D33" s="200">
        <v>3500</v>
      </c>
      <c r="E33" s="196">
        <v>0</v>
      </c>
      <c r="F33" s="53">
        <v>0</v>
      </c>
      <c r="G33" s="200">
        <v>3500</v>
      </c>
      <c r="H33" s="131">
        <v>0</v>
      </c>
      <c r="W33" s="18"/>
    </row>
    <row r="34" spans="1:23" s="7" customFormat="1" ht="24" customHeight="1" x14ac:dyDescent="0.2">
      <c r="A34" s="217">
        <v>25</v>
      </c>
      <c r="B34" s="143" t="s">
        <v>1065</v>
      </c>
      <c r="C34" s="142" t="s">
        <v>963</v>
      </c>
      <c r="D34" s="200">
        <v>3000</v>
      </c>
      <c r="E34" s="196">
        <v>0</v>
      </c>
      <c r="F34" s="53">
        <v>0</v>
      </c>
      <c r="G34" s="200">
        <v>3000</v>
      </c>
      <c r="H34" s="131">
        <v>0</v>
      </c>
      <c r="W34" s="18"/>
    </row>
    <row r="35" spans="1:23" s="7" customFormat="1" ht="24" customHeight="1" x14ac:dyDescent="0.2">
      <c r="A35" s="69">
        <v>26</v>
      </c>
      <c r="B35" s="33" t="s">
        <v>1026</v>
      </c>
      <c r="C35" s="33" t="s">
        <v>963</v>
      </c>
      <c r="D35" s="195">
        <v>5000</v>
      </c>
      <c r="E35" s="196">
        <v>0</v>
      </c>
      <c r="F35" s="196">
        <v>0</v>
      </c>
      <c r="G35" s="195">
        <v>5000</v>
      </c>
      <c r="H35" s="131">
        <v>0</v>
      </c>
      <c r="W35" s="18"/>
    </row>
    <row r="36" spans="1:23" s="7" customFormat="1" ht="24" customHeight="1" x14ac:dyDescent="0.2">
      <c r="A36" s="217">
        <v>27</v>
      </c>
      <c r="B36" s="33" t="s">
        <v>961</v>
      </c>
      <c r="C36" s="33" t="s">
        <v>963</v>
      </c>
      <c r="D36" s="202">
        <v>3500</v>
      </c>
      <c r="E36" s="196">
        <v>0</v>
      </c>
      <c r="F36" s="73">
        <v>0</v>
      </c>
      <c r="G36" s="202">
        <v>3500</v>
      </c>
      <c r="H36" s="132">
        <v>0</v>
      </c>
      <c r="W36" s="18"/>
    </row>
    <row r="37" spans="1:23" s="7" customFormat="1" ht="24" customHeight="1" x14ac:dyDescent="0.2">
      <c r="A37" s="69">
        <v>28</v>
      </c>
      <c r="B37" s="199" t="s">
        <v>1039</v>
      </c>
      <c r="C37" s="33" t="s">
        <v>963</v>
      </c>
      <c r="D37" s="202">
        <v>40000</v>
      </c>
      <c r="E37" s="196">
        <v>0</v>
      </c>
      <c r="F37" s="73">
        <v>0</v>
      </c>
      <c r="G37" s="202">
        <v>40000</v>
      </c>
      <c r="H37" s="132">
        <v>0</v>
      </c>
      <c r="W37" s="18"/>
    </row>
    <row r="38" spans="1:23" s="7" customFormat="1" ht="24" customHeight="1" x14ac:dyDescent="0.2">
      <c r="A38" s="217">
        <v>29</v>
      </c>
      <c r="B38" s="218" t="s">
        <v>1056</v>
      </c>
      <c r="C38" s="33" t="s">
        <v>963</v>
      </c>
      <c r="D38" s="202">
        <v>4000</v>
      </c>
      <c r="E38" s="196">
        <v>0</v>
      </c>
      <c r="F38" s="73">
        <v>0</v>
      </c>
      <c r="G38" s="202">
        <v>4000</v>
      </c>
      <c r="H38" s="132">
        <v>0</v>
      </c>
      <c r="W38" s="18"/>
    </row>
    <row r="39" spans="1:23" s="7" customFormat="1" ht="24" customHeight="1" x14ac:dyDescent="0.2">
      <c r="A39" s="69">
        <v>30</v>
      </c>
      <c r="B39" s="33" t="s">
        <v>127</v>
      </c>
      <c r="C39" s="33" t="s">
        <v>963</v>
      </c>
      <c r="D39" s="204">
        <v>5000</v>
      </c>
      <c r="E39" s="196">
        <v>0</v>
      </c>
      <c r="F39" s="53">
        <v>0</v>
      </c>
      <c r="G39" s="204">
        <v>5000</v>
      </c>
      <c r="H39" s="131">
        <v>0</v>
      </c>
      <c r="W39" s="18"/>
    </row>
    <row r="40" spans="1:23" s="7" customFormat="1" ht="24" customHeight="1" x14ac:dyDescent="0.2">
      <c r="A40" s="217">
        <v>31</v>
      </c>
      <c r="B40" s="199" t="s">
        <v>1046</v>
      </c>
      <c r="C40" s="33" t="s">
        <v>467</v>
      </c>
      <c r="D40" s="204">
        <v>10000</v>
      </c>
      <c r="E40" s="196">
        <v>0</v>
      </c>
      <c r="F40" s="53">
        <v>0</v>
      </c>
      <c r="G40" s="204">
        <v>10000</v>
      </c>
      <c r="H40" s="131">
        <v>0</v>
      </c>
      <c r="W40" s="18"/>
    </row>
    <row r="41" spans="1:23" s="7" customFormat="1" ht="24" customHeight="1" x14ac:dyDescent="0.2">
      <c r="A41" s="69">
        <v>32</v>
      </c>
      <c r="B41" s="143" t="s">
        <v>1062</v>
      </c>
      <c r="C41" s="142" t="s">
        <v>963</v>
      </c>
      <c r="D41" s="219">
        <v>8140</v>
      </c>
      <c r="E41" s="196">
        <v>0</v>
      </c>
      <c r="F41" s="53">
        <v>0</v>
      </c>
      <c r="G41" s="204">
        <v>8140</v>
      </c>
      <c r="H41" s="131">
        <v>0</v>
      </c>
      <c r="W41" s="18"/>
    </row>
    <row r="42" spans="1:23" s="7" customFormat="1" ht="24" customHeight="1" x14ac:dyDescent="0.2">
      <c r="A42" s="217">
        <v>33</v>
      </c>
      <c r="B42" s="33" t="s">
        <v>1027</v>
      </c>
      <c r="C42" s="33" t="s">
        <v>963</v>
      </c>
      <c r="D42" s="204">
        <v>3500</v>
      </c>
      <c r="E42" s="196">
        <v>0</v>
      </c>
      <c r="F42" s="53">
        <v>0</v>
      </c>
      <c r="G42" s="204">
        <v>3500</v>
      </c>
      <c r="H42" s="131">
        <v>0</v>
      </c>
      <c r="W42" s="18"/>
    </row>
    <row r="43" spans="1:23" s="7" customFormat="1" ht="24" customHeight="1" x14ac:dyDescent="0.2">
      <c r="A43" s="69">
        <v>34</v>
      </c>
      <c r="B43" s="33" t="s">
        <v>988</v>
      </c>
      <c r="C43" s="33" t="s">
        <v>963</v>
      </c>
      <c r="D43" s="204">
        <v>6500</v>
      </c>
      <c r="E43" s="196">
        <v>0</v>
      </c>
      <c r="F43" s="53">
        <v>0</v>
      </c>
      <c r="G43" s="204">
        <v>6500</v>
      </c>
      <c r="H43" s="131">
        <v>0</v>
      </c>
      <c r="W43" s="18"/>
    </row>
    <row r="44" spans="1:23" s="7" customFormat="1" ht="24" customHeight="1" x14ac:dyDescent="0.2">
      <c r="A44" s="217">
        <v>35</v>
      </c>
      <c r="B44" s="48" t="s">
        <v>163</v>
      </c>
      <c r="C44" s="33" t="s">
        <v>963</v>
      </c>
      <c r="D44" s="200">
        <v>8000</v>
      </c>
      <c r="E44" s="196">
        <v>0</v>
      </c>
      <c r="F44" s="53">
        <v>0</v>
      </c>
      <c r="G44" s="200">
        <v>8000</v>
      </c>
      <c r="H44" s="131">
        <v>0</v>
      </c>
      <c r="W44" s="18"/>
    </row>
    <row r="45" spans="1:23" s="7" customFormat="1" ht="24" customHeight="1" x14ac:dyDescent="0.2">
      <c r="A45" s="69">
        <v>36</v>
      </c>
      <c r="B45" s="143" t="s">
        <v>1059</v>
      </c>
      <c r="C45" s="33" t="s">
        <v>963</v>
      </c>
      <c r="D45" s="200">
        <v>12000</v>
      </c>
      <c r="E45" s="196">
        <v>0</v>
      </c>
      <c r="F45" s="53">
        <v>0</v>
      </c>
      <c r="G45" s="200">
        <v>12000</v>
      </c>
      <c r="H45" s="131">
        <v>0</v>
      </c>
      <c r="W45" s="18"/>
    </row>
    <row r="46" spans="1:23" s="7" customFormat="1" ht="24" customHeight="1" x14ac:dyDescent="0.2">
      <c r="A46" s="217">
        <v>37</v>
      </c>
      <c r="B46" s="199" t="s">
        <v>1044</v>
      </c>
      <c r="C46" s="33" t="s">
        <v>963</v>
      </c>
      <c r="D46" s="195">
        <v>4000</v>
      </c>
      <c r="E46" s="196">
        <v>0</v>
      </c>
      <c r="F46" s="53">
        <v>0</v>
      </c>
      <c r="G46" s="195">
        <v>4000</v>
      </c>
      <c r="H46" s="131">
        <v>0</v>
      </c>
      <c r="W46" s="18"/>
    </row>
    <row r="47" spans="1:23" s="7" customFormat="1" ht="24" customHeight="1" x14ac:dyDescent="0.2">
      <c r="A47" s="69">
        <v>38</v>
      </c>
      <c r="B47" s="48" t="s">
        <v>194</v>
      </c>
      <c r="C47" s="33" t="s">
        <v>963</v>
      </c>
      <c r="D47" s="200">
        <v>4000</v>
      </c>
      <c r="E47" s="196">
        <v>0</v>
      </c>
      <c r="F47" s="53">
        <v>0</v>
      </c>
      <c r="G47" s="200">
        <v>4000</v>
      </c>
      <c r="H47" s="131">
        <v>0</v>
      </c>
      <c r="W47" s="18"/>
    </row>
    <row r="48" spans="1:23" s="7" customFormat="1" ht="24" customHeight="1" x14ac:dyDescent="0.2">
      <c r="A48" s="217">
        <v>39</v>
      </c>
      <c r="B48" s="48" t="s">
        <v>989</v>
      </c>
      <c r="C48" s="33" t="s">
        <v>963</v>
      </c>
      <c r="D48" s="200">
        <v>7000</v>
      </c>
      <c r="E48" s="196">
        <v>0</v>
      </c>
      <c r="F48" s="53">
        <v>0</v>
      </c>
      <c r="G48" s="200">
        <v>7000</v>
      </c>
      <c r="H48" s="131">
        <v>0</v>
      </c>
      <c r="W48" s="18"/>
    </row>
    <row r="49" spans="1:47" s="7" customFormat="1" ht="24" customHeight="1" x14ac:dyDescent="0.2">
      <c r="A49" s="69">
        <v>40</v>
      </c>
      <c r="B49" s="199" t="s">
        <v>1036</v>
      </c>
      <c r="C49" s="33" t="s">
        <v>963</v>
      </c>
      <c r="D49" s="200">
        <v>4000</v>
      </c>
      <c r="E49" s="196">
        <v>0</v>
      </c>
      <c r="F49" s="53">
        <v>0</v>
      </c>
      <c r="G49" s="200">
        <v>4000</v>
      </c>
      <c r="H49" s="131">
        <v>0</v>
      </c>
      <c r="W49" s="18"/>
    </row>
    <row r="50" spans="1:47" s="7" customFormat="1" ht="24" customHeight="1" x14ac:dyDescent="0.2">
      <c r="A50" s="217">
        <v>41</v>
      </c>
      <c r="B50" s="143" t="s">
        <v>1060</v>
      </c>
      <c r="C50" s="33" t="s">
        <v>963</v>
      </c>
      <c r="D50" s="200">
        <v>15000</v>
      </c>
      <c r="E50" s="196">
        <v>0</v>
      </c>
      <c r="F50" s="53">
        <v>0</v>
      </c>
      <c r="G50" s="200">
        <v>15000</v>
      </c>
      <c r="H50" s="131"/>
      <c r="W50" s="18"/>
    </row>
    <row r="51" spans="1:47" s="7" customFormat="1" ht="24" customHeight="1" x14ac:dyDescent="0.2">
      <c r="A51" s="69">
        <v>42</v>
      </c>
      <c r="B51" s="143" t="s">
        <v>1058</v>
      </c>
      <c r="C51" s="33" t="s">
        <v>963</v>
      </c>
      <c r="D51" s="219">
        <v>5500</v>
      </c>
      <c r="E51" s="196">
        <v>0</v>
      </c>
      <c r="F51" s="53">
        <v>0</v>
      </c>
      <c r="G51" s="200">
        <v>5500</v>
      </c>
      <c r="H51" s="131">
        <v>0</v>
      </c>
      <c r="W51" s="18"/>
    </row>
    <row r="52" spans="1:47" s="7" customFormat="1" ht="24" customHeight="1" x14ac:dyDescent="0.2">
      <c r="A52" s="217">
        <v>43</v>
      </c>
      <c r="B52" s="143" t="s">
        <v>1063</v>
      </c>
      <c r="C52" s="33" t="s">
        <v>963</v>
      </c>
      <c r="D52" s="219">
        <v>5500</v>
      </c>
      <c r="E52" s="196">
        <v>0</v>
      </c>
      <c r="F52" s="53">
        <v>0</v>
      </c>
      <c r="G52" s="200">
        <v>5500</v>
      </c>
      <c r="H52" s="131">
        <v>0</v>
      </c>
      <c r="W52" s="18"/>
    </row>
    <row r="53" spans="1:47" s="7" customFormat="1" ht="24" customHeight="1" x14ac:dyDescent="0.2">
      <c r="A53" s="69">
        <v>44</v>
      </c>
      <c r="B53" s="33" t="s">
        <v>1021</v>
      </c>
      <c r="C53" s="33" t="s">
        <v>963</v>
      </c>
      <c r="D53" s="195">
        <v>5000</v>
      </c>
      <c r="E53" s="196">
        <v>0</v>
      </c>
      <c r="F53" s="196">
        <v>0</v>
      </c>
      <c r="G53" s="195">
        <v>5000</v>
      </c>
      <c r="H53" s="131">
        <v>0</v>
      </c>
      <c r="W53" s="18"/>
    </row>
    <row r="54" spans="1:47" s="7" customFormat="1" ht="24" customHeight="1" x14ac:dyDescent="0.2">
      <c r="A54" s="217">
        <v>45</v>
      </c>
      <c r="B54" s="199" t="s">
        <v>1045</v>
      </c>
      <c r="C54" s="33" t="s">
        <v>467</v>
      </c>
      <c r="D54" s="195">
        <v>6000</v>
      </c>
      <c r="E54" s="196">
        <v>0</v>
      </c>
      <c r="F54" s="196">
        <v>0</v>
      </c>
      <c r="G54" s="195">
        <v>6000</v>
      </c>
      <c r="H54" s="131">
        <v>0</v>
      </c>
      <c r="W54" s="18"/>
    </row>
    <row r="55" spans="1:47" s="7" customFormat="1" ht="24" customHeight="1" x14ac:dyDescent="0.2">
      <c r="A55" s="69">
        <v>46</v>
      </c>
      <c r="B55" s="48" t="s">
        <v>124</v>
      </c>
      <c r="C55" s="33" t="s">
        <v>963</v>
      </c>
      <c r="D55" s="200">
        <v>12000</v>
      </c>
      <c r="E55" s="196">
        <v>0</v>
      </c>
      <c r="F55" s="53">
        <v>0</v>
      </c>
      <c r="G55" s="200">
        <v>12000</v>
      </c>
      <c r="H55" s="131">
        <v>0</v>
      </c>
      <c r="W55" s="18"/>
    </row>
    <row r="56" spans="1:47" s="7" customFormat="1" ht="24" customHeight="1" x14ac:dyDescent="0.2">
      <c r="A56" s="217">
        <v>47</v>
      </c>
      <c r="B56" s="48" t="s">
        <v>123</v>
      </c>
      <c r="C56" s="33" t="s">
        <v>963</v>
      </c>
      <c r="D56" s="200">
        <v>5500</v>
      </c>
      <c r="E56" s="196">
        <v>0</v>
      </c>
      <c r="F56" s="53">
        <v>0</v>
      </c>
      <c r="G56" s="200">
        <v>5500</v>
      </c>
      <c r="H56" s="131">
        <v>0</v>
      </c>
      <c r="W56" s="18"/>
    </row>
    <row r="57" spans="1:47" s="7" customFormat="1" ht="24" customHeight="1" x14ac:dyDescent="0.2">
      <c r="A57" s="69">
        <v>48</v>
      </c>
      <c r="B57" s="33" t="s">
        <v>962</v>
      </c>
      <c r="C57" s="33" t="s">
        <v>963</v>
      </c>
      <c r="D57" s="202">
        <v>12000</v>
      </c>
      <c r="E57" s="196">
        <v>0</v>
      </c>
      <c r="F57" s="73">
        <v>0</v>
      </c>
      <c r="G57" s="202">
        <v>12000</v>
      </c>
      <c r="H57" s="132">
        <v>0</v>
      </c>
      <c r="W57" s="18"/>
    </row>
    <row r="58" spans="1:47" s="20" customFormat="1" x14ac:dyDescent="0.2">
      <c r="A58" s="217">
        <v>49</v>
      </c>
      <c r="B58" s="205" t="s">
        <v>987</v>
      </c>
      <c r="C58" s="199" t="s">
        <v>963</v>
      </c>
      <c r="D58" s="196">
        <v>4500</v>
      </c>
      <c r="E58" s="196">
        <v>0</v>
      </c>
      <c r="F58" s="53">
        <v>0</v>
      </c>
      <c r="G58" s="196">
        <v>4500</v>
      </c>
      <c r="H58" s="131">
        <v>0</v>
      </c>
      <c r="I58" s="18"/>
      <c r="J58" s="18"/>
      <c r="K58" s="18"/>
      <c r="L58" s="18"/>
      <c r="M58" s="18"/>
      <c r="N58" s="18"/>
      <c r="O58" s="18"/>
      <c r="P58" s="18"/>
      <c r="Q58" s="18"/>
      <c r="R58" s="18"/>
      <c r="S58" s="18"/>
      <c r="T58" s="18"/>
      <c r="U58" s="18"/>
      <c r="V58" s="18"/>
      <c r="W58" s="18"/>
      <c r="X58" s="18"/>
      <c r="Y58" s="18"/>
      <c r="Z58" s="18"/>
      <c r="AA58" s="18"/>
      <c r="AB58" s="18"/>
      <c r="AC58" s="18"/>
      <c r="AD58" s="18"/>
      <c r="AE58" s="18"/>
      <c r="AF58" s="18"/>
      <c r="AG58" s="18"/>
      <c r="AH58" s="18"/>
      <c r="AI58" s="18"/>
      <c r="AJ58" s="18"/>
      <c r="AK58" s="18"/>
      <c r="AL58" s="18"/>
      <c r="AM58" s="18"/>
      <c r="AN58" s="18"/>
      <c r="AO58" s="18"/>
      <c r="AP58" s="18"/>
      <c r="AQ58" s="18"/>
      <c r="AR58" s="18"/>
      <c r="AS58" s="18"/>
      <c r="AT58" s="18"/>
      <c r="AU58" s="18"/>
    </row>
    <row r="59" spans="1:47" s="20" customFormat="1" x14ac:dyDescent="0.2">
      <c r="A59" s="69">
        <v>50</v>
      </c>
      <c r="B59" s="197" t="s">
        <v>118</v>
      </c>
      <c r="C59" s="206" t="s">
        <v>963</v>
      </c>
      <c r="D59" s="196">
        <v>7000</v>
      </c>
      <c r="E59" s="196">
        <v>0</v>
      </c>
      <c r="F59" s="53">
        <v>0</v>
      </c>
      <c r="G59" s="196">
        <v>7000</v>
      </c>
      <c r="H59" s="131">
        <v>0</v>
      </c>
      <c r="I59" s="18"/>
      <c r="J59" s="18"/>
      <c r="K59" s="18"/>
      <c r="L59" s="18"/>
      <c r="M59" s="18"/>
      <c r="N59" s="18"/>
      <c r="O59" s="18"/>
      <c r="P59" s="18"/>
      <c r="Q59" s="18"/>
      <c r="R59" s="18"/>
      <c r="S59" s="18"/>
      <c r="T59" s="18"/>
      <c r="U59" s="18"/>
      <c r="V59" s="18"/>
      <c r="W59" s="18"/>
      <c r="X59" s="18"/>
      <c r="Y59" s="18"/>
      <c r="Z59" s="18"/>
      <c r="AA59" s="18"/>
      <c r="AB59" s="18"/>
      <c r="AC59" s="18"/>
      <c r="AD59" s="18"/>
      <c r="AE59" s="18"/>
      <c r="AF59" s="18"/>
      <c r="AG59" s="18"/>
      <c r="AH59" s="18"/>
      <c r="AI59" s="18"/>
      <c r="AJ59" s="18"/>
      <c r="AK59" s="18"/>
      <c r="AL59" s="18"/>
      <c r="AM59" s="18"/>
      <c r="AN59" s="18"/>
      <c r="AO59" s="18"/>
      <c r="AP59" s="18"/>
      <c r="AQ59" s="18"/>
      <c r="AR59" s="18"/>
      <c r="AS59" s="18"/>
      <c r="AT59" s="18"/>
      <c r="AU59" s="18"/>
    </row>
    <row r="60" spans="1:47" s="20" customFormat="1" x14ac:dyDescent="0.2">
      <c r="A60" s="217">
        <v>51</v>
      </c>
      <c r="B60" s="33" t="s">
        <v>1017</v>
      </c>
      <c r="C60" s="206" t="s">
        <v>963</v>
      </c>
      <c r="D60" s="195">
        <v>5000</v>
      </c>
      <c r="E60" s="196">
        <v>0</v>
      </c>
      <c r="F60" s="196">
        <v>0</v>
      </c>
      <c r="G60" s="195">
        <v>5000</v>
      </c>
      <c r="H60" s="131">
        <v>0</v>
      </c>
      <c r="I60" s="18"/>
      <c r="J60" s="18"/>
      <c r="K60" s="18"/>
      <c r="L60" s="18"/>
      <c r="M60" s="18"/>
      <c r="N60" s="18"/>
      <c r="O60" s="18"/>
      <c r="P60" s="18"/>
      <c r="Q60" s="18"/>
      <c r="R60" s="18"/>
      <c r="S60" s="18"/>
      <c r="T60" s="18"/>
      <c r="U60" s="18"/>
      <c r="V60" s="18"/>
      <c r="W60" s="18"/>
      <c r="X60" s="18"/>
      <c r="Y60" s="18"/>
      <c r="Z60" s="18"/>
      <c r="AA60" s="18"/>
      <c r="AB60" s="18"/>
      <c r="AC60" s="18"/>
      <c r="AD60" s="18"/>
      <c r="AE60" s="18"/>
      <c r="AF60" s="18"/>
      <c r="AG60" s="18"/>
      <c r="AH60" s="18"/>
      <c r="AI60" s="18"/>
      <c r="AJ60" s="18"/>
      <c r="AK60" s="18"/>
      <c r="AL60" s="18"/>
      <c r="AM60" s="18"/>
      <c r="AN60" s="18"/>
      <c r="AO60" s="18"/>
      <c r="AP60" s="18"/>
      <c r="AQ60" s="18"/>
      <c r="AR60" s="18"/>
      <c r="AS60" s="18"/>
      <c r="AT60" s="18"/>
      <c r="AU60" s="18"/>
    </row>
    <row r="61" spans="1:47" s="20" customFormat="1" x14ac:dyDescent="0.2">
      <c r="A61" s="69">
        <v>52</v>
      </c>
      <c r="B61" s="32" t="s">
        <v>472</v>
      </c>
      <c r="C61" s="206" t="s">
        <v>963</v>
      </c>
      <c r="D61" s="202">
        <v>7000</v>
      </c>
      <c r="E61" s="196">
        <v>0</v>
      </c>
      <c r="F61" s="73">
        <v>0</v>
      </c>
      <c r="G61" s="202">
        <v>7000</v>
      </c>
      <c r="H61" s="187">
        <v>0</v>
      </c>
      <c r="I61" s="18"/>
      <c r="J61" s="18"/>
      <c r="K61" s="18"/>
      <c r="L61" s="18"/>
      <c r="M61" s="18"/>
      <c r="N61" s="18"/>
      <c r="O61" s="18"/>
      <c r="P61" s="18"/>
      <c r="Q61" s="18"/>
      <c r="R61" s="18"/>
      <c r="S61" s="18"/>
      <c r="T61" s="18"/>
      <c r="U61" s="18"/>
      <c r="V61" s="18"/>
      <c r="W61" s="18"/>
      <c r="X61" s="18"/>
      <c r="Y61" s="18"/>
      <c r="Z61" s="18"/>
      <c r="AA61" s="18"/>
      <c r="AB61" s="18"/>
      <c r="AC61" s="18"/>
      <c r="AD61" s="18"/>
      <c r="AE61" s="18"/>
      <c r="AF61" s="18"/>
      <c r="AG61" s="18"/>
      <c r="AH61" s="18"/>
      <c r="AI61" s="18"/>
      <c r="AJ61" s="18"/>
      <c r="AK61" s="18"/>
      <c r="AL61" s="18"/>
      <c r="AM61" s="18"/>
      <c r="AN61" s="18"/>
      <c r="AO61" s="18"/>
      <c r="AP61" s="18"/>
      <c r="AQ61" s="18"/>
      <c r="AR61" s="18"/>
      <c r="AS61" s="18"/>
      <c r="AT61" s="18"/>
      <c r="AU61" s="18"/>
    </row>
    <row r="62" spans="1:47" s="20" customFormat="1" x14ac:dyDescent="0.2">
      <c r="A62" s="217">
        <v>53</v>
      </c>
      <c r="B62" s="48" t="s">
        <v>126</v>
      </c>
      <c r="C62" s="206" t="s">
        <v>963</v>
      </c>
      <c r="D62" s="200">
        <v>7000</v>
      </c>
      <c r="E62" s="196">
        <v>0</v>
      </c>
      <c r="F62" s="53">
        <v>0</v>
      </c>
      <c r="G62" s="200">
        <v>7000</v>
      </c>
      <c r="H62" s="131">
        <v>0</v>
      </c>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row>
    <row r="63" spans="1:47" s="20" customFormat="1" x14ac:dyDescent="0.2">
      <c r="A63" s="69">
        <v>54</v>
      </c>
      <c r="B63" s="218" t="s">
        <v>1054</v>
      </c>
      <c r="C63" s="142" t="s">
        <v>1055</v>
      </c>
      <c r="D63" s="200">
        <v>8000</v>
      </c>
      <c r="E63" s="196">
        <v>0</v>
      </c>
      <c r="F63" s="53">
        <v>0</v>
      </c>
      <c r="G63" s="200">
        <v>8000</v>
      </c>
      <c r="H63" s="131">
        <v>0</v>
      </c>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row>
    <row r="64" spans="1:47" s="20" customFormat="1" x14ac:dyDescent="0.2">
      <c r="A64" s="217">
        <v>55</v>
      </c>
      <c r="B64" s="48" t="s">
        <v>196</v>
      </c>
      <c r="C64" s="206" t="s">
        <v>963</v>
      </c>
      <c r="D64" s="200">
        <v>6000</v>
      </c>
      <c r="E64" s="196">
        <v>0</v>
      </c>
      <c r="F64" s="53">
        <v>0</v>
      </c>
      <c r="G64" s="200">
        <v>6000</v>
      </c>
      <c r="H64" s="131">
        <v>0</v>
      </c>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row>
    <row r="65" spans="1:47" s="20" customFormat="1" x14ac:dyDescent="0.2">
      <c r="A65" s="69">
        <v>56</v>
      </c>
      <c r="B65" s="201" t="s">
        <v>121</v>
      </c>
      <c r="C65" s="206" t="s">
        <v>963</v>
      </c>
      <c r="D65" s="196">
        <v>5000</v>
      </c>
      <c r="E65" s="196">
        <v>0</v>
      </c>
      <c r="F65" s="53">
        <v>0</v>
      </c>
      <c r="G65" s="196">
        <v>5000</v>
      </c>
      <c r="H65" s="131">
        <v>0</v>
      </c>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row>
    <row r="66" spans="1:47" s="20" customFormat="1" x14ac:dyDescent="0.2">
      <c r="A66" s="217">
        <v>57</v>
      </c>
      <c r="B66" s="33" t="s">
        <v>1010</v>
      </c>
      <c r="C66" s="206" t="s">
        <v>963</v>
      </c>
      <c r="D66" s="207">
        <v>5000</v>
      </c>
      <c r="E66" s="208">
        <v>0</v>
      </c>
      <c r="F66" s="188">
        <v>0</v>
      </c>
      <c r="G66" s="207">
        <v>5000</v>
      </c>
      <c r="H66" s="131">
        <v>0</v>
      </c>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row>
    <row r="67" spans="1:47" s="20" customFormat="1" x14ac:dyDescent="0.2">
      <c r="A67" s="69">
        <v>58</v>
      </c>
      <c r="B67" s="33" t="s">
        <v>1020</v>
      </c>
      <c r="C67" s="206" t="s">
        <v>963</v>
      </c>
      <c r="D67" s="195">
        <v>3000</v>
      </c>
      <c r="E67" s="196">
        <v>0</v>
      </c>
      <c r="F67" s="196">
        <v>0</v>
      </c>
      <c r="G67" s="195">
        <v>3000</v>
      </c>
      <c r="H67" s="131">
        <v>0</v>
      </c>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row>
    <row r="68" spans="1:47" s="20" customFormat="1" x14ac:dyDescent="0.2">
      <c r="A68" s="217">
        <v>59</v>
      </c>
      <c r="B68" s="199" t="s">
        <v>1047</v>
      </c>
      <c r="C68" s="206" t="s">
        <v>963</v>
      </c>
      <c r="D68" s="195">
        <v>4000</v>
      </c>
      <c r="E68" s="196">
        <v>0</v>
      </c>
      <c r="F68" s="196">
        <v>0</v>
      </c>
      <c r="G68" s="195">
        <v>4000</v>
      </c>
      <c r="H68" s="131">
        <v>0</v>
      </c>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row>
    <row r="69" spans="1:47" s="20" customFormat="1" x14ac:dyDescent="0.2">
      <c r="A69" s="69">
        <v>60</v>
      </c>
      <c r="B69" s="33" t="s">
        <v>1028</v>
      </c>
      <c r="C69" s="33" t="s">
        <v>963</v>
      </c>
      <c r="D69" s="195">
        <v>3800</v>
      </c>
      <c r="E69" s="196">
        <v>0</v>
      </c>
      <c r="F69" s="196">
        <v>0</v>
      </c>
      <c r="G69" s="195">
        <v>3800</v>
      </c>
      <c r="H69" s="131">
        <v>0</v>
      </c>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row>
    <row r="70" spans="1:47" s="20" customFormat="1" x14ac:dyDescent="0.2">
      <c r="A70" s="217">
        <v>61</v>
      </c>
      <c r="B70" s="209" t="s">
        <v>122</v>
      </c>
      <c r="C70" s="210" t="s">
        <v>963</v>
      </c>
      <c r="D70" s="211">
        <v>5500</v>
      </c>
      <c r="E70" s="212">
        <v>0</v>
      </c>
      <c r="F70" s="190">
        <v>0</v>
      </c>
      <c r="G70" s="211">
        <v>5500</v>
      </c>
      <c r="H70" s="189">
        <v>0</v>
      </c>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row>
    <row r="71" spans="1:47" s="20" customFormat="1" ht="25.5" x14ac:dyDescent="0.2">
      <c r="A71" s="69">
        <v>62</v>
      </c>
      <c r="B71" s="143" t="s">
        <v>1064</v>
      </c>
      <c r="C71" s="33" t="s">
        <v>963</v>
      </c>
      <c r="D71" s="200">
        <v>3500</v>
      </c>
      <c r="E71" s="196">
        <v>0</v>
      </c>
      <c r="F71" s="53">
        <v>0</v>
      </c>
      <c r="G71" s="200">
        <v>3500</v>
      </c>
      <c r="H71" s="216">
        <v>0</v>
      </c>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row>
    <row r="72" spans="1:47" s="20" customFormat="1" ht="13.5" thickBot="1" x14ac:dyDescent="0.25">
      <c r="A72" s="12"/>
      <c r="B72" s="284" t="s">
        <v>8</v>
      </c>
      <c r="C72" s="285"/>
      <c r="D72" s="213">
        <f>SUM(D10:D71)</f>
        <v>448565</v>
      </c>
      <c r="E72" s="214"/>
      <c r="F72" s="214"/>
      <c r="G72" s="213">
        <f>SUM(G10:G71)</f>
        <v>448565</v>
      </c>
      <c r="H72" s="215"/>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row>
    <row r="73" spans="1:47" s="20" customFormat="1" x14ac:dyDescent="0.2">
      <c r="A73" s="12"/>
      <c r="B73" s="66"/>
      <c r="C73" s="18"/>
      <c r="D73" s="18"/>
      <c r="E73" s="18"/>
      <c r="F73" s="18"/>
      <c r="G73" s="18"/>
      <c r="H73" s="18"/>
      <c r="I73" s="18"/>
      <c r="J73" s="18"/>
      <c r="K73" s="18"/>
      <c r="L73" s="18"/>
      <c r="M73" s="18"/>
      <c r="N73" s="18"/>
      <c r="O73" s="18"/>
      <c r="P73" s="18"/>
      <c r="Q73" s="18"/>
      <c r="R73" s="18"/>
      <c r="S73" s="18"/>
      <c r="T73" s="21">
        <v>1879</v>
      </c>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row>
    <row r="74" spans="1:47" s="20" customFormat="1" x14ac:dyDescent="0.2">
      <c r="A74" s="12"/>
      <c r="B74" s="65"/>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row>
    <row r="75" spans="1:47" s="20" customFormat="1" x14ac:dyDescent="0.2">
      <c r="A75" s="12"/>
      <c r="B75" s="6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row>
    <row r="76" spans="1:47" s="20" customFormat="1" x14ac:dyDescent="0.2">
      <c r="A76" s="12"/>
      <c r="B76" s="6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row>
    <row r="77" spans="1:47" s="20" customFormat="1" x14ac:dyDescent="0.2">
      <c r="A77" s="12"/>
      <c r="B77" s="6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row>
    <row r="78" spans="1:47" s="20" customFormat="1" x14ac:dyDescent="0.2">
      <c r="A78" s="12"/>
      <c r="B78" s="12"/>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row>
    <row r="79" spans="1:47" s="20" customFormat="1" x14ac:dyDescent="0.2">
      <c r="A79" s="12"/>
      <c r="B79" s="12"/>
      <c r="C79" s="18"/>
      <c r="D79" s="18"/>
      <c r="E79" s="18"/>
      <c r="F79" s="18"/>
      <c r="G79" s="18"/>
      <c r="H79" s="18"/>
      <c r="I79" s="18"/>
      <c r="J79" s="18"/>
      <c r="K79" s="18"/>
      <c r="L79" s="18"/>
      <c r="M79" s="18"/>
      <c r="N79" s="18"/>
      <c r="O79" s="18"/>
      <c r="P79" s="18"/>
      <c r="Q79" s="18"/>
      <c r="R79" s="18"/>
      <c r="S79" s="18"/>
      <c r="T79" s="18"/>
      <c r="U79" s="18"/>
      <c r="V79" s="18"/>
      <c r="W79" s="18"/>
      <c r="X79" s="18"/>
      <c r="Y79" s="18"/>
      <c r="Z79" s="18"/>
      <c r="AA79" s="18"/>
      <c r="AB79" s="18"/>
      <c r="AC79" s="18"/>
      <c r="AD79" s="18"/>
      <c r="AE79" s="18"/>
      <c r="AF79" s="18"/>
      <c r="AG79" s="18"/>
      <c r="AH79" s="18"/>
      <c r="AI79" s="18"/>
      <c r="AJ79" s="18"/>
      <c r="AK79" s="18"/>
      <c r="AL79" s="18"/>
      <c r="AM79" s="18"/>
      <c r="AN79" s="18"/>
      <c r="AO79" s="18"/>
      <c r="AP79" s="18"/>
      <c r="AQ79" s="18"/>
      <c r="AR79" s="18"/>
      <c r="AS79" s="18"/>
      <c r="AT79" s="18"/>
      <c r="AU79" s="18"/>
    </row>
    <row r="80" spans="1:47" s="20" customFormat="1" x14ac:dyDescent="0.2">
      <c r="A80" s="12"/>
      <c r="B80" s="18"/>
      <c r="C80" s="18"/>
      <c r="D80" s="18"/>
      <c r="E80" s="18"/>
      <c r="F80" s="18"/>
      <c r="G80" s="18"/>
      <c r="H80" s="18"/>
      <c r="I80" s="18"/>
      <c r="J80" s="18"/>
      <c r="K80" s="18"/>
      <c r="L80" s="18"/>
      <c r="M80" s="18"/>
      <c r="N80" s="18"/>
      <c r="O80" s="18"/>
      <c r="P80" s="18"/>
      <c r="Q80" s="18"/>
      <c r="R80" s="18"/>
      <c r="S80" s="18"/>
      <c r="T80" s="18"/>
      <c r="U80" s="18"/>
      <c r="V80" s="18"/>
      <c r="W80" s="18"/>
      <c r="X80" s="18"/>
      <c r="Y80" s="18"/>
      <c r="Z80" s="18"/>
      <c r="AA80" s="18"/>
      <c r="AB80" s="18"/>
      <c r="AC80" s="18"/>
      <c r="AD80" s="18"/>
      <c r="AE80" s="18"/>
      <c r="AF80" s="18"/>
      <c r="AG80" s="18"/>
      <c r="AH80" s="18"/>
      <c r="AI80" s="18"/>
      <c r="AJ80" s="18"/>
      <c r="AK80" s="18"/>
      <c r="AL80" s="18"/>
      <c r="AM80" s="18"/>
      <c r="AN80" s="18"/>
      <c r="AO80" s="18"/>
      <c r="AP80" s="18"/>
      <c r="AQ80" s="18"/>
      <c r="AR80" s="18"/>
      <c r="AS80" s="18"/>
      <c r="AT80" s="18"/>
      <c r="AU80" s="18"/>
    </row>
    <row r="81" spans="1:47" s="20" customFormat="1" x14ac:dyDescent="0.2">
      <c r="A81" s="12"/>
      <c r="B81" s="12"/>
      <c r="C81" s="18"/>
      <c r="D81" s="18"/>
      <c r="E81" s="18"/>
      <c r="F81" s="18"/>
      <c r="G81" s="18"/>
      <c r="H81" s="18"/>
      <c r="I81" s="18"/>
      <c r="J81" s="18"/>
      <c r="K81" s="18"/>
      <c r="L81" s="18"/>
      <c r="M81" s="18"/>
      <c r="N81" s="18"/>
      <c r="O81" s="18"/>
      <c r="P81" s="18"/>
      <c r="Q81" s="18"/>
      <c r="R81" s="18"/>
      <c r="S81" s="18"/>
      <c r="T81" s="18"/>
      <c r="U81" s="18"/>
      <c r="V81" s="18"/>
      <c r="W81" s="18"/>
      <c r="X81" s="18"/>
      <c r="Y81" s="18"/>
      <c r="Z81" s="18"/>
      <c r="AA81" s="18"/>
      <c r="AB81" s="18"/>
      <c r="AC81" s="18"/>
      <c r="AD81" s="18"/>
      <c r="AE81" s="18"/>
      <c r="AF81" s="18"/>
      <c r="AG81" s="18"/>
      <c r="AH81" s="18"/>
      <c r="AI81" s="18"/>
      <c r="AJ81" s="18"/>
      <c r="AK81" s="18"/>
      <c r="AL81" s="18"/>
      <c r="AM81" s="18"/>
      <c r="AN81" s="18"/>
      <c r="AO81" s="18"/>
      <c r="AP81" s="18"/>
      <c r="AQ81" s="18"/>
      <c r="AR81" s="18"/>
      <c r="AS81" s="18"/>
      <c r="AT81" s="18"/>
      <c r="AU81" s="18"/>
    </row>
    <row r="82" spans="1:47" s="20" customFormat="1" x14ac:dyDescent="0.2">
      <c r="A82" s="12"/>
      <c r="B82" s="67"/>
      <c r="C82" s="18"/>
      <c r="D82" s="18"/>
      <c r="E82" s="18"/>
      <c r="F82" s="18"/>
      <c r="G82" s="18"/>
      <c r="H82" s="18"/>
      <c r="I82" s="18"/>
      <c r="J82" s="18"/>
      <c r="K82" s="18"/>
      <c r="L82" s="18"/>
      <c r="M82" s="18"/>
      <c r="N82" s="18"/>
      <c r="O82" s="18"/>
      <c r="P82" s="18"/>
      <c r="Q82" s="18"/>
      <c r="R82" s="18"/>
      <c r="S82" s="18"/>
      <c r="T82" s="18"/>
      <c r="U82" s="18"/>
      <c r="V82" s="18"/>
      <c r="W82" s="18"/>
      <c r="X82" s="18"/>
      <c r="Y82" s="18"/>
      <c r="Z82" s="18"/>
      <c r="AA82" s="18"/>
      <c r="AB82" s="18"/>
      <c r="AC82" s="18"/>
      <c r="AD82" s="18"/>
      <c r="AE82" s="18"/>
      <c r="AF82" s="18"/>
      <c r="AG82" s="18"/>
      <c r="AH82" s="18"/>
      <c r="AI82" s="18"/>
      <c r="AJ82" s="18"/>
      <c r="AK82" s="18"/>
      <c r="AL82" s="18"/>
      <c r="AM82" s="18"/>
      <c r="AN82" s="18"/>
      <c r="AO82" s="18"/>
      <c r="AP82" s="18"/>
      <c r="AQ82" s="18"/>
      <c r="AR82" s="18"/>
      <c r="AS82" s="18"/>
      <c r="AT82" s="18"/>
      <c r="AU82" s="18"/>
    </row>
    <row r="83" spans="1:47" s="20" customFormat="1" x14ac:dyDescent="0.2">
      <c r="A83" s="12"/>
      <c r="B83" s="18"/>
      <c r="C83" s="18"/>
      <c r="D83" s="18"/>
      <c r="E83" s="18"/>
      <c r="F83" s="18"/>
      <c r="G83" s="18"/>
      <c r="H83" s="18"/>
      <c r="I83" s="18"/>
      <c r="J83" s="18"/>
      <c r="K83" s="18"/>
      <c r="L83" s="18"/>
      <c r="M83" s="18"/>
      <c r="N83" s="18"/>
      <c r="O83" s="18"/>
      <c r="P83" s="18"/>
      <c r="Q83" s="18"/>
      <c r="R83" s="18"/>
      <c r="S83" s="18"/>
      <c r="T83" s="18"/>
      <c r="U83" s="18"/>
      <c r="V83" s="18"/>
      <c r="W83" s="18"/>
      <c r="X83" s="18"/>
      <c r="Y83" s="18"/>
      <c r="Z83" s="18"/>
      <c r="AA83" s="18"/>
      <c r="AB83" s="18"/>
      <c r="AC83" s="18"/>
      <c r="AD83" s="18"/>
      <c r="AE83" s="18"/>
      <c r="AF83" s="18"/>
      <c r="AG83" s="18"/>
      <c r="AH83" s="18"/>
      <c r="AI83" s="18"/>
      <c r="AJ83" s="18"/>
      <c r="AK83" s="18"/>
      <c r="AL83" s="18"/>
      <c r="AM83" s="18"/>
      <c r="AN83" s="18"/>
      <c r="AO83" s="18"/>
      <c r="AP83" s="18"/>
      <c r="AQ83" s="18"/>
      <c r="AR83" s="18"/>
      <c r="AS83" s="18"/>
      <c r="AT83" s="18"/>
      <c r="AU83" s="18"/>
    </row>
    <row r="84" spans="1:47" s="20" customFormat="1" x14ac:dyDescent="0.2">
      <c r="A84" s="12"/>
      <c r="B84" s="18"/>
      <c r="C84" s="18"/>
      <c r="D84" s="18"/>
      <c r="E84" s="18"/>
      <c r="F84" s="18"/>
      <c r="G84" s="18"/>
      <c r="H84" s="18"/>
      <c r="I84" s="18"/>
      <c r="J84" s="18"/>
      <c r="K84" s="18"/>
      <c r="L84" s="18"/>
      <c r="M84" s="18"/>
      <c r="N84" s="18"/>
      <c r="O84" s="18"/>
      <c r="P84" s="18"/>
      <c r="Q84" s="18"/>
      <c r="R84" s="18"/>
      <c r="S84" s="18"/>
      <c r="T84" s="18"/>
      <c r="U84" s="18"/>
      <c r="V84" s="18"/>
      <c r="W84" s="18"/>
      <c r="X84" s="18"/>
      <c r="Y84" s="18"/>
      <c r="Z84" s="18"/>
      <c r="AA84" s="18"/>
      <c r="AB84" s="18"/>
      <c r="AC84" s="18"/>
      <c r="AD84" s="18"/>
      <c r="AE84" s="18"/>
      <c r="AF84" s="18"/>
      <c r="AG84" s="18"/>
      <c r="AH84" s="18"/>
      <c r="AI84" s="18"/>
      <c r="AJ84" s="18"/>
      <c r="AK84" s="18"/>
      <c r="AL84" s="18"/>
      <c r="AM84" s="18"/>
      <c r="AN84" s="18"/>
      <c r="AO84" s="18"/>
      <c r="AP84" s="18"/>
      <c r="AQ84" s="18"/>
      <c r="AR84" s="18"/>
      <c r="AS84" s="18"/>
      <c r="AT84" s="18"/>
      <c r="AU84" s="18"/>
    </row>
    <row r="85" spans="1:47" s="20" customFormat="1" x14ac:dyDescent="0.2">
      <c r="A85" s="12"/>
      <c r="B85" s="18"/>
      <c r="C85" s="18"/>
      <c r="D85" s="18"/>
      <c r="E85" s="18"/>
      <c r="F85" s="18"/>
      <c r="G85" s="18"/>
      <c r="H85" s="18"/>
      <c r="I85" s="18"/>
      <c r="J85" s="18"/>
      <c r="K85" s="18"/>
      <c r="L85" s="18"/>
      <c r="M85" s="18"/>
      <c r="N85" s="18"/>
      <c r="O85" s="18"/>
      <c r="P85" s="18"/>
      <c r="Q85" s="18"/>
      <c r="R85" s="18"/>
      <c r="S85" s="18"/>
      <c r="T85" s="18"/>
      <c r="U85" s="18"/>
      <c r="V85" s="18"/>
      <c r="W85" s="18"/>
      <c r="X85" s="18"/>
      <c r="Y85" s="18"/>
      <c r="Z85" s="18"/>
      <c r="AA85" s="18"/>
      <c r="AB85" s="18"/>
      <c r="AC85" s="18"/>
      <c r="AD85" s="18"/>
      <c r="AE85" s="18"/>
      <c r="AF85" s="18"/>
      <c r="AG85" s="18"/>
      <c r="AH85" s="18"/>
      <c r="AI85" s="18"/>
      <c r="AJ85" s="18"/>
      <c r="AK85" s="18"/>
      <c r="AL85" s="18"/>
      <c r="AM85" s="18"/>
      <c r="AN85" s="18"/>
      <c r="AO85" s="18"/>
      <c r="AP85" s="18"/>
      <c r="AQ85" s="18"/>
      <c r="AR85" s="18"/>
      <c r="AS85" s="18"/>
      <c r="AT85" s="18"/>
      <c r="AU85" s="18"/>
    </row>
    <row r="86" spans="1:47" s="20" customFormat="1" x14ac:dyDescent="0.2">
      <c r="A86" s="12"/>
      <c r="B86" s="18"/>
      <c r="C86" s="18"/>
      <c r="D86" s="18"/>
      <c r="E86" s="18"/>
      <c r="F86" s="18"/>
      <c r="G86" s="18"/>
      <c r="H86" s="18"/>
      <c r="I86" s="18"/>
      <c r="J86" s="18"/>
      <c r="K86" s="18"/>
      <c r="L86" s="18"/>
      <c r="M86" s="18"/>
      <c r="N86" s="18"/>
      <c r="O86" s="18"/>
      <c r="P86" s="18"/>
      <c r="Q86" s="18"/>
      <c r="R86" s="18"/>
      <c r="S86" s="18"/>
      <c r="T86" s="18"/>
      <c r="U86" s="18"/>
      <c r="V86" s="18"/>
      <c r="W86" s="18"/>
      <c r="X86" s="18"/>
      <c r="Y86" s="18"/>
      <c r="Z86" s="18"/>
      <c r="AA86" s="18"/>
      <c r="AB86" s="18"/>
      <c r="AC86" s="18"/>
      <c r="AD86" s="18"/>
      <c r="AE86" s="18"/>
      <c r="AF86" s="18"/>
      <c r="AG86" s="18"/>
      <c r="AH86" s="18"/>
      <c r="AI86" s="18"/>
      <c r="AJ86" s="18"/>
      <c r="AK86" s="18"/>
      <c r="AL86" s="18"/>
      <c r="AM86" s="18"/>
      <c r="AN86" s="18"/>
      <c r="AO86" s="18"/>
      <c r="AP86" s="18"/>
      <c r="AQ86" s="18"/>
      <c r="AR86" s="18"/>
      <c r="AS86" s="18"/>
      <c r="AT86" s="18"/>
      <c r="AU86" s="18"/>
    </row>
    <row r="87" spans="1:47" s="20" customFormat="1" x14ac:dyDescent="0.2">
      <c r="A87" s="12"/>
      <c r="B87" s="18"/>
      <c r="C87" s="18"/>
      <c r="D87" s="18"/>
      <c r="E87" s="18"/>
      <c r="F87" s="18"/>
      <c r="G87" s="18"/>
      <c r="H87" s="18"/>
      <c r="I87" s="18"/>
      <c r="J87" s="18"/>
      <c r="K87" s="18"/>
      <c r="L87" s="18"/>
      <c r="M87" s="18"/>
      <c r="N87" s="18"/>
      <c r="O87" s="18"/>
      <c r="P87" s="18"/>
      <c r="Q87" s="18"/>
      <c r="R87" s="18"/>
      <c r="S87" s="18"/>
      <c r="T87" s="18"/>
      <c r="U87" s="18"/>
      <c r="V87" s="18"/>
      <c r="W87" s="18"/>
      <c r="X87" s="18"/>
      <c r="Y87" s="18"/>
      <c r="Z87" s="18"/>
      <c r="AA87" s="18"/>
      <c r="AB87" s="18"/>
      <c r="AC87" s="18"/>
      <c r="AD87" s="18"/>
      <c r="AE87" s="18"/>
      <c r="AF87" s="18"/>
      <c r="AG87" s="18"/>
      <c r="AH87" s="18"/>
      <c r="AI87" s="18"/>
      <c r="AJ87" s="18"/>
      <c r="AK87" s="18"/>
      <c r="AL87" s="18"/>
      <c r="AM87" s="18"/>
      <c r="AN87" s="18"/>
      <c r="AO87" s="18"/>
      <c r="AP87" s="18"/>
      <c r="AQ87" s="18"/>
      <c r="AR87" s="18"/>
      <c r="AS87" s="18"/>
      <c r="AT87" s="18"/>
      <c r="AU87" s="18"/>
    </row>
    <row r="88" spans="1:47" s="20" customFormat="1" x14ac:dyDescent="0.2">
      <c r="A88" s="12"/>
      <c r="B88" s="18"/>
      <c r="C88" s="18"/>
      <c r="D88" s="18"/>
      <c r="E88" s="18"/>
      <c r="F88" s="18"/>
      <c r="G88" s="18"/>
      <c r="H88" s="18"/>
      <c r="I88" s="18"/>
      <c r="J88" s="18"/>
      <c r="K88" s="18"/>
      <c r="L88" s="18"/>
      <c r="M88" s="18"/>
      <c r="N88" s="18"/>
      <c r="O88" s="18"/>
      <c r="P88" s="18"/>
      <c r="Q88" s="18"/>
      <c r="R88" s="18"/>
      <c r="S88" s="18"/>
      <c r="T88" s="18"/>
      <c r="U88" s="18"/>
      <c r="V88" s="18"/>
      <c r="W88" s="18"/>
      <c r="X88" s="18"/>
      <c r="Y88" s="18"/>
      <c r="Z88" s="18"/>
      <c r="AA88" s="18"/>
      <c r="AB88" s="18"/>
      <c r="AC88" s="18"/>
      <c r="AD88" s="18"/>
      <c r="AE88" s="18"/>
      <c r="AF88" s="18"/>
      <c r="AG88" s="18"/>
      <c r="AH88" s="18"/>
      <c r="AI88" s="18"/>
      <c r="AJ88" s="18"/>
      <c r="AK88" s="18"/>
      <c r="AL88" s="18"/>
      <c r="AM88" s="18"/>
      <c r="AN88" s="18"/>
      <c r="AO88" s="18"/>
      <c r="AP88" s="18"/>
      <c r="AQ88" s="18"/>
      <c r="AR88" s="18"/>
      <c r="AS88" s="18"/>
      <c r="AT88" s="18"/>
      <c r="AU88" s="18"/>
    </row>
    <row r="89" spans="1:47" s="20" customFormat="1" x14ac:dyDescent="0.2">
      <c r="A89" s="12"/>
      <c r="B89" s="18"/>
      <c r="C89" s="18"/>
      <c r="D89" s="18"/>
      <c r="E89" s="18"/>
      <c r="F89" s="18"/>
      <c r="G89" s="18"/>
      <c r="H89" s="18"/>
      <c r="I89" s="18"/>
      <c r="J89" s="18"/>
      <c r="K89" s="18"/>
      <c r="L89" s="18"/>
      <c r="M89" s="18"/>
      <c r="N89" s="18"/>
      <c r="O89" s="18"/>
      <c r="P89" s="18"/>
      <c r="Q89" s="18"/>
      <c r="R89" s="18"/>
      <c r="S89" s="18"/>
      <c r="T89" s="18"/>
      <c r="U89" s="18"/>
      <c r="V89" s="18"/>
      <c r="W89" s="18"/>
      <c r="X89" s="18"/>
      <c r="Y89" s="18"/>
      <c r="Z89" s="18"/>
      <c r="AA89" s="18"/>
      <c r="AB89" s="18"/>
      <c r="AC89" s="18"/>
      <c r="AD89" s="18"/>
      <c r="AE89" s="18"/>
      <c r="AF89" s="18"/>
      <c r="AG89" s="18"/>
      <c r="AH89" s="18"/>
      <c r="AI89" s="18"/>
      <c r="AJ89" s="18"/>
      <c r="AK89" s="18"/>
      <c r="AL89" s="18"/>
      <c r="AM89" s="18"/>
      <c r="AN89" s="18"/>
      <c r="AO89" s="18"/>
      <c r="AP89" s="18"/>
      <c r="AQ89" s="18"/>
      <c r="AR89" s="18"/>
      <c r="AS89" s="18"/>
      <c r="AT89" s="18"/>
      <c r="AU89" s="18"/>
    </row>
    <row r="90" spans="1:47" s="20" customFormat="1" x14ac:dyDescent="0.2">
      <c r="A90" s="12"/>
      <c r="B90" s="18"/>
      <c r="C90" s="18"/>
      <c r="D90" s="18"/>
      <c r="E90" s="18"/>
      <c r="F90" s="18"/>
      <c r="G90" s="18"/>
      <c r="H90" s="18"/>
      <c r="I90" s="18"/>
      <c r="J90" s="18"/>
      <c r="K90" s="18"/>
      <c r="L90" s="18"/>
      <c r="M90" s="18"/>
      <c r="N90" s="18"/>
      <c r="O90" s="18"/>
      <c r="P90" s="18"/>
      <c r="Q90" s="18"/>
      <c r="R90" s="18"/>
      <c r="S90" s="18"/>
      <c r="T90" s="18"/>
      <c r="U90" s="18"/>
      <c r="V90" s="18"/>
      <c r="W90" s="18"/>
      <c r="X90" s="18"/>
      <c r="Y90" s="18"/>
      <c r="Z90" s="18"/>
      <c r="AA90" s="18"/>
      <c r="AB90" s="18"/>
      <c r="AC90" s="18"/>
      <c r="AD90" s="18"/>
      <c r="AE90" s="18"/>
      <c r="AF90" s="18"/>
      <c r="AG90" s="18"/>
      <c r="AH90" s="18"/>
      <c r="AI90" s="18"/>
      <c r="AJ90" s="18"/>
      <c r="AK90" s="18"/>
      <c r="AL90" s="18"/>
      <c r="AM90" s="18"/>
      <c r="AN90" s="18"/>
      <c r="AO90" s="18"/>
      <c r="AP90" s="18"/>
      <c r="AQ90" s="18"/>
      <c r="AR90" s="18"/>
      <c r="AS90" s="18"/>
      <c r="AT90" s="18"/>
      <c r="AU90" s="18"/>
    </row>
    <row r="91" spans="1:47" s="20" customFormat="1" x14ac:dyDescent="0.2">
      <c r="A91" s="12"/>
      <c r="B91" s="18"/>
      <c r="C91" s="18"/>
      <c r="D91" s="18"/>
      <c r="E91" s="18"/>
      <c r="F91" s="18"/>
      <c r="G91" s="18"/>
      <c r="H91" s="18"/>
      <c r="I91" s="18"/>
      <c r="J91" s="18"/>
      <c r="K91" s="18"/>
      <c r="L91" s="18"/>
      <c r="M91" s="18"/>
      <c r="N91" s="18"/>
      <c r="O91" s="18"/>
      <c r="P91" s="18"/>
      <c r="Q91" s="18"/>
      <c r="R91" s="18"/>
      <c r="S91" s="18"/>
      <c r="T91" s="18"/>
      <c r="U91" s="18"/>
      <c r="V91" s="18"/>
      <c r="W91" s="18"/>
      <c r="X91" s="18"/>
      <c r="Y91" s="18"/>
      <c r="Z91" s="18"/>
      <c r="AA91" s="18"/>
      <c r="AB91" s="18"/>
      <c r="AC91" s="18"/>
      <c r="AD91" s="18"/>
      <c r="AE91" s="18"/>
      <c r="AF91" s="18"/>
      <c r="AG91" s="18"/>
      <c r="AH91" s="18"/>
      <c r="AI91" s="18"/>
      <c r="AJ91" s="18"/>
      <c r="AK91" s="18"/>
      <c r="AL91" s="18"/>
      <c r="AM91" s="18"/>
      <c r="AN91" s="18"/>
      <c r="AO91" s="18"/>
      <c r="AP91" s="18"/>
      <c r="AQ91" s="18"/>
      <c r="AR91" s="18"/>
      <c r="AS91" s="18"/>
      <c r="AT91" s="18"/>
      <c r="AU91" s="18"/>
    </row>
    <row r="92" spans="1:47" s="20" customFormat="1" x14ac:dyDescent="0.2">
      <c r="A92" s="12"/>
      <c r="B92" s="18"/>
      <c r="C92" s="18"/>
      <c r="D92" s="18"/>
      <c r="E92" s="18"/>
      <c r="F92" s="18"/>
      <c r="G92" s="18"/>
      <c r="H92" s="18"/>
      <c r="I92" s="18"/>
      <c r="J92" s="18"/>
      <c r="K92" s="18"/>
      <c r="L92" s="18"/>
      <c r="M92" s="18"/>
      <c r="N92" s="18"/>
      <c r="O92" s="18"/>
      <c r="P92" s="18"/>
      <c r="Q92" s="18"/>
      <c r="R92" s="18"/>
      <c r="S92" s="18"/>
      <c r="T92" s="18"/>
      <c r="U92" s="18"/>
      <c r="V92" s="18"/>
      <c r="W92" s="18"/>
      <c r="X92" s="18"/>
      <c r="Y92" s="18"/>
      <c r="Z92" s="18"/>
      <c r="AA92" s="18"/>
      <c r="AB92" s="18"/>
      <c r="AC92" s="18"/>
      <c r="AD92" s="18"/>
      <c r="AE92" s="18"/>
      <c r="AF92" s="18"/>
      <c r="AG92" s="18"/>
      <c r="AH92" s="18"/>
      <c r="AI92" s="18"/>
      <c r="AJ92" s="18"/>
      <c r="AK92" s="18"/>
      <c r="AL92" s="18"/>
      <c r="AM92" s="18"/>
      <c r="AN92" s="18"/>
      <c r="AO92" s="18"/>
      <c r="AP92" s="18"/>
      <c r="AQ92" s="18"/>
      <c r="AR92" s="18"/>
      <c r="AS92" s="18"/>
      <c r="AT92" s="18"/>
      <c r="AU92" s="18"/>
    </row>
    <row r="93" spans="1:47" s="20" customFormat="1" x14ac:dyDescent="0.2">
      <c r="A93" s="12"/>
      <c r="B93" s="18"/>
      <c r="C93" s="18"/>
      <c r="D93" s="18"/>
      <c r="E93" s="18"/>
      <c r="F93" s="18"/>
      <c r="G93" s="18"/>
      <c r="H93" s="18"/>
      <c r="I93" s="18"/>
      <c r="J93" s="18"/>
      <c r="K93" s="18"/>
      <c r="L93" s="18"/>
      <c r="M93" s="18"/>
      <c r="N93" s="18"/>
      <c r="O93" s="18"/>
      <c r="P93" s="18"/>
      <c r="Q93" s="18"/>
      <c r="R93" s="18"/>
      <c r="S93" s="18"/>
      <c r="T93" s="18"/>
      <c r="U93" s="18"/>
      <c r="V93" s="18"/>
      <c r="W93" s="18"/>
      <c r="X93" s="18"/>
      <c r="Y93" s="18"/>
      <c r="Z93" s="18"/>
      <c r="AA93" s="18"/>
      <c r="AB93" s="18"/>
      <c r="AC93" s="18"/>
      <c r="AD93" s="18"/>
      <c r="AE93" s="18"/>
      <c r="AF93" s="18"/>
      <c r="AG93" s="18"/>
      <c r="AH93" s="18"/>
      <c r="AI93" s="18"/>
      <c r="AJ93" s="18"/>
      <c r="AK93" s="18"/>
      <c r="AL93" s="18"/>
      <c r="AM93" s="18"/>
      <c r="AN93" s="18"/>
      <c r="AO93" s="18"/>
      <c r="AP93" s="18"/>
      <c r="AQ93" s="18"/>
      <c r="AR93" s="18"/>
      <c r="AS93" s="18"/>
      <c r="AT93" s="18"/>
      <c r="AU93" s="18"/>
    </row>
    <row r="94" spans="1:47" s="20" customFormat="1" x14ac:dyDescent="0.2">
      <c r="A94" s="12"/>
      <c r="B94" s="18"/>
      <c r="C94" s="18"/>
      <c r="D94" s="18"/>
      <c r="E94" s="18"/>
      <c r="F94" s="18"/>
      <c r="G94" s="18"/>
      <c r="H94" s="18"/>
      <c r="I94" s="18"/>
      <c r="J94" s="18"/>
      <c r="K94" s="18"/>
      <c r="L94" s="18"/>
      <c r="M94" s="18"/>
      <c r="N94" s="18"/>
      <c r="O94" s="18"/>
      <c r="P94" s="18"/>
      <c r="Q94" s="18"/>
      <c r="R94" s="18"/>
      <c r="S94" s="18"/>
      <c r="T94" s="18"/>
      <c r="U94" s="18"/>
      <c r="V94" s="18"/>
      <c r="W94" s="18"/>
      <c r="X94" s="18"/>
      <c r="Y94" s="18"/>
      <c r="Z94" s="18"/>
      <c r="AA94" s="18"/>
      <c r="AB94" s="18"/>
      <c r="AC94" s="18"/>
      <c r="AD94" s="18"/>
      <c r="AE94" s="18"/>
      <c r="AF94" s="18"/>
      <c r="AG94" s="18"/>
      <c r="AH94" s="18"/>
      <c r="AI94" s="18"/>
      <c r="AJ94" s="18"/>
      <c r="AK94" s="18"/>
      <c r="AL94" s="18"/>
      <c r="AM94" s="18"/>
      <c r="AN94" s="18"/>
      <c r="AO94" s="18"/>
      <c r="AP94" s="18"/>
      <c r="AQ94" s="18"/>
      <c r="AR94" s="18"/>
      <c r="AS94" s="18"/>
      <c r="AT94" s="18"/>
      <c r="AU94" s="18"/>
    </row>
    <row r="95" spans="1:47" s="20" customFormat="1" x14ac:dyDescent="0.2">
      <c r="A95" s="12"/>
      <c r="B95" s="18"/>
      <c r="C95" s="18"/>
      <c r="D95" s="18"/>
      <c r="E95" s="18"/>
      <c r="F95" s="18"/>
      <c r="G95" s="18"/>
      <c r="H95" s="18"/>
      <c r="I95" s="18"/>
      <c r="J95" s="18"/>
      <c r="K95" s="18"/>
      <c r="L95" s="18"/>
      <c r="M95" s="18"/>
      <c r="N95" s="18"/>
      <c r="O95" s="18"/>
      <c r="P95" s="18"/>
      <c r="Q95" s="18"/>
      <c r="R95" s="18"/>
      <c r="S95" s="18"/>
      <c r="T95" s="18"/>
      <c r="U95" s="18"/>
      <c r="V95" s="18"/>
      <c r="W95" s="18"/>
      <c r="X95" s="18"/>
      <c r="Y95" s="18"/>
      <c r="Z95" s="18"/>
      <c r="AA95" s="18"/>
      <c r="AB95" s="18"/>
      <c r="AC95" s="18"/>
      <c r="AD95" s="18"/>
      <c r="AE95" s="18"/>
      <c r="AF95" s="18"/>
      <c r="AG95" s="18"/>
      <c r="AH95" s="18"/>
      <c r="AI95" s="18"/>
      <c r="AJ95" s="18"/>
      <c r="AK95" s="18"/>
      <c r="AL95" s="18"/>
      <c r="AM95" s="18"/>
      <c r="AN95" s="18"/>
      <c r="AO95" s="18"/>
      <c r="AP95" s="18"/>
      <c r="AQ95" s="18"/>
      <c r="AR95" s="18"/>
      <c r="AS95" s="18"/>
      <c r="AT95" s="18"/>
      <c r="AU95" s="18"/>
    </row>
    <row r="96" spans="1:47" s="20" customFormat="1" x14ac:dyDescent="0.2">
      <c r="A96" s="12"/>
      <c r="B96" s="18"/>
      <c r="C96" s="18"/>
      <c r="D96" s="18"/>
      <c r="E96" s="18"/>
      <c r="F96" s="18"/>
      <c r="G96" s="18"/>
      <c r="H96" s="18"/>
      <c r="I96" s="18"/>
      <c r="J96" s="18"/>
      <c r="K96" s="18"/>
      <c r="L96" s="18"/>
      <c r="M96" s="18"/>
      <c r="N96" s="18"/>
      <c r="O96" s="18"/>
      <c r="P96" s="18"/>
      <c r="Q96" s="18"/>
      <c r="R96" s="18"/>
      <c r="S96" s="18"/>
      <c r="T96" s="18"/>
      <c r="U96" s="18"/>
      <c r="V96" s="18"/>
      <c r="W96" s="18"/>
      <c r="X96" s="18"/>
      <c r="Y96" s="18"/>
      <c r="Z96" s="18"/>
      <c r="AA96" s="18"/>
      <c r="AB96" s="18"/>
      <c r="AC96" s="18"/>
      <c r="AD96" s="18"/>
      <c r="AE96" s="18"/>
      <c r="AF96" s="18"/>
      <c r="AG96" s="18"/>
      <c r="AH96" s="18"/>
      <c r="AI96" s="18"/>
      <c r="AJ96" s="18"/>
      <c r="AK96" s="18"/>
      <c r="AL96" s="18"/>
      <c r="AM96" s="18"/>
      <c r="AN96" s="18"/>
      <c r="AO96" s="18"/>
      <c r="AP96" s="18"/>
      <c r="AQ96" s="18"/>
      <c r="AR96" s="18"/>
      <c r="AS96" s="18"/>
      <c r="AT96" s="18"/>
      <c r="AU96" s="18"/>
    </row>
    <row r="97" spans="1:47" s="20" customFormat="1" x14ac:dyDescent="0.2">
      <c r="A97" s="12"/>
      <c r="B97" s="18"/>
      <c r="C97" s="18"/>
      <c r="D97" s="18"/>
      <c r="E97" s="18"/>
      <c r="F97" s="18"/>
      <c r="G97" s="18"/>
      <c r="H97" s="18"/>
      <c r="I97" s="18"/>
      <c r="J97" s="18"/>
      <c r="K97" s="18"/>
      <c r="L97" s="18"/>
      <c r="M97" s="18"/>
      <c r="N97" s="18"/>
      <c r="O97" s="18"/>
      <c r="P97" s="18"/>
      <c r="Q97" s="18"/>
      <c r="R97" s="18"/>
      <c r="S97" s="18"/>
      <c r="T97" s="18"/>
      <c r="U97" s="18"/>
      <c r="V97" s="18"/>
      <c r="W97" s="18"/>
      <c r="X97" s="18"/>
      <c r="Y97" s="18"/>
      <c r="Z97" s="18"/>
      <c r="AA97" s="18"/>
      <c r="AB97" s="18"/>
      <c r="AC97" s="18"/>
      <c r="AD97" s="18"/>
      <c r="AE97" s="18"/>
      <c r="AF97" s="18"/>
      <c r="AG97" s="18"/>
      <c r="AH97" s="18"/>
      <c r="AI97" s="18"/>
      <c r="AJ97" s="18"/>
      <c r="AK97" s="18"/>
      <c r="AL97" s="18"/>
      <c r="AM97" s="18"/>
      <c r="AN97" s="18"/>
      <c r="AO97" s="18"/>
      <c r="AP97" s="18"/>
      <c r="AQ97" s="18"/>
      <c r="AR97" s="18"/>
      <c r="AS97" s="18"/>
      <c r="AT97" s="18"/>
      <c r="AU97" s="18"/>
    </row>
    <row r="98" spans="1:47" s="20" customFormat="1" x14ac:dyDescent="0.2">
      <c r="A98" s="12"/>
      <c r="B98" s="18"/>
      <c r="C98" s="18"/>
      <c r="D98" s="18"/>
      <c r="E98" s="18"/>
      <c r="F98" s="18"/>
      <c r="G98" s="18"/>
      <c r="H98" s="18"/>
      <c r="I98" s="18"/>
      <c r="J98" s="18"/>
      <c r="K98" s="18"/>
      <c r="L98" s="18"/>
      <c r="M98" s="18"/>
      <c r="N98" s="18"/>
      <c r="O98" s="18"/>
      <c r="P98" s="18"/>
      <c r="Q98" s="18"/>
      <c r="R98" s="18"/>
      <c r="S98" s="18"/>
      <c r="T98" s="18"/>
      <c r="U98" s="18"/>
      <c r="V98" s="18"/>
      <c r="W98" s="18"/>
      <c r="X98" s="18"/>
      <c r="Y98" s="18"/>
      <c r="Z98" s="18"/>
      <c r="AA98" s="18"/>
      <c r="AB98" s="18"/>
      <c r="AC98" s="18"/>
      <c r="AD98" s="18"/>
      <c r="AE98" s="18"/>
      <c r="AF98" s="18"/>
      <c r="AG98" s="18"/>
      <c r="AH98" s="18"/>
      <c r="AI98" s="18"/>
      <c r="AJ98" s="18"/>
      <c r="AK98" s="18"/>
      <c r="AL98" s="18"/>
      <c r="AM98" s="18"/>
      <c r="AN98" s="18"/>
      <c r="AO98" s="18"/>
      <c r="AP98" s="18"/>
      <c r="AQ98" s="18"/>
      <c r="AR98" s="18"/>
      <c r="AS98" s="18"/>
      <c r="AT98" s="18"/>
      <c r="AU98" s="18"/>
    </row>
    <row r="99" spans="1:47" s="20" customFormat="1" x14ac:dyDescent="0.2">
      <c r="A99" s="12"/>
      <c r="B99" s="18"/>
      <c r="C99" s="18"/>
      <c r="D99" s="18"/>
      <c r="E99" s="18"/>
      <c r="F99" s="18"/>
      <c r="G99" s="18"/>
      <c r="H99" s="18"/>
      <c r="I99" s="18"/>
      <c r="J99" s="18"/>
      <c r="K99" s="18"/>
      <c r="L99" s="18"/>
      <c r="M99" s="18"/>
      <c r="N99" s="18"/>
      <c r="O99" s="18"/>
      <c r="P99" s="18"/>
      <c r="Q99" s="18"/>
      <c r="R99" s="18"/>
      <c r="S99" s="18"/>
      <c r="T99" s="18"/>
      <c r="U99" s="18"/>
      <c r="V99" s="18"/>
      <c r="W99" s="18"/>
      <c r="X99" s="18"/>
      <c r="Y99" s="18"/>
      <c r="Z99" s="18"/>
      <c r="AA99" s="18"/>
      <c r="AB99" s="18"/>
      <c r="AC99" s="18"/>
      <c r="AD99" s="18"/>
      <c r="AE99" s="18"/>
      <c r="AF99" s="18"/>
      <c r="AG99" s="18"/>
      <c r="AH99" s="18"/>
      <c r="AI99" s="18"/>
      <c r="AJ99" s="18"/>
      <c r="AK99" s="18"/>
      <c r="AL99" s="18"/>
      <c r="AM99" s="18"/>
      <c r="AN99" s="18"/>
      <c r="AO99" s="18"/>
      <c r="AP99" s="18"/>
      <c r="AQ99" s="18"/>
      <c r="AR99" s="18"/>
      <c r="AS99" s="18"/>
      <c r="AT99" s="18"/>
      <c r="AU99" s="18"/>
    </row>
    <row r="100" spans="1:47" s="20" customFormat="1" x14ac:dyDescent="0.2">
      <c r="A100" s="12"/>
      <c r="B100" s="18"/>
      <c r="C100" s="18"/>
      <c r="D100" s="18"/>
      <c r="E100" s="18"/>
      <c r="F100" s="18"/>
      <c r="G100" s="18"/>
      <c r="H100" s="18"/>
      <c r="I100" s="18"/>
      <c r="J100" s="18"/>
      <c r="K100" s="18"/>
      <c r="L100" s="18"/>
      <c r="M100" s="18"/>
      <c r="N100" s="18"/>
      <c r="O100" s="18"/>
      <c r="P100" s="18"/>
      <c r="Q100" s="18"/>
      <c r="R100" s="18"/>
      <c r="S100" s="18"/>
      <c r="T100" s="18"/>
      <c r="U100" s="18"/>
      <c r="V100" s="18"/>
      <c r="W100" s="18"/>
      <c r="X100" s="18"/>
      <c r="Y100" s="18"/>
      <c r="Z100" s="18"/>
      <c r="AA100" s="18"/>
      <c r="AB100" s="18"/>
      <c r="AC100" s="18"/>
      <c r="AD100" s="18"/>
      <c r="AE100" s="18"/>
      <c r="AF100" s="18"/>
      <c r="AG100" s="18"/>
      <c r="AH100" s="18"/>
      <c r="AI100" s="18"/>
      <c r="AJ100" s="18"/>
      <c r="AK100" s="18"/>
      <c r="AL100" s="18"/>
      <c r="AM100" s="18"/>
      <c r="AN100" s="18"/>
      <c r="AO100" s="18"/>
      <c r="AP100" s="18"/>
      <c r="AQ100" s="18"/>
      <c r="AR100" s="18"/>
      <c r="AS100" s="18"/>
      <c r="AT100" s="18"/>
      <c r="AU100" s="18"/>
    </row>
    <row r="101" spans="1:47" s="20" customFormat="1" x14ac:dyDescent="0.2">
      <c r="A101" s="12"/>
      <c r="B101" s="18"/>
      <c r="C101" s="18"/>
      <c r="D101" s="18"/>
      <c r="E101" s="18"/>
      <c r="F101" s="18"/>
      <c r="G101" s="18"/>
      <c r="H101" s="18"/>
      <c r="I101" s="18"/>
      <c r="J101" s="18"/>
      <c r="K101" s="18"/>
      <c r="L101" s="18"/>
      <c r="M101" s="18"/>
      <c r="N101" s="18"/>
      <c r="O101" s="18"/>
      <c r="P101" s="18"/>
      <c r="Q101" s="18"/>
      <c r="R101" s="18"/>
      <c r="S101" s="18"/>
      <c r="T101" s="18"/>
      <c r="U101" s="18"/>
      <c r="V101" s="18"/>
      <c r="W101" s="18"/>
      <c r="X101" s="18"/>
      <c r="Y101" s="18"/>
      <c r="Z101" s="18"/>
      <c r="AA101" s="18"/>
      <c r="AB101" s="18"/>
      <c r="AC101" s="18"/>
      <c r="AD101" s="18"/>
      <c r="AE101" s="18"/>
      <c r="AF101" s="18"/>
      <c r="AG101" s="18"/>
      <c r="AH101" s="18"/>
      <c r="AI101" s="18"/>
      <c r="AJ101" s="18"/>
      <c r="AK101" s="18"/>
      <c r="AL101" s="18"/>
      <c r="AM101" s="18"/>
      <c r="AN101" s="18"/>
      <c r="AO101" s="18"/>
      <c r="AP101" s="18"/>
      <c r="AQ101" s="18"/>
      <c r="AR101" s="18"/>
      <c r="AS101" s="18"/>
      <c r="AT101" s="18"/>
      <c r="AU101" s="18"/>
    </row>
    <row r="102" spans="1:47" s="20" customFormat="1" x14ac:dyDescent="0.2">
      <c r="A102" s="12"/>
      <c r="B102" s="18"/>
      <c r="C102" s="18"/>
      <c r="D102" s="18"/>
      <c r="E102" s="18"/>
      <c r="F102" s="18"/>
      <c r="G102" s="18"/>
      <c r="H102" s="18"/>
      <c r="I102" s="18"/>
      <c r="J102" s="18"/>
      <c r="K102" s="18"/>
      <c r="L102" s="18"/>
      <c r="M102" s="18"/>
      <c r="N102" s="18"/>
      <c r="O102" s="18"/>
      <c r="P102" s="18"/>
      <c r="Q102" s="18"/>
      <c r="R102" s="18"/>
      <c r="S102" s="18"/>
      <c r="T102" s="18"/>
      <c r="U102" s="18"/>
      <c r="V102" s="18"/>
      <c r="W102" s="18"/>
      <c r="X102" s="18"/>
      <c r="Y102" s="18"/>
      <c r="Z102" s="18"/>
      <c r="AA102" s="18"/>
      <c r="AB102" s="18"/>
      <c r="AC102" s="18"/>
      <c r="AD102" s="18"/>
      <c r="AE102" s="18"/>
      <c r="AF102" s="18"/>
      <c r="AG102" s="18"/>
      <c r="AH102" s="18"/>
      <c r="AI102" s="18"/>
      <c r="AJ102" s="18"/>
      <c r="AK102" s="18"/>
      <c r="AL102" s="18"/>
      <c r="AM102" s="18"/>
      <c r="AN102" s="18"/>
      <c r="AO102" s="18"/>
      <c r="AP102" s="18"/>
      <c r="AQ102" s="18"/>
      <c r="AR102" s="18"/>
      <c r="AS102" s="18"/>
      <c r="AT102" s="18"/>
      <c r="AU102" s="18"/>
    </row>
    <row r="103" spans="1:47" s="20" customFormat="1" x14ac:dyDescent="0.2">
      <c r="A103" s="12"/>
      <c r="B103" s="18"/>
      <c r="C103" s="18"/>
      <c r="D103" s="18"/>
      <c r="E103" s="18"/>
      <c r="F103" s="18"/>
      <c r="G103" s="18"/>
      <c r="H103" s="18"/>
      <c r="I103" s="18"/>
      <c r="J103" s="18"/>
      <c r="K103" s="18"/>
      <c r="L103" s="18"/>
      <c r="M103" s="18"/>
      <c r="N103" s="18"/>
      <c r="O103" s="18"/>
      <c r="P103" s="18"/>
      <c r="Q103" s="18"/>
      <c r="R103" s="18"/>
      <c r="S103" s="18"/>
      <c r="T103" s="18"/>
      <c r="U103" s="18"/>
      <c r="V103" s="18"/>
      <c r="W103" s="18"/>
      <c r="X103" s="18"/>
      <c r="Y103" s="18"/>
      <c r="Z103" s="18"/>
      <c r="AA103" s="18"/>
      <c r="AB103" s="18"/>
      <c r="AC103" s="18"/>
      <c r="AD103" s="18"/>
      <c r="AE103" s="18"/>
      <c r="AF103" s="18"/>
      <c r="AG103" s="18"/>
      <c r="AH103" s="18"/>
      <c r="AI103" s="18"/>
      <c r="AJ103" s="18"/>
      <c r="AK103" s="18"/>
      <c r="AL103" s="18"/>
      <c r="AM103" s="18"/>
      <c r="AN103" s="18"/>
      <c r="AO103" s="18"/>
      <c r="AP103" s="18"/>
      <c r="AQ103" s="18"/>
      <c r="AR103" s="18"/>
      <c r="AS103" s="18"/>
      <c r="AT103" s="18"/>
      <c r="AU103" s="18"/>
    </row>
    <row r="104" spans="1:47" s="20" customFormat="1" x14ac:dyDescent="0.2">
      <c r="A104" s="12"/>
      <c r="B104" s="18"/>
      <c r="C104" s="18"/>
      <c r="D104" s="18"/>
      <c r="E104" s="18"/>
      <c r="F104" s="18"/>
      <c r="G104" s="18"/>
      <c r="H104" s="18"/>
      <c r="I104" s="18"/>
      <c r="J104" s="18"/>
      <c r="K104" s="18"/>
      <c r="L104" s="18"/>
      <c r="M104" s="18"/>
      <c r="N104" s="18"/>
      <c r="O104" s="18"/>
      <c r="P104" s="18"/>
      <c r="Q104" s="18"/>
      <c r="R104" s="18"/>
      <c r="S104" s="18"/>
      <c r="T104" s="18"/>
      <c r="U104" s="18"/>
      <c r="V104" s="18"/>
      <c r="W104" s="18"/>
      <c r="X104" s="18"/>
      <c r="Y104" s="18"/>
      <c r="Z104" s="18"/>
      <c r="AA104" s="18"/>
      <c r="AB104" s="18"/>
      <c r="AC104" s="18"/>
      <c r="AD104" s="18"/>
      <c r="AE104" s="18"/>
      <c r="AF104" s="18"/>
      <c r="AG104" s="18"/>
      <c r="AH104" s="18"/>
      <c r="AI104" s="18"/>
      <c r="AJ104" s="18"/>
      <c r="AK104" s="18"/>
      <c r="AL104" s="18"/>
      <c r="AM104" s="18"/>
      <c r="AN104" s="18"/>
      <c r="AO104" s="18"/>
      <c r="AP104" s="18"/>
      <c r="AQ104" s="18"/>
      <c r="AR104" s="18"/>
      <c r="AS104" s="18"/>
      <c r="AT104" s="18"/>
      <c r="AU104" s="18"/>
    </row>
    <row r="105" spans="1:47" s="20" customFormat="1" x14ac:dyDescent="0.2">
      <c r="A105" s="12"/>
      <c r="B105" s="18"/>
      <c r="C105" s="18"/>
      <c r="D105" s="18"/>
      <c r="E105" s="18"/>
      <c r="F105" s="18"/>
      <c r="G105" s="18"/>
      <c r="H105" s="18"/>
      <c r="I105" s="18"/>
      <c r="J105" s="18"/>
      <c r="K105" s="18"/>
      <c r="L105" s="18"/>
      <c r="M105" s="18"/>
      <c r="N105" s="18"/>
      <c r="O105" s="18"/>
      <c r="P105" s="18"/>
      <c r="Q105" s="18"/>
      <c r="R105" s="18"/>
      <c r="S105" s="18"/>
      <c r="T105" s="18"/>
      <c r="U105" s="18"/>
      <c r="V105" s="18"/>
      <c r="W105" s="18"/>
      <c r="X105" s="18"/>
      <c r="Y105" s="18"/>
      <c r="Z105" s="18"/>
      <c r="AA105" s="18"/>
      <c r="AB105" s="18"/>
      <c r="AC105" s="18"/>
      <c r="AD105" s="18"/>
      <c r="AE105" s="18"/>
      <c r="AF105" s="18"/>
      <c r="AG105" s="18"/>
      <c r="AH105" s="18"/>
      <c r="AI105" s="18"/>
      <c r="AJ105" s="18"/>
      <c r="AK105" s="18"/>
      <c r="AL105" s="18"/>
      <c r="AM105" s="18"/>
      <c r="AN105" s="18"/>
      <c r="AO105" s="18"/>
      <c r="AP105" s="18"/>
      <c r="AQ105" s="18"/>
      <c r="AR105" s="18"/>
      <c r="AS105" s="18"/>
      <c r="AT105" s="18"/>
      <c r="AU105" s="18"/>
    </row>
    <row r="106" spans="1:47" s="20" customFormat="1" x14ac:dyDescent="0.2">
      <c r="A106" s="12"/>
      <c r="B106" s="18"/>
      <c r="C106" s="18"/>
      <c r="D106" s="18"/>
      <c r="E106" s="18"/>
      <c r="F106" s="18"/>
      <c r="G106" s="18"/>
      <c r="H106" s="18"/>
      <c r="I106" s="18"/>
      <c r="J106" s="18"/>
      <c r="K106" s="18"/>
      <c r="L106" s="18"/>
      <c r="M106" s="18"/>
      <c r="N106" s="18"/>
      <c r="O106" s="18"/>
      <c r="P106" s="18"/>
      <c r="Q106" s="18"/>
      <c r="R106" s="18"/>
      <c r="S106" s="18"/>
      <c r="T106" s="18"/>
      <c r="U106" s="18"/>
      <c r="V106" s="18"/>
      <c r="W106" s="18"/>
      <c r="X106" s="18"/>
      <c r="Y106" s="18"/>
      <c r="Z106" s="18"/>
      <c r="AA106" s="18"/>
      <c r="AB106" s="18"/>
      <c r="AC106" s="18"/>
      <c r="AD106" s="18"/>
      <c r="AE106" s="18"/>
      <c r="AF106" s="18"/>
      <c r="AG106" s="18"/>
      <c r="AH106" s="18"/>
      <c r="AI106" s="18"/>
      <c r="AJ106" s="18"/>
      <c r="AK106" s="18"/>
      <c r="AL106" s="18"/>
      <c r="AM106" s="18"/>
      <c r="AN106" s="18"/>
      <c r="AO106" s="18"/>
      <c r="AP106" s="18"/>
      <c r="AQ106" s="18"/>
      <c r="AR106" s="18"/>
      <c r="AS106" s="18"/>
      <c r="AT106" s="18"/>
      <c r="AU106" s="18"/>
    </row>
    <row r="107" spans="1:47" s="20" customFormat="1" x14ac:dyDescent="0.2">
      <c r="A107" s="12"/>
      <c r="B107" s="18"/>
      <c r="C107" s="18"/>
      <c r="D107" s="18"/>
      <c r="E107" s="18"/>
      <c r="F107" s="18"/>
      <c r="G107" s="18"/>
      <c r="H107" s="18"/>
      <c r="I107" s="18"/>
      <c r="J107" s="18"/>
      <c r="K107" s="18"/>
      <c r="L107" s="18"/>
      <c r="M107" s="18"/>
      <c r="N107" s="18"/>
      <c r="O107" s="18"/>
      <c r="P107" s="18"/>
      <c r="Q107" s="18"/>
      <c r="R107" s="18"/>
      <c r="S107" s="18"/>
      <c r="T107" s="18"/>
      <c r="U107" s="18"/>
      <c r="V107" s="18"/>
      <c r="W107" s="18"/>
      <c r="X107" s="18"/>
      <c r="Y107" s="18"/>
      <c r="Z107" s="18"/>
      <c r="AA107" s="18"/>
      <c r="AB107" s="18"/>
      <c r="AC107" s="18"/>
      <c r="AD107" s="18"/>
      <c r="AE107" s="18"/>
      <c r="AF107" s="18"/>
      <c r="AG107" s="18"/>
      <c r="AH107" s="18"/>
      <c r="AI107" s="18"/>
      <c r="AJ107" s="18"/>
      <c r="AK107" s="18"/>
      <c r="AL107" s="18"/>
      <c r="AM107" s="18"/>
      <c r="AN107" s="18"/>
      <c r="AO107" s="18"/>
      <c r="AP107" s="18"/>
      <c r="AQ107" s="18"/>
      <c r="AR107" s="18"/>
      <c r="AS107" s="18"/>
      <c r="AT107" s="18"/>
      <c r="AU107" s="18"/>
    </row>
    <row r="108" spans="1:47" s="20" customFormat="1" x14ac:dyDescent="0.2">
      <c r="A108" s="12"/>
      <c r="B108" s="18"/>
      <c r="C108" s="18"/>
      <c r="D108" s="18"/>
      <c r="E108" s="18"/>
      <c r="F108" s="18"/>
      <c r="G108" s="18"/>
      <c r="H108" s="18"/>
      <c r="I108" s="18"/>
      <c r="J108" s="18"/>
      <c r="K108" s="18"/>
      <c r="L108" s="18"/>
      <c r="M108" s="18"/>
      <c r="N108" s="18"/>
      <c r="O108" s="18"/>
      <c r="P108" s="18"/>
      <c r="Q108" s="18"/>
      <c r="R108" s="18"/>
      <c r="S108" s="18"/>
      <c r="T108" s="18"/>
      <c r="U108" s="18"/>
      <c r="V108" s="18"/>
      <c r="W108" s="18"/>
      <c r="X108" s="18"/>
      <c r="Y108" s="18"/>
      <c r="Z108" s="18"/>
      <c r="AA108" s="18"/>
      <c r="AB108" s="18"/>
      <c r="AC108" s="18"/>
      <c r="AD108" s="18"/>
      <c r="AE108" s="18"/>
      <c r="AF108" s="18"/>
      <c r="AG108" s="18"/>
      <c r="AH108" s="18"/>
      <c r="AI108" s="18"/>
      <c r="AJ108" s="18"/>
      <c r="AK108" s="18"/>
      <c r="AL108" s="18"/>
      <c r="AM108" s="18"/>
      <c r="AN108" s="18"/>
      <c r="AO108" s="18"/>
      <c r="AP108" s="18"/>
      <c r="AQ108" s="18"/>
      <c r="AR108" s="18"/>
      <c r="AS108" s="18"/>
      <c r="AT108" s="18"/>
      <c r="AU108" s="18"/>
    </row>
    <row r="109" spans="1:47" s="20" customFormat="1" x14ac:dyDescent="0.2">
      <c r="A109" s="12"/>
      <c r="B109" s="18"/>
      <c r="C109" s="18"/>
      <c r="D109" s="18"/>
      <c r="E109" s="18"/>
      <c r="F109" s="18"/>
      <c r="G109" s="18"/>
      <c r="H109" s="18"/>
      <c r="I109" s="18"/>
      <c r="J109" s="18"/>
      <c r="K109" s="18"/>
      <c r="L109" s="18"/>
      <c r="M109" s="18"/>
      <c r="N109" s="18"/>
      <c r="O109" s="18"/>
      <c r="P109" s="18"/>
      <c r="Q109" s="18"/>
      <c r="R109" s="18"/>
      <c r="S109" s="18"/>
      <c r="T109" s="18"/>
      <c r="U109" s="18"/>
      <c r="V109" s="18"/>
      <c r="W109" s="18"/>
      <c r="X109" s="18"/>
      <c r="Y109" s="18"/>
      <c r="Z109" s="18"/>
      <c r="AA109" s="18"/>
      <c r="AB109" s="18"/>
      <c r="AC109" s="18"/>
      <c r="AD109" s="18"/>
      <c r="AE109" s="18"/>
      <c r="AF109" s="18"/>
      <c r="AG109" s="18"/>
      <c r="AH109" s="18"/>
      <c r="AI109" s="18"/>
      <c r="AJ109" s="18"/>
      <c r="AK109" s="18"/>
      <c r="AL109" s="18"/>
      <c r="AM109" s="18"/>
      <c r="AN109" s="18"/>
      <c r="AO109" s="18"/>
      <c r="AP109" s="18"/>
      <c r="AQ109" s="18"/>
      <c r="AR109" s="18"/>
      <c r="AS109" s="18"/>
      <c r="AT109" s="18"/>
      <c r="AU109" s="18"/>
    </row>
    <row r="110" spans="1:47" s="20" customFormat="1" x14ac:dyDescent="0.2">
      <c r="A110" s="12"/>
      <c r="B110" s="18"/>
      <c r="C110" s="18"/>
      <c r="D110" s="18"/>
      <c r="E110" s="18"/>
      <c r="F110" s="18"/>
      <c r="G110" s="18"/>
      <c r="H110" s="18"/>
      <c r="I110" s="18"/>
      <c r="J110" s="18"/>
      <c r="K110" s="18"/>
      <c r="L110" s="18"/>
      <c r="M110" s="18"/>
      <c r="N110" s="18"/>
      <c r="O110" s="18"/>
      <c r="P110" s="18"/>
      <c r="Q110" s="18"/>
      <c r="R110" s="18"/>
      <c r="S110" s="18"/>
      <c r="T110" s="18"/>
      <c r="U110" s="18"/>
      <c r="V110" s="18"/>
      <c r="W110" s="18"/>
      <c r="X110" s="18"/>
      <c r="Y110" s="18"/>
      <c r="Z110" s="18"/>
      <c r="AA110" s="18"/>
      <c r="AB110" s="18"/>
      <c r="AC110" s="18"/>
      <c r="AD110" s="18"/>
      <c r="AE110" s="18"/>
      <c r="AF110" s="18"/>
      <c r="AG110" s="18"/>
      <c r="AH110" s="18"/>
      <c r="AI110" s="18"/>
      <c r="AJ110" s="18"/>
      <c r="AK110" s="18"/>
      <c r="AL110" s="18"/>
      <c r="AM110" s="18"/>
      <c r="AN110" s="18"/>
      <c r="AO110" s="18"/>
      <c r="AP110" s="18"/>
      <c r="AQ110" s="18"/>
      <c r="AR110" s="18"/>
      <c r="AS110" s="18"/>
      <c r="AT110" s="18"/>
      <c r="AU110" s="18"/>
    </row>
    <row r="111" spans="1:47" s="20" customFormat="1" x14ac:dyDescent="0.2">
      <c r="A111" s="12"/>
      <c r="B111" s="18"/>
      <c r="C111" s="18"/>
      <c r="D111" s="18"/>
      <c r="E111" s="18"/>
      <c r="F111" s="18"/>
      <c r="G111" s="18"/>
      <c r="H111" s="18"/>
      <c r="I111" s="18"/>
      <c r="J111" s="18"/>
      <c r="K111" s="18"/>
      <c r="L111" s="18"/>
      <c r="M111" s="18"/>
      <c r="N111" s="18"/>
      <c r="O111" s="18"/>
      <c r="P111" s="18"/>
      <c r="Q111" s="18"/>
      <c r="R111" s="18"/>
      <c r="S111" s="18"/>
      <c r="T111" s="18"/>
      <c r="U111" s="18"/>
      <c r="V111" s="18"/>
      <c r="W111" s="18"/>
      <c r="X111" s="18"/>
      <c r="Y111" s="18"/>
      <c r="Z111" s="18"/>
      <c r="AA111" s="18"/>
      <c r="AB111" s="18"/>
      <c r="AC111" s="18"/>
      <c r="AD111" s="18"/>
      <c r="AE111" s="18"/>
      <c r="AF111" s="18"/>
      <c r="AG111" s="18"/>
      <c r="AH111" s="18"/>
      <c r="AI111" s="18"/>
      <c r="AJ111" s="18"/>
      <c r="AK111" s="18"/>
      <c r="AL111" s="18"/>
      <c r="AM111" s="18"/>
      <c r="AN111" s="18"/>
      <c r="AO111" s="18"/>
      <c r="AP111" s="18"/>
      <c r="AQ111" s="18"/>
      <c r="AR111" s="18"/>
      <c r="AS111" s="18"/>
      <c r="AT111" s="18"/>
      <c r="AU111" s="18"/>
    </row>
    <row r="112" spans="1:47" s="20" customFormat="1" x14ac:dyDescent="0.2">
      <c r="A112" s="12"/>
      <c r="B112" s="18"/>
      <c r="C112" s="18"/>
      <c r="D112" s="18"/>
      <c r="E112" s="18"/>
      <c r="F112" s="18"/>
      <c r="G112" s="18"/>
      <c r="H112" s="18"/>
      <c r="I112" s="18"/>
      <c r="J112" s="18"/>
      <c r="K112" s="18"/>
      <c r="L112" s="18"/>
      <c r="M112" s="18"/>
      <c r="N112" s="18"/>
      <c r="O112" s="18"/>
      <c r="P112" s="18"/>
      <c r="Q112" s="18"/>
      <c r="R112" s="18"/>
      <c r="S112" s="18"/>
      <c r="T112" s="18"/>
      <c r="U112" s="18"/>
      <c r="V112" s="18"/>
      <c r="W112" s="18"/>
      <c r="X112" s="18"/>
      <c r="Y112" s="18"/>
      <c r="Z112" s="18"/>
      <c r="AA112" s="18"/>
      <c r="AB112" s="18"/>
      <c r="AC112" s="18"/>
      <c r="AD112" s="18"/>
      <c r="AE112" s="18"/>
      <c r="AF112" s="18"/>
      <c r="AG112" s="18"/>
      <c r="AH112" s="18"/>
      <c r="AI112" s="18"/>
      <c r="AJ112" s="18"/>
      <c r="AK112" s="18"/>
      <c r="AL112" s="18"/>
      <c r="AM112" s="18"/>
      <c r="AN112" s="18"/>
      <c r="AO112" s="18"/>
      <c r="AP112" s="18"/>
      <c r="AQ112" s="18"/>
      <c r="AR112" s="18"/>
      <c r="AS112" s="18"/>
      <c r="AT112" s="18"/>
      <c r="AU112" s="18"/>
    </row>
    <row r="113" spans="1:47" s="20" customFormat="1" x14ac:dyDescent="0.2">
      <c r="A113" s="12"/>
      <c r="B113" s="18"/>
      <c r="C113" s="18"/>
      <c r="D113" s="18"/>
      <c r="E113" s="18"/>
      <c r="F113" s="18"/>
      <c r="G113" s="18"/>
      <c r="H113" s="18"/>
      <c r="I113" s="18"/>
      <c r="J113" s="18"/>
      <c r="K113" s="18"/>
      <c r="L113" s="18"/>
      <c r="M113" s="18"/>
      <c r="N113" s="18"/>
      <c r="O113" s="18"/>
      <c r="P113" s="18"/>
      <c r="Q113" s="18"/>
      <c r="R113" s="18"/>
      <c r="S113" s="18"/>
      <c r="T113" s="18"/>
      <c r="U113" s="18"/>
      <c r="V113" s="18"/>
      <c r="W113" s="18"/>
      <c r="X113" s="18"/>
      <c r="Y113" s="18"/>
      <c r="Z113" s="18"/>
      <c r="AA113" s="18"/>
      <c r="AB113" s="18"/>
      <c r="AC113" s="18"/>
      <c r="AD113" s="18"/>
      <c r="AE113" s="18"/>
      <c r="AF113" s="18"/>
      <c r="AG113" s="18"/>
      <c r="AH113" s="18"/>
      <c r="AI113" s="18"/>
      <c r="AJ113" s="18"/>
      <c r="AK113" s="18"/>
      <c r="AL113" s="18"/>
      <c r="AM113" s="18"/>
      <c r="AN113" s="18"/>
      <c r="AO113" s="18"/>
      <c r="AP113" s="18"/>
      <c r="AQ113" s="18"/>
      <c r="AR113" s="18"/>
      <c r="AS113" s="18"/>
      <c r="AT113" s="18"/>
      <c r="AU113" s="18"/>
    </row>
    <row r="114" spans="1:47" s="20" customFormat="1" x14ac:dyDescent="0.2">
      <c r="A114" s="12"/>
      <c r="B114" s="18"/>
      <c r="C114" s="18"/>
      <c r="D114" s="18"/>
      <c r="E114" s="18"/>
      <c r="F114" s="18"/>
      <c r="G114" s="18"/>
      <c r="H114" s="18"/>
      <c r="I114" s="18"/>
      <c r="J114" s="18"/>
      <c r="K114" s="18"/>
      <c r="L114" s="18"/>
      <c r="M114" s="18"/>
      <c r="N114" s="18"/>
      <c r="O114" s="18"/>
      <c r="P114" s="18"/>
      <c r="Q114" s="18"/>
      <c r="R114" s="18"/>
      <c r="S114" s="18"/>
      <c r="T114" s="18"/>
      <c r="U114" s="18"/>
      <c r="V114" s="18"/>
      <c r="W114" s="18"/>
      <c r="X114" s="18"/>
      <c r="Y114" s="18"/>
      <c r="Z114" s="18"/>
      <c r="AA114" s="18"/>
      <c r="AB114" s="18"/>
      <c r="AC114" s="18"/>
      <c r="AD114" s="18"/>
      <c r="AE114" s="18"/>
      <c r="AF114" s="18"/>
      <c r="AG114" s="18"/>
      <c r="AH114" s="18"/>
      <c r="AI114" s="18"/>
      <c r="AJ114" s="18"/>
      <c r="AK114" s="18"/>
      <c r="AL114" s="18"/>
      <c r="AM114" s="18"/>
      <c r="AN114" s="18"/>
      <c r="AO114" s="18"/>
      <c r="AP114" s="18"/>
      <c r="AQ114" s="18"/>
      <c r="AR114" s="18"/>
      <c r="AS114" s="18"/>
      <c r="AT114" s="18"/>
      <c r="AU114" s="18"/>
    </row>
    <row r="115" spans="1:47" s="20" customFormat="1" x14ac:dyDescent="0.2">
      <c r="A115" s="12"/>
      <c r="B115" s="18"/>
      <c r="C115" s="18"/>
      <c r="D115" s="18"/>
      <c r="E115" s="18"/>
      <c r="F115" s="18"/>
      <c r="G115" s="18"/>
      <c r="H115" s="18"/>
      <c r="I115" s="18"/>
      <c r="J115" s="18"/>
      <c r="K115" s="18"/>
      <c r="L115" s="18"/>
      <c r="M115" s="18"/>
      <c r="N115" s="18"/>
      <c r="O115" s="18"/>
      <c r="P115" s="18"/>
      <c r="Q115" s="18"/>
      <c r="R115" s="18"/>
      <c r="S115" s="18"/>
      <c r="T115" s="18"/>
      <c r="U115" s="18"/>
      <c r="V115" s="18"/>
      <c r="W115" s="18"/>
      <c r="X115" s="18"/>
      <c r="Y115" s="18"/>
      <c r="Z115" s="18"/>
      <c r="AA115" s="18"/>
      <c r="AB115" s="18"/>
      <c r="AC115" s="18"/>
      <c r="AD115" s="18"/>
      <c r="AE115" s="18"/>
      <c r="AF115" s="18"/>
      <c r="AG115" s="18"/>
      <c r="AH115" s="18"/>
      <c r="AI115" s="18"/>
      <c r="AJ115" s="18"/>
      <c r="AK115" s="18"/>
      <c r="AL115" s="18"/>
      <c r="AM115" s="18"/>
      <c r="AN115" s="18"/>
      <c r="AO115" s="18"/>
      <c r="AP115" s="18"/>
      <c r="AQ115" s="18"/>
      <c r="AR115" s="18"/>
      <c r="AS115" s="18"/>
      <c r="AT115" s="18"/>
      <c r="AU115" s="18"/>
    </row>
    <row r="116" spans="1:47" s="20" customFormat="1" x14ac:dyDescent="0.2">
      <c r="A116" s="12"/>
      <c r="B116" s="18"/>
      <c r="C116" s="18"/>
      <c r="D116" s="18"/>
      <c r="E116" s="18"/>
      <c r="F116" s="18"/>
      <c r="G116" s="18"/>
      <c r="H116" s="18"/>
      <c r="I116" s="18"/>
      <c r="J116" s="18"/>
      <c r="K116" s="18"/>
      <c r="L116" s="18"/>
      <c r="M116" s="18"/>
      <c r="N116" s="18"/>
      <c r="O116" s="18"/>
      <c r="P116" s="18"/>
      <c r="Q116" s="18"/>
      <c r="R116" s="18"/>
      <c r="S116" s="18"/>
      <c r="T116" s="18"/>
      <c r="U116" s="18"/>
      <c r="V116" s="18"/>
      <c r="W116" s="18"/>
      <c r="X116" s="18"/>
      <c r="Y116" s="18"/>
      <c r="Z116" s="18"/>
      <c r="AA116" s="18"/>
      <c r="AB116" s="18"/>
      <c r="AC116" s="18"/>
      <c r="AD116" s="18"/>
      <c r="AE116" s="18"/>
      <c r="AF116" s="18"/>
      <c r="AG116" s="18"/>
      <c r="AH116" s="18"/>
      <c r="AI116" s="18"/>
      <c r="AJ116" s="18"/>
      <c r="AK116" s="18"/>
      <c r="AL116" s="18"/>
      <c r="AM116" s="18"/>
      <c r="AN116" s="18"/>
      <c r="AO116" s="18"/>
      <c r="AP116" s="18"/>
      <c r="AQ116" s="18"/>
      <c r="AR116" s="18"/>
      <c r="AS116" s="18"/>
      <c r="AT116" s="18"/>
      <c r="AU116" s="18"/>
    </row>
    <row r="117" spans="1:47" s="20" customFormat="1" x14ac:dyDescent="0.2">
      <c r="A117" s="12"/>
      <c r="B117" s="18"/>
      <c r="C117" s="18"/>
      <c r="D117" s="18"/>
      <c r="E117" s="18"/>
      <c r="F117" s="18"/>
      <c r="G117" s="18"/>
      <c r="H117" s="18"/>
      <c r="I117" s="18"/>
      <c r="J117" s="18"/>
      <c r="K117" s="18"/>
      <c r="L117" s="18"/>
      <c r="M117" s="18"/>
      <c r="N117" s="18"/>
      <c r="O117" s="18"/>
      <c r="P117" s="18"/>
      <c r="Q117" s="18"/>
      <c r="R117" s="18"/>
      <c r="S117" s="18"/>
      <c r="T117" s="18"/>
      <c r="U117" s="18"/>
      <c r="V117" s="18"/>
      <c r="W117" s="18"/>
      <c r="X117" s="18"/>
      <c r="Y117" s="18"/>
      <c r="Z117" s="18"/>
      <c r="AA117" s="18"/>
      <c r="AB117" s="18"/>
      <c r="AC117" s="18"/>
      <c r="AD117" s="18"/>
      <c r="AE117" s="18"/>
      <c r="AF117" s="18"/>
      <c r="AG117" s="18"/>
      <c r="AH117" s="18"/>
      <c r="AI117" s="18"/>
      <c r="AJ117" s="18"/>
      <c r="AK117" s="18"/>
      <c r="AL117" s="18"/>
      <c r="AM117" s="18"/>
      <c r="AN117" s="18"/>
      <c r="AO117" s="18"/>
      <c r="AP117" s="18"/>
      <c r="AQ117" s="18"/>
      <c r="AR117" s="18"/>
      <c r="AS117" s="18"/>
      <c r="AT117" s="18"/>
      <c r="AU117" s="18"/>
    </row>
    <row r="118" spans="1:47" s="20" customFormat="1" x14ac:dyDescent="0.2">
      <c r="A118" s="12"/>
      <c r="B118" s="18"/>
      <c r="C118" s="18"/>
      <c r="D118" s="18"/>
      <c r="E118" s="18"/>
      <c r="F118" s="18"/>
      <c r="G118" s="18"/>
      <c r="H118" s="18"/>
      <c r="I118" s="18"/>
      <c r="J118" s="18"/>
      <c r="K118" s="18"/>
      <c r="L118" s="18"/>
      <c r="M118" s="18"/>
      <c r="N118" s="18"/>
      <c r="O118" s="18"/>
      <c r="P118" s="18"/>
      <c r="Q118" s="18"/>
      <c r="R118" s="18"/>
      <c r="S118" s="18"/>
      <c r="T118" s="18"/>
      <c r="U118" s="18"/>
      <c r="V118" s="18"/>
      <c r="W118" s="18"/>
      <c r="X118" s="18"/>
      <c r="Y118" s="18"/>
      <c r="Z118" s="18"/>
      <c r="AA118" s="18"/>
      <c r="AB118" s="18"/>
      <c r="AC118" s="18"/>
      <c r="AD118" s="18"/>
      <c r="AE118" s="18"/>
      <c r="AF118" s="18"/>
      <c r="AG118" s="18"/>
      <c r="AH118" s="18"/>
      <c r="AI118" s="18"/>
      <c r="AJ118" s="18"/>
      <c r="AK118" s="18"/>
      <c r="AL118" s="18"/>
      <c r="AM118" s="18"/>
      <c r="AN118" s="18"/>
      <c r="AO118" s="18"/>
      <c r="AP118" s="18"/>
      <c r="AQ118" s="18"/>
      <c r="AR118" s="18"/>
      <c r="AS118" s="18"/>
      <c r="AT118" s="18"/>
      <c r="AU118" s="18"/>
    </row>
    <row r="119" spans="1:47" s="20" customFormat="1" x14ac:dyDescent="0.2">
      <c r="A119" s="12"/>
      <c r="B119" s="18"/>
      <c r="C119" s="18"/>
      <c r="D119" s="18"/>
      <c r="E119" s="18"/>
      <c r="F119" s="18"/>
      <c r="G119" s="18"/>
      <c r="H119" s="18"/>
      <c r="I119" s="18"/>
      <c r="J119" s="18"/>
      <c r="K119" s="18"/>
      <c r="L119" s="18"/>
      <c r="M119" s="18"/>
      <c r="N119" s="18"/>
      <c r="O119" s="18"/>
      <c r="P119" s="18"/>
      <c r="Q119" s="18"/>
      <c r="R119" s="18"/>
      <c r="S119" s="18"/>
      <c r="T119" s="18"/>
      <c r="U119" s="18"/>
      <c r="V119" s="18"/>
      <c r="W119" s="18"/>
      <c r="X119" s="18"/>
      <c r="Y119" s="18"/>
      <c r="Z119" s="18"/>
      <c r="AA119" s="18"/>
      <c r="AB119" s="18"/>
      <c r="AC119" s="18"/>
      <c r="AD119" s="18"/>
      <c r="AE119" s="18"/>
      <c r="AF119" s="18"/>
      <c r="AG119" s="18"/>
      <c r="AH119" s="18"/>
      <c r="AI119" s="18"/>
      <c r="AJ119" s="18"/>
      <c r="AK119" s="18"/>
      <c r="AL119" s="18"/>
      <c r="AM119" s="18"/>
      <c r="AN119" s="18"/>
      <c r="AO119" s="18"/>
      <c r="AP119" s="18"/>
      <c r="AQ119" s="18"/>
      <c r="AR119" s="18"/>
      <c r="AS119" s="18"/>
      <c r="AT119" s="18"/>
      <c r="AU119" s="18"/>
    </row>
    <row r="120" spans="1:47" s="20" customFormat="1" x14ac:dyDescent="0.2">
      <c r="A120" s="12"/>
      <c r="B120" s="18"/>
      <c r="C120" s="18"/>
      <c r="D120" s="18"/>
      <c r="E120" s="18"/>
      <c r="F120" s="18"/>
      <c r="G120" s="18"/>
      <c r="H120" s="18"/>
      <c r="I120" s="18"/>
      <c r="J120" s="18"/>
      <c r="K120" s="18"/>
      <c r="L120" s="18"/>
      <c r="M120" s="18"/>
      <c r="N120" s="18"/>
      <c r="O120" s="18"/>
      <c r="P120" s="18"/>
      <c r="Q120" s="18"/>
      <c r="R120" s="18"/>
      <c r="S120" s="18"/>
      <c r="T120" s="18"/>
      <c r="U120" s="18"/>
      <c r="V120" s="18"/>
      <c r="W120" s="18"/>
      <c r="X120" s="18"/>
      <c r="Y120" s="18"/>
      <c r="Z120" s="18"/>
      <c r="AA120" s="18"/>
      <c r="AB120" s="18"/>
      <c r="AC120" s="18"/>
      <c r="AD120" s="18"/>
      <c r="AE120" s="18"/>
      <c r="AF120" s="18"/>
      <c r="AG120" s="18"/>
      <c r="AH120" s="18"/>
      <c r="AI120" s="18"/>
      <c r="AJ120" s="18"/>
      <c r="AK120" s="18"/>
      <c r="AL120" s="18"/>
      <c r="AM120" s="18"/>
      <c r="AN120" s="18"/>
      <c r="AO120" s="18"/>
      <c r="AP120" s="18"/>
      <c r="AQ120" s="18"/>
      <c r="AR120" s="18"/>
      <c r="AS120" s="18"/>
      <c r="AT120" s="18"/>
      <c r="AU120" s="18"/>
    </row>
    <row r="121" spans="1:47" s="20" customFormat="1" x14ac:dyDescent="0.2">
      <c r="A121" s="12"/>
      <c r="B121" s="18"/>
      <c r="C121" s="18"/>
      <c r="D121" s="18"/>
      <c r="E121" s="18"/>
      <c r="F121" s="18"/>
      <c r="G121" s="18"/>
      <c r="H121" s="18"/>
      <c r="I121" s="18"/>
      <c r="J121" s="18"/>
      <c r="K121" s="18"/>
      <c r="L121" s="18"/>
      <c r="M121" s="18"/>
      <c r="N121" s="18"/>
      <c r="O121" s="18"/>
      <c r="P121" s="18"/>
      <c r="Q121" s="18"/>
      <c r="R121" s="18"/>
      <c r="S121" s="18"/>
      <c r="T121" s="18"/>
      <c r="U121" s="18"/>
      <c r="V121" s="18"/>
      <c r="W121" s="18"/>
      <c r="X121" s="18"/>
      <c r="Y121" s="18"/>
      <c r="Z121" s="18"/>
      <c r="AA121" s="18"/>
      <c r="AB121" s="18"/>
      <c r="AC121" s="18"/>
      <c r="AD121" s="18"/>
      <c r="AE121" s="18"/>
      <c r="AF121" s="18"/>
      <c r="AG121" s="18"/>
      <c r="AH121" s="18"/>
      <c r="AI121" s="18"/>
      <c r="AJ121" s="18"/>
      <c r="AK121" s="18"/>
      <c r="AL121" s="18"/>
      <c r="AM121" s="18"/>
      <c r="AN121" s="18"/>
      <c r="AO121" s="18"/>
      <c r="AP121" s="18"/>
      <c r="AQ121" s="18"/>
      <c r="AR121" s="18"/>
      <c r="AS121" s="18"/>
      <c r="AT121" s="18"/>
      <c r="AU121" s="18"/>
    </row>
    <row r="122" spans="1:47" s="20" customFormat="1" x14ac:dyDescent="0.2">
      <c r="A122" s="12"/>
      <c r="B122" s="18"/>
      <c r="C122" s="18"/>
      <c r="D122" s="18"/>
      <c r="E122" s="18"/>
      <c r="F122" s="18"/>
      <c r="G122" s="18"/>
      <c r="H122" s="18"/>
      <c r="I122" s="18"/>
      <c r="J122" s="18"/>
      <c r="K122" s="18"/>
      <c r="L122" s="18"/>
      <c r="M122" s="18"/>
      <c r="N122" s="18"/>
      <c r="O122" s="18"/>
      <c r="P122" s="18"/>
      <c r="Q122" s="18"/>
      <c r="R122" s="18"/>
      <c r="S122" s="18"/>
      <c r="T122" s="18"/>
      <c r="U122" s="18"/>
      <c r="V122" s="18"/>
      <c r="W122" s="18"/>
      <c r="X122" s="18"/>
      <c r="Y122" s="18"/>
      <c r="Z122" s="18"/>
      <c r="AA122" s="18"/>
      <c r="AB122" s="18"/>
      <c r="AC122" s="18"/>
      <c r="AD122" s="18"/>
      <c r="AE122" s="18"/>
      <c r="AF122" s="18"/>
      <c r="AG122" s="18"/>
      <c r="AH122" s="18"/>
      <c r="AI122" s="18"/>
      <c r="AJ122" s="18"/>
      <c r="AK122" s="18"/>
      <c r="AL122" s="18"/>
      <c r="AM122" s="18"/>
      <c r="AN122" s="18"/>
      <c r="AO122" s="18"/>
      <c r="AP122" s="18"/>
      <c r="AQ122" s="18"/>
      <c r="AR122" s="18"/>
      <c r="AS122" s="18"/>
      <c r="AT122" s="18"/>
      <c r="AU122" s="18"/>
    </row>
    <row r="123" spans="1:47" s="20" customFormat="1" x14ac:dyDescent="0.2">
      <c r="A123" s="12"/>
      <c r="B123" s="18"/>
      <c r="C123" s="18"/>
      <c r="D123" s="18"/>
      <c r="E123" s="18"/>
      <c r="F123" s="18"/>
      <c r="G123" s="18"/>
      <c r="H123" s="18"/>
      <c r="I123" s="18"/>
      <c r="J123" s="18"/>
      <c r="K123" s="18"/>
      <c r="L123" s="18"/>
      <c r="M123" s="18"/>
      <c r="N123" s="18"/>
      <c r="O123" s="18"/>
      <c r="P123" s="18"/>
      <c r="Q123" s="18"/>
      <c r="R123" s="18"/>
      <c r="S123" s="18"/>
      <c r="T123" s="18"/>
      <c r="U123" s="18"/>
      <c r="V123" s="18"/>
      <c r="W123" s="18"/>
      <c r="X123" s="18"/>
      <c r="Y123" s="18"/>
      <c r="Z123" s="18"/>
      <c r="AA123" s="18"/>
      <c r="AB123" s="18"/>
      <c r="AC123" s="18"/>
      <c r="AD123" s="18"/>
      <c r="AE123" s="18"/>
      <c r="AF123" s="18"/>
      <c r="AG123" s="18"/>
      <c r="AH123" s="18"/>
      <c r="AI123" s="18"/>
      <c r="AJ123" s="18"/>
      <c r="AK123" s="18"/>
      <c r="AL123" s="18"/>
      <c r="AM123" s="18"/>
      <c r="AN123" s="18"/>
      <c r="AO123" s="18"/>
      <c r="AP123" s="18"/>
      <c r="AQ123" s="18"/>
      <c r="AR123" s="18"/>
      <c r="AS123" s="18"/>
      <c r="AT123" s="18"/>
      <c r="AU123" s="18"/>
    </row>
    <row r="124" spans="1:47" s="20" customFormat="1" x14ac:dyDescent="0.2">
      <c r="A124" s="12"/>
      <c r="B124" s="18"/>
      <c r="C124" s="18"/>
      <c r="D124" s="18"/>
      <c r="E124" s="18"/>
      <c r="F124" s="18"/>
      <c r="G124" s="18"/>
      <c r="H124" s="18"/>
      <c r="I124" s="18"/>
      <c r="J124" s="18"/>
      <c r="K124" s="18"/>
      <c r="L124" s="18"/>
      <c r="M124" s="18"/>
      <c r="N124" s="18"/>
      <c r="O124" s="18"/>
      <c r="P124" s="18"/>
      <c r="Q124" s="18"/>
      <c r="R124" s="18"/>
      <c r="S124" s="18"/>
      <c r="T124" s="18"/>
      <c r="U124" s="18"/>
      <c r="V124" s="18"/>
      <c r="W124" s="18"/>
      <c r="X124" s="18"/>
      <c r="Y124" s="18"/>
      <c r="Z124" s="18"/>
      <c r="AA124" s="18"/>
      <c r="AB124" s="18"/>
      <c r="AC124" s="18"/>
      <c r="AD124" s="18"/>
      <c r="AE124" s="18"/>
      <c r="AF124" s="18"/>
      <c r="AG124" s="18"/>
      <c r="AH124" s="18"/>
      <c r="AI124" s="18"/>
      <c r="AJ124" s="18"/>
      <c r="AK124" s="18"/>
      <c r="AL124" s="18"/>
      <c r="AM124" s="18"/>
      <c r="AN124" s="18"/>
      <c r="AO124" s="18"/>
      <c r="AP124" s="18"/>
      <c r="AQ124" s="18"/>
      <c r="AR124" s="18"/>
      <c r="AS124" s="18"/>
      <c r="AT124" s="18"/>
      <c r="AU124" s="18"/>
    </row>
    <row r="125" spans="1:47" s="20" customFormat="1" x14ac:dyDescent="0.2">
      <c r="A125" s="12"/>
      <c r="B125" s="18"/>
      <c r="C125" s="18"/>
      <c r="D125" s="18"/>
      <c r="E125" s="18"/>
      <c r="F125" s="18"/>
      <c r="G125" s="18"/>
      <c r="H125" s="18"/>
      <c r="I125" s="18"/>
      <c r="J125" s="18"/>
      <c r="K125" s="18"/>
      <c r="L125" s="18"/>
      <c r="M125" s="18"/>
      <c r="N125" s="18"/>
      <c r="O125" s="18"/>
      <c r="P125" s="18"/>
      <c r="Q125" s="18"/>
      <c r="R125" s="18"/>
      <c r="S125" s="18"/>
      <c r="T125" s="18"/>
      <c r="U125" s="18"/>
      <c r="V125" s="18"/>
      <c r="W125" s="18"/>
      <c r="X125" s="18"/>
      <c r="Y125" s="18"/>
      <c r="Z125" s="18"/>
      <c r="AA125" s="18"/>
      <c r="AB125" s="18"/>
      <c r="AC125" s="18"/>
      <c r="AD125" s="18"/>
      <c r="AE125" s="18"/>
      <c r="AF125" s="18"/>
      <c r="AG125" s="18"/>
      <c r="AH125" s="18"/>
      <c r="AI125" s="18"/>
      <c r="AJ125" s="18"/>
      <c r="AK125" s="18"/>
      <c r="AL125" s="18"/>
      <c r="AM125" s="18"/>
      <c r="AN125" s="18"/>
      <c r="AO125" s="18"/>
      <c r="AP125" s="18"/>
      <c r="AQ125" s="18"/>
      <c r="AR125" s="18"/>
      <c r="AS125" s="18"/>
      <c r="AT125" s="18"/>
      <c r="AU125" s="18"/>
    </row>
    <row r="126" spans="1:47" s="20" customFormat="1" x14ac:dyDescent="0.2">
      <c r="A126" s="12"/>
      <c r="B126" s="18"/>
      <c r="C126" s="18"/>
      <c r="D126" s="18"/>
      <c r="E126" s="18"/>
      <c r="F126" s="18"/>
      <c r="G126" s="18"/>
      <c r="H126" s="18"/>
      <c r="I126" s="18"/>
      <c r="J126" s="18"/>
      <c r="K126" s="18"/>
      <c r="L126" s="18"/>
      <c r="M126" s="18"/>
      <c r="N126" s="18"/>
      <c r="O126" s="18"/>
      <c r="P126" s="18"/>
      <c r="Q126" s="18"/>
      <c r="R126" s="18"/>
      <c r="S126" s="18"/>
      <c r="T126" s="18"/>
      <c r="U126" s="18"/>
      <c r="V126" s="18"/>
      <c r="W126" s="18"/>
      <c r="X126" s="18"/>
      <c r="Y126" s="18"/>
      <c r="Z126" s="18"/>
      <c r="AA126" s="18"/>
      <c r="AB126" s="18"/>
      <c r="AC126" s="18"/>
      <c r="AD126" s="18"/>
      <c r="AE126" s="18"/>
      <c r="AF126" s="18"/>
      <c r="AG126" s="18"/>
      <c r="AH126" s="18"/>
      <c r="AI126" s="18"/>
      <c r="AJ126" s="18"/>
      <c r="AK126" s="18"/>
      <c r="AL126" s="18"/>
      <c r="AM126" s="18"/>
      <c r="AN126" s="18"/>
      <c r="AO126" s="18"/>
      <c r="AP126" s="18"/>
      <c r="AQ126" s="18"/>
      <c r="AR126" s="18"/>
      <c r="AS126" s="18"/>
      <c r="AT126" s="18"/>
      <c r="AU126" s="18"/>
    </row>
    <row r="127" spans="1:47" s="20" customFormat="1" x14ac:dyDescent="0.2">
      <c r="A127" s="12"/>
      <c r="B127" s="18"/>
      <c r="C127" s="18"/>
      <c r="D127" s="18"/>
      <c r="E127" s="18"/>
      <c r="F127" s="18"/>
      <c r="G127" s="18"/>
      <c r="H127" s="18"/>
      <c r="I127" s="18"/>
      <c r="J127" s="18"/>
      <c r="K127" s="18"/>
      <c r="L127" s="18"/>
      <c r="M127" s="18"/>
      <c r="N127" s="18"/>
      <c r="O127" s="18"/>
      <c r="P127" s="18"/>
      <c r="Q127" s="18"/>
      <c r="R127" s="18"/>
      <c r="S127" s="18"/>
      <c r="T127" s="18"/>
      <c r="U127" s="18"/>
      <c r="V127" s="18"/>
      <c r="W127" s="18"/>
      <c r="X127" s="18"/>
      <c r="Y127" s="18"/>
      <c r="Z127" s="18"/>
      <c r="AA127" s="18"/>
      <c r="AB127" s="18"/>
      <c r="AC127" s="18"/>
      <c r="AD127" s="18"/>
      <c r="AE127" s="18"/>
      <c r="AF127" s="18"/>
      <c r="AG127" s="18"/>
      <c r="AH127" s="18"/>
      <c r="AI127" s="18"/>
      <c r="AJ127" s="18"/>
      <c r="AK127" s="18"/>
      <c r="AL127" s="18"/>
      <c r="AM127" s="18"/>
      <c r="AN127" s="18"/>
      <c r="AO127" s="18"/>
      <c r="AP127" s="18"/>
      <c r="AQ127" s="18"/>
      <c r="AR127" s="18"/>
      <c r="AS127" s="18"/>
      <c r="AT127" s="18"/>
      <c r="AU127" s="18"/>
    </row>
    <row r="128" spans="1:47" s="20" customFormat="1" x14ac:dyDescent="0.2">
      <c r="A128" s="12"/>
      <c r="B128" s="18"/>
      <c r="C128" s="18"/>
      <c r="D128" s="18"/>
      <c r="E128" s="18"/>
      <c r="F128" s="18"/>
      <c r="G128" s="18"/>
      <c r="H128" s="18"/>
      <c r="I128" s="18"/>
      <c r="J128" s="18"/>
      <c r="K128" s="18"/>
      <c r="L128" s="18"/>
      <c r="M128" s="18"/>
      <c r="N128" s="18"/>
      <c r="O128" s="18"/>
      <c r="P128" s="18"/>
      <c r="Q128" s="18"/>
      <c r="R128" s="18"/>
      <c r="S128" s="18"/>
      <c r="T128" s="18"/>
      <c r="U128" s="18"/>
      <c r="V128" s="18"/>
      <c r="W128" s="18"/>
      <c r="X128" s="18"/>
      <c r="Y128" s="18"/>
      <c r="Z128" s="18"/>
      <c r="AA128" s="18"/>
      <c r="AB128" s="18"/>
      <c r="AC128" s="18"/>
      <c r="AD128" s="18"/>
      <c r="AE128" s="18"/>
      <c r="AF128" s="18"/>
      <c r="AG128" s="18"/>
      <c r="AH128" s="18"/>
      <c r="AI128" s="18"/>
      <c r="AJ128" s="18"/>
      <c r="AK128" s="18"/>
      <c r="AL128" s="18"/>
      <c r="AM128" s="18"/>
      <c r="AN128" s="18"/>
      <c r="AO128" s="18"/>
      <c r="AP128" s="18"/>
      <c r="AQ128" s="18"/>
      <c r="AR128" s="18"/>
      <c r="AS128" s="18"/>
      <c r="AT128" s="18"/>
      <c r="AU128" s="18"/>
    </row>
    <row r="129" spans="1:47" s="20" customFormat="1" x14ac:dyDescent="0.2">
      <c r="A129" s="12"/>
      <c r="B129" s="18"/>
      <c r="C129" s="18"/>
      <c r="D129" s="18"/>
      <c r="E129" s="18"/>
      <c r="F129" s="18"/>
      <c r="G129" s="18"/>
      <c r="H129" s="18"/>
      <c r="I129" s="18"/>
      <c r="J129" s="18"/>
      <c r="K129" s="18"/>
      <c r="L129" s="18"/>
      <c r="M129" s="18"/>
      <c r="N129" s="18"/>
      <c r="O129" s="18"/>
      <c r="P129" s="18"/>
      <c r="Q129" s="18"/>
      <c r="R129" s="18"/>
      <c r="S129" s="18"/>
      <c r="T129" s="18"/>
      <c r="U129" s="18"/>
      <c r="V129" s="18"/>
      <c r="W129" s="18"/>
      <c r="X129" s="18"/>
      <c r="Y129" s="18"/>
      <c r="Z129" s="18"/>
      <c r="AA129" s="18"/>
      <c r="AB129" s="18"/>
      <c r="AC129" s="18"/>
      <c r="AD129" s="18"/>
      <c r="AE129" s="18"/>
      <c r="AF129" s="18"/>
      <c r="AG129" s="18"/>
      <c r="AH129" s="18"/>
      <c r="AI129" s="18"/>
      <c r="AJ129" s="18"/>
      <c r="AK129" s="18"/>
      <c r="AL129" s="18"/>
      <c r="AM129" s="18"/>
      <c r="AN129" s="18"/>
      <c r="AO129" s="18"/>
      <c r="AP129" s="18"/>
      <c r="AQ129" s="18"/>
      <c r="AR129" s="18"/>
      <c r="AS129" s="18"/>
      <c r="AT129" s="18"/>
      <c r="AU129" s="18"/>
    </row>
    <row r="130" spans="1:47" s="20" customFormat="1" x14ac:dyDescent="0.2">
      <c r="A130" s="12"/>
      <c r="B130" s="18"/>
      <c r="C130" s="18"/>
      <c r="D130" s="18"/>
      <c r="E130" s="18"/>
      <c r="F130" s="18"/>
      <c r="G130" s="18"/>
      <c r="H130" s="18"/>
      <c r="I130" s="18"/>
      <c r="J130" s="18"/>
      <c r="K130" s="18"/>
      <c r="L130" s="18"/>
      <c r="M130" s="18"/>
      <c r="N130" s="18"/>
      <c r="O130" s="18"/>
      <c r="P130" s="18"/>
      <c r="Q130" s="18"/>
      <c r="R130" s="18"/>
      <c r="S130" s="18"/>
      <c r="T130" s="18"/>
      <c r="U130" s="18"/>
      <c r="V130" s="18"/>
      <c r="W130" s="18"/>
      <c r="X130" s="18"/>
      <c r="Y130" s="18"/>
      <c r="Z130" s="18"/>
      <c r="AA130" s="18"/>
      <c r="AB130" s="18"/>
      <c r="AC130" s="18"/>
      <c r="AD130" s="18"/>
      <c r="AE130" s="18"/>
      <c r="AF130" s="18"/>
      <c r="AG130" s="18"/>
      <c r="AH130" s="18"/>
      <c r="AI130" s="18"/>
      <c r="AJ130" s="18"/>
      <c r="AK130" s="18"/>
      <c r="AL130" s="18"/>
      <c r="AM130" s="18"/>
      <c r="AN130" s="18"/>
      <c r="AO130" s="18"/>
      <c r="AP130" s="18"/>
      <c r="AQ130" s="18"/>
      <c r="AR130" s="18"/>
      <c r="AS130" s="18"/>
      <c r="AT130" s="18"/>
      <c r="AU130" s="18"/>
    </row>
    <row r="131" spans="1:47" s="20" customFormat="1" x14ac:dyDescent="0.2">
      <c r="A131" s="12"/>
      <c r="B131" s="18"/>
      <c r="C131" s="18"/>
      <c r="D131" s="18"/>
      <c r="E131" s="18"/>
      <c r="F131" s="18"/>
      <c r="G131" s="18"/>
      <c r="H131" s="18"/>
      <c r="I131" s="18"/>
      <c r="J131" s="18"/>
      <c r="K131" s="18"/>
      <c r="L131" s="18"/>
      <c r="M131" s="18"/>
      <c r="N131" s="18"/>
      <c r="O131" s="18"/>
      <c r="P131" s="18"/>
      <c r="Q131" s="18"/>
      <c r="R131" s="18"/>
      <c r="S131" s="18"/>
      <c r="T131" s="18"/>
      <c r="U131" s="18"/>
      <c r="V131" s="18"/>
      <c r="W131" s="18"/>
      <c r="X131" s="18"/>
      <c r="Y131" s="18"/>
      <c r="Z131" s="18"/>
      <c r="AA131" s="18"/>
      <c r="AB131" s="18"/>
      <c r="AC131" s="18"/>
      <c r="AD131" s="18"/>
      <c r="AE131" s="18"/>
      <c r="AF131" s="18"/>
      <c r="AG131" s="18"/>
      <c r="AH131" s="18"/>
      <c r="AI131" s="18"/>
      <c r="AJ131" s="18"/>
      <c r="AK131" s="18"/>
      <c r="AL131" s="18"/>
      <c r="AM131" s="18"/>
      <c r="AN131" s="18"/>
      <c r="AO131" s="18"/>
      <c r="AP131" s="18"/>
      <c r="AQ131" s="18"/>
      <c r="AR131" s="18"/>
      <c r="AS131" s="18"/>
      <c r="AT131" s="18"/>
      <c r="AU131" s="18"/>
    </row>
    <row r="132" spans="1:47" s="20" customFormat="1" x14ac:dyDescent="0.2">
      <c r="A132" s="12"/>
      <c r="B132" s="18"/>
      <c r="C132" s="18"/>
      <c r="D132" s="18"/>
      <c r="E132" s="18"/>
      <c r="F132" s="18"/>
      <c r="G132" s="18"/>
      <c r="H132" s="18"/>
      <c r="I132" s="18"/>
      <c r="J132" s="18"/>
      <c r="K132" s="18"/>
      <c r="L132" s="18"/>
      <c r="M132" s="18"/>
      <c r="N132" s="18"/>
      <c r="O132" s="18"/>
      <c r="P132" s="18"/>
      <c r="Q132" s="18"/>
      <c r="R132" s="18"/>
      <c r="S132" s="18"/>
      <c r="T132" s="18"/>
      <c r="U132" s="18"/>
      <c r="V132" s="18"/>
      <c r="W132" s="18"/>
      <c r="X132" s="18"/>
      <c r="Y132" s="18"/>
      <c r="Z132" s="18"/>
      <c r="AA132" s="18"/>
      <c r="AB132" s="18"/>
      <c r="AC132" s="18"/>
      <c r="AD132" s="18"/>
      <c r="AE132" s="18"/>
      <c r="AF132" s="18"/>
      <c r="AG132" s="18"/>
      <c r="AH132" s="18"/>
      <c r="AI132" s="18"/>
      <c r="AJ132" s="18"/>
      <c r="AK132" s="18"/>
      <c r="AL132" s="18"/>
      <c r="AM132" s="18"/>
      <c r="AN132" s="18"/>
      <c r="AO132" s="18"/>
      <c r="AP132" s="18"/>
      <c r="AQ132" s="18"/>
      <c r="AR132" s="18"/>
      <c r="AS132" s="18"/>
      <c r="AT132" s="18"/>
      <c r="AU132" s="18"/>
    </row>
    <row r="133" spans="1:47" s="20" customFormat="1" x14ac:dyDescent="0.2">
      <c r="A133" s="12"/>
      <c r="B133" s="18"/>
      <c r="C133" s="18"/>
      <c r="D133" s="18"/>
      <c r="E133" s="18"/>
      <c r="F133" s="18"/>
      <c r="G133" s="18"/>
      <c r="H133" s="18"/>
      <c r="I133" s="18"/>
      <c r="J133" s="18"/>
      <c r="K133" s="18"/>
      <c r="L133" s="18"/>
      <c r="M133" s="18"/>
      <c r="N133" s="18"/>
      <c r="O133" s="18"/>
      <c r="P133" s="18"/>
      <c r="Q133" s="18"/>
      <c r="R133" s="18"/>
      <c r="S133" s="18"/>
      <c r="T133" s="18"/>
      <c r="U133" s="18"/>
      <c r="V133" s="18"/>
      <c r="W133" s="18"/>
      <c r="X133" s="18"/>
      <c r="Y133" s="18"/>
      <c r="Z133" s="18"/>
      <c r="AA133" s="18"/>
      <c r="AB133" s="18"/>
      <c r="AC133" s="18"/>
      <c r="AD133" s="18"/>
      <c r="AE133" s="18"/>
      <c r="AF133" s="18"/>
      <c r="AG133" s="18"/>
      <c r="AH133" s="18"/>
      <c r="AI133" s="18"/>
      <c r="AJ133" s="18"/>
      <c r="AK133" s="18"/>
      <c r="AL133" s="18"/>
      <c r="AM133" s="18"/>
      <c r="AN133" s="18"/>
      <c r="AO133" s="18"/>
      <c r="AP133" s="18"/>
      <c r="AQ133" s="18"/>
      <c r="AR133" s="18"/>
      <c r="AS133" s="18"/>
      <c r="AT133" s="18"/>
      <c r="AU133" s="18"/>
    </row>
    <row r="134" spans="1:47" s="20" customFormat="1" x14ac:dyDescent="0.2">
      <c r="A134" s="12"/>
      <c r="B134" s="18"/>
      <c r="C134" s="18"/>
      <c r="D134" s="18"/>
      <c r="E134" s="18"/>
      <c r="F134" s="18"/>
      <c r="G134" s="18"/>
      <c r="H134" s="18"/>
      <c r="I134" s="18"/>
      <c r="J134" s="18"/>
      <c r="K134" s="18"/>
      <c r="L134" s="18"/>
      <c r="M134" s="18"/>
      <c r="N134" s="18"/>
      <c r="O134" s="18"/>
      <c r="P134" s="18"/>
      <c r="Q134" s="18"/>
      <c r="R134" s="18"/>
      <c r="S134" s="18"/>
      <c r="T134" s="18"/>
      <c r="U134" s="18"/>
      <c r="V134" s="18"/>
      <c r="W134" s="18"/>
      <c r="X134" s="18"/>
      <c r="Y134" s="18"/>
      <c r="Z134" s="18"/>
      <c r="AA134" s="18"/>
      <c r="AB134" s="18"/>
      <c r="AC134" s="18"/>
      <c r="AD134" s="18"/>
      <c r="AE134" s="18"/>
      <c r="AF134" s="18"/>
      <c r="AG134" s="18"/>
      <c r="AH134" s="18"/>
      <c r="AI134" s="18"/>
      <c r="AJ134" s="18"/>
      <c r="AK134" s="18"/>
      <c r="AL134" s="18"/>
      <c r="AM134" s="18"/>
      <c r="AN134" s="18"/>
      <c r="AO134" s="18"/>
      <c r="AP134" s="18"/>
      <c r="AQ134" s="18"/>
      <c r="AR134" s="18"/>
      <c r="AS134" s="18"/>
      <c r="AT134" s="18"/>
      <c r="AU134" s="18"/>
    </row>
    <row r="135" spans="1:47" s="20" customFormat="1" x14ac:dyDescent="0.2">
      <c r="A135" s="12"/>
      <c r="B135" s="18"/>
      <c r="C135" s="18"/>
      <c r="D135" s="18"/>
      <c r="E135" s="18"/>
      <c r="F135" s="18"/>
      <c r="G135" s="18"/>
      <c r="H135" s="18"/>
      <c r="I135" s="18"/>
      <c r="J135" s="18"/>
      <c r="K135" s="18"/>
      <c r="L135" s="18"/>
      <c r="M135" s="18"/>
      <c r="N135" s="18"/>
      <c r="O135" s="18"/>
      <c r="P135" s="18"/>
      <c r="Q135" s="18"/>
      <c r="R135" s="18"/>
      <c r="S135" s="18"/>
      <c r="T135" s="18"/>
      <c r="U135" s="18"/>
      <c r="V135" s="18"/>
      <c r="W135" s="18"/>
      <c r="X135" s="18"/>
      <c r="Y135" s="18"/>
      <c r="Z135" s="18"/>
      <c r="AA135" s="18"/>
      <c r="AB135" s="18"/>
      <c r="AC135" s="18"/>
      <c r="AD135" s="18"/>
      <c r="AE135" s="18"/>
      <c r="AF135" s="18"/>
      <c r="AG135" s="18"/>
      <c r="AH135" s="18"/>
      <c r="AI135" s="18"/>
      <c r="AJ135" s="18"/>
      <c r="AK135" s="18"/>
      <c r="AL135" s="18"/>
      <c r="AM135" s="18"/>
      <c r="AN135" s="18"/>
      <c r="AO135" s="18"/>
      <c r="AP135" s="18"/>
      <c r="AQ135" s="18"/>
      <c r="AR135" s="18"/>
      <c r="AS135" s="18"/>
      <c r="AT135" s="18"/>
      <c r="AU135" s="18"/>
    </row>
    <row r="136" spans="1:47" s="20" customFormat="1" x14ac:dyDescent="0.2">
      <c r="A136" s="12"/>
      <c r="B136" s="18"/>
      <c r="C136" s="18"/>
      <c r="D136" s="18"/>
      <c r="E136" s="18"/>
      <c r="F136" s="18"/>
      <c r="G136" s="18"/>
      <c r="H136" s="18"/>
      <c r="I136" s="18"/>
      <c r="J136" s="18"/>
      <c r="K136" s="18"/>
      <c r="L136" s="18"/>
      <c r="M136" s="18"/>
      <c r="N136" s="18"/>
      <c r="O136" s="18"/>
      <c r="P136" s="18"/>
      <c r="Q136" s="18"/>
      <c r="R136" s="18"/>
      <c r="S136" s="18"/>
      <c r="T136" s="18"/>
      <c r="U136" s="18"/>
      <c r="V136" s="18"/>
      <c r="W136" s="18"/>
      <c r="X136" s="18"/>
      <c r="Y136" s="18"/>
      <c r="Z136" s="18"/>
      <c r="AA136" s="18"/>
      <c r="AB136" s="18"/>
      <c r="AC136" s="18"/>
      <c r="AD136" s="18"/>
      <c r="AE136" s="18"/>
      <c r="AF136" s="18"/>
      <c r="AG136" s="18"/>
      <c r="AH136" s="18"/>
      <c r="AI136" s="18"/>
      <c r="AJ136" s="18"/>
      <c r="AK136" s="18"/>
      <c r="AL136" s="18"/>
      <c r="AM136" s="18"/>
      <c r="AN136" s="18"/>
      <c r="AO136" s="18"/>
      <c r="AP136" s="18"/>
      <c r="AQ136" s="18"/>
      <c r="AR136" s="18"/>
      <c r="AS136" s="18"/>
      <c r="AT136" s="18"/>
      <c r="AU136" s="18"/>
    </row>
    <row r="137" spans="1:47" s="20" customFormat="1" x14ac:dyDescent="0.2">
      <c r="A137" s="12"/>
      <c r="B137" s="18"/>
      <c r="C137" s="18"/>
      <c r="D137" s="18"/>
      <c r="E137" s="18"/>
      <c r="F137" s="18"/>
      <c r="G137" s="18"/>
      <c r="H137" s="18"/>
      <c r="I137" s="18"/>
      <c r="J137" s="18"/>
      <c r="K137" s="18"/>
      <c r="L137" s="18"/>
      <c r="M137" s="18"/>
      <c r="N137" s="18"/>
      <c r="O137" s="18"/>
      <c r="P137" s="18"/>
      <c r="Q137" s="18"/>
      <c r="R137" s="18"/>
      <c r="S137" s="18"/>
      <c r="T137" s="18"/>
      <c r="U137" s="18"/>
      <c r="V137" s="18"/>
      <c r="W137" s="18"/>
      <c r="X137" s="18"/>
      <c r="Y137" s="18"/>
      <c r="Z137" s="18"/>
      <c r="AA137" s="18"/>
      <c r="AB137" s="18"/>
      <c r="AC137" s="18"/>
      <c r="AD137" s="18"/>
      <c r="AE137" s="18"/>
      <c r="AF137" s="18"/>
      <c r="AG137" s="18"/>
      <c r="AH137" s="18"/>
      <c r="AI137" s="18"/>
      <c r="AJ137" s="18"/>
      <c r="AK137" s="18"/>
      <c r="AL137" s="18"/>
      <c r="AM137" s="18"/>
      <c r="AN137" s="18"/>
      <c r="AO137" s="18"/>
      <c r="AP137" s="18"/>
      <c r="AQ137" s="18"/>
      <c r="AR137" s="18"/>
      <c r="AS137" s="18"/>
      <c r="AT137" s="18"/>
      <c r="AU137" s="18"/>
    </row>
    <row r="138" spans="1:47" s="20" customFormat="1" x14ac:dyDescent="0.2">
      <c r="A138" s="12"/>
      <c r="B138" s="18"/>
      <c r="C138" s="18"/>
      <c r="D138" s="18"/>
      <c r="E138" s="18"/>
      <c r="F138" s="18"/>
      <c r="G138" s="18"/>
      <c r="H138" s="18"/>
      <c r="I138" s="18"/>
      <c r="J138" s="18"/>
      <c r="K138" s="18"/>
      <c r="L138" s="18"/>
      <c r="M138" s="18"/>
      <c r="N138" s="18"/>
      <c r="O138" s="18"/>
      <c r="P138" s="18"/>
      <c r="Q138" s="18"/>
      <c r="R138" s="18"/>
      <c r="S138" s="18"/>
      <c r="T138" s="18"/>
      <c r="U138" s="18"/>
      <c r="V138" s="18"/>
      <c r="W138" s="18"/>
      <c r="X138" s="18"/>
      <c r="Y138" s="18"/>
      <c r="Z138" s="18"/>
      <c r="AA138" s="18"/>
      <c r="AB138" s="18"/>
      <c r="AC138" s="18"/>
      <c r="AD138" s="18"/>
      <c r="AE138" s="18"/>
      <c r="AF138" s="18"/>
      <c r="AG138" s="18"/>
      <c r="AH138" s="18"/>
      <c r="AI138" s="18"/>
      <c r="AJ138" s="18"/>
      <c r="AK138" s="18"/>
      <c r="AL138" s="18"/>
      <c r="AM138" s="18"/>
      <c r="AN138" s="18"/>
      <c r="AO138" s="18"/>
      <c r="AP138" s="18"/>
      <c r="AQ138" s="18"/>
      <c r="AR138" s="18"/>
      <c r="AS138" s="18"/>
      <c r="AT138" s="18"/>
      <c r="AU138" s="18"/>
    </row>
    <row r="139" spans="1:47" s="20" customFormat="1" x14ac:dyDescent="0.2">
      <c r="A139" s="12"/>
      <c r="B139" s="18"/>
      <c r="C139" s="18"/>
      <c r="D139" s="18"/>
      <c r="E139" s="18"/>
      <c r="F139" s="18"/>
      <c r="G139" s="18"/>
      <c r="H139" s="18"/>
      <c r="I139" s="18"/>
      <c r="J139" s="18"/>
      <c r="K139" s="18"/>
      <c r="L139" s="18"/>
      <c r="M139" s="18"/>
      <c r="N139" s="18"/>
      <c r="O139" s="18"/>
      <c r="P139" s="18"/>
      <c r="Q139" s="18"/>
      <c r="R139" s="18"/>
      <c r="S139" s="18"/>
      <c r="T139" s="18"/>
      <c r="U139" s="18"/>
      <c r="V139" s="18"/>
      <c r="W139" s="18"/>
      <c r="X139" s="18"/>
      <c r="Y139" s="18"/>
      <c r="Z139" s="18"/>
      <c r="AA139" s="18"/>
      <c r="AB139" s="18"/>
      <c r="AC139" s="18"/>
      <c r="AD139" s="18"/>
      <c r="AE139" s="18"/>
      <c r="AF139" s="18"/>
      <c r="AG139" s="18"/>
      <c r="AH139" s="18"/>
      <c r="AI139" s="18"/>
      <c r="AJ139" s="18"/>
      <c r="AK139" s="18"/>
      <c r="AL139" s="18"/>
      <c r="AM139" s="18"/>
      <c r="AN139" s="18"/>
      <c r="AO139" s="18"/>
      <c r="AP139" s="18"/>
      <c r="AQ139" s="18"/>
      <c r="AR139" s="18"/>
      <c r="AS139" s="18"/>
      <c r="AT139" s="18"/>
      <c r="AU139" s="18"/>
    </row>
    <row r="140" spans="1:47" s="20" customFormat="1" x14ac:dyDescent="0.2">
      <c r="A140" s="12"/>
      <c r="B140" s="18"/>
      <c r="C140" s="18"/>
      <c r="D140" s="18"/>
      <c r="E140" s="18"/>
      <c r="F140" s="18"/>
      <c r="G140" s="18"/>
      <c r="H140" s="18"/>
      <c r="I140" s="18"/>
      <c r="J140" s="18"/>
      <c r="K140" s="18"/>
      <c r="L140" s="18"/>
      <c r="M140" s="18"/>
      <c r="N140" s="18"/>
      <c r="O140" s="18"/>
      <c r="P140" s="18"/>
      <c r="Q140" s="18"/>
      <c r="R140" s="18"/>
      <c r="S140" s="18"/>
      <c r="T140" s="18"/>
      <c r="U140" s="18"/>
      <c r="V140" s="18"/>
      <c r="W140" s="18"/>
      <c r="X140" s="18"/>
      <c r="Y140" s="18"/>
      <c r="Z140" s="18"/>
      <c r="AA140" s="18"/>
      <c r="AB140" s="18"/>
      <c r="AC140" s="18"/>
      <c r="AD140" s="18"/>
      <c r="AE140" s="18"/>
      <c r="AF140" s="18"/>
      <c r="AG140" s="18"/>
      <c r="AH140" s="18"/>
      <c r="AI140" s="18"/>
      <c r="AJ140" s="18"/>
      <c r="AK140" s="18"/>
      <c r="AL140" s="18"/>
      <c r="AM140" s="18"/>
      <c r="AN140" s="18"/>
      <c r="AO140" s="18"/>
      <c r="AP140" s="18"/>
      <c r="AQ140" s="18"/>
      <c r="AR140" s="18"/>
      <c r="AS140" s="18"/>
      <c r="AT140" s="18"/>
      <c r="AU140" s="18"/>
    </row>
    <row r="141" spans="1:47" s="20" customFormat="1" x14ac:dyDescent="0.2">
      <c r="A141" s="12"/>
      <c r="B141" s="18"/>
      <c r="C141" s="18"/>
      <c r="D141" s="18"/>
      <c r="E141" s="18"/>
      <c r="F141" s="18"/>
      <c r="G141" s="18"/>
      <c r="H141" s="18"/>
      <c r="I141" s="18"/>
      <c r="J141" s="18"/>
      <c r="K141" s="18"/>
      <c r="L141" s="18"/>
      <c r="M141" s="18"/>
      <c r="N141" s="18"/>
      <c r="O141" s="18"/>
      <c r="P141" s="18"/>
      <c r="Q141" s="18"/>
      <c r="R141" s="18"/>
      <c r="S141" s="18"/>
      <c r="T141" s="18"/>
      <c r="U141" s="18"/>
      <c r="V141" s="18"/>
      <c r="W141" s="18"/>
      <c r="X141" s="18"/>
      <c r="Y141" s="18"/>
      <c r="Z141" s="18"/>
      <c r="AA141" s="18"/>
      <c r="AB141" s="18"/>
      <c r="AC141" s="18"/>
      <c r="AD141" s="18"/>
      <c r="AE141" s="18"/>
      <c r="AF141" s="18"/>
      <c r="AG141" s="18"/>
      <c r="AH141" s="18"/>
      <c r="AI141" s="18"/>
      <c r="AJ141" s="18"/>
      <c r="AK141" s="18"/>
      <c r="AL141" s="18"/>
      <c r="AM141" s="18"/>
      <c r="AN141" s="18"/>
      <c r="AO141" s="18"/>
      <c r="AP141" s="18"/>
      <c r="AQ141" s="18"/>
      <c r="AR141" s="18"/>
      <c r="AS141" s="18"/>
      <c r="AT141" s="18"/>
      <c r="AU141" s="18"/>
    </row>
    <row r="142" spans="1:47" s="20" customFormat="1" x14ac:dyDescent="0.2">
      <c r="A142" s="12"/>
      <c r="B142" s="18"/>
      <c r="C142" s="18"/>
      <c r="D142" s="18"/>
      <c r="E142" s="18"/>
      <c r="F142" s="18"/>
      <c r="G142" s="18"/>
      <c r="H142" s="18"/>
      <c r="I142" s="18"/>
      <c r="J142" s="18"/>
      <c r="K142" s="18"/>
      <c r="L142" s="18"/>
      <c r="M142" s="18"/>
      <c r="N142" s="18"/>
      <c r="O142" s="18"/>
      <c r="P142" s="18"/>
      <c r="Q142" s="18"/>
      <c r="R142" s="18"/>
      <c r="S142" s="18"/>
      <c r="T142" s="18"/>
      <c r="U142" s="18"/>
      <c r="V142" s="18"/>
      <c r="W142" s="18"/>
      <c r="X142" s="18"/>
      <c r="Y142" s="18"/>
      <c r="Z142" s="18"/>
      <c r="AA142" s="18"/>
      <c r="AB142" s="18"/>
      <c r="AC142" s="18"/>
      <c r="AD142" s="18"/>
      <c r="AE142" s="18"/>
      <c r="AF142" s="18"/>
      <c r="AG142" s="18"/>
      <c r="AH142" s="18"/>
      <c r="AI142" s="18"/>
      <c r="AJ142" s="18"/>
      <c r="AK142" s="18"/>
      <c r="AL142" s="18"/>
      <c r="AM142" s="18"/>
      <c r="AN142" s="18"/>
      <c r="AO142" s="18"/>
      <c r="AP142" s="18"/>
      <c r="AQ142" s="18"/>
      <c r="AR142" s="18"/>
      <c r="AS142" s="18"/>
      <c r="AT142" s="18"/>
      <c r="AU142" s="18"/>
    </row>
    <row r="143" spans="1:47" s="20" customFormat="1" x14ac:dyDescent="0.2">
      <c r="A143" s="12"/>
      <c r="B143" s="18"/>
      <c r="C143" s="18"/>
      <c r="D143" s="18"/>
      <c r="E143" s="18"/>
      <c r="F143" s="18"/>
      <c r="G143" s="18"/>
      <c r="H143" s="18"/>
      <c r="I143" s="18"/>
      <c r="J143" s="18"/>
      <c r="K143" s="18"/>
      <c r="L143" s="18"/>
      <c r="M143" s="18"/>
      <c r="N143" s="18"/>
      <c r="O143" s="18"/>
      <c r="P143" s="18"/>
      <c r="Q143" s="18"/>
      <c r="R143" s="18"/>
      <c r="S143" s="18"/>
      <c r="T143" s="18"/>
      <c r="U143" s="18"/>
      <c r="V143" s="18"/>
      <c r="W143" s="18"/>
      <c r="X143" s="18"/>
      <c r="Y143" s="18"/>
      <c r="Z143" s="18"/>
      <c r="AA143" s="18"/>
      <c r="AB143" s="18"/>
      <c r="AC143" s="18"/>
      <c r="AD143" s="18"/>
      <c r="AE143" s="18"/>
      <c r="AF143" s="18"/>
      <c r="AG143" s="18"/>
      <c r="AH143" s="18"/>
      <c r="AI143" s="18"/>
      <c r="AJ143" s="18"/>
      <c r="AK143" s="18"/>
      <c r="AL143" s="18"/>
      <c r="AM143" s="18"/>
      <c r="AN143" s="18"/>
      <c r="AO143" s="18"/>
      <c r="AP143" s="18"/>
      <c r="AQ143" s="18"/>
      <c r="AR143" s="18"/>
      <c r="AS143" s="18"/>
      <c r="AT143" s="18"/>
      <c r="AU143" s="18"/>
    </row>
    <row r="144" spans="1:47" s="20" customFormat="1" x14ac:dyDescent="0.2">
      <c r="A144" s="12"/>
      <c r="B144" s="18"/>
      <c r="C144" s="18"/>
      <c r="D144" s="18"/>
      <c r="E144" s="18"/>
      <c r="F144" s="18"/>
      <c r="G144" s="18"/>
      <c r="H144" s="18"/>
      <c r="I144" s="18"/>
      <c r="J144" s="18"/>
      <c r="K144" s="18"/>
      <c r="L144" s="18"/>
      <c r="M144" s="18"/>
      <c r="N144" s="18"/>
      <c r="O144" s="18"/>
      <c r="P144" s="18"/>
      <c r="Q144" s="18"/>
      <c r="R144" s="18"/>
      <c r="S144" s="18"/>
      <c r="T144" s="18"/>
      <c r="U144" s="18"/>
      <c r="V144" s="18"/>
      <c r="W144" s="18"/>
      <c r="X144" s="18"/>
      <c r="Y144" s="18"/>
      <c r="Z144" s="18"/>
      <c r="AA144" s="18"/>
      <c r="AB144" s="18"/>
      <c r="AC144" s="18"/>
      <c r="AD144" s="18"/>
      <c r="AE144" s="18"/>
      <c r="AF144" s="18"/>
      <c r="AG144" s="18"/>
      <c r="AH144" s="18"/>
      <c r="AI144" s="18"/>
      <c r="AJ144" s="18"/>
      <c r="AK144" s="18"/>
      <c r="AL144" s="18"/>
      <c r="AM144" s="18"/>
      <c r="AN144" s="18"/>
      <c r="AO144" s="18"/>
      <c r="AP144" s="18"/>
      <c r="AQ144" s="18"/>
      <c r="AR144" s="18"/>
      <c r="AS144" s="18"/>
      <c r="AT144" s="18"/>
      <c r="AU144" s="18"/>
    </row>
    <row r="145" spans="1:47" s="20" customFormat="1" x14ac:dyDescent="0.2">
      <c r="A145" s="12"/>
      <c r="B145" s="18"/>
      <c r="C145" s="18"/>
      <c r="D145" s="18"/>
      <c r="E145" s="18"/>
      <c r="F145" s="18"/>
      <c r="G145" s="18"/>
      <c r="H145" s="18"/>
      <c r="I145" s="18"/>
      <c r="J145" s="18"/>
      <c r="K145" s="18"/>
      <c r="L145" s="18"/>
      <c r="M145" s="18"/>
      <c r="N145" s="18"/>
      <c r="O145" s="18"/>
      <c r="P145" s="18"/>
      <c r="Q145" s="18"/>
      <c r="R145" s="18"/>
      <c r="S145" s="18"/>
      <c r="T145" s="18"/>
      <c r="U145" s="18"/>
      <c r="V145" s="18"/>
      <c r="W145" s="18"/>
      <c r="X145" s="18"/>
      <c r="Y145" s="18"/>
      <c r="Z145" s="18"/>
      <c r="AA145" s="18"/>
      <c r="AB145" s="18"/>
      <c r="AC145" s="18"/>
      <c r="AD145" s="18"/>
      <c r="AE145" s="18"/>
      <c r="AF145" s="18"/>
      <c r="AG145" s="18"/>
      <c r="AH145" s="18"/>
      <c r="AI145" s="18"/>
      <c r="AJ145" s="18"/>
      <c r="AK145" s="18"/>
      <c r="AL145" s="18"/>
      <c r="AM145" s="18"/>
      <c r="AN145" s="18"/>
      <c r="AO145" s="18"/>
      <c r="AP145" s="18"/>
      <c r="AQ145" s="18"/>
      <c r="AR145" s="18"/>
      <c r="AS145" s="18"/>
      <c r="AT145" s="18"/>
      <c r="AU145" s="18"/>
    </row>
    <row r="146" spans="1:47" s="20" customFormat="1" x14ac:dyDescent="0.2">
      <c r="A146" s="12"/>
      <c r="B146" s="18"/>
      <c r="C146" s="18"/>
      <c r="D146" s="18"/>
      <c r="E146" s="18"/>
      <c r="F146" s="18"/>
      <c r="G146" s="18"/>
      <c r="H146" s="18"/>
      <c r="I146" s="18"/>
      <c r="J146" s="18"/>
      <c r="K146" s="18"/>
      <c r="L146" s="18"/>
      <c r="M146" s="18"/>
      <c r="N146" s="18"/>
      <c r="O146" s="18"/>
      <c r="P146" s="18"/>
      <c r="Q146" s="18"/>
      <c r="R146" s="18"/>
      <c r="S146" s="18"/>
      <c r="T146" s="18"/>
      <c r="U146" s="18"/>
      <c r="V146" s="18"/>
      <c r="W146" s="18"/>
      <c r="X146" s="18"/>
      <c r="Y146" s="18"/>
      <c r="Z146" s="18"/>
      <c r="AA146" s="18"/>
      <c r="AB146" s="18"/>
      <c r="AC146" s="18"/>
      <c r="AD146" s="18"/>
      <c r="AE146" s="18"/>
      <c r="AF146" s="18"/>
      <c r="AG146" s="18"/>
      <c r="AH146" s="18"/>
      <c r="AI146" s="18"/>
      <c r="AJ146" s="18"/>
      <c r="AK146" s="18"/>
      <c r="AL146" s="18"/>
      <c r="AM146" s="18"/>
      <c r="AN146" s="18"/>
      <c r="AO146" s="18"/>
      <c r="AP146" s="18"/>
      <c r="AQ146" s="18"/>
      <c r="AR146" s="18"/>
      <c r="AS146" s="18"/>
      <c r="AT146" s="18"/>
      <c r="AU146" s="18"/>
    </row>
    <row r="147" spans="1:47" s="20" customFormat="1" x14ac:dyDescent="0.2">
      <c r="A147" s="12"/>
      <c r="B147" s="18"/>
      <c r="C147" s="18"/>
      <c r="D147" s="18"/>
      <c r="E147" s="18"/>
      <c r="F147" s="18"/>
      <c r="G147" s="18"/>
      <c r="H147" s="18"/>
      <c r="I147" s="18"/>
      <c r="J147" s="18"/>
      <c r="K147" s="18"/>
      <c r="L147" s="18"/>
      <c r="M147" s="18"/>
      <c r="N147" s="18"/>
      <c r="O147" s="18"/>
      <c r="P147" s="18"/>
      <c r="Q147" s="18"/>
      <c r="R147" s="18"/>
      <c r="S147" s="18"/>
      <c r="T147" s="18"/>
      <c r="U147" s="18"/>
      <c r="V147" s="18"/>
      <c r="W147" s="18"/>
      <c r="X147" s="18"/>
      <c r="Y147" s="18"/>
      <c r="Z147" s="18"/>
      <c r="AA147" s="18"/>
      <c r="AB147" s="18"/>
      <c r="AC147" s="18"/>
      <c r="AD147" s="18"/>
      <c r="AE147" s="18"/>
      <c r="AF147" s="18"/>
      <c r="AG147" s="18"/>
      <c r="AH147" s="18"/>
      <c r="AI147" s="18"/>
      <c r="AJ147" s="18"/>
      <c r="AK147" s="18"/>
      <c r="AL147" s="18"/>
      <c r="AM147" s="18"/>
      <c r="AN147" s="18"/>
      <c r="AO147" s="18"/>
      <c r="AP147" s="18"/>
      <c r="AQ147" s="18"/>
      <c r="AR147" s="18"/>
      <c r="AS147" s="18"/>
      <c r="AT147" s="18"/>
      <c r="AU147" s="18"/>
    </row>
    <row r="148" spans="1:47" s="20" customFormat="1" x14ac:dyDescent="0.2">
      <c r="A148" s="12"/>
      <c r="B148" s="18"/>
      <c r="C148" s="18"/>
      <c r="D148" s="18"/>
      <c r="E148" s="18"/>
      <c r="F148" s="18"/>
      <c r="G148" s="18"/>
      <c r="H148" s="18"/>
      <c r="I148" s="18"/>
      <c r="J148" s="18"/>
      <c r="K148" s="18"/>
      <c r="L148" s="18"/>
      <c r="M148" s="18"/>
      <c r="N148" s="18"/>
      <c r="O148" s="18"/>
      <c r="P148" s="18"/>
      <c r="Q148" s="18"/>
      <c r="R148" s="18"/>
      <c r="S148" s="18"/>
      <c r="T148" s="18"/>
      <c r="U148" s="18"/>
      <c r="V148" s="18"/>
      <c r="W148" s="18"/>
      <c r="X148" s="18"/>
      <c r="Y148" s="18"/>
      <c r="Z148" s="18"/>
      <c r="AA148" s="18"/>
      <c r="AB148" s="18"/>
      <c r="AC148" s="18"/>
      <c r="AD148" s="18"/>
      <c r="AE148" s="18"/>
      <c r="AF148" s="18"/>
      <c r="AG148" s="18"/>
      <c r="AH148" s="18"/>
      <c r="AI148" s="18"/>
      <c r="AJ148" s="18"/>
      <c r="AK148" s="18"/>
      <c r="AL148" s="18"/>
      <c r="AM148" s="18"/>
      <c r="AN148" s="18"/>
      <c r="AO148" s="18"/>
      <c r="AP148" s="18"/>
      <c r="AQ148" s="18"/>
      <c r="AR148" s="18"/>
      <c r="AS148" s="18"/>
      <c r="AT148" s="18"/>
      <c r="AU148" s="18"/>
    </row>
    <row r="149" spans="1:47" s="20" customFormat="1" x14ac:dyDescent="0.2">
      <c r="A149" s="12"/>
      <c r="B149" s="18"/>
      <c r="C149" s="18"/>
      <c r="D149" s="18"/>
      <c r="E149" s="18"/>
      <c r="F149" s="18"/>
      <c r="G149" s="18"/>
      <c r="H149" s="18"/>
      <c r="I149" s="18"/>
      <c r="J149" s="18"/>
      <c r="K149" s="18"/>
      <c r="L149" s="18"/>
      <c r="M149" s="18"/>
      <c r="N149" s="18"/>
      <c r="O149" s="18"/>
      <c r="P149" s="18"/>
      <c r="Q149" s="18"/>
      <c r="R149" s="18"/>
      <c r="S149" s="18"/>
      <c r="T149" s="18"/>
      <c r="U149" s="18"/>
      <c r="V149" s="18"/>
      <c r="W149" s="18"/>
      <c r="X149" s="18"/>
      <c r="Y149" s="18"/>
      <c r="Z149" s="18"/>
      <c r="AA149" s="18"/>
      <c r="AB149" s="18"/>
      <c r="AC149" s="18"/>
      <c r="AD149" s="18"/>
      <c r="AE149" s="18"/>
      <c r="AF149" s="18"/>
      <c r="AG149" s="18"/>
      <c r="AH149" s="18"/>
      <c r="AI149" s="18"/>
      <c r="AJ149" s="18"/>
      <c r="AK149" s="18"/>
      <c r="AL149" s="18"/>
      <c r="AM149" s="18"/>
      <c r="AN149" s="18"/>
      <c r="AO149" s="18"/>
      <c r="AP149" s="18"/>
      <c r="AQ149" s="18"/>
      <c r="AR149" s="18"/>
      <c r="AS149" s="18"/>
      <c r="AT149" s="18"/>
      <c r="AU149" s="18"/>
    </row>
    <row r="150" spans="1:47" s="20" customFormat="1" x14ac:dyDescent="0.2">
      <c r="A150" s="12"/>
      <c r="B150" s="18"/>
      <c r="C150" s="18"/>
      <c r="D150" s="18"/>
      <c r="E150" s="18"/>
      <c r="F150" s="18"/>
      <c r="G150" s="18"/>
      <c r="H150" s="18"/>
      <c r="I150" s="18"/>
      <c r="J150" s="18"/>
      <c r="K150" s="18"/>
      <c r="L150" s="18"/>
      <c r="M150" s="18"/>
      <c r="N150" s="18"/>
      <c r="O150" s="18"/>
      <c r="P150" s="18"/>
      <c r="Q150" s="18"/>
      <c r="R150" s="18"/>
      <c r="S150" s="18"/>
      <c r="T150" s="18"/>
      <c r="U150" s="18"/>
      <c r="V150" s="18"/>
      <c r="W150" s="18"/>
      <c r="X150" s="18"/>
      <c r="Y150" s="18"/>
      <c r="Z150" s="18"/>
      <c r="AA150" s="18"/>
      <c r="AB150" s="18"/>
      <c r="AC150" s="18"/>
      <c r="AD150" s="18"/>
      <c r="AE150" s="18"/>
      <c r="AF150" s="18"/>
      <c r="AG150" s="18"/>
      <c r="AH150" s="18"/>
      <c r="AI150" s="18"/>
      <c r="AJ150" s="18"/>
      <c r="AK150" s="18"/>
      <c r="AL150" s="18"/>
      <c r="AM150" s="18"/>
      <c r="AN150" s="18"/>
      <c r="AO150" s="18"/>
      <c r="AP150" s="18"/>
      <c r="AQ150" s="18"/>
      <c r="AR150" s="18"/>
      <c r="AS150" s="18"/>
      <c r="AT150" s="18"/>
      <c r="AU150" s="18"/>
    </row>
    <row r="151" spans="1:47" s="20" customFormat="1" x14ac:dyDescent="0.2">
      <c r="A151" s="12"/>
      <c r="B151" s="18"/>
      <c r="C151" s="18"/>
      <c r="D151" s="18"/>
      <c r="E151" s="18"/>
      <c r="F151" s="18"/>
      <c r="G151" s="18"/>
      <c r="H151" s="18"/>
      <c r="I151" s="18"/>
      <c r="J151" s="18"/>
      <c r="K151" s="18"/>
      <c r="L151" s="18"/>
      <c r="M151" s="18"/>
      <c r="N151" s="18"/>
      <c r="O151" s="18"/>
      <c r="P151" s="18"/>
      <c r="Q151" s="18"/>
      <c r="R151" s="18"/>
      <c r="S151" s="18"/>
      <c r="T151" s="18"/>
      <c r="U151" s="18"/>
      <c r="V151" s="18"/>
      <c r="W151" s="18"/>
      <c r="X151" s="18"/>
      <c r="Y151" s="18"/>
      <c r="Z151" s="18"/>
      <c r="AA151" s="18"/>
      <c r="AB151" s="18"/>
      <c r="AC151" s="18"/>
      <c r="AD151" s="18"/>
      <c r="AE151" s="18"/>
      <c r="AF151" s="18"/>
      <c r="AG151" s="18"/>
      <c r="AH151" s="18"/>
      <c r="AI151" s="18"/>
      <c r="AJ151" s="18"/>
      <c r="AK151" s="18"/>
      <c r="AL151" s="18"/>
      <c r="AM151" s="18"/>
      <c r="AN151" s="18"/>
      <c r="AO151" s="18"/>
      <c r="AP151" s="18"/>
      <c r="AQ151" s="18"/>
      <c r="AR151" s="18"/>
      <c r="AS151" s="18"/>
      <c r="AT151" s="18"/>
      <c r="AU151" s="18"/>
    </row>
    <row r="152" spans="1:47" s="20" customFormat="1" x14ac:dyDescent="0.2">
      <c r="A152" s="12"/>
      <c r="B152" s="18"/>
      <c r="C152" s="18"/>
      <c r="D152" s="18"/>
      <c r="E152" s="18"/>
      <c r="F152" s="18"/>
      <c r="G152" s="18"/>
      <c r="H152" s="18"/>
      <c r="I152" s="18"/>
      <c r="J152" s="18"/>
      <c r="K152" s="18"/>
      <c r="L152" s="18"/>
      <c r="M152" s="18"/>
      <c r="N152" s="18"/>
      <c r="O152" s="18"/>
      <c r="P152" s="18"/>
      <c r="Q152" s="18"/>
      <c r="R152" s="18"/>
      <c r="S152" s="18"/>
      <c r="T152" s="18"/>
      <c r="U152" s="18"/>
      <c r="V152" s="18"/>
      <c r="W152" s="18"/>
      <c r="X152" s="18"/>
      <c r="Y152" s="18"/>
      <c r="Z152" s="18"/>
      <c r="AA152" s="18"/>
      <c r="AB152" s="18"/>
      <c r="AC152" s="18"/>
      <c r="AD152" s="18"/>
      <c r="AE152" s="18"/>
      <c r="AF152" s="18"/>
      <c r="AG152" s="18"/>
      <c r="AH152" s="18"/>
      <c r="AI152" s="18"/>
      <c r="AJ152" s="18"/>
      <c r="AK152" s="18"/>
      <c r="AL152" s="18"/>
      <c r="AM152" s="18"/>
      <c r="AN152" s="18"/>
      <c r="AO152" s="18"/>
      <c r="AP152" s="18"/>
      <c r="AQ152" s="18"/>
      <c r="AR152" s="18"/>
      <c r="AS152" s="18"/>
      <c r="AT152" s="18"/>
      <c r="AU152" s="18"/>
    </row>
    <row r="153" spans="1:47" s="20" customFormat="1" x14ac:dyDescent="0.2">
      <c r="A153" s="12"/>
      <c r="B153" s="18"/>
      <c r="C153" s="18"/>
      <c r="D153" s="18"/>
      <c r="E153" s="18"/>
      <c r="F153" s="18"/>
      <c r="G153" s="18"/>
      <c r="H153" s="18"/>
      <c r="I153" s="18"/>
      <c r="J153" s="18"/>
      <c r="K153" s="18"/>
      <c r="L153" s="18"/>
      <c r="M153" s="18"/>
      <c r="N153" s="18"/>
      <c r="O153" s="18"/>
      <c r="P153" s="18"/>
      <c r="Q153" s="18"/>
      <c r="R153" s="18"/>
      <c r="S153" s="18"/>
      <c r="T153" s="18"/>
      <c r="U153" s="18"/>
      <c r="V153" s="18"/>
      <c r="W153" s="18"/>
      <c r="X153" s="18"/>
      <c r="Y153" s="18"/>
      <c r="Z153" s="18"/>
      <c r="AA153" s="18"/>
      <c r="AB153" s="18"/>
      <c r="AC153" s="18"/>
      <c r="AD153" s="18"/>
      <c r="AE153" s="18"/>
      <c r="AF153" s="18"/>
      <c r="AG153" s="18"/>
      <c r="AH153" s="18"/>
      <c r="AI153" s="18"/>
      <c r="AJ153" s="18"/>
      <c r="AK153" s="18"/>
      <c r="AL153" s="18"/>
      <c r="AM153" s="18"/>
      <c r="AN153" s="18"/>
      <c r="AO153" s="18"/>
      <c r="AP153" s="18"/>
      <c r="AQ153" s="18"/>
      <c r="AR153" s="18"/>
      <c r="AS153" s="18"/>
      <c r="AT153" s="18"/>
      <c r="AU153" s="18"/>
    </row>
    <row r="154" spans="1:47" s="20" customFormat="1" x14ac:dyDescent="0.2">
      <c r="A154" s="12"/>
      <c r="B154" s="18"/>
      <c r="C154" s="18"/>
      <c r="D154" s="18"/>
      <c r="E154" s="18"/>
      <c r="F154" s="18"/>
      <c r="G154" s="18"/>
      <c r="H154" s="18"/>
      <c r="I154" s="18"/>
      <c r="J154" s="18"/>
      <c r="K154" s="18"/>
      <c r="L154" s="18"/>
      <c r="M154" s="18"/>
      <c r="N154" s="18"/>
      <c r="O154" s="18"/>
      <c r="P154" s="18"/>
      <c r="Q154" s="18"/>
      <c r="R154" s="18"/>
      <c r="S154" s="18"/>
      <c r="T154" s="18"/>
      <c r="U154" s="18"/>
      <c r="V154" s="18"/>
      <c r="W154" s="18"/>
      <c r="X154" s="18"/>
      <c r="Y154" s="18"/>
      <c r="Z154" s="18"/>
      <c r="AA154" s="18"/>
      <c r="AB154" s="18"/>
      <c r="AC154" s="18"/>
      <c r="AD154" s="18"/>
      <c r="AE154" s="18"/>
      <c r="AF154" s="18"/>
      <c r="AG154" s="18"/>
      <c r="AH154" s="18"/>
      <c r="AI154" s="18"/>
      <c r="AJ154" s="18"/>
      <c r="AK154" s="18"/>
      <c r="AL154" s="18"/>
      <c r="AM154" s="18"/>
      <c r="AN154" s="18"/>
      <c r="AO154" s="18"/>
      <c r="AP154" s="18"/>
      <c r="AQ154" s="18"/>
      <c r="AR154" s="18"/>
      <c r="AS154" s="18"/>
      <c r="AT154" s="18"/>
      <c r="AU154" s="18"/>
    </row>
    <row r="155" spans="1:47" s="20" customFormat="1" x14ac:dyDescent="0.2">
      <c r="A155" s="12"/>
      <c r="B155" s="18"/>
      <c r="C155" s="18"/>
      <c r="D155" s="18"/>
      <c r="E155" s="18"/>
      <c r="F155" s="18"/>
      <c r="G155" s="18"/>
      <c r="H155" s="18"/>
      <c r="I155" s="18"/>
      <c r="J155" s="18"/>
      <c r="K155" s="18"/>
      <c r="L155" s="18"/>
      <c r="M155" s="18"/>
      <c r="N155" s="18"/>
      <c r="O155" s="18"/>
      <c r="P155" s="18"/>
      <c r="Q155" s="18"/>
      <c r="R155" s="18"/>
      <c r="S155" s="18"/>
      <c r="T155" s="18"/>
      <c r="U155" s="18"/>
      <c r="V155" s="18"/>
      <c r="W155" s="18"/>
      <c r="X155" s="18"/>
      <c r="Y155" s="18"/>
      <c r="Z155" s="18"/>
      <c r="AA155" s="18"/>
      <c r="AB155" s="18"/>
      <c r="AC155" s="18"/>
      <c r="AD155" s="18"/>
      <c r="AE155" s="18"/>
      <c r="AF155" s="18"/>
      <c r="AG155" s="18"/>
      <c r="AH155" s="18"/>
      <c r="AI155" s="18"/>
      <c r="AJ155" s="18"/>
      <c r="AK155" s="18"/>
      <c r="AL155" s="18"/>
      <c r="AM155" s="18"/>
      <c r="AN155" s="18"/>
      <c r="AO155" s="18"/>
      <c r="AP155" s="18"/>
      <c r="AQ155" s="18"/>
      <c r="AR155" s="18"/>
      <c r="AS155" s="18"/>
      <c r="AT155" s="18"/>
      <c r="AU155" s="18"/>
    </row>
    <row r="156" spans="1:47" s="20" customFormat="1" x14ac:dyDescent="0.2">
      <c r="A156" s="12"/>
      <c r="B156" s="18"/>
      <c r="C156" s="18"/>
      <c r="D156" s="18"/>
      <c r="E156" s="18"/>
      <c r="F156" s="18"/>
      <c r="G156" s="18"/>
      <c r="H156" s="18"/>
      <c r="I156" s="18"/>
      <c r="J156" s="18"/>
      <c r="K156" s="18"/>
      <c r="L156" s="18"/>
      <c r="M156" s="18"/>
      <c r="N156" s="18"/>
      <c r="O156" s="18"/>
      <c r="P156" s="18"/>
      <c r="Q156" s="18"/>
      <c r="R156" s="18"/>
      <c r="S156" s="18"/>
      <c r="T156" s="18"/>
      <c r="U156" s="18"/>
      <c r="V156" s="18"/>
      <c r="W156" s="18"/>
      <c r="X156" s="18"/>
      <c r="Y156" s="18"/>
      <c r="Z156" s="18"/>
      <c r="AA156" s="18"/>
      <c r="AB156" s="18"/>
      <c r="AC156" s="18"/>
      <c r="AD156" s="18"/>
      <c r="AE156" s="18"/>
      <c r="AF156" s="18"/>
      <c r="AG156" s="18"/>
      <c r="AH156" s="18"/>
      <c r="AI156" s="18"/>
      <c r="AJ156" s="18"/>
      <c r="AK156" s="18"/>
      <c r="AL156" s="18"/>
      <c r="AM156" s="18"/>
      <c r="AN156" s="18"/>
      <c r="AO156" s="18"/>
      <c r="AP156" s="18"/>
      <c r="AQ156" s="18"/>
      <c r="AR156" s="18"/>
      <c r="AS156" s="18"/>
      <c r="AT156" s="18"/>
      <c r="AU156" s="18"/>
    </row>
    <row r="157" spans="1:47" s="20" customFormat="1" x14ac:dyDescent="0.2">
      <c r="A157" s="12"/>
      <c r="B157" s="18"/>
      <c r="C157" s="18"/>
      <c r="D157" s="18"/>
      <c r="E157" s="18"/>
      <c r="F157" s="18"/>
      <c r="G157" s="18"/>
      <c r="H157" s="18"/>
      <c r="I157" s="18"/>
      <c r="J157" s="18"/>
      <c r="K157" s="18"/>
      <c r="L157" s="18"/>
      <c r="M157" s="18"/>
      <c r="N157" s="18"/>
      <c r="O157" s="18"/>
      <c r="P157" s="18"/>
      <c r="Q157" s="18"/>
      <c r="R157" s="18"/>
      <c r="S157" s="18"/>
      <c r="T157" s="18"/>
      <c r="U157" s="18"/>
      <c r="V157" s="18"/>
      <c r="W157" s="18"/>
      <c r="X157" s="18"/>
      <c r="Y157" s="18"/>
      <c r="Z157" s="18"/>
      <c r="AA157" s="18"/>
      <c r="AB157" s="18"/>
      <c r="AC157" s="18"/>
      <c r="AD157" s="18"/>
      <c r="AE157" s="18"/>
      <c r="AF157" s="18"/>
      <c r="AG157" s="18"/>
      <c r="AH157" s="18"/>
      <c r="AI157" s="18"/>
      <c r="AJ157" s="18"/>
      <c r="AK157" s="18"/>
      <c r="AL157" s="18"/>
      <c r="AM157" s="18"/>
      <c r="AN157" s="18"/>
      <c r="AO157" s="18"/>
      <c r="AP157" s="18"/>
      <c r="AQ157" s="18"/>
      <c r="AR157" s="18"/>
      <c r="AS157" s="18"/>
      <c r="AT157" s="18"/>
      <c r="AU157" s="18"/>
    </row>
    <row r="158" spans="1:47" s="20" customFormat="1" x14ac:dyDescent="0.2">
      <c r="A158" s="12"/>
      <c r="B158" s="18"/>
      <c r="C158" s="18"/>
      <c r="D158" s="18"/>
      <c r="E158" s="18"/>
      <c r="F158" s="18"/>
      <c r="G158" s="18"/>
      <c r="H158" s="18"/>
      <c r="I158" s="18"/>
      <c r="J158" s="18"/>
      <c r="K158" s="18"/>
      <c r="L158" s="18"/>
      <c r="M158" s="18"/>
      <c r="N158" s="18"/>
      <c r="O158" s="18"/>
      <c r="P158" s="18"/>
      <c r="Q158" s="18"/>
      <c r="R158" s="18"/>
      <c r="S158" s="18"/>
      <c r="T158" s="18"/>
      <c r="U158" s="18"/>
      <c r="V158" s="18"/>
      <c r="W158" s="18"/>
      <c r="X158" s="18"/>
      <c r="Y158" s="18"/>
      <c r="Z158" s="18"/>
      <c r="AA158" s="18"/>
      <c r="AB158" s="18"/>
      <c r="AC158" s="18"/>
      <c r="AD158" s="18"/>
      <c r="AE158" s="18"/>
      <c r="AF158" s="18"/>
      <c r="AG158" s="18"/>
      <c r="AH158" s="18"/>
      <c r="AI158" s="18"/>
      <c r="AJ158" s="18"/>
      <c r="AK158" s="18"/>
      <c r="AL158" s="18"/>
      <c r="AM158" s="18"/>
      <c r="AN158" s="18"/>
      <c r="AO158" s="18"/>
      <c r="AP158" s="18"/>
      <c r="AQ158" s="18"/>
      <c r="AR158" s="18"/>
      <c r="AS158" s="18"/>
      <c r="AT158" s="18"/>
      <c r="AU158" s="18"/>
    </row>
    <row r="159" spans="1:47" s="20" customFormat="1" x14ac:dyDescent="0.2">
      <c r="A159" s="12"/>
      <c r="B159" s="18"/>
      <c r="C159" s="18"/>
      <c r="D159" s="18"/>
      <c r="E159" s="18"/>
      <c r="F159" s="18"/>
      <c r="G159" s="18"/>
      <c r="H159" s="18"/>
      <c r="I159" s="18"/>
      <c r="J159" s="18"/>
      <c r="K159" s="18"/>
      <c r="L159" s="18"/>
      <c r="M159" s="18"/>
      <c r="N159" s="18"/>
      <c r="O159" s="18"/>
      <c r="P159" s="18"/>
      <c r="Q159" s="18"/>
      <c r="R159" s="18"/>
      <c r="S159" s="18"/>
      <c r="T159" s="18"/>
      <c r="U159" s="18"/>
      <c r="V159" s="18"/>
      <c r="W159" s="18"/>
      <c r="X159" s="18"/>
      <c r="Y159" s="18"/>
      <c r="Z159" s="18"/>
      <c r="AA159" s="18"/>
      <c r="AB159" s="18"/>
      <c r="AC159" s="18"/>
      <c r="AD159" s="18"/>
      <c r="AE159" s="18"/>
      <c r="AF159" s="18"/>
      <c r="AG159" s="18"/>
      <c r="AH159" s="18"/>
      <c r="AI159" s="18"/>
      <c r="AJ159" s="18"/>
      <c r="AK159" s="18"/>
      <c r="AL159" s="18"/>
      <c r="AM159" s="18"/>
      <c r="AN159" s="18"/>
      <c r="AO159" s="18"/>
      <c r="AP159" s="18"/>
      <c r="AQ159" s="18"/>
      <c r="AR159" s="18"/>
      <c r="AS159" s="18"/>
      <c r="AT159" s="18"/>
      <c r="AU159" s="18"/>
    </row>
    <row r="160" spans="1:47" s="20" customFormat="1" x14ac:dyDescent="0.2">
      <c r="A160" s="12"/>
      <c r="B160" s="18"/>
      <c r="C160" s="18"/>
      <c r="D160" s="18"/>
      <c r="E160" s="18"/>
      <c r="F160" s="18"/>
      <c r="G160" s="18"/>
      <c r="H160" s="18"/>
      <c r="I160" s="18"/>
      <c r="J160" s="18"/>
      <c r="K160" s="18"/>
      <c r="L160" s="18"/>
      <c r="M160" s="18"/>
      <c r="N160" s="18"/>
      <c r="O160" s="18"/>
      <c r="P160" s="18"/>
      <c r="Q160" s="18"/>
      <c r="R160" s="18"/>
      <c r="S160" s="18"/>
      <c r="T160" s="18"/>
      <c r="U160" s="18"/>
      <c r="V160" s="18"/>
      <c r="W160" s="18"/>
      <c r="X160" s="18"/>
      <c r="Y160" s="18"/>
      <c r="Z160" s="18"/>
      <c r="AA160" s="18"/>
      <c r="AB160" s="18"/>
      <c r="AC160" s="18"/>
      <c r="AD160" s="18"/>
      <c r="AE160" s="18"/>
      <c r="AF160" s="18"/>
      <c r="AG160" s="18"/>
      <c r="AH160" s="18"/>
      <c r="AI160" s="18"/>
      <c r="AJ160" s="18"/>
      <c r="AK160" s="18"/>
      <c r="AL160" s="18"/>
      <c r="AM160" s="18"/>
      <c r="AN160" s="18"/>
      <c r="AO160" s="18"/>
      <c r="AP160" s="18"/>
      <c r="AQ160" s="18"/>
      <c r="AR160" s="18"/>
      <c r="AS160" s="18"/>
      <c r="AT160" s="18"/>
      <c r="AU160" s="18"/>
    </row>
    <row r="161" spans="1:47" s="20" customFormat="1" x14ac:dyDescent="0.2">
      <c r="A161" s="12"/>
      <c r="B161" s="18"/>
      <c r="C161" s="18"/>
      <c r="D161" s="18"/>
      <c r="E161" s="18"/>
      <c r="F161" s="18"/>
      <c r="G161" s="18"/>
      <c r="H161" s="18"/>
      <c r="I161" s="18"/>
      <c r="J161" s="18"/>
      <c r="K161" s="18"/>
      <c r="L161" s="18"/>
      <c r="M161" s="18"/>
      <c r="N161" s="18"/>
      <c r="O161" s="18"/>
      <c r="P161" s="18"/>
      <c r="Q161" s="18"/>
      <c r="R161" s="18"/>
      <c r="S161" s="18"/>
      <c r="T161" s="18"/>
      <c r="U161" s="18"/>
      <c r="V161" s="18"/>
      <c r="W161" s="18"/>
      <c r="X161" s="18"/>
      <c r="Y161" s="18"/>
      <c r="Z161" s="18"/>
      <c r="AA161" s="18"/>
      <c r="AB161" s="18"/>
      <c r="AC161" s="18"/>
      <c r="AD161" s="18"/>
      <c r="AE161" s="18"/>
      <c r="AF161" s="18"/>
      <c r="AG161" s="18"/>
      <c r="AH161" s="18"/>
      <c r="AI161" s="18"/>
      <c r="AJ161" s="18"/>
      <c r="AK161" s="18"/>
      <c r="AL161" s="18"/>
      <c r="AM161" s="18"/>
      <c r="AN161" s="18"/>
      <c r="AO161" s="18"/>
      <c r="AP161" s="18"/>
      <c r="AQ161" s="18"/>
      <c r="AR161" s="18"/>
      <c r="AS161" s="18"/>
      <c r="AT161" s="18"/>
      <c r="AU161" s="18"/>
    </row>
    <row r="162" spans="1:47" s="20" customFormat="1" x14ac:dyDescent="0.2">
      <c r="A162" s="12"/>
      <c r="B162" s="18"/>
      <c r="C162" s="18"/>
      <c r="D162" s="18"/>
      <c r="E162" s="18"/>
      <c r="F162" s="18"/>
      <c r="G162" s="18"/>
      <c r="H162" s="18"/>
      <c r="I162" s="18"/>
      <c r="J162" s="18"/>
      <c r="K162" s="18"/>
      <c r="L162" s="18"/>
      <c r="M162" s="18"/>
      <c r="N162" s="18"/>
      <c r="O162" s="18"/>
      <c r="P162" s="18"/>
      <c r="Q162" s="18"/>
      <c r="R162" s="18"/>
      <c r="S162" s="18"/>
      <c r="T162" s="18"/>
      <c r="U162" s="18"/>
      <c r="V162" s="18"/>
      <c r="W162" s="18"/>
      <c r="X162" s="18"/>
      <c r="Y162" s="18"/>
      <c r="Z162" s="18"/>
      <c r="AA162" s="18"/>
      <c r="AB162" s="18"/>
      <c r="AC162" s="18"/>
      <c r="AD162" s="18"/>
      <c r="AE162" s="18"/>
      <c r="AF162" s="18"/>
      <c r="AG162" s="18"/>
      <c r="AH162" s="18"/>
      <c r="AI162" s="18"/>
      <c r="AJ162" s="18"/>
      <c r="AK162" s="18"/>
      <c r="AL162" s="18"/>
      <c r="AM162" s="18"/>
      <c r="AN162" s="18"/>
      <c r="AO162" s="18"/>
      <c r="AP162" s="18"/>
      <c r="AQ162" s="18"/>
      <c r="AR162" s="18"/>
      <c r="AS162" s="18"/>
      <c r="AT162" s="18"/>
      <c r="AU162" s="18"/>
    </row>
    <row r="163" spans="1:47" s="20" customFormat="1" x14ac:dyDescent="0.2">
      <c r="A163" s="12"/>
      <c r="B163" s="18"/>
      <c r="C163" s="18"/>
      <c r="D163" s="18"/>
      <c r="E163" s="18"/>
      <c r="F163" s="18"/>
      <c r="G163" s="18"/>
      <c r="H163" s="18"/>
      <c r="I163" s="18"/>
      <c r="J163" s="18"/>
      <c r="K163" s="18"/>
      <c r="L163" s="18"/>
      <c r="M163" s="18"/>
      <c r="N163" s="18"/>
      <c r="O163" s="18"/>
      <c r="P163" s="18"/>
      <c r="Q163" s="18"/>
      <c r="R163" s="18"/>
      <c r="S163" s="18"/>
      <c r="T163" s="18"/>
      <c r="U163" s="18"/>
      <c r="V163" s="18"/>
      <c r="W163" s="18"/>
      <c r="X163" s="18"/>
      <c r="Y163" s="18"/>
      <c r="Z163" s="18"/>
      <c r="AA163" s="18"/>
      <c r="AB163" s="18"/>
      <c r="AC163" s="18"/>
      <c r="AD163" s="18"/>
      <c r="AE163" s="18"/>
      <c r="AF163" s="18"/>
      <c r="AG163" s="18"/>
      <c r="AH163" s="18"/>
      <c r="AI163" s="18"/>
      <c r="AJ163" s="18"/>
      <c r="AK163" s="18"/>
      <c r="AL163" s="18"/>
      <c r="AM163" s="18"/>
      <c r="AN163" s="18"/>
      <c r="AO163" s="18"/>
      <c r="AP163" s="18"/>
      <c r="AQ163" s="18"/>
      <c r="AR163" s="18"/>
      <c r="AS163" s="18"/>
      <c r="AT163" s="18"/>
      <c r="AU163" s="18"/>
    </row>
    <row r="164" spans="1:47" s="20" customFormat="1" x14ac:dyDescent="0.2">
      <c r="A164" s="12"/>
      <c r="B164" s="18"/>
      <c r="C164" s="18"/>
      <c r="D164" s="18"/>
      <c r="E164" s="18"/>
      <c r="F164" s="18"/>
      <c r="G164" s="18"/>
      <c r="H164" s="18"/>
      <c r="I164" s="18"/>
      <c r="J164" s="18"/>
      <c r="K164" s="18"/>
      <c r="L164" s="18"/>
      <c r="M164" s="18"/>
      <c r="N164" s="18"/>
      <c r="O164" s="18"/>
      <c r="P164" s="18"/>
      <c r="Q164" s="18"/>
      <c r="R164" s="18"/>
      <c r="S164" s="18"/>
      <c r="T164" s="18"/>
      <c r="U164" s="18"/>
      <c r="V164" s="18"/>
      <c r="W164" s="18"/>
      <c r="X164" s="18"/>
      <c r="Y164" s="18"/>
      <c r="Z164" s="18"/>
      <c r="AA164" s="18"/>
      <c r="AB164" s="18"/>
      <c r="AC164" s="18"/>
      <c r="AD164" s="18"/>
      <c r="AE164" s="18"/>
      <c r="AF164" s="18"/>
      <c r="AG164" s="18"/>
      <c r="AH164" s="18"/>
      <c r="AI164" s="18"/>
      <c r="AJ164" s="18"/>
      <c r="AK164" s="18"/>
      <c r="AL164" s="18"/>
      <c r="AM164" s="18"/>
      <c r="AN164" s="18"/>
      <c r="AO164" s="18"/>
      <c r="AP164" s="18"/>
      <c r="AQ164" s="18"/>
      <c r="AR164" s="18"/>
      <c r="AS164" s="18"/>
      <c r="AT164" s="18"/>
      <c r="AU164" s="18"/>
    </row>
    <row r="165" spans="1:47" s="20" customFormat="1" x14ac:dyDescent="0.2">
      <c r="A165" s="12"/>
      <c r="B165" s="18"/>
      <c r="C165" s="18"/>
      <c r="D165" s="18"/>
      <c r="E165" s="18"/>
      <c r="F165" s="18"/>
      <c r="G165" s="18"/>
      <c r="H165" s="18"/>
      <c r="I165" s="18"/>
      <c r="J165" s="18"/>
      <c r="K165" s="18"/>
      <c r="L165" s="18"/>
      <c r="M165" s="18"/>
      <c r="N165" s="18"/>
      <c r="O165" s="18"/>
      <c r="P165" s="18"/>
      <c r="Q165" s="18"/>
      <c r="R165" s="18"/>
      <c r="S165" s="18"/>
      <c r="T165" s="18"/>
      <c r="U165" s="18"/>
      <c r="V165" s="18"/>
      <c r="W165" s="18"/>
      <c r="X165" s="18"/>
      <c r="Y165" s="18"/>
      <c r="Z165" s="18"/>
      <c r="AA165" s="18"/>
      <c r="AB165" s="18"/>
      <c r="AC165" s="18"/>
      <c r="AD165" s="18"/>
      <c r="AE165" s="18"/>
      <c r="AF165" s="18"/>
      <c r="AG165" s="18"/>
      <c r="AH165" s="18"/>
      <c r="AI165" s="18"/>
      <c r="AJ165" s="18"/>
      <c r="AK165" s="18"/>
      <c r="AL165" s="18"/>
      <c r="AM165" s="18"/>
      <c r="AN165" s="18"/>
      <c r="AO165" s="18"/>
      <c r="AP165" s="18"/>
      <c r="AQ165" s="18"/>
      <c r="AR165" s="18"/>
      <c r="AS165" s="18"/>
      <c r="AT165" s="18"/>
      <c r="AU165" s="18"/>
    </row>
    <row r="166" spans="1:47" s="20" customFormat="1" x14ac:dyDescent="0.2">
      <c r="A166" s="12"/>
      <c r="B166" s="18"/>
      <c r="C166" s="18"/>
      <c r="D166" s="18"/>
      <c r="E166" s="18"/>
      <c r="F166" s="18"/>
      <c r="G166" s="18"/>
      <c r="H166" s="18"/>
      <c r="I166" s="18"/>
      <c r="J166" s="18"/>
      <c r="K166" s="18"/>
      <c r="L166" s="18"/>
      <c r="M166" s="18"/>
      <c r="N166" s="18"/>
      <c r="O166" s="18"/>
      <c r="P166" s="18"/>
      <c r="Q166" s="18"/>
      <c r="R166" s="18"/>
      <c r="S166" s="18"/>
      <c r="T166" s="18"/>
      <c r="U166" s="18"/>
      <c r="V166" s="18"/>
      <c r="W166" s="18"/>
      <c r="X166" s="18"/>
      <c r="Y166" s="18"/>
      <c r="Z166" s="18"/>
      <c r="AA166" s="18"/>
      <c r="AB166" s="18"/>
      <c r="AC166" s="18"/>
      <c r="AD166" s="18"/>
      <c r="AE166" s="18"/>
      <c r="AF166" s="18"/>
      <c r="AG166" s="18"/>
      <c r="AH166" s="18"/>
      <c r="AI166" s="18"/>
      <c r="AJ166" s="18"/>
      <c r="AK166" s="18"/>
      <c r="AL166" s="18"/>
      <c r="AM166" s="18"/>
      <c r="AN166" s="18"/>
      <c r="AO166" s="18"/>
      <c r="AP166" s="18"/>
      <c r="AQ166" s="18"/>
      <c r="AR166" s="18"/>
      <c r="AS166" s="18"/>
      <c r="AT166" s="18"/>
      <c r="AU166" s="18"/>
    </row>
    <row r="167" spans="1:47" s="20" customFormat="1" x14ac:dyDescent="0.2">
      <c r="A167" s="12"/>
      <c r="B167" s="18"/>
      <c r="C167" s="18"/>
      <c r="D167" s="18"/>
      <c r="E167" s="18"/>
      <c r="F167" s="18"/>
      <c r="G167" s="18"/>
      <c r="H167" s="18"/>
      <c r="I167" s="18"/>
      <c r="J167" s="18"/>
      <c r="K167" s="18"/>
      <c r="L167" s="18"/>
      <c r="M167" s="18"/>
      <c r="N167" s="18"/>
      <c r="O167" s="18"/>
      <c r="P167" s="18"/>
      <c r="Q167" s="18"/>
      <c r="R167" s="18"/>
      <c r="S167" s="18"/>
      <c r="T167" s="18"/>
      <c r="U167" s="18"/>
      <c r="V167" s="18"/>
      <c r="W167" s="18"/>
      <c r="X167" s="18"/>
      <c r="Y167" s="18"/>
      <c r="Z167" s="18"/>
      <c r="AA167" s="18"/>
      <c r="AB167" s="18"/>
      <c r="AC167" s="18"/>
      <c r="AD167" s="18"/>
      <c r="AE167" s="18"/>
      <c r="AF167" s="18"/>
      <c r="AG167" s="18"/>
      <c r="AH167" s="18"/>
      <c r="AI167" s="18"/>
      <c r="AJ167" s="18"/>
      <c r="AK167" s="18"/>
      <c r="AL167" s="18"/>
      <c r="AM167" s="18"/>
      <c r="AN167" s="18"/>
      <c r="AO167" s="18"/>
      <c r="AP167" s="18"/>
      <c r="AQ167" s="18"/>
      <c r="AR167" s="18"/>
      <c r="AS167" s="18"/>
      <c r="AT167" s="18"/>
      <c r="AU167" s="18"/>
    </row>
    <row r="168" spans="1:47" s="20" customFormat="1" x14ac:dyDescent="0.2">
      <c r="A168" s="12"/>
      <c r="B168" s="18"/>
      <c r="C168" s="18"/>
      <c r="D168" s="18"/>
      <c r="E168" s="18"/>
      <c r="F168" s="18"/>
      <c r="G168" s="18"/>
      <c r="H168" s="18"/>
      <c r="I168" s="18"/>
      <c r="J168" s="18"/>
      <c r="K168" s="18"/>
      <c r="L168" s="18"/>
      <c r="M168" s="18"/>
      <c r="N168" s="18"/>
      <c r="O168" s="18"/>
      <c r="P168" s="18"/>
      <c r="Q168" s="18"/>
      <c r="R168" s="18"/>
      <c r="S168" s="18"/>
      <c r="T168" s="18"/>
      <c r="U168" s="18"/>
      <c r="V168" s="18"/>
      <c r="W168" s="18"/>
      <c r="X168" s="18"/>
      <c r="Y168" s="18"/>
      <c r="Z168" s="18"/>
      <c r="AA168" s="18"/>
      <c r="AB168" s="18"/>
      <c r="AC168" s="18"/>
      <c r="AD168" s="18"/>
      <c r="AE168" s="18"/>
      <c r="AF168" s="18"/>
      <c r="AG168" s="18"/>
      <c r="AH168" s="18"/>
      <c r="AI168" s="18"/>
      <c r="AJ168" s="18"/>
      <c r="AK168" s="18"/>
      <c r="AL168" s="18"/>
      <c r="AM168" s="18"/>
      <c r="AN168" s="18"/>
      <c r="AO168" s="18"/>
      <c r="AP168" s="18"/>
      <c r="AQ168" s="18"/>
      <c r="AR168" s="18"/>
      <c r="AS168" s="18"/>
      <c r="AT168" s="18"/>
      <c r="AU168" s="18"/>
    </row>
    <row r="169" spans="1:47" s="20" customFormat="1" x14ac:dyDescent="0.2">
      <c r="A169" s="12"/>
      <c r="B169" s="18"/>
      <c r="C169" s="18"/>
      <c r="D169" s="18"/>
      <c r="E169" s="18"/>
      <c r="F169" s="18"/>
      <c r="G169" s="18"/>
      <c r="H169" s="18"/>
      <c r="I169" s="18"/>
      <c r="J169" s="18"/>
      <c r="K169" s="18"/>
      <c r="L169" s="18"/>
      <c r="M169" s="18"/>
      <c r="N169" s="18"/>
      <c r="O169" s="18"/>
      <c r="P169" s="18"/>
      <c r="Q169" s="18"/>
      <c r="R169" s="18"/>
      <c r="S169" s="18"/>
      <c r="T169" s="18"/>
      <c r="U169" s="18"/>
      <c r="V169" s="18"/>
      <c r="W169" s="18"/>
      <c r="X169" s="18"/>
      <c r="Y169" s="18"/>
      <c r="Z169" s="18"/>
      <c r="AA169" s="18"/>
      <c r="AB169" s="18"/>
      <c r="AC169" s="18"/>
      <c r="AD169" s="18"/>
      <c r="AE169" s="18"/>
      <c r="AF169" s="18"/>
      <c r="AG169" s="18"/>
      <c r="AH169" s="18"/>
      <c r="AI169" s="18"/>
      <c r="AJ169" s="18"/>
      <c r="AK169" s="18"/>
      <c r="AL169" s="18"/>
      <c r="AM169" s="18"/>
      <c r="AN169" s="18"/>
      <c r="AO169" s="18"/>
      <c r="AP169" s="18"/>
      <c r="AQ169" s="18"/>
      <c r="AR169" s="18"/>
      <c r="AS169" s="18"/>
      <c r="AT169" s="18"/>
      <c r="AU169" s="18"/>
    </row>
    <row r="170" spans="1:47" s="20" customFormat="1" x14ac:dyDescent="0.2">
      <c r="A170" s="12"/>
      <c r="B170" s="18"/>
      <c r="C170" s="18"/>
      <c r="D170" s="18"/>
      <c r="E170" s="18"/>
      <c r="F170" s="18"/>
      <c r="G170" s="18"/>
      <c r="H170" s="18"/>
      <c r="I170" s="18"/>
      <c r="J170" s="18"/>
      <c r="K170" s="18"/>
      <c r="L170" s="18"/>
      <c r="M170" s="18"/>
      <c r="N170" s="18"/>
      <c r="O170" s="18"/>
      <c r="P170" s="18"/>
      <c r="Q170" s="18"/>
      <c r="R170" s="18"/>
      <c r="S170" s="18"/>
      <c r="T170" s="18"/>
      <c r="U170" s="18"/>
      <c r="V170" s="18"/>
      <c r="W170" s="18"/>
      <c r="X170" s="18"/>
      <c r="Y170" s="18"/>
      <c r="Z170" s="18"/>
      <c r="AA170" s="18"/>
      <c r="AB170" s="18"/>
      <c r="AC170" s="18"/>
      <c r="AD170" s="18"/>
      <c r="AE170" s="18"/>
      <c r="AF170" s="18"/>
      <c r="AG170" s="18"/>
      <c r="AH170" s="18"/>
      <c r="AI170" s="18"/>
      <c r="AJ170" s="18"/>
      <c r="AK170" s="18"/>
      <c r="AL170" s="18"/>
      <c r="AM170" s="18"/>
      <c r="AN170" s="18"/>
      <c r="AO170" s="18"/>
      <c r="AP170" s="18"/>
      <c r="AQ170" s="18"/>
      <c r="AR170" s="18"/>
      <c r="AS170" s="18"/>
      <c r="AT170" s="18"/>
      <c r="AU170" s="18"/>
    </row>
    <row r="171" spans="1:47" s="20" customFormat="1" x14ac:dyDescent="0.2">
      <c r="A171" s="12"/>
      <c r="B171" s="18"/>
      <c r="C171" s="18"/>
      <c r="D171" s="18"/>
      <c r="E171" s="18"/>
      <c r="F171" s="18"/>
      <c r="G171" s="18"/>
      <c r="H171" s="18"/>
      <c r="I171" s="18"/>
      <c r="J171" s="18"/>
      <c r="K171" s="18"/>
      <c r="L171" s="18"/>
      <c r="M171" s="18"/>
      <c r="N171" s="18"/>
      <c r="O171" s="18"/>
      <c r="P171" s="18"/>
      <c r="Q171" s="18"/>
      <c r="R171" s="18"/>
      <c r="S171" s="18"/>
      <c r="T171" s="18"/>
      <c r="U171" s="18"/>
      <c r="V171" s="18"/>
      <c r="W171" s="18"/>
      <c r="X171" s="18"/>
      <c r="Y171" s="18"/>
      <c r="Z171" s="18"/>
      <c r="AA171" s="18"/>
      <c r="AB171" s="18"/>
      <c r="AC171" s="18"/>
      <c r="AD171" s="18"/>
      <c r="AE171" s="18"/>
      <c r="AF171" s="18"/>
      <c r="AG171" s="18"/>
      <c r="AH171" s="18"/>
      <c r="AI171" s="18"/>
      <c r="AJ171" s="18"/>
      <c r="AK171" s="18"/>
      <c r="AL171" s="18"/>
      <c r="AM171" s="18"/>
      <c r="AN171" s="18"/>
      <c r="AO171" s="18"/>
      <c r="AP171" s="18"/>
      <c r="AQ171" s="18"/>
      <c r="AR171" s="18"/>
      <c r="AS171" s="18"/>
      <c r="AT171" s="18"/>
      <c r="AU171" s="18"/>
    </row>
    <row r="172" spans="1:47" s="20" customFormat="1" x14ac:dyDescent="0.2">
      <c r="A172" s="12"/>
      <c r="B172" s="18"/>
      <c r="C172" s="18"/>
      <c r="D172" s="18"/>
      <c r="E172" s="18"/>
      <c r="F172" s="18"/>
      <c r="G172" s="18"/>
      <c r="H172" s="18"/>
      <c r="I172" s="18"/>
      <c r="J172" s="18"/>
      <c r="K172" s="18"/>
      <c r="L172" s="18"/>
      <c r="M172" s="18"/>
      <c r="N172" s="18"/>
      <c r="O172" s="18"/>
      <c r="P172" s="18"/>
      <c r="Q172" s="18"/>
      <c r="R172" s="18"/>
      <c r="S172" s="18"/>
      <c r="T172" s="18"/>
      <c r="U172" s="18"/>
      <c r="V172" s="18"/>
      <c r="W172" s="18"/>
      <c r="X172" s="18"/>
      <c r="Y172" s="18"/>
      <c r="Z172" s="18"/>
      <c r="AA172" s="18"/>
      <c r="AB172" s="18"/>
      <c r="AC172" s="18"/>
      <c r="AD172" s="18"/>
      <c r="AE172" s="18"/>
      <c r="AF172" s="18"/>
      <c r="AG172" s="18"/>
      <c r="AH172" s="18"/>
      <c r="AI172" s="18"/>
      <c r="AJ172" s="18"/>
      <c r="AK172" s="18"/>
      <c r="AL172" s="18"/>
      <c r="AM172" s="18"/>
      <c r="AN172" s="18"/>
      <c r="AO172" s="18"/>
      <c r="AP172" s="18"/>
      <c r="AQ172" s="18"/>
      <c r="AR172" s="18"/>
      <c r="AS172" s="18"/>
      <c r="AT172" s="18"/>
      <c r="AU172" s="18"/>
    </row>
    <row r="173" spans="1:47" s="20" customFormat="1" x14ac:dyDescent="0.2">
      <c r="A173" s="12"/>
      <c r="B173" s="18"/>
      <c r="C173" s="18"/>
      <c r="D173" s="18"/>
      <c r="E173" s="18"/>
      <c r="F173" s="18"/>
      <c r="G173" s="18"/>
      <c r="H173" s="18"/>
      <c r="I173" s="18"/>
      <c r="J173" s="18"/>
      <c r="K173" s="18"/>
      <c r="L173" s="18"/>
      <c r="M173" s="18"/>
      <c r="N173" s="18"/>
      <c r="O173" s="18"/>
      <c r="P173" s="18"/>
      <c r="Q173" s="18"/>
      <c r="R173" s="18"/>
      <c r="S173" s="18"/>
      <c r="T173" s="18"/>
      <c r="U173" s="18"/>
      <c r="V173" s="18"/>
      <c r="W173" s="18"/>
      <c r="X173" s="18"/>
      <c r="Y173" s="18"/>
      <c r="Z173" s="18"/>
      <c r="AA173" s="18"/>
      <c r="AB173" s="18"/>
      <c r="AC173" s="18"/>
      <c r="AD173" s="18"/>
      <c r="AE173" s="18"/>
      <c r="AF173" s="18"/>
      <c r="AG173" s="18"/>
      <c r="AH173" s="18"/>
      <c r="AI173" s="18"/>
      <c r="AJ173" s="18"/>
      <c r="AK173" s="18"/>
      <c r="AL173" s="18"/>
      <c r="AM173" s="18"/>
      <c r="AN173" s="18"/>
      <c r="AO173" s="18"/>
      <c r="AP173" s="18"/>
      <c r="AQ173" s="18"/>
      <c r="AR173" s="18"/>
      <c r="AS173" s="18"/>
      <c r="AT173" s="18"/>
      <c r="AU173" s="18"/>
    </row>
    <row r="174" spans="1:47" s="20" customFormat="1" x14ac:dyDescent="0.2">
      <c r="A174" s="12"/>
      <c r="B174" s="18"/>
      <c r="C174" s="18"/>
      <c r="D174" s="18"/>
      <c r="E174" s="18"/>
      <c r="F174" s="18"/>
      <c r="G174" s="18"/>
      <c r="H174" s="18"/>
      <c r="I174" s="18"/>
      <c r="J174" s="18"/>
      <c r="K174" s="18"/>
      <c r="L174" s="18"/>
      <c r="M174" s="18"/>
      <c r="N174" s="18"/>
      <c r="O174" s="18"/>
      <c r="P174" s="18"/>
      <c r="Q174" s="18"/>
      <c r="R174" s="18"/>
      <c r="S174" s="18"/>
      <c r="T174" s="18"/>
      <c r="U174" s="18"/>
      <c r="V174" s="18"/>
      <c r="W174" s="18"/>
      <c r="X174" s="18"/>
      <c r="Y174" s="18"/>
      <c r="Z174" s="18"/>
      <c r="AA174" s="18"/>
      <c r="AB174" s="18"/>
      <c r="AC174" s="18"/>
      <c r="AD174" s="18"/>
      <c r="AE174" s="18"/>
      <c r="AF174" s="18"/>
      <c r="AG174" s="18"/>
      <c r="AH174" s="18"/>
      <c r="AI174" s="18"/>
      <c r="AJ174" s="18"/>
      <c r="AK174" s="18"/>
      <c r="AL174" s="18"/>
      <c r="AM174" s="18"/>
      <c r="AN174" s="18"/>
      <c r="AO174" s="18"/>
      <c r="AP174" s="18"/>
      <c r="AQ174" s="18"/>
      <c r="AR174" s="18"/>
      <c r="AS174" s="18"/>
      <c r="AT174" s="18"/>
      <c r="AU174" s="18"/>
    </row>
    <row r="175" spans="1:47" s="20" customFormat="1" x14ac:dyDescent="0.2">
      <c r="A175" s="12"/>
      <c r="B175" s="18"/>
      <c r="C175" s="18"/>
      <c r="D175" s="18"/>
      <c r="E175" s="18"/>
      <c r="F175" s="18"/>
      <c r="G175" s="18"/>
      <c r="H175" s="18"/>
      <c r="I175" s="18"/>
      <c r="J175" s="18"/>
      <c r="K175" s="18"/>
      <c r="L175" s="18"/>
      <c r="M175" s="18"/>
      <c r="N175" s="18"/>
      <c r="O175" s="18"/>
      <c r="P175" s="18"/>
      <c r="Q175" s="18"/>
      <c r="R175" s="18"/>
      <c r="S175" s="18"/>
      <c r="T175" s="18"/>
      <c r="U175" s="18"/>
      <c r="V175" s="18"/>
      <c r="W175" s="18"/>
      <c r="X175" s="18"/>
      <c r="Y175" s="18"/>
      <c r="Z175" s="18"/>
      <c r="AA175" s="18"/>
      <c r="AB175" s="18"/>
      <c r="AC175" s="18"/>
      <c r="AD175" s="18"/>
      <c r="AE175" s="18"/>
      <c r="AF175" s="18"/>
      <c r="AG175" s="18"/>
      <c r="AH175" s="18"/>
      <c r="AI175" s="18"/>
      <c r="AJ175" s="18"/>
      <c r="AK175" s="18"/>
      <c r="AL175" s="18"/>
      <c r="AM175" s="18"/>
      <c r="AN175" s="18"/>
      <c r="AO175" s="18"/>
      <c r="AP175" s="18"/>
      <c r="AQ175" s="18"/>
      <c r="AR175" s="18"/>
      <c r="AS175" s="18"/>
      <c r="AT175" s="18"/>
      <c r="AU175" s="18"/>
    </row>
    <row r="176" spans="1:47" s="20" customFormat="1" x14ac:dyDescent="0.2">
      <c r="A176" s="12"/>
      <c r="B176" s="18"/>
      <c r="C176" s="18"/>
      <c r="D176" s="18"/>
      <c r="E176" s="18"/>
      <c r="F176" s="18"/>
      <c r="G176" s="18"/>
      <c r="H176" s="18"/>
      <c r="I176" s="18"/>
      <c r="J176" s="18"/>
      <c r="K176" s="18"/>
      <c r="L176" s="18"/>
      <c r="M176" s="18"/>
      <c r="N176" s="18"/>
      <c r="O176" s="18"/>
      <c r="P176" s="18"/>
      <c r="Q176" s="18"/>
      <c r="R176" s="18"/>
      <c r="S176" s="18"/>
      <c r="T176" s="18"/>
      <c r="U176" s="18"/>
      <c r="V176" s="18"/>
      <c r="W176" s="18"/>
      <c r="X176" s="18"/>
      <c r="Y176" s="18"/>
      <c r="Z176" s="18"/>
      <c r="AA176" s="18"/>
      <c r="AB176" s="18"/>
      <c r="AC176" s="18"/>
      <c r="AD176" s="18"/>
      <c r="AE176" s="18"/>
      <c r="AF176" s="18"/>
      <c r="AG176" s="18"/>
      <c r="AH176" s="18"/>
      <c r="AI176" s="18"/>
      <c r="AJ176" s="18"/>
      <c r="AK176" s="18"/>
      <c r="AL176" s="18"/>
      <c r="AM176" s="18"/>
      <c r="AN176" s="18"/>
      <c r="AO176" s="18"/>
      <c r="AP176" s="18"/>
      <c r="AQ176" s="18"/>
      <c r="AR176" s="18"/>
      <c r="AS176" s="18"/>
      <c r="AT176" s="18"/>
      <c r="AU176" s="18"/>
    </row>
    <row r="177" spans="1:47" s="20" customFormat="1" x14ac:dyDescent="0.2">
      <c r="A177" s="12"/>
      <c r="B177" s="18"/>
      <c r="C177" s="18"/>
      <c r="D177" s="18"/>
      <c r="E177" s="18"/>
      <c r="F177" s="18"/>
      <c r="G177" s="18"/>
      <c r="H177" s="18"/>
      <c r="I177" s="18"/>
      <c r="J177" s="18"/>
      <c r="K177" s="18"/>
      <c r="L177" s="18"/>
      <c r="M177" s="18"/>
      <c r="N177" s="18"/>
      <c r="O177" s="18"/>
      <c r="P177" s="18"/>
      <c r="Q177" s="18"/>
      <c r="R177" s="18"/>
      <c r="S177" s="18"/>
      <c r="T177" s="18"/>
      <c r="U177" s="18"/>
      <c r="V177" s="18"/>
      <c r="W177" s="18"/>
      <c r="X177" s="18"/>
      <c r="Y177" s="18"/>
      <c r="Z177" s="18"/>
      <c r="AA177" s="18"/>
      <c r="AB177" s="18"/>
      <c r="AC177" s="18"/>
      <c r="AD177" s="18"/>
      <c r="AE177" s="18"/>
      <c r="AF177" s="18"/>
      <c r="AG177" s="18"/>
      <c r="AH177" s="18"/>
      <c r="AI177" s="18"/>
      <c r="AJ177" s="18"/>
      <c r="AK177" s="18"/>
      <c r="AL177" s="18"/>
      <c r="AM177" s="18"/>
      <c r="AN177" s="18"/>
      <c r="AO177" s="18"/>
      <c r="AP177" s="18"/>
      <c r="AQ177" s="18"/>
      <c r="AR177" s="18"/>
      <c r="AS177" s="18"/>
      <c r="AT177" s="18"/>
      <c r="AU177" s="18"/>
    </row>
    <row r="178" spans="1:47" s="20" customFormat="1" x14ac:dyDescent="0.2">
      <c r="A178" s="12"/>
      <c r="B178" s="18"/>
      <c r="C178" s="18"/>
      <c r="D178" s="18"/>
      <c r="E178" s="18"/>
      <c r="F178" s="18"/>
      <c r="G178" s="18"/>
      <c r="H178" s="18"/>
      <c r="I178" s="18"/>
      <c r="J178" s="18"/>
      <c r="K178" s="18"/>
      <c r="L178" s="18"/>
      <c r="M178" s="18"/>
      <c r="N178" s="18"/>
      <c r="O178" s="18"/>
      <c r="P178" s="18"/>
      <c r="Q178" s="18"/>
      <c r="R178" s="18"/>
      <c r="S178" s="18"/>
      <c r="T178" s="18"/>
      <c r="U178" s="18"/>
      <c r="V178" s="18"/>
      <c r="W178" s="18"/>
      <c r="X178" s="18"/>
      <c r="Y178" s="18"/>
      <c r="Z178" s="18"/>
      <c r="AA178" s="18"/>
      <c r="AB178" s="18"/>
      <c r="AC178" s="18"/>
      <c r="AD178" s="18"/>
      <c r="AE178" s="18"/>
      <c r="AF178" s="18"/>
      <c r="AG178" s="18"/>
      <c r="AH178" s="18"/>
      <c r="AI178" s="18"/>
      <c r="AJ178" s="18"/>
      <c r="AK178" s="18"/>
      <c r="AL178" s="18"/>
      <c r="AM178" s="18"/>
      <c r="AN178" s="18"/>
      <c r="AO178" s="18"/>
      <c r="AP178" s="18"/>
      <c r="AQ178" s="18"/>
      <c r="AR178" s="18"/>
      <c r="AS178" s="18"/>
      <c r="AT178" s="18"/>
      <c r="AU178" s="18"/>
    </row>
    <row r="179" spans="1:47" s="20" customFormat="1" x14ac:dyDescent="0.2">
      <c r="A179" s="12"/>
      <c r="B179" s="18"/>
      <c r="C179" s="18"/>
      <c r="D179" s="18"/>
      <c r="E179" s="18"/>
      <c r="F179" s="18"/>
      <c r="G179" s="18"/>
      <c r="H179" s="18"/>
      <c r="I179" s="18"/>
      <c r="J179" s="18"/>
      <c r="K179" s="18"/>
      <c r="L179" s="18"/>
      <c r="M179" s="18"/>
      <c r="N179" s="18"/>
      <c r="O179" s="18"/>
      <c r="P179" s="18"/>
      <c r="Q179" s="18"/>
      <c r="R179" s="18"/>
      <c r="S179" s="18"/>
      <c r="T179" s="18"/>
      <c r="U179" s="18"/>
      <c r="V179" s="18"/>
      <c r="W179" s="18"/>
      <c r="X179" s="18"/>
      <c r="Y179" s="18"/>
      <c r="Z179" s="18"/>
      <c r="AA179" s="18"/>
      <c r="AB179" s="18"/>
      <c r="AC179" s="18"/>
      <c r="AD179" s="18"/>
      <c r="AE179" s="18"/>
      <c r="AF179" s="18"/>
      <c r="AG179" s="18"/>
      <c r="AH179" s="18"/>
      <c r="AI179" s="18"/>
      <c r="AJ179" s="18"/>
      <c r="AK179" s="18"/>
      <c r="AL179" s="18"/>
      <c r="AM179" s="18"/>
      <c r="AN179" s="18"/>
      <c r="AO179" s="18"/>
      <c r="AP179" s="18"/>
      <c r="AQ179" s="18"/>
      <c r="AR179" s="18"/>
      <c r="AS179" s="18"/>
      <c r="AT179" s="18"/>
      <c r="AU179" s="18"/>
    </row>
    <row r="180" spans="1:47" s="20" customFormat="1" x14ac:dyDescent="0.2">
      <c r="A180" s="12"/>
      <c r="B180" s="18"/>
      <c r="C180" s="18"/>
      <c r="D180" s="18"/>
      <c r="E180" s="18"/>
      <c r="F180" s="18"/>
      <c r="G180" s="18"/>
      <c r="H180" s="18"/>
      <c r="I180" s="18"/>
      <c r="J180" s="18"/>
      <c r="K180" s="18"/>
      <c r="L180" s="18"/>
      <c r="M180" s="18"/>
      <c r="N180" s="18"/>
      <c r="O180" s="18"/>
      <c r="P180" s="18"/>
      <c r="Q180" s="18"/>
      <c r="R180" s="18"/>
      <c r="S180" s="18"/>
      <c r="T180" s="18"/>
      <c r="U180" s="18"/>
      <c r="V180" s="18"/>
      <c r="W180" s="18"/>
      <c r="X180" s="18"/>
      <c r="Y180" s="18"/>
      <c r="Z180" s="18"/>
      <c r="AA180" s="18"/>
      <c r="AB180" s="18"/>
      <c r="AC180" s="18"/>
      <c r="AD180" s="18"/>
      <c r="AE180" s="18"/>
      <c r="AF180" s="18"/>
      <c r="AG180" s="18"/>
      <c r="AH180" s="18"/>
      <c r="AI180" s="18"/>
      <c r="AJ180" s="18"/>
      <c r="AK180" s="18"/>
      <c r="AL180" s="18"/>
      <c r="AM180" s="18"/>
      <c r="AN180" s="18"/>
      <c r="AO180" s="18"/>
      <c r="AP180" s="18"/>
      <c r="AQ180" s="18"/>
      <c r="AR180" s="18"/>
      <c r="AS180" s="18"/>
      <c r="AT180" s="18"/>
      <c r="AU180" s="18"/>
    </row>
    <row r="181" spans="1:47" s="20" customFormat="1" x14ac:dyDescent="0.2">
      <c r="A181" s="12"/>
      <c r="B181" s="18"/>
      <c r="C181" s="18"/>
      <c r="D181" s="18"/>
      <c r="E181" s="18"/>
      <c r="F181" s="18"/>
      <c r="G181" s="18"/>
      <c r="H181" s="18"/>
      <c r="I181" s="18"/>
      <c r="J181" s="18"/>
      <c r="K181" s="18"/>
      <c r="L181" s="18"/>
      <c r="M181" s="18"/>
      <c r="N181" s="18"/>
      <c r="O181" s="18"/>
      <c r="P181" s="18"/>
      <c r="Q181" s="18"/>
      <c r="R181" s="18"/>
      <c r="S181" s="18"/>
      <c r="T181" s="18"/>
      <c r="U181" s="18"/>
      <c r="V181" s="18"/>
      <c r="W181" s="18"/>
      <c r="X181" s="18"/>
      <c r="Y181" s="18"/>
      <c r="Z181" s="18"/>
      <c r="AA181" s="18"/>
      <c r="AB181" s="18"/>
      <c r="AC181" s="18"/>
      <c r="AD181" s="18"/>
      <c r="AE181" s="18"/>
      <c r="AF181" s="18"/>
      <c r="AG181" s="18"/>
      <c r="AH181" s="18"/>
      <c r="AI181" s="18"/>
      <c r="AJ181" s="18"/>
      <c r="AK181" s="18"/>
      <c r="AL181" s="18"/>
      <c r="AM181" s="18"/>
      <c r="AN181" s="18"/>
      <c r="AO181" s="18"/>
      <c r="AP181" s="18"/>
      <c r="AQ181" s="18"/>
      <c r="AR181" s="18"/>
      <c r="AS181" s="18"/>
      <c r="AT181" s="18"/>
      <c r="AU181" s="18"/>
    </row>
    <row r="182" spans="1:47" s="20" customFormat="1" x14ac:dyDescent="0.2">
      <c r="A182" s="12"/>
      <c r="B182" s="18"/>
      <c r="C182" s="18"/>
      <c r="D182" s="18"/>
      <c r="E182" s="18"/>
      <c r="F182" s="18"/>
      <c r="G182" s="18"/>
      <c r="H182" s="18"/>
      <c r="I182" s="18"/>
      <c r="J182" s="18"/>
      <c r="K182" s="18"/>
      <c r="L182" s="18"/>
      <c r="M182" s="18"/>
      <c r="N182" s="18"/>
      <c r="O182" s="18"/>
      <c r="P182" s="18"/>
      <c r="Q182" s="18"/>
      <c r="R182" s="18"/>
      <c r="S182" s="18"/>
      <c r="T182" s="18"/>
      <c r="U182" s="18"/>
      <c r="V182" s="18"/>
      <c r="W182" s="18"/>
      <c r="X182" s="18"/>
      <c r="Y182" s="18"/>
      <c r="Z182" s="18"/>
      <c r="AA182" s="18"/>
      <c r="AB182" s="18"/>
      <c r="AC182" s="18"/>
      <c r="AD182" s="18"/>
      <c r="AE182" s="18"/>
      <c r="AF182" s="18"/>
      <c r="AG182" s="18"/>
      <c r="AH182" s="18"/>
      <c r="AI182" s="18"/>
      <c r="AJ182" s="18"/>
      <c r="AK182" s="18"/>
      <c r="AL182" s="18"/>
      <c r="AM182" s="18"/>
      <c r="AN182" s="18"/>
      <c r="AO182" s="18"/>
      <c r="AP182" s="18"/>
      <c r="AQ182" s="18"/>
      <c r="AR182" s="18"/>
      <c r="AS182" s="18"/>
      <c r="AT182" s="18"/>
      <c r="AU182" s="18"/>
    </row>
    <row r="183" spans="1:47" s="20" customFormat="1" x14ac:dyDescent="0.2">
      <c r="A183" s="12"/>
      <c r="B183" s="18"/>
      <c r="C183" s="18"/>
      <c r="D183" s="18"/>
      <c r="E183" s="18"/>
      <c r="F183" s="18"/>
      <c r="G183" s="18"/>
      <c r="H183" s="18"/>
      <c r="I183" s="18"/>
      <c r="J183" s="18"/>
      <c r="K183" s="18"/>
      <c r="L183" s="18"/>
      <c r="M183" s="18"/>
      <c r="N183" s="18"/>
      <c r="O183" s="18"/>
      <c r="P183" s="18"/>
      <c r="Q183" s="18"/>
      <c r="R183" s="18"/>
      <c r="S183" s="18"/>
      <c r="T183" s="18"/>
      <c r="U183" s="18"/>
      <c r="V183" s="18"/>
      <c r="W183" s="18"/>
      <c r="X183" s="18"/>
      <c r="Y183" s="18"/>
      <c r="Z183" s="18"/>
      <c r="AA183" s="18"/>
      <c r="AB183" s="18"/>
      <c r="AC183" s="18"/>
      <c r="AD183" s="18"/>
      <c r="AE183" s="18"/>
      <c r="AF183" s="18"/>
      <c r="AG183" s="18"/>
      <c r="AH183" s="18"/>
      <c r="AI183" s="18"/>
      <c r="AJ183" s="18"/>
      <c r="AK183" s="18"/>
      <c r="AL183" s="18"/>
      <c r="AM183" s="18"/>
      <c r="AN183" s="18"/>
      <c r="AO183" s="18"/>
      <c r="AP183" s="18"/>
      <c r="AQ183" s="18"/>
      <c r="AR183" s="18"/>
      <c r="AS183" s="18"/>
      <c r="AT183" s="18"/>
      <c r="AU183" s="18"/>
    </row>
    <row r="184" spans="1:47" s="20" customFormat="1" x14ac:dyDescent="0.2">
      <c r="A184" s="12"/>
      <c r="B184" s="18"/>
      <c r="C184" s="18"/>
      <c r="D184" s="18"/>
      <c r="E184" s="18"/>
      <c r="F184" s="18"/>
      <c r="G184" s="18"/>
      <c r="H184" s="18"/>
      <c r="I184" s="18"/>
      <c r="J184" s="18"/>
      <c r="K184" s="18"/>
      <c r="L184" s="18"/>
      <c r="M184" s="18"/>
      <c r="N184" s="18"/>
      <c r="O184" s="18"/>
      <c r="P184" s="18"/>
      <c r="Q184" s="18"/>
      <c r="R184" s="18"/>
      <c r="S184" s="18"/>
      <c r="T184" s="18"/>
      <c r="U184" s="18"/>
      <c r="V184" s="18"/>
      <c r="W184" s="18"/>
      <c r="X184" s="18"/>
      <c r="Y184" s="18"/>
      <c r="Z184" s="18"/>
      <c r="AA184" s="18"/>
      <c r="AB184" s="18"/>
      <c r="AC184" s="18"/>
      <c r="AD184" s="18"/>
      <c r="AE184" s="18"/>
      <c r="AF184" s="18"/>
      <c r="AG184" s="18"/>
      <c r="AH184" s="18"/>
      <c r="AI184" s="18"/>
      <c r="AJ184" s="18"/>
      <c r="AK184" s="18"/>
      <c r="AL184" s="18"/>
      <c r="AM184" s="18"/>
      <c r="AN184" s="18"/>
      <c r="AO184" s="18"/>
      <c r="AP184" s="18"/>
      <c r="AQ184" s="18"/>
      <c r="AR184" s="18"/>
      <c r="AS184" s="18"/>
      <c r="AT184" s="18"/>
      <c r="AU184" s="18"/>
    </row>
    <row r="185" spans="1:47" s="20" customFormat="1" x14ac:dyDescent="0.2">
      <c r="A185" s="12"/>
      <c r="B185" s="18"/>
      <c r="C185" s="18"/>
      <c r="D185" s="18"/>
      <c r="E185" s="18"/>
      <c r="F185" s="18"/>
      <c r="G185" s="18"/>
      <c r="H185" s="18"/>
      <c r="I185" s="18"/>
      <c r="J185" s="18"/>
      <c r="K185" s="18"/>
      <c r="L185" s="18"/>
      <c r="M185" s="18"/>
      <c r="N185" s="18"/>
      <c r="O185" s="18"/>
      <c r="P185" s="18"/>
      <c r="Q185" s="18"/>
      <c r="R185" s="18"/>
      <c r="S185" s="18"/>
      <c r="T185" s="18"/>
      <c r="U185" s="18"/>
      <c r="V185" s="18"/>
      <c r="W185" s="18"/>
      <c r="X185" s="18"/>
      <c r="Y185" s="18"/>
      <c r="Z185" s="18"/>
      <c r="AA185" s="18"/>
      <c r="AB185" s="18"/>
      <c r="AC185" s="18"/>
      <c r="AD185" s="18"/>
      <c r="AE185" s="18"/>
      <c r="AF185" s="18"/>
      <c r="AG185" s="18"/>
      <c r="AH185" s="18"/>
      <c r="AI185" s="18"/>
      <c r="AJ185" s="18"/>
      <c r="AK185" s="18"/>
      <c r="AL185" s="18"/>
      <c r="AM185" s="18"/>
      <c r="AN185" s="18"/>
      <c r="AO185" s="18"/>
      <c r="AP185" s="18"/>
      <c r="AQ185" s="18"/>
      <c r="AR185" s="18"/>
      <c r="AS185" s="18"/>
      <c r="AT185" s="18"/>
      <c r="AU185" s="18"/>
    </row>
    <row r="186" spans="1:47" s="20" customFormat="1" x14ac:dyDescent="0.2">
      <c r="A186" s="12"/>
      <c r="B186" s="18"/>
      <c r="C186" s="18"/>
      <c r="D186" s="18"/>
      <c r="E186" s="18"/>
      <c r="F186" s="18"/>
      <c r="G186" s="18"/>
      <c r="H186" s="18"/>
      <c r="I186" s="18"/>
      <c r="J186" s="18"/>
      <c r="K186" s="18"/>
      <c r="L186" s="18"/>
      <c r="M186" s="18"/>
      <c r="N186" s="18"/>
      <c r="O186" s="18"/>
      <c r="P186" s="18"/>
      <c r="Q186" s="18"/>
      <c r="R186" s="18"/>
      <c r="S186" s="18"/>
      <c r="T186" s="18"/>
      <c r="U186" s="18"/>
      <c r="V186" s="18"/>
      <c r="W186" s="18"/>
      <c r="X186" s="18"/>
      <c r="Y186" s="18"/>
      <c r="Z186" s="18"/>
      <c r="AA186" s="18"/>
      <c r="AB186" s="18"/>
      <c r="AC186" s="18"/>
      <c r="AD186" s="18"/>
      <c r="AE186" s="18"/>
      <c r="AF186" s="18"/>
      <c r="AG186" s="18"/>
      <c r="AH186" s="18"/>
      <c r="AI186" s="18"/>
      <c r="AJ186" s="18"/>
      <c r="AK186" s="18"/>
      <c r="AL186" s="18"/>
      <c r="AM186" s="18"/>
      <c r="AN186" s="18"/>
      <c r="AO186" s="18"/>
      <c r="AP186" s="18"/>
      <c r="AQ186" s="18"/>
      <c r="AR186" s="18"/>
      <c r="AS186" s="18"/>
      <c r="AT186" s="18"/>
      <c r="AU186" s="18"/>
    </row>
    <row r="187" spans="1:47" s="20" customFormat="1" x14ac:dyDescent="0.2">
      <c r="A187" s="12"/>
      <c r="B187" s="18"/>
      <c r="C187" s="18"/>
      <c r="D187" s="18"/>
      <c r="E187" s="18"/>
      <c r="F187" s="18"/>
      <c r="G187" s="18"/>
      <c r="H187" s="18"/>
      <c r="I187" s="18"/>
      <c r="J187" s="18"/>
      <c r="K187" s="18"/>
      <c r="L187" s="18"/>
      <c r="M187" s="18"/>
      <c r="N187" s="18"/>
      <c r="O187" s="18"/>
      <c r="P187" s="18"/>
      <c r="Q187" s="18"/>
      <c r="R187" s="18"/>
      <c r="S187" s="18"/>
      <c r="T187" s="18"/>
      <c r="U187" s="18"/>
      <c r="V187" s="18"/>
      <c r="W187" s="18"/>
      <c r="X187" s="18"/>
      <c r="Y187" s="18"/>
      <c r="Z187" s="18"/>
      <c r="AA187" s="18"/>
      <c r="AB187" s="18"/>
      <c r="AC187" s="18"/>
      <c r="AD187" s="18"/>
      <c r="AE187" s="18"/>
      <c r="AF187" s="18"/>
      <c r="AG187" s="18"/>
      <c r="AH187" s="18"/>
      <c r="AI187" s="18"/>
      <c r="AJ187" s="18"/>
      <c r="AK187" s="18"/>
      <c r="AL187" s="18"/>
      <c r="AM187" s="18"/>
      <c r="AN187" s="18"/>
      <c r="AO187" s="18"/>
      <c r="AP187" s="18"/>
      <c r="AQ187" s="18"/>
      <c r="AR187" s="18"/>
      <c r="AS187" s="18"/>
      <c r="AT187" s="18"/>
      <c r="AU187" s="18"/>
    </row>
    <row r="188" spans="1:47" s="20" customFormat="1" x14ac:dyDescent="0.2">
      <c r="A188" s="12"/>
      <c r="B188" s="18"/>
      <c r="C188" s="18"/>
      <c r="D188" s="18"/>
      <c r="E188" s="18"/>
      <c r="F188" s="18"/>
      <c r="G188" s="18"/>
      <c r="H188" s="18"/>
      <c r="I188" s="18"/>
      <c r="J188" s="18"/>
      <c r="K188" s="18"/>
      <c r="L188" s="18"/>
      <c r="M188" s="18"/>
      <c r="N188" s="18"/>
      <c r="O188" s="18"/>
      <c r="P188" s="18"/>
      <c r="Q188" s="18"/>
      <c r="R188" s="18"/>
      <c r="S188" s="18"/>
      <c r="T188" s="18"/>
      <c r="U188" s="18"/>
      <c r="V188" s="18"/>
      <c r="W188" s="18"/>
      <c r="X188" s="18"/>
      <c r="Y188" s="18"/>
      <c r="Z188" s="18"/>
      <c r="AA188" s="18"/>
      <c r="AB188" s="18"/>
      <c r="AC188" s="18"/>
      <c r="AD188" s="18"/>
      <c r="AE188" s="18"/>
      <c r="AF188" s="18"/>
      <c r="AG188" s="18"/>
      <c r="AH188" s="18"/>
      <c r="AI188" s="18"/>
      <c r="AJ188" s="18"/>
      <c r="AK188" s="18"/>
      <c r="AL188" s="18"/>
      <c r="AM188" s="18"/>
      <c r="AN188" s="18"/>
      <c r="AO188" s="18"/>
      <c r="AP188" s="18"/>
      <c r="AQ188" s="18"/>
      <c r="AR188" s="18"/>
      <c r="AS188" s="18"/>
      <c r="AT188" s="18"/>
      <c r="AU188" s="18"/>
    </row>
    <row r="189" spans="1:47" s="20" customFormat="1" x14ac:dyDescent="0.2">
      <c r="A189" s="12"/>
      <c r="B189" s="18"/>
      <c r="C189" s="18"/>
      <c r="D189" s="18"/>
      <c r="E189" s="18"/>
      <c r="F189" s="18"/>
      <c r="G189" s="18"/>
      <c r="H189" s="18"/>
      <c r="I189" s="18"/>
      <c r="J189" s="18"/>
      <c r="K189" s="18"/>
      <c r="L189" s="18"/>
      <c r="M189" s="18"/>
      <c r="N189" s="18"/>
      <c r="O189" s="18"/>
      <c r="P189" s="18"/>
      <c r="Q189" s="18"/>
      <c r="R189" s="18"/>
      <c r="S189" s="18"/>
      <c r="T189" s="18"/>
      <c r="U189" s="18"/>
      <c r="V189" s="18"/>
      <c r="W189" s="18"/>
      <c r="X189" s="18"/>
      <c r="Y189" s="18"/>
      <c r="Z189" s="18"/>
      <c r="AA189" s="18"/>
      <c r="AB189" s="18"/>
      <c r="AC189" s="18"/>
      <c r="AD189" s="18"/>
      <c r="AE189" s="18"/>
      <c r="AF189" s="18"/>
      <c r="AG189" s="18"/>
      <c r="AH189" s="18"/>
      <c r="AI189" s="18"/>
      <c r="AJ189" s="18"/>
      <c r="AK189" s="18"/>
      <c r="AL189" s="18"/>
      <c r="AM189" s="18"/>
      <c r="AN189" s="18"/>
      <c r="AO189" s="18"/>
      <c r="AP189" s="18"/>
      <c r="AQ189" s="18"/>
      <c r="AR189" s="18"/>
      <c r="AS189" s="18"/>
      <c r="AT189" s="18"/>
      <c r="AU189" s="18"/>
    </row>
    <row r="190" spans="1:47" s="20" customFormat="1" x14ac:dyDescent="0.2">
      <c r="A190" s="12"/>
      <c r="B190" s="18"/>
      <c r="C190" s="18"/>
      <c r="D190" s="18"/>
      <c r="E190" s="18"/>
      <c r="F190" s="18"/>
      <c r="G190" s="18"/>
      <c r="H190" s="18"/>
      <c r="I190" s="18"/>
      <c r="J190" s="18"/>
      <c r="K190" s="18"/>
      <c r="L190" s="18"/>
      <c r="M190" s="18"/>
      <c r="N190" s="18"/>
      <c r="O190" s="18"/>
      <c r="P190" s="18"/>
      <c r="Q190" s="18"/>
      <c r="R190" s="18"/>
      <c r="S190" s="18"/>
      <c r="T190" s="18"/>
      <c r="U190" s="18"/>
      <c r="V190" s="18"/>
      <c r="W190" s="18"/>
      <c r="X190" s="18"/>
      <c r="Y190" s="18"/>
      <c r="Z190" s="18"/>
      <c r="AA190" s="18"/>
      <c r="AB190" s="18"/>
      <c r="AC190" s="18"/>
      <c r="AD190" s="18"/>
      <c r="AE190" s="18"/>
      <c r="AF190" s="18"/>
      <c r="AG190" s="18"/>
      <c r="AH190" s="18"/>
      <c r="AI190" s="18"/>
      <c r="AJ190" s="18"/>
      <c r="AK190" s="18"/>
      <c r="AL190" s="18"/>
      <c r="AM190" s="18"/>
      <c r="AN190" s="18"/>
      <c r="AO190" s="18"/>
      <c r="AP190" s="18"/>
      <c r="AQ190" s="18"/>
      <c r="AR190" s="18"/>
      <c r="AS190" s="18"/>
      <c r="AT190" s="18"/>
      <c r="AU190" s="18"/>
    </row>
    <row r="191" spans="1:47" s="20" customFormat="1" x14ac:dyDescent="0.2">
      <c r="A191" s="12"/>
      <c r="B191" s="18"/>
      <c r="C191" s="18"/>
      <c r="D191" s="18"/>
      <c r="E191" s="18"/>
      <c r="F191" s="18"/>
      <c r="G191" s="18"/>
      <c r="H191" s="18"/>
      <c r="I191" s="18"/>
      <c r="J191" s="18"/>
      <c r="K191" s="18"/>
      <c r="L191" s="18"/>
      <c r="M191" s="18"/>
      <c r="N191" s="18"/>
      <c r="O191" s="18"/>
      <c r="P191" s="18"/>
      <c r="Q191" s="18"/>
      <c r="R191" s="18"/>
      <c r="S191" s="18"/>
      <c r="T191" s="18"/>
      <c r="U191" s="18"/>
      <c r="V191" s="18"/>
      <c r="W191" s="18"/>
      <c r="X191" s="18"/>
      <c r="Y191" s="18"/>
      <c r="Z191" s="18"/>
      <c r="AA191" s="18"/>
      <c r="AB191" s="18"/>
      <c r="AC191" s="18"/>
      <c r="AD191" s="18"/>
      <c r="AE191" s="18"/>
      <c r="AF191" s="18"/>
      <c r="AG191" s="18"/>
      <c r="AH191" s="18"/>
      <c r="AI191" s="18"/>
      <c r="AJ191" s="18"/>
      <c r="AK191" s="18"/>
      <c r="AL191" s="18"/>
      <c r="AM191" s="18"/>
      <c r="AN191" s="18"/>
      <c r="AO191" s="18"/>
      <c r="AP191" s="18"/>
      <c r="AQ191" s="18"/>
      <c r="AR191" s="18"/>
      <c r="AS191" s="18"/>
      <c r="AT191" s="18"/>
      <c r="AU191" s="18"/>
    </row>
    <row r="192" spans="1:47" s="20" customFormat="1" x14ac:dyDescent="0.2">
      <c r="A192" s="12"/>
      <c r="B192" s="18"/>
      <c r="C192" s="18"/>
      <c r="D192" s="18"/>
      <c r="E192" s="18"/>
      <c r="F192" s="18"/>
      <c r="G192" s="18"/>
      <c r="H192" s="18"/>
      <c r="I192" s="18"/>
      <c r="J192" s="18"/>
      <c r="K192" s="18"/>
      <c r="L192" s="18"/>
      <c r="M192" s="18"/>
      <c r="N192" s="18"/>
      <c r="O192" s="18"/>
      <c r="P192" s="18"/>
      <c r="Q192" s="18"/>
      <c r="R192" s="18"/>
      <c r="S192" s="18"/>
      <c r="T192" s="18"/>
      <c r="U192" s="18"/>
      <c r="V192" s="18"/>
      <c r="W192" s="18"/>
      <c r="X192" s="18"/>
      <c r="Y192" s="18"/>
      <c r="Z192" s="18"/>
      <c r="AA192" s="18"/>
      <c r="AB192" s="18"/>
      <c r="AC192" s="18"/>
      <c r="AD192" s="18"/>
      <c r="AE192" s="18"/>
      <c r="AF192" s="18"/>
      <c r="AG192" s="18"/>
      <c r="AH192" s="18"/>
      <c r="AI192" s="18"/>
      <c r="AJ192" s="18"/>
      <c r="AK192" s="18"/>
      <c r="AL192" s="18"/>
      <c r="AM192" s="18"/>
      <c r="AN192" s="18"/>
      <c r="AO192" s="18"/>
      <c r="AP192" s="18"/>
      <c r="AQ192" s="18"/>
      <c r="AR192" s="18"/>
      <c r="AS192" s="18"/>
      <c r="AT192" s="18"/>
      <c r="AU192" s="18"/>
    </row>
    <row r="193" spans="1:47" s="20" customFormat="1" x14ac:dyDescent="0.2">
      <c r="A193" s="12"/>
      <c r="B193" s="18"/>
      <c r="C193" s="18"/>
      <c r="D193" s="18"/>
      <c r="E193" s="18"/>
      <c r="F193" s="18"/>
      <c r="G193" s="18"/>
      <c r="H193" s="18"/>
      <c r="I193" s="18"/>
      <c r="J193" s="18"/>
      <c r="K193" s="18"/>
      <c r="L193" s="18"/>
      <c r="M193" s="18"/>
      <c r="N193" s="18"/>
      <c r="O193" s="18"/>
      <c r="P193" s="18"/>
      <c r="Q193" s="18"/>
      <c r="R193" s="18"/>
      <c r="S193" s="18"/>
      <c r="T193" s="18"/>
      <c r="U193" s="18"/>
      <c r="V193" s="18"/>
      <c r="W193" s="18"/>
      <c r="X193" s="18"/>
      <c r="Y193" s="18"/>
      <c r="Z193" s="18"/>
      <c r="AA193" s="18"/>
      <c r="AB193" s="18"/>
      <c r="AC193" s="18"/>
      <c r="AD193" s="18"/>
      <c r="AE193" s="18"/>
      <c r="AF193" s="18"/>
      <c r="AG193" s="18"/>
      <c r="AH193" s="18"/>
      <c r="AI193" s="18"/>
      <c r="AJ193" s="18"/>
      <c r="AK193" s="18"/>
      <c r="AL193" s="18"/>
      <c r="AM193" s="18"/>
      <c r="AN193" s="18"/>
      <c r="AO193" s="18"/>
      <c r="AP193" s="18"/>
      <c r="AQ193" s="18"/>
      <c r="AR193" s="18"/>
      <c r="AS193" s="18"/>
      <c r="AT193" s="18"/>
      <c r="AU193" s="18"/>
    </row>
    <row r="194" spans="1:47" s="20" customFormat="1" x14ac:dyDescent="0.2">
      <c r="A194" s="12"/>
      <c r="B194" s="18"/>
      <c r="C194" s="18"/>
      <c r="D194" s="18"/>
      <c r="E194" s="18"/>
      <c r="F194" s="18"/>
      <c r="G194" s="18"/>
      <c r="H194" s="18"/>
      <c r="I194" s="18"/>
      <c r="J194" s="18"/>
      <c r="K194" s="18"/>
      <c r="L194" s="18"/>
      <c r="M194" s="18"/>
      <c r="N194" s="18"/>
      <c r="O194" s="18"/>
      <c r="P194" s="18"/>
      <c r="Q194" s="18"/>
      <c r="R194" s="18"/>
      <c r="S194" s="18"/>
      <c r="T194" s="18"/>
      <c r="U194" s="18"/>
      <c r="V194" s="18"/>
      <c r="W194" s="18"/>
      <c r="X194" s="18"/>
      <c r="Y194" s="18"/>
      <c r="Z194" s="18"/>
      <c r="AA194" s="18"/>
      <c r="AB194" s="18"/>
      <c r="AC194" s="18"/>
      <c r="AD194" s="18"/>
      <c r="AE194" s="18"/>
      <c r="AF194" s="18"/>
      <c r="AG194" s="18"/>
      <c r="AH194" s="18"/>
      <c r="AI194" s="18"/>
      <c r="AJ194" s="18"/>
      <c r="AK194" s="18"/>
      <c r="AL194" s="18"/>
      <c r="AM194" s="18"/>
      <c r="AN194" s="18"/>
      <c r="AO194" s="18"/>
      <c r="AP194" s="18"/>
      <c r="AQ194" s="18"/>
      <c r="AR194" s="18"/>
      <c r="AS194" s="18"/>
      <c r="AT194" s="18"/>
      <c r="AU194" s="18"/>
    </row>
    <row r="195" spans="1:47" s="20" customFormat="1" x14ac:dyDescent="0.2">
      <c r="A195" s="12"/>
      <c r="B195" s="18"/>
      <c r="C195" s="18"/>
      <c r="D195" s="18"/>
      <c r="E195" s="18"/>
      <c r="F195" s="18"/>
      <c r="G195" s="18"/>
      <c r="H195" s="18"/>
      <c r="I195" s="18"/>
      <c r="J195" s="18"/>
      <c r="K195" s="18"/>
      <c r="L195" s="18"/>
      <c r="M195" s="18"/>
      <c r="N195" s="18"/>
      <c r="O195" s="18"/>
      <c r="P195" s="18"/>
      <c r="Q195" s="18"/>
      <c r="R195" s="18"/>
      <c r="S195" s="18"/>
      <c r="T195" s="18"/>
      <c r="U195" s="18"/>
      <c r="V195" s="18"/>
      <c r="W195" s="18"/>
      <c r="X195" s="18"/>
      <c r="Y195" s="18"/>
      <c r="Z195" s="18"/>
      <c r="AA195" s="18"/>
      <c r="AB195" s="18"/>
      <c r="AC195" s="18"/>
      <c r="AD195" s="18"/>
      <c r="AE195" s="18"/>
      <c r="AF195" s="18"/>
      <c r="AG195" s="18"/>
      <c r="AH195" s="18"/>
      <c r="AI195" s="18"/>
      <c r="AJ195" s="18"/>
      <c r="AK195" s="18"/>
      <c r="AL195" s="18"/>
      <c r="AM195" s="18"/>
      <c r="AN195" s="18"/>
      <c r="AO195" s="18"/>
      <c r="AP195" s="18"/>
      <c r="AQ195" s="18"/>
      <c r="AR195" s="18"/>
      <c r="AS195" s="18"/>
      <c r="AT195" s="18"/>
      <c r="AU195" s="18"/>
    </row>
    <row r="196" spans="1:47" s="20" customFormat="1" x14ac:dyDescent="0.2">
      <c r="A196" s="12"/>
      <c r="B196" s="18"/>
      <c r="C196" s="18"/>
      <c r="D196" s="18"/>
      <c r="E196" s="18"/>
      <c r="F196" s="18"/>
      <c r="G196" s="18"/>
      <c r="H196" s="18"/>
      <c r="I196" s="18"/>
      <c r="J196" s="18"/>
      <c r="K196" s="18"/>
      <c r="L196" s="18"/>
      <c r="M196" s="18"/>
      <c r="N196" s="18"/>
      <c r="O196" s="18"/>
      <c r="P196" s="18"/>
      <c r="Q196" s="18"/>
      <c r="R196" s="18"/>
      <c r="S196" s="18"/>
      <c r="T196" s="18"/>
      <c r="U196" s="18"/>
      <c r="V196" s="18"/>
      <c r="W196" s="18"/>
      <c r="X196" s="18"/>
      <c r="Y196" s="18"/>
      <c r="Z196" s="18"/>
      <c r="AA196" s="18"/>
      <c r="AB196" s="18"/>
      <c r="AC196" s="18"/>
      <c r="AD196" s="18"/>
      <c r="AE196" s="18"/>
      <c r="AF196" s="18"/>
      <c r="AG196" s="18"/>
      <c r="AH196" s="18"/>
      <c r="AI196" s="18"/>
      <c r="AJ196" s="18"/>
      <c r="AK196" s="18"/>
      <c r="AL196" s="18"/>
      <c r="AM196" s="18"/>
      <c r="AN196" s="18"/>
      <c r="AO196" s="18"/>
      <c r="AP196" s="18"/>
      <c r="AQ196" s="18"/>
      <c r="AR196" s="18"/>
      <c r="AS196" s="18"/>
      <c r="AT196" s="18"/>
      <c r="AU196" s="18"/>
    </row>
    <row r="197" spans="1:47" s="20" customFormat="1" x14ac:dyDescent="0.2">
      <c r="A197" s="12"/>
      <c r="B197" s="18"/>
      <c r="C197" s="18"/>
      <c r="D197" s="18"/>
      <c r="E197" s="18"/>
      <c r="F197" s="18"/>
      <c r="G197" s="18"/>
      <c r="H197" s="18"/>
      <c r="I197" s="18"/>
      <c r="J197" s="18"/>
      <c r="K197" s="18"/>
      <c r="L197" s="18"/>
      <c r="M197" s="18"/>
      <c r="N197" s="18"/>
      <c r="O197" s="18"/>
      <c r="P197" s="18"/>
      <c r="Q197" s="18"/>
      <c r="R197" s="18"/>
      <c r="S197" s="18"/>
      <c r="T197" s="18"/>
      <c r="U197" s="18"/>
      <c r="V197" s="18"/>
      <c r="W197" s="18"/>
      <c r="X197" s="18"/>
      <c r="Y197" s="18"/>
      <c r="Z197" s="18"/>
      <c r="AA197" s="18"/>
      <c r="AB197" s="18"/>
      <c r="AC197" s="18"/>
      <c r="AD197" s="18"/>
      <c r="AE197" s="18"/>
      <c r="AF197" s="18"/>
      <c r="AG197" s="18"/>
      <c r="AH197" s="18"/>
      <c r="AI197" s="18"/>
      <c r="AJ197" s="18"/>
      <c r="AK197" s="18"/>
      <c r="AL197" s="18"/>
      <c r="AM197" s="18"/>
      <c r="AN197" s="18"/>
      <c r="AO197" s="18"/>
      <c r="AP197" s="18"/>
      <c r="AQ197" s="18"/>
      <c r="AR197" s="18"/>
      <c r="AS197" s="18"/>
      <c r="AT197" s="18"/>
      <c r="AU197" s="18"/>
    </row>
    <row r="198" spans="1:47" s="20" customFormat="1" x14ac:dyDescent="0.2">
      <c r="A198" s="12"/>
      <c r="B198" s="18"/>
      <c r="C198" s="18"/>
      <c r="D198" s="18"/>
      <c r="E198" s="18"/>
      <c r="F198" s="18"/>
      <c r="G198" s="18"/>
      <c r="H198" s="18"/>
      <c r="I198" s="18"/>
      <c r="J198" s="18"/>
      <c r="K198" s="18"/>
      <c r="L198" s="18"/>
      <c r="M198" s="18"/>
      <c r="N198" s="18"/>
      <c r="O198" s="18"/>
      <c r="P198" s="18"/>
      <c r="Q198" s="18"/>
      <c r="R198" s="18"/>
      <c r="S198" s="18"/>
      <c r="T198" s="18"/>
      <c r="U198" s="18"/>
      <c r="V198" s="18"/>
      <c r="W198" s="18"/>
      <c r="X198" s="18"/>
      <c r="Y198" s="18"/>
      <c r="Z198" s="18"/>
      <c r="AA198" s="18"/>
      <c r="AB198" s="18"/>
      <c r="AC198" s="18"/>
      <c r="AD198" s="18"/>
      <c r="AE198" s="18"/>
      <c r="AF198" s="18"/>
      <c r="AG198" s="18"/>
      <c r="AH198" s="18"/>
      <c r="AI198" s="18"/>
      <c r="AJ198" s="18"/>
      <c r="AK198" s="18"/>
      <c r="AL198" s="18"/>
      <c r="AM198" s="18"/>
      <c r="AN198" s="18"/>
      <c r="AO198" s="18"/>
      <c r="AP198" s="18"/>
      <c r="AQ198" s="18"/>
      <c r="AR198" s="18"/>
      <c r="AS198" s="18"/>
      <c r="AT198" s="18"/>
      <c r="AU198" s="18"/>
    </row>
    <row r="199" spans="1:47" s="20" customFormat="1" x14ac:dyDescent="0.2">
      <c r="A199" s="12"/>
      <c r="B199" s="18"/>
      <c r="C199" s="18"/>
      <c r="D199" s="18"/>
      <c r="E199" s="18"/>
      <c r="F199" s="18"/>
      <c r="G199" s="18"/>
      <c r="H199" s="18"/>
      <c r="I199" s="18"/>
      <c r="J199" s="18"/>
      <c r="K199" s="18"/>
      <c r="L199" s="18"/>
      <c r="M199" s="18"/>
      <c r="N199" s="18"/>
      <c r="O199" s="18"/>
      <c r="P199" s="18"/>
      <c r="Q199" s="18"/>
      <c r="R199" s="18"/>
      <c r="S199" s="18"/>
      <c r="T199" s="18"/>
      <c r="U199" s="18"/>
      <c r="V199" s="18"/>
      <c r="W199" s="18"/>
      <c r="X199" s="18"/>
      <c r="Y199" s="18"/>
      <c r="Z199" s="18"/>
      <c r="AA199" s="18"/>
      <c r="AB199" s="18"/>
      <c r="AC199" s="18"/>
      <c r="AD199" s="18"/>
      <c r="AE199" s="18"/>
      <c r="AF199" s="18"/>
      <c r="AG199" s="18"/>
      <c r="AH199" s="18"/>
      <c r="AI199" s="18"/>
      <c r="AJ199" s="18"/>
      <c r="AK199" s="18"/>
      <c r="AL199" s="18"/>
      <c r="AM199" s="18"/>
      <c r="AN199" s="18"/>
      <c r="AO199" s="18"/>
      <c r="AP199" s="18"/>
      <c r="AQ199" s="18"/>
      <c r="AR199" s="18"/>
      <c r="AS199" s="18"/>
      <c r="AT199" s="18"/>
      <c r="AU199" s="18"/>
    </row>
    <row r="200" spans="1:47" s="20" customFormat="1" x14ac:dyDescent="0.2">
      <c r="A200" s="12"/>
      <c r="B200" s="18"/>
      <c r="C200" s="18"/>
      <c r="D200" s="18"/>
      <c r="E200" s="18"/>
      <c r="F200" s="18"/>
      <c r="G200" s="18"/>
      <c r="H200" s="18"/>
      <c r="I200" s="18"/>
      <c r="J200" s="18"/>
      <c r="K200" s="18"/>
      <c r="L200" s="18"/>
      <c r="M200" s="18"/>
      <c r="N200" s="18"/>
      <c r="O200" s="18"/>
      <c r="P200" s="18"/>
      <c r="Q200" s="18"/>
      <c r="R200" s="18"/>
      <c r="S200" s="18"/>
      <c r="T200" s="18"/>
      <c r="U200" s="18"/>
      <c r="V200" s="18"/>
      <c r="W200" s="18"/>
      <c r="X200" s="18"/>
      <c r="Y200" s="18"/>
      <c r="Z200" s="18"/>
      <c r="AA200" s="18"/>
      <c r="AB200" s="18"/>
      <c r="AC200" s="18"/>
      <c r="AD200" s="18"/>
      <c r="AE200" s="18"/>
      <c r="AF200" s="18"/>
      <c r="AG200" s="18"/>
      <c r="AH200" s="18"/>
      <c r="AI200" s="18"/>
      <c r="AJ200" s="18"/>
      <c r="AK200" s="18"/>
      <c r="AL200" s="18"/>
      <c r="AM200" s="18"/>
      <c r="AN200" s="18"/>
      <c r="AO200" s="18"/>
      <c r="AP200" s="18"/>
      <c r="AQ200" s="18"/>
      <c r="AR200" s="18"/>
      <c r="AS200" s="18"/>
      <c r="AT200" s="18"/>
      <c r="AU200" s="18"/>
    </row>
    <row r="201" spans="1:47" s="20" customFormat="1" x14ac:dyDescent="0.2">
      <c r="A201" s="12"/>
      <c r="B201" s="18"/>
      <c r="C201" s="18"/>
      <c r="D201" s="18"/>
      <c r="E201" s="18"/>
      <c r="F201" s="18"/>
      <c r="G201" s="18"/>
      <c r="H201" s="18"/>
      <c r="I201" s="18"/>
      <c r="J201" s="18"/>
      <c r="K201" s="18"/>
      <c r="L201" s="18"/>
      <c r="M201" s="18"/>
      <c r="N201" s="18"/>
      <c r="O201" s="18"/>
      <c r="P201" s="18"/>
      <c r="Q201" s="18"/>
      <c r="R201" s="18"/>
      <c r="S201" s="18"/>
      <c r="T201" s="18"/>
      <c r="U201" s="18"/>
      <c r="V201" s="18"/>
      <c r="W201" s="18"/>
      <c r="X201" s="18"/>
      <c r="Y201" s="18"/>
      <c r="Z201" s="18"/>
      <c r="AA201" s="18"/>
      <c r="AB201" s="18"/>
      <c r="AC201" s="18"/>
      <c r="AD201" s="18"/>
      <c r="AE201" s="18"/>
      <c r="AF201" s="18"/>
      <c r="AG201" s="18"/>
      <c r="AH201" s="18"/>
      <c r="AI201" s="18"/>
      <c r="AJ201" s="18"/>
      <c r="AK201" s="18"/>
      <c r="AL201" s="18"/>
      <c r="AM201" s="18"/>
      <c r="AN201" s="18"/>
      <c r="AO201" s="18"/>
      <c r="AP201" s="18"/>
      <c r="AQ201" s="18"/>
      <c r="AR201" s="18"/>
      <c r="AS201" s="18"/>
      <c r="AT201" s="18"/>
      <c r="AU201" s="18"/>
    </row>
    <row r="202" spans="1:47" s="20" customFormat="1" x14ac:dyDescent="0.2">
      <c r="A202" s="12"/>
      <c r="B202" s="18"/>
      <c r="C202" s="18"/>
      <c r="D202" s="18"/>
      <c r="E202" s="18"/>
      <c r="F202" s="18"/>
      <c r="G202" s="18"/>
      <c r="H202" s="18"/>
      <c r="I202" s="18"/>
      <c r="J202" s="18"/>
      <c r="K202" s="18"/>
      <c r="L202" s="18"/>
      <c r="M202" s="18"/>
      <c r="N202" s="18"/>
      <c r="O202" s="18"/>
      <c r="P202" s="18"/>
      <c r="Q202" s="18"/>
      <c r="R202" s="18"/>
      <c r="S202" s="18"/>
      <c r="T202" s="18"/>
      <c r="U202" s="18"/>
      <c r="V202" s="18"/>
      <c r="W202" s="18"/>
      <c r="X202" s="18"/>
      <c r="Y202" s="18"/>
      <c r="Z202" s="18"/>
      <c r="AA202" s="18"/>
      <c r="AB202" s="18"/>
      <c r="AC202" s="18"/>
      <c r="AD202" s="18"/>
      <c r="AE202" s="18"/>
      <c r="AF202" s="18"/>
      <c r="AG202" s="18"/>
      <c r="AH202" s="18"/>
      <c r="AI202" s="18"/>
      <c r="AJ202" s="18"/>
      <c r="AK202" s="18"/>
      <c r="AL202" s="18"/>
      <c r="AM202" s="18"/>
      <c r="AN202" s="18"/>
      <c r="AO202" s="18"/>
      <c r="AP202" s="18"/>
      <c r="AQ202" s="18"/>
      <c r="AR202" s="18"/>
      <c r="AS202" s="18"/>
      <c r="AT202" s="18"/>
      <c r="AU202" s="18"/>
    </row>
    <row r="203" spans="1:47" s="20" customFormat="1" x14ac:dyDescent="0.2">
      <c r="A203" s="12"/>
      <c r="B203" s="18"/>
      <c r="C203" s="18"/>
      <c r="D203" s="18"/>
      <c r="E203" s="18"/>
      <c r="F203" s="18"/>
      <c r="G203" s="18"/>
      <c r="H203" s="18"/>
      <c r="I203" s="18"/>
      <c r="J203" s="18"/>
      <c r="K203" s="18"/>
      <c r="L203" s="18"/>
      <c r="M203" s="18"/>
      <c r="N203" s="18"/>
      <c r="O203" s="18"/>
      <c r="P203" s="18"/>
      <c r="Q203" s="18"/>
      <c r="R203" s="18"/>
      <c r="S203" s="18"/>
      <c r="T203" s="18"/>
      <c r="U203" s="18"/>
      <c r="V203" s="18"/>
      <c r="W203" s="18"/>
      <c r="X203" s="18"/>
      <c r="Y203" s="18"/>
      <c r="Z203" s="18"/>
      <c r="AA203" s="18"/>
      <c r="AB203" s="18"/>
      <c r="AC203" s="18"/>
      <c r="AD203" s="18"/>
      <c r="AE203" s="18"/>
      <c r="AF203" s="18"/>
      <c r="AG203" s="18"/>
      <c r="AH203" s="18"/>
      <c r="AI203" s="18"/>
      <c r="AJ203" s="18"/>
      <c r="AK203" s="18"/>
      <c r="AL203" s="18"/>
      <c r="AM203" s="18"/>
      <c r="AN203" s="18"/>
      <c r="AO203" s="18"/>
      <c r="AP203" s="18"/>
      <c r="AQ203" s="18"/>
      <c r="AR203" s="18"/>
      <c r="AS203" s="18"/>
      <c r="AT203" s="18"/>
      <c r="AU203" s="18"/>
    </row>
    <row r="204" spans="1:47" s="20" customFormat="1" x14ac:dyDescent="0.2">
      <c r="A204" s="12"/>
      <c r="B204" s="18"/>
      <c r="C204" s="18"/>
      <c r="D204" s="18"/>
      <c r="E204" s="18"/>
      <c r="F204" s="18"/>
      <c r="G204" s="18"/>
      <c r="H204" s="18"/>
      <c r="I204" s="18"/>
      <c r="J204" s="18"/>
      <c r="K204" s="18"/>
      <c r="L204" s="18"/>
      <c r="M204" s="18"/>
      <c r="N204" s="18"/>
      <c r="O204" s="18"/>
      <c r="P204" s="18"/>
      <c r="Q204" s="18"/>
      <c r="R204" s="18"/>
      <c r="S204" s="18"/>
      <c r="T204" s="18"/>
      <c r="U204" s="18"/>
      <c r="V204" s="18"/>
      <c r="W204" s="18"/>
      <c r="X204" s="18"/>
      <c r="Y204" s="18"/>
      <c r="Z204" s="18"/>
      <c r="AA204" s="18"/>
      <c r="AB204" s="18"/>
      <c r="AC204" s="18"/>
      <c r="AD204" s="18"/>
      <c r="AE204" s="18"/>
      <c r="AF204" s="18"/>
      <c r="AG204" s="18"/>
      <c r="AH204" s="18"/>
      <c r="AI204" s="18"/>
      <c r="AJ204" s="18"/>
      <c r="AK204" s="18"/>
      <c r="AL204" s="18"/>
      <c r="AM204" s="18"/>
      <c r="AN204" s="18"/>
      <c r="AO204" s="18"/>
      <c r="AP204" s="18"/>
      <c r="AQ204" s="18"/>
      <c r="AR204" s="18"/>
      <c r="AS204" s="18"/>
      <c r="AT204" s="18"/>
      <c r="AU204" s="18"/>
    </row>
    <row r="205" spans="1:47" s="20" customFormat="1" x14ac:dyDescent="0.2">
      <c r="A205" s="12"/>
      <c r="B205" s="18"/>
      <c r="C205" s="18"/>
      <c r="D205" s="18"/>
      <c r="E205" s="18"/>
      <c r="F205" s="18"/>
      <c r="G205" s="18"/>
      <c r="H205" s="18"/>
      <c r="I205" s="18"/>
      <c r="J205" s="18"/>
      <c r="K205" s="18"/>
      <c r="L205" s="18"/>
      <c r="M205" s="18"/>
      <c r="N205" s="18"/>
      <c r="O205" s="18"/>
      <c r="P205" s="18"/>
      <c r="Q205" s="18"/>
      <c r="R205" s="18"/>
      <c r="S205" s="18"/>
      <c r="T205" s="18"/>
      <c r="U205" s="18"/>
      <c r="V205" s="18"/>
      <c r="W205" s="18"/>
      <c r="X205" s="18"/>
      <c r="Y205" s="18"/>
      <c r="Z205" s="18"/>
      <c r="AA205" s="18"/>
      <c r="AB205" s="18"/>
      <c r="AC205" s="18"/>
      <c r="AD205" s="18"/>
      <c r="AE205" s="18"/>
      <c r="AF205" s="18"/>
      <c r="AG205" s="18"/>
      <c r="AH205" s="18"/>
      <c r="AI205" s="18"/>
      <c r="AJ205" s="18"/>
      <c r="AK205" s="18"/>
      <c r="AL205" s="18"/>
      <c r="AM205" s="18"/>
      <c r="AN205" s="18"/>
      <c r="AO205" s="18"/>
      <c r="AP205" s="18"/>
      <c r="AQ205" s="18"/>
      <c r="AR205" s="18"/>
      <c r="AS205" s="18"/>
      <c r="AT205" s="18"/>
      <c r="AU205" s="18"/>
    </row>
    <row r="206" spans="1:47" s="20" customFormat="1" x14ac:dyDescent="0.2">
      <c r="A206" s="12"/>
      <c r="B206" s="18"/>
      <c r="C206" s="18"/>
      <c r="D206" s="18"/>
      <c r="E206" s="18"/>
      <c r="F206" s="18"/>
      <c r="G206" s="18"/>
      <c r="H206" s="18"/>
      <c r="I206" s="18"/>
      <c r="J206" s="18"/>
      <c r="K206" s="18"/>
      <c r="L206" s="18"/>
      <c r="M206" s="18"/>
      <c r="N206" s="18"/>
      <c r="O206" s="18"/>
      <c r="P206" s="18"/>
      <c r="Q206" s="18"/>
      <c r="R206" s="18"/>
      <c r="S206" s="18"/>
      <c r="T206" s="18"/>
      <c r="U206" s="18"/>
      <c r="V206" s="18"/>
      <c r="W206" s="18"/>
      <c r="X206" s="18"/>
      <c r="Y206" s="18"/>
      <c r="Z206" s="18"/>
      <c r="AA206" s="18"/>
      <c r="AB206" s="18"/>
      <c r="AC206" s="18"/>
      <c r="AD206" s="18"/>
      <c r="AE206" s="18"/>
      <c r="AF206" s="18"/>
      <c r="AG206" s="18"/>
      <c r="AH206" s="18"/>
      <c r="AI206" s="18"/>
      <c r="AJ206" s="18"/>
      <c r="AK206" s="18"/>
      <c r="AL206" s="18"/>
      <c r="AM206" s="18"/>
      <c r="AN206" s="18"/>
      <c r="AO206" s="18"/>
      <c r="AP206" s="18"/>
      <c r="AQ206" s="18"/>
      <c r="AR206" s="18"/>
      <c r="AS206" s="18"/>
      <c r="AT206" s="18"/>
      <c r="AU206" s="18"/>
    </row>
    <row r="207" spans="1:47" s="20" customFormat="1" x14ac:dyDescent="0.2">
      <c r="A207" s="12"/>
      <c r="B207" s="18"/>
      <c r="C207" s="18"/>
      <c r="D207" s="18"/>
      <c r="E207" s="18"/>
      <c r="F207" s="18"/>
      <c r="G207" s="18"/>
      <c r="H207" s="18"/>
      <c r="I207" s="18"/>
      <c r="J207" s="18"/>
      <c r="K207" s="18"/>
      <c r="L207" s="18"/>
      <c r="M207" s="18"/>
      <c r="N207" s="18"/>
      <c r="O207" s="18"/>
      <c r="P207" s="18"/>
      <c r="Q207" s="18"/>
      <c r="R207" s="18"/>
      <c r="S207" s="18"/>
      <c r="T207" s="18"/>
      <c r="U207" s="18"/>
      <c r="V207" s="18"/>
      <c r="W207" s="18"/>
      <c r="X207" s="18"/>
      <c r="Y207" s="18"/>
      <c r="Z207" s="18"/>
      <c r="AA207" s="18"/>
      <c r="AB207" s="18"/>
      <c r="AC207" s="18"/>
      <c r="AD207" s="18"/>
      <c r="AE207" s="18"/>
      <c r="AF207" s="18"/>
      <c r="AG207" s="18"/>
      <c r="AH207" s="18"/>
      <c r="AI207" s="18"/>
      <c r="AJ207" s="18"/>
      <c r="AK207" s="18"/>
      <c r="AL207" s="18"/>
      <c r="AM207" s="18"/>
      <c r="AN207" s="18"/>
      <c r="AO207" s="18"/>
      <c r="AP207" s="18"/>
      <c r="AQ207" s="18"/>
      <c r="AR207" s="18"/>
      <c r="AS207" s="18"/>
      <c r="AT207" s="18"/>
      <c r="AU207" s="18"/>
    </row>
    <row r="208" spans="1:47" s="20" customFormat="1" x14ac:dyDescent="0.2">
      <c r="A208" s="12"/>
      <c r="B208" s="18"/>
      <c r="C208" s="18"/>
      <c r="D208" s="18"/>
      <c r="E208" s="18"/>
      <c r="F208" s="18"/>
      <c r="G208" s="18"/>
      <c r="H208" s="18"/>
      <c r="I208" s="18"/>
      <c r="J208" s="18"/>
      <c r="K208" s="18"/>
      <c r="L208" s="18"/>
      <c r="M208" s="18"/>
      <c r="N208" s="18"/>
      <c r="O208" s="18"/>
      <c r="P208" s="18"/>
      <c r="Q208" s="18"/>
      <c r="R208" s="18"/>
      <c r="S208" s="18"/>
      <c r="T208" s="18"/>
      <c r="U208" s="18"/>
      <c r="V208" s="18"/>
      <c r="W208" s="18"/>
      <c r="X208" s="18"/>
      <c r="Y208" s="18"/>
      <c r="Z208" s="18"/>
      <c r="AA208" s="18"/>
      <c r="AB208" s="18"/>
      <c r="AC208" s="18"/>
      <c r="AD208" s="18"/>
      <c r="AE208" s="18"/>
      <c r="AF208" s="18"/>
      <c r="AG208" s="18"/>
      <c r="AH208" s="18"/>
      <c r="AI208" s="18"/>
      <c r="AJ208" s="18"/>
      <c r="AK208" s="18"/>
      <c r="AL208" s="18"/>
      <c r="AM208" s="18"/>
      <c r="AN208" s="18"/>
      <c r="AO208" s="18"/>
      <c r="AP208" s="18"/>
      <c r="AQ208" s="18"/>
      <c r="AR208" s="18"/>
      <c r="AS208" s="18"/>
      <c r="AT208" s="18"/>
      <c r="AU208" s="18"/>
    </row>
    <row r="209" spans="1:47" s="20" customFormat="1" x14ac:dyDescent="0.2">
      <c r="A209" s="12"/>
      <c r="B209" s="18"/>
      <c r="C209" s="18"/>
      <c r="D209" s="18"/>
      <c r="E209" s="18"/>
      <c r="F209" s="18"/>
      <c r="G209" s="18"/>
      <c r="H209" s="18"/>
      <c r="I209" s="18"/>
      <c r="J209" s="18"/>
      <c r="K209" s="18"/>
      <c r="L209" s="18"/>
      <c r="M209" s="18"/>
      <c r="N209" s="18"/>
      <c r="O209" s="18"/>
      <c r="P209" s="18"/>
      <c r="Q209" s="18"/>
      <c r="R209" s="18"/>
      <c r="S209" s="18"/>
      <c r="T209" s="18"/>
      <c r="U209" s="18"/>
      <c r="V209" s="18"/>
      <c r="W209" s="18"/>
      <c r="X209" s="18"/>
      <c r="Y209" s="18"/>
      <c r="Z209" s="18"/>
      <c r="AA209" s="18"/>
      <c r="AB209" s="18"/>
      <c r="AC209" s="18"/>
      <c r="AD209" s="18"/>
      <c r="AE209" s="18"/>
      <c r="AF209" s="18"/>
      <c r="AG209" s="18"/>
      <c r="AH209" s="18"/>
      <c r="AI209" s="18"/>
      <c r="AJ209" s="18"/>
      <c r="AK209" s="18"/>
      <c r="AL209" s="18"/>
      <c r="AM209" s="18"/>
      <c r="AN209" s="18"/>
      <c r="AO209" s="18"/>
      <c r="AP209" s="18"/>
      <c r="AQ209" s="18"/>
      <c r="AR209" s="18"/>
      <c r="AS209" s="18"/>
      <c r="AT209" s="18"/>
      <c r="AU209" s="18"/>
    </row>
    <row r="210" spans="1:47" s="20" customFormat="1" x14ac:dyDescent="0.2">
      <c r="A210" s="12"/>
      <c r="B210" s="18"/>
      <c r="C210" s="18"/>
      <c r="D210" s="18"/>
      <c r="E210" s="18"/>
      <c r="F210" s="18"/>
      <c r="G210" s="18"/>
      <c r="H210" s="18"/>
      <c r="I210" s="18"/>
      <c r="J210" s="18"/>
      <c r="K210" s="18"/>
      <c r="L210" s="18"/>
      <c r="M210" s="18"/>
      <c r="N210" s="18"/>
      <c r="O210" s="18"/>
      <c r="P210" s="18"/>
      <c r="Q210" s="18"/>
      <c r="R210" s="18"/>
      <c r="S210" s="18"/>
      <c r="T210" s="18"/>
      <c r="U210" s="18"/>
      <c r="V210" s="18"/>
      <c r="W210" s="18"/>
      <c r="X210" s="18"/>
      <c r="Y210" s="18"/>
      <c r="Z210" s="18"/>
      <c r="AA210" s="18"/>
      <c r="AB210" s="18"/>
      <c r="AC210" s="18"/>
      <c r="AD210" s="18"/>
      <c r="AE210" s="18"/>
      <c r="AF210" s="18"/>
      <c r="AG210" s="18"/>
      <c r="AH210" s="18"/>
      <c r="AI210" s="18"/>
      <c r="AJ210" s="18"/>
      <c r="AK210" s="18"/>
      <c r="AL210" s="18"/>
      <c r="AM210" s="18"/>
      <c r="AN210" s="18"/>
      <c r="AO210" s="18"/>
      <c r="AP210" s="18"/>
      <c r="AQ210" s="18"/>
      <c r="AR210" s="18"/>
      <c r="AS210" s="18"/>
      <c r="AT210" s="18"/>
      <c r="AU210" s="18"/>
    </row>
    <row r="211" spans="1:47" s="20" customFormat="1" x14ac:dyDescent="0.2">
      <c r="A211" s="12"/>
      <c r="B211" s="18"/>
      <c r="C211" s="18"/>
      <c r="D211" s="18"/>
      <c r="E211" s="18"/>
      <c r="F211" s="18"/>
      <c r="G211" s="18"/>
      <c r="H211" s="18"/>
      <c r="I211" s="18"/>
      <c r="J211" s="18"/>
      <c r="K211" s="18"/>
      <c r="L211" s="18"/>
      <c r="M211" s="18"/>
      <c r="N211" s="18"/>
      <c r="O211" s="18"/>
      <c r="P211" s="18"/>
      <c r="Q211" s="18"/>
      <c r="R211" s="18"/>
      <c r="S211" s="18"/>
      <c r="T211" s="18"/>
      <c r="U211" s="18"/>
      <c r="V211" s="18"/>
      <c r="W211" s="18"/>
      <c r="X211" s="18"/>
      <c r="Y211" s="18"/>
      <c r="Z211" s="18"/>
      <c r="AA211" s="18"/>
      <c r="AB211" s="18"/>
      <c r="AC211" s="18"/>
      <c r="AD211" s="18"/>
      <c r="AE211" s="18"/>
      <c r="AF211" s="18"/>
      <c r="AG211" s="18"/>
      <c r="AH211" s="18"/>
      <c r="AI211" s="18"/>
      <c r="AJ211" s="18"/>
      <c r="AK211" s="18"/>
      <c r="AL211" s="18"/>
      <c r="AM211" s="18"/>
      <c r="AN211" s="18"/>
      <c r="AO211" s="18"/>
      <c r="AP211" s="18"/>
      <c r="AQ211" s="18"/>
      <c r="AR211" s="18"/>
      <c r="AS211" s="18"/>
      <c r="AT211" s="18"/>
      <c r="AU211" s="18"/>
    </row>
    <row r="212" spans="1:47" s="20" customFormat="1" x14ac:dyDescent="0.2">
      <c r="A212" s="12"/>
      <c r="B212" s="18"/>
      <c r="C212" s="18"/>
      <c r="D212" s="18"/>
      <c r="E212" s="18"/>
      <c r="F212" s="18"/>
      <c r="G212" s="18"/>
      <c r="H212" s="18"/>
      <c r="I212" s="18"/>
      <c r="J212" s="18"/>
      <c r="K212" s="18"/>
      <c r="L212" s="18"/>
      <c r="M212" s="18"/>
      <c r="N212" s="18"/>
      <c r="O212" s="18"/>
      <c r="P212" s="18"/>
      <c r="Q212" s="18"/>
      <c r="R212" s="18"/>
      <c r="S212" s="18"/>
      <c r="T212" s="18"/>
      <c r="U212" s="18"/>
      <c r="V212" s="18"/>
      <c r="W212" s="18"/>
      <c r="X212" s="18"/>
      <c r="Y212" s="18"/>
      <c r="Z212" s="18"/>
      <c r="AA212" s="18"/>
      <c r="AB212" s="18"/>
      <c r="AC212" s="18"/>
      <c r="AD212" s="18"/>
      <c r="AE212" s="18"/>
      <c r="AF212" s="18"/>
      <c r="AG212" s="18"/>
      <c r="AH212" s="18"/>
      <c r="AI212" s="18"/>
      <c r="AJ212" s="18"/>
      <c r="AK212" s="18"/>
      <c r="AL212" s="18"/>
      <c r="AM212" s="18"/>
      <c r="AN212" s="18"/>
      <c r="AO212" s="18"/>
      <c r="AP212" s="18"/>
      <c r="AQ212" s="18"/>
      <c r="AR212" s="18"/>
      <c r="AS212" s="18"/>
      <c r="AT212" s="18"/>
      <c r="AU212" s="18"/>
    </row>
    <row r="213" spans="1:47" s="20" customFormat="1" x14ac:dyDescent="0.2">
      <c r="A213" s="12"/>
      <c r="B213" s="18"/>
      <c r="C213" s="18"/>
      <c r="D213" s="18"/>
      <c r="E213" s="18"/>
      <c r="F213" s="18"/>
      <c r="G213" s="18"/>
      <c r="H213" s="18"/>
      <c r="I213" s="18"/>
      <c r="J213" s="18"/>
      <c r="K213" s="18"/>
      <c r="L213" s="18"/>
      <c r="M213" s="18"/>
      <c r="N213" s="18"/>
      <c r="O213" s="18"/>
      <c r="P213" s="18"/>
      <c r="Q213" s="18"/>
      <c r="R213" s="18"/>
      <c r="S213" s="18"/>
      <c r="T213" s="18"/>
      <c r="U213" s="18"/>
      <c r="V213" s="18"/>
      <c r="W213" s="18"/>
      <c r="X213" s="18"/>
      <c r="Y213" s="18"/>
      <c r="Z213" s="18"/>
      <c r="AA213" s="18"/>
      <c r="AB213" s="18"/>
      <c r="AC213" s="18"/>
      <c r="AD213" s="18"/>
      <c r="AE213" s="18"/>
      <c r="AF213" s="18"/>
      <c r="AG213" s="18"/>
      <c r="AH213" s="18"/>
      <c r="AI213" s="18"/>
      <c r="AJ213" s="18"/>
      <c r="AK213" s="18"/>
      <c r="AL213" s="18"/>
      <c r="AM213" s="18"/>
      <c r="AN213" s="18"/>
      <c r="AO213" s="18"/>
      <c r="AP213" s="18"/>
      <c r="AQ213" s="18"/>
      <c r="AR213" s="18"/>
      <c r="AS213" s="18"/>
      <c r="AT213" s="18"/>
      <c r="AU213" s="18"/>
    </row>
    <row r="214" spans="1:47" s="20" customFormat="1" x14ac:dyDescent="0.2">
      <c r="A214" s="12"/>
      <c r="B214" s="18"/>
      <c r="C214" s="18"/>
      <c r="D214" s="18"/>
      <c r="E214" s="18"/>
      <c r="F214" s="18"/>
      <c r="G214" s="18"/>
      <c r="H214" s="18"/>
      <c r="I214" s="18"/>
      <c r="J214" s="18"/>
      <c r="K214" s="18"/>
      <c r="L214" s="18"/>
      <c r="M214" s="18"/>
      <c r="N214" s="18"/>
      <c r="O214" s="18"/>
      <c r="P214" s="18"/>
      <c r="Q214" s="18"/>
      <c r="R214" s="18"/>
      <c r="S214" s="18"/>
      <c r="T214" s="18"/>
      <c r="U214" s="18"/>
      <c r="V214" s="18"/>
      <c r="W214" s="18"/>
      <c r="X214" s="18"/>
      <c r="Y214" s="18"/>
      <c r="Z214" s="18"/>
      <c r="AA214" s="18"/>
      <c r="AB214" s="18"/>
      <c r="AC214" s="18"/>
      <c r="AD214" s="18"/>
      <c r="AE214" s="18"/>
      <c r="AF214" s="18"/>
      <c r="AG214" s="18"/>
      <c r="AH214" s="18"/>
      <c r="AI214" s="18"/>
      <c r="AJ214" s="18"/>
      <c r="AK214" s="18"/>
      <c r="AL214" s="18"/>
      <c r="AM214" s="18"/>
      <c r="AN214" s="18"/>
      <c r="AO214" s="18"/>
      <c r="AP214" s="18"/>
      <c r="AQ214" s="18"/>
      <c r="AR214" s="18"/>
      <c r="AS214" s="18"/>
      <c r="AT214" s="18"/>
      <c r="AU214" s="18"/>
    </row>
    <row r="215" spans="1:47" s="20" customFormat="1" x14ac:dyDescent="0.2">
      <c r="A215" s="12"/>
      <c r="B215" s="18"/>
      <c r="C215" s="18"/>
      <c r="D215" s="18"/>
      <c r="E215" s="18"/>
      <c r="F215" s="18"/>
      <c r="G215" s="18"/>
      <c r="H215" s="18"/>
      <c r="I215" s="18"/>
      <c r="J215" s="18"/>
      <c r="K215" s="18"/>
      <c r="L215" s="18"/>
      <c r="M215" s="18"/>
      <c r="N215" s="18"/>
      <c r="O215" s="18"/>
      <c r="P215" s="18"/>
      <c r="Q215" s="18"/>
      <c r="R215" s="18"/>
      <c r="S215" s="18"/>
      <c r="T215" s="18"/>
      <c r="U215" s="18"/>
      <c r="V215" s="18"/>
      <c r="W215" s="18"/>
      <c r="X215" s="18"/>
      <c r="Y215" s="18"/>
      <c r="Z215" s="18"/>
      <c r="AA215" s="18"/>
      <c r="AB215" s="18"/>
      <c r="AC215" s="18"/>
      <c r="AD215" s="18"/>
      <c r="AE215" s="18"/>
      <c r="AF215" s="18"/>
      <c r="AG215" s="18"/>
      <c r="AH215" s="18"/>
      <c r="AI215" s="18"/>
      <c r="AJ215" s="18"/>
      <c r="AK215" s="18"/>
      <c r="AL215" s="18"/>
      <c r="AM215" s="18"/>
      <c r="AN215" s="18"/>
      <c r="AO215" s="18"/>
      <c r="AP215" s="18"/>
      <c r="AQ215" s="18"/>
      <c r="AR215" s="18"/>
      <c r="AS215" s="18"/>
      <c r="AT215" s="18"/>
      <c r="AU215" s="18"/>
    </row>
    <row r="216" spans="1:47" s="20" customFormat="1" x14ac:dyDescent="0.2">
      <c r="A216" s="12"/>
      <c r="B216" s="18"/>
      <c r="C216" s="18"/>
      <c r="D216" s="18"/>
      <c r="E216" s="18"/>
      <c r="F216" s="18"/>
      <c r="G216" s="18"/>
      <c r="H216" s="18"/>
      <c r="I216" s="18"/>
      <c r="J216" s="18"/>
      <c r="K216" s="18"/>
      <c r="L216" s="18"/>
      <c r="M216" s="18"/>
      <c r="N216" s="18"/>
      <c r="O216" s="18"/>
      <c r="P216" s="18"/>
      <c r="Q216" s="18"/>
      <c r="R216" s="18"/>
      <c r="S216" s="18"/>
      <c r="T216" s="18"/>
      <c r="U216" s="18"/>
      <c r="V216" s="18"/>
      <c r="W216" s="18"/>
      <c r="X216" s="18"/>
      <c r="Y216" s="18"/>
      <c r="Z216" s="18"/>
      <c r="AA216" s="18"/>
      <c r="AB216" s="18"/>
      <c r="AC216" s="18"/>
      <c r="AD216" s="18"/>
      <c r="AE216" s="18"/>
      <c r="AF216" s="18"/>
      <c r="AG216" s="18"/>
      <c r="AH216" s="18"/>
      <c r="AI216" s="18"/>
      <c r="AJ216" s="18"/>
      <c r="AK216" s="18"/>
      <c r="AL216" s="18"/>
      <c r="AM216" s="18"/>
      <c r="AN216" s="18"/>
      <c r="AO216" s="18"/>
      <c r="AP216" s="18"/>
      <c r="AQ216" s="18"/>
      <c r="AR216" s="18"/>
      <c r="AS216" s="18"/>
      <c r="AT216" s="18"/>
      <c r="AU216" s="18"/>
    </row>
    <row r="217" spans="1:47" s="20" customFormat="1" x14ac:dyDescent="0.2">
      <c r="A217" s="12"/>
      <c r="B217" s="18"/>
      <c r="C217" s="18"/>
      <c r="D217" s="18"/>
      <c r="E217" s="18"/>
      <c r="F217" s="18"/>
      <c r="G217" s="18"/>
      <c r="H217" s="18"/>
      <c r="I217" s="18"/>
      <c r="J217" s="18"/>
      <c r="K217" s="18"/>
      <c r="L217" s="18"/>
      <c r="M217" s="18"/>
      <c r="N217" s="18"/>
      <c r="O217" s="18"/>
      <c r="P217" s="18"/>
      <c r="Q217" s="18"/>
      <c r="R217" s="18"/>
      <c r="S217" s="18"/>
      <c r="T217" s="18"/>
      <c r="U217" s="18"/>
      <c r="V217" s="18"/>
      <c r="W217" s="18"/>
      <c r="X217" s="18"/>
      <c r="Y217" s="18"/>
      <c r="Z217" s="18"/>
      <c r="AA217" s="18"/>
      <c r="AB217" s="18"/>
      <c r="AC217" s="18"/>
      <c r="AD217" s="18"/>
      <c r="AE217" s="18"/>
      <c r="AF217" s="18"/>
      <c r="AG217" s="18"/>
      <c r="AH217" s="18"/>
      <c r="AI217" s="18"/>
      <c r="AJ217" s="18"/>
      <c r="AK217" s="18"/>
      <c r="AL217" s="18"/>
      <c r="AM217" s="18"/>
      <c r="AN217" s="18"/>
      <c r="AO217" s="18"/>
      <c r="AP217" s="18"/>
      <c r="AQ217" s="18"/>
      <c r="AR217" s="18"/>
      <c r="AS217" s="18"/>
      <c r="AT217" s="18"/>
      <c r="AU217" s="18"/>
    </row>
    <row r="218" spans="1:47" s="20" customFormat="1" x14ac:dyDescent="0.2">
      <c r="A218" s="12"/>
      <c r="B218" s="18"/>
      <c r="C218" s="18"/>
      <c r="D218" s="18"/>
      <c r="E218" s="18"/>
      <c r="F218" s="18"/>
      <c r="G218" s="18"/>
      <c r="H218" s="18"/>
      <c r="I218" s="18"/>
      <c r="J218" s="18"/>
      <c r="K218" s="18"/>
      <c r="L218" s="18"/>
      <c r="M218" s="18"/>
      <c r="N218" s="18"/>
      <c r="O218" s="18"/>
      <c r="P218" s="18"/>
      <c r="Q218" s="18"/>
      <c r="R218" s="18"/>
      <c r="S218" s="18"/>
      <c r="T218" s="18"/>
      <c r="U218" s="18"/>
      <c r="V218" s="18"/>
      <c r="W218" s="18"/>
      <c r="X218" s="18"/>
      <c r="Y218" s="18"/>
      <c r="Z218" s="18"/>
      <c r="AA218" s="18"/>
      <c r="AB218" s="18"/>
      <c r="AC218" s="18"/>
      <c r="AD218" s="18"/>
      <c r="AE218" s="18"/>
      <c r="AF218" s="18"/>
      <c r="AG218" s="18"/>
      <c r="AH218" s="18"/>
      <c r="AI218" s="18"/>
      <c r="AJ218" s="18"/>
      <c r="AK218" s="18"/>
      <c r="AL218" s="18"/>
      <c r="AM218" s="18"/>
      <c r="AN218" s="18"/>
      <c r="AO218" s="18"/>
      <c r="AP218" s="18"/>
      <c r="AQ218" s="18"/>
      <c r="AR218" s="18"/>
      <c r="AS218" s="18"/>
      <c r="AT218" s="18"/>
      <c r="AU218" s="18"/>
    </row>
    <row r="219" spans="1:47" s="20" customFormat="1" x14ac:dyDescent="0.2">
      <c r="A219" s="12"/>
      <c r="B219" s="18"/>
      <c r="C219" s="18"/>
      <c r="D219" s="18"/>
      <c r="E219" s="18"/>
      <c r="F219" s="18"/>
      <c r="G219" s="18"/>
      <c r="H219" s="18"/>
      <c r="I219" s="18"/>
      <c r="J219" s="18"/>
      <c r="K219" s="18"/>
      <c r="L219" s="18"/>
      <c r="M219" s="18"/>
      <c r="N219" s="18"/>
      <c r="O219" s="18"/>
      <c r="P219" s="18"/>
      <c r="Q219" s="18"/>
      <c r="R219" s="18"/>
      <c r="S219" s="18"/>
      <c r="T219" s="18"/>
      <c r="U219" s="18"/>
      <c r="V219" s="18"/>
      <c r="W219" s="18"/>
      <c r="X219" s="18"/>
      <c r="Y219" s="18"/>
      <c r="Z219" s="18"/>
      <c r="AA219" s="18"/>
      <c r="AB219" s="18"/>
      <c r="AC219" s="18"/>
      <c r="AD219" s="18"/>
      <c r="AE219" s="18"/>
      <c r="AF219" s="18"/>
      <c r="AG219" s="18"/>
      <c r="AH219" s="18"/>
      <c r="AI219" s="18"/>
      <c r="AJ219" s="18"/>
      <c r="AK219" s="18"/>
      <c r="AL219" s="18"/>
      <c r="AM219" s="18"/>
      <c r="AN219" s="18"/>
      <c r="AO219" s="18"/>
      <c r="AP219" s="18"/>
      <c r="AQ219" s="18"/>
      <c r="AR219" s="18"/>
      <c r="AS219" s="18"/>
      <c r="AT219" s="18"/>
      <c r="AU219" s="18"/>
    </row>
    <row r="220" spans="1:47" s="20" customFormat="1" x14ac:dyDescent="0.2">
      <c r="A220" s="12"/>
      <c r="B220" s="18"/>
      <c r="C220" s="18"/>
      <c r="D220" s="18"/>
      <c r="E220" s="18"/>
      <c r="F220" s="18"/>
      <c r="G220" s="18"/>
      <c r="H220" s="18"/>
      <c r="I220" s="18"/>
      <c r="J220" s="18"/>
      <c r="K220" s="18"/>
      <c r="L220" s="18"/>
      <c r="M220" s="18"/>
      <c r="N220" s="18"/>
      <c r="O220" s="18"/>
      <c r="P220" s="18"/>
      <c r="Q220" s="18"/>
      <c r="R220" s="18"/>
      <c r="S220" s="18"/>
      <c r="T220" s="18"/>
      <c r="U220" s="18"/>
      <c r="V220" s="18"/>
      <c r="W220" s="18"/>
      <c r="X220" s="18"/>
      <c r="Y220" s="18"/>
      <c r="Z220" s="18"/>
      <c r="AA220" s="18"/>
      <c r="AB220" s="18"/>
      <c r="AC220" s="18"/>
      <c r="AD220" s="18"/>
      <c r="AE220" s="18"/>
      <c r="AF220" s="18"/>
      <c r="AG220" s="18"/>
      <c r="AH220" s="18"/>
      <c r="AI220" s="18"/>
      <c r="AJ220" s="18"/>
      <c r="AK220" s="18"/>
      <c r="AL220" s="18"/>
      <c r="AM220" s="18"/>
      <c r="AN220" s="18"/>
      <c r="AO220" s="18"/>
      <c r="AP220" s="18"/>
      <c r="AQ220" s="18"/>
      <c r="AR220" s="18"/>
      <c r="AS220" s="18"/>
      <c r="AT220" s="18"/>
      <c r="AU220" s="18"/>
    </row>
    <row r="221" spans="1:47" s="20" customFormat="1" x14ac:dyDescent="0.2">
      <c r="A221" s="12"/>
      <c r="B221" s="18"/>
      <c r="C221" s="18"/>
      <c r="D221" s="18"/>
      <c r="E221" s="18"/>
      <c r="F221" s="18"/>
      <c r="G221" s="18"/>
      <c r="H221" s="18"/>
      <c r="I221" s="18"/>
      <c r="J221" s="18"/>
      <c r="K221" s="18"/>
      <c r="L221" s="18"/>
      <c r="M221" s="18"/>
      <c r="N221" s="18"/>
      <c r="O221" s="18"/>
      <c r="P221" s="18"/>
      <c r="Q221" s="18"/>
      <c r="R221" s="18"/>
      <c r="S221" s="18"/>
      <c r="T221" s="18"/>
      <c r="U221" s="18"/>
      <c r="V221" s="18"/>
      <c r="W221" s="18"/>
      <c r="X221" s="18"/>
      <c r="Y221" s="18"/>
      <c r="Z221" s="18"/>
      <c r="AA221" s="18"/>
      <c r="AB221" s="18"/>
      <c r="AC221" s="18"/>
      <c r="AD221" s="18"/>
      <c r="AE221" s="18"/>
      <c r="AF221" s="18"/>
      <c r="AG221" s="18"/>
      <c r="AH221" s="18"/>
      <c r="AI221" s="18"/>
      <c r="AJ221" s="18"/>
      <c r="AK221" s="18"/>
      <c r="AL221" s="18"/>
      <c r="AM221" s="18"/>
      <c r="AN221" s="18"/>
      <c r="AO221" s="18"/>
      <c r="AP221" s="18"/>
      <c r="AQ221" s="18"/>
      <c r="AR221" s="18"/>
      <c r="AS221" s="18"/>
      <c r="AT221" s="18"/>
      <c r="AU221" s="18"/>
    </row>
    <row r="222" spans="1:47" s="20" customFormat="1" x14ac:dyDescent="0.2">
      <c r="A222" s="12"/>
      <c r="B222" s="18"/>
      <c r="C222" s="18"/>
      <c r="D222" s="18"/>
      <c r="E222" s="18"/>
      <c r="F222" s="18"/>
      <c r="G222" s="18"/>
      <c r="H222" s="18"/>
      <c r="I222" s="18"/>
      <c r="J222" s="18"/>
      <c r="K222" s="18"/>
      <c r="L222" s="18"/>
      <c r="M222" s="18"/>
      <c r="N222" s="18"/>
      <c r="O222" s="18"/>
      <c r="P222" s="18"/>
      <c r="Q222" s="18"/>
      <c r="R222" s="18"/>
      <c r="S222" s="18"/>
      <c r="T222" s="18"/>
      <c r="U222" s="18"/>
      <c r="V222" s="18"/>
      <c r="W222" s="18"/>
      <c r="X222" s="18"/>
      <c r="Y222" s="18"/>
      <c r="Z222" s="18"/>
      <c r="AA222" s="18"/>
      <c r="AB222" s="18"/>
      <c r="AC222" s="18"/>
      <c r="AD222" s="18"/>
      <c r="AE222" s="18"/>
      <c r="AF222" s="18"/>
      <c r="AG222" s="18"/>
      <c r="AH222" s="18"/>
      <c r="AI222" s="18"/>
      <c r="AJ222" s="18"/>
      <c r="AK222" s="18"/>
      <c r="AL222" s="18"/>
      <c r="AM222" s="18"/>
      <c r="AN222" s="18"/>
      <c r="AO222" s="18"/>
      <c r="AP222" s="18"/>
      <c r="AQ222" s="18"/>
      <c r="AR222" s="18"/>
      <c r="AS222" s="18"/>
      <c r="AT222" s="18"/>
      <c r="AU222" s="18"/>
    </row>
    <row r="223" spans="1:47" s="20" customFormat="1" x14ac:dyDescent="0.2">
      <c r="A223" s="12"/>
      <c r="B223" s="18"/>
      <c r="C223" s="18"/>
      <c r="D223" s="18"/>
      <c r="E223" s="18"/>
      <c r="F223" s="18"/>
      <c r="G223" s="21"/>
      <c r="H223" s="18"/>
      <c r="I223" s="18"/>
      <c r="J223" s="18"/>
      <c r="K223" s="18"/>
      <c r="L223" s="18"/>
      <c r="M223" s="18"/>
      <c r="N223" s="18"/>
      <c r="O223" s="18"/>
      <c r="P223" s="18"/>
      <c r="Q223" s="18"/>
      <c r="R223" s="18"/>
      <c r="S223" s="18"/>
      <c r="T223" s="18"/>
      <c r="U223" s="18"/>
      <c r="V223" s="18"/>
      <c r="W223" s="18"/>
      <c r="X223" s="18"/>
      <c r="Y223" s="18"/>
      <c r="Z223" s="18"/>
      <c r="AA223" s="18"/>
      <c r="AB223" s="18"/>
      <c r="AC223" s="18"/>
      <c r="AD223" s="18"/>
      <c r="AE223" s="18"/>
      <c r="AF223" s="18"/>
      <c r="AG223" s="18"/>
      <c r="AH223" s="18"/>
      <c r="AI223" s="18"/>
      <c r="AJ223" s="18"/>
      <c r="AK223" s="18"/>
      <c r="AL223" s="18"/>
      <c r="AM223" s="18"/>
      <c r="AN223" s="18"/>
      <c r="AO223" s="18"/>
      <c r="AP223" s="18"/>
      <c r="AQ223" s="18"/>
      <c r="AR223" s="18"/>
      <c r="AS223" s="18"/>
      <c r="AT223" s="18"/>
      <c r="AU223" s="18"/>
    </row>
    <row r="224" spans="1:47" s="20" customFormat="1" x14ac:dyDescent="0.2">
      <c r="A224" s="12"/>
      <c r="B224" s="18"/>
      <c r="C224" s="18"/>
      <c r="D224" s="18"/>
      <c r="E224" s="18"/>
      <c r="F224" s="18"/>
      <c r="G224" s="18"/>
      <c r="H224" s="18"/>
      <c r="I224" s="18"/>
      <c r="J224" s="18"/>
      <c r="K224" s="18"/>
      <c r="L224" s="18"/>
      <c r="M224" s="18"/>
      <c r="N224" s="18"/>
      <c r="O224" s="18"/>
      <c r="P224" s="18"/>
      <c r="Q224" s="18"/>
      <c r="R224" s="18"/>
      <c r="S224" s="18"/>
      <c r="T224" s="18"/>
      <c r="U224" s="18"/>
      <c r="V224" s="18"/>
      <c r="W224" s="18"/>
      <c r="X224" s="18"/>
      <c r="Y224" s="18"/>
      <c r="Z224" s="18"/>
      <c r="AA224" s="18"/>
      <c r="AB224" s="18"/>
      <c r="AC224" s="18"/>
      <c r="AD224" s="18"/>
      <c r="AE224" s="18"/>
      <c r="AF224" s="18"/>
      <c r="AG224" s="18"/>
      <c r="AH224" s="18"/>
      <c r="AI224" s="18"/>
      <c r="AJ224" s="18"/>
      <c r="AK224" s="18"/>
      <c r="AL224" s="18"/>
      <c r="AM224" s="18"/>
      <c r="AN224" s="18"/>
      <c r="AO224" s="18"/>
      <c r="AP224" s="18"/>
      <c r="AQ224" s="18"/>
      <c r="AR224" s="18"/>
      <c r="AS224" s="18"/>
      <c r="AT224" s="18"/>
      <c r="AU224" s="18"/>
    </row>
    <row r="225" spans="1:47" s="20" customFormat="1" x14ac:dyDescent="0.2">
      <c r="A225" s="12"/>
      <c r="B225" s="18"/>
      <c r="C225" s="18"/>
      <c r="D225" s="18"/>
      <c r="E225" s="18"/>
      <c r="F225" s="18"/>
      <c r="G225" s="18"/>
      <c r="H225" s="18"/>
      <c r="I225" s="18"/>
      <c r="J225" s="18"/>
      <c r="K225" s="18"/>
      <c r="L225" s="18"/>
      <c r="M225" s="18"/>
      <c r="N225" s="18"/>
      <c r="O225" s="18"/>
      <c r="P225" s="18"/>
      <c r="Q225" s="18"/>
      <c r="R225" s="18"/>
      <c r="S225" s="18"/>
      <c r="T225" s="18"/>
      <c r="U225" s="18"/>
      <c r="V225" s="18"/>
      <c r="W225" s="18"/>
      <c r="X225" s="18"/>
      <c r="Y225" s="18"/>
      <c r="Z225" s="18"/>
      <c r="AA225" s="18"/>
      <c r="AB225" s="18"/>
      <c r="AC225" s="18"/>
      <c r="AD225" s="18"/>
      <c r="AE225" s="18"/>
      <c r="AF225" s="18"/>
      <c r="AG225" s="18"/>
      <c r="AH225" s="18"/>
      <c r="AI225" s="18"/>
      <c r="AJ225" s="18"/>
      <c r="AK225" s="18"/>
      <c r="AL225" s="18"/>
      <c r="AM225" s="18"/>
      <c r="AN225" s="18"/>
      <c r="AO225" s="18"/>
      <c r="AP225" s="18"/>
      <c r="AQ225" s="18"/>
      <c r="AR225" s="18"/>
      <c r="AS225" s="18"/>
      <c r="AT225" s="18"/>
      <c r="AU225" s="18"/>
    </row>
    <row r="226" spans="1:47" s="20" customFormat="1" x14ac:dyDescent="0.2">
      <c r="A226" s="12"/>
      <c r="B226" s="18"/>
      <c r="C226" s="18"/>
      <c r="D226" s="18"/>
      <c r="E226" s="18"/>
      <c r="F226" s="18"/>
      <c r="G226" s="18"/>
      <c r="H226" s="18"/>
      <c r="I226" s="18"/>
      <c r="J226" s="18"/>
      <c r="K226" s="18"/>
      <c r="L226" s="18"/>
      <c r="M226" s="18"/>
      <c r="N226" s="18"/>
      <c r="O226" s="18"/>
      <c r="P226" s="18"/>
      <c r="Q226" s="18"/>
      <c r="R226" s="18"/>
      <c r="S226" s="18"/>
      <c r="T226" s="18"/>
      <c r="U226" s="18"/>
      <c r="V226" s="18"/>
      <c r="W226" s="18"/>
      <c r="X226" s="18"/>
      <c r="Y226" s="18"/>
      <c r="Z226" s="18"/>
      <c r="AA226" s="18"/>
      <c r="AB226" s="18"/>
      <c r="AC226" s="18"/>
      <c r="AD226" s="18"/>
      <c r="AE226" s="18"/>
      <c r="AF226" s="18"/>
      <c r="AG226" s="18"/>
      <c r="AH226" s="18"/>
      <c r="AI226" s="18"/>
      <c r="AJ226" s="18"/>
      <c r="AK226" s="18"/>
      <c r="AL226" s="18"/>
      <c r="AM226" s="18"/>
      <c r="AN226" s="18"/>
      <c r="AO226" s="18"/>
      <c r="AP226" s="18"/>
      <c r="AQ226" s="18"/>
      <c r="AR226" s="18"/>
      <c r="AS226" s="18"/>
      <c r="AT226" s="18"/>
      <c r="AU226" s="18"/>
    </row>
    <row r="227" spans="1:47" s="20" customFormat="1" x14ac:dyDescent="0.2">
      <c r="A227" s="12"/>
      <c r="B227" s="18"/>
      <c r="C227" s="18"/>
      <c r="D227" s="18"/>
      <c r="E227" s="18"/>
      <c r="F227" s="18"/>
      <c r="G227" s="18"/>
      <c r="H227" s="18"/>
      <c r="I227" s="18"/>
      <c r="J227" s="18"/>
      <c r="K227" s="18"/>
      <c r="L227" s="18"/>
      <c r="M227" s="18"/>
      <c r="N227" s="18"/>
      <c r="O227" s="18"/>
      <c r="P227" s="18"/>
      <c r="Q227" s="18"/>
      <c r="R227" s="18"/>
      <c r="S227" s="18"/>
      <c r="T227" s="18"/>
      <c r="U227" s="18"/>
      <c r="V227" s="18"/>
      <c r="W227" s="18"/>
      <c r="X227" s="18"/>
      <c r="Y227" s="18"/>
      <c r="Z227" s="18"/>
      <c r="AA227" s="18"/>
      <c r="AB227" s="18"/>
      <c r="AC227" s="18"/>
      <c r="AD227" s="18"/>
      <c r="AE227" s="18"/>
      <c r="AF227" s="18"/>
      <c r="AG227" s="18"/>
      <c r="AH227" s="18"/>
      <c r="AI227" s="18"/>
      <c r="AJ227" s="18"/>
      <c r="AK227" s="18"/>
      <c r="AL227" s="18"/>
      <c r="AM227" s="18"/>
      <c r="AN227" s="18"/>
      <c r="AO227" s="18"/>
      <c r="AP227" s="18"/>
      <c r="AQ227" s="18"/>
      <c r="AR227" s="18"/>
      <c r="AS227" s="18"/>
      <c r="AT227" s="18"/>
      <c r="AU227" s="18"/>
    </row>
    <row r="228" spans="1:47" s="20" customFormat="1" x14ac:dyDescent="0.2">
      <c r="A228" s="12"/>
      <c r="B228" s="18"/>
      <c r="C228" s="18"/>
      <c r="D228" s="18"/>
      <c r="E228" s="18"/>
      <c r="F228" s="18"/>
      <c r="G228" s="18"/>
      <c r="H228" s="18"/>
      <c r="I228" s="18"/>
      <c r="J228" s="18"/>
      <c r="K228" s="18"/>
      <c r="L228" s="18"/>
      <c r="M228" s="18"/>
      <c r="N228" s="18"/>
      <c r="O228" s="18"/>
      <c r="P228" s="18"/>
      <c r="Q228" s="18"/>
      <c r="R228" s="18"/>
      <c r="S228" s="18"/>
      <c r="T228" s="18"/>
      <c r="U228" s="18"/>
      <c r="V228" s="18"/>
      <c r="W228" s="18"/>
      <c r="X228" s="18"/>
      <c r="Y228" s="18"/>
      <c r="Z228" s="18"/>
      <c r="AA228" s="18"/>
      <c r="AB228" s="18"/>
      <c r="AC228" s="18"/>
      <c r="AD228" s="18"/>
      <c r="AE228" s="18"/>
      <c r="AF228" s="18"/>
      <c r="AG228" s="18"/>
      <c r="AH228" s="18"/>
      <c r="AI228" s="18"/>
      <c r="AJ228" s="18"/>
      <c r="AK228" s="18"/>
      <c r="AL228" s="18"/>
      <c r="AM228" s="18"/>
      <c r="AN228" s="18"/>
      <c r="AO228" s="18"/>
      <c r="AP228" s="18"/>
      <c r="AQ228" s="18"/>
      <c r="AR228" s="18"/>
      <c r="AS228" s="18"/>
      <c r="AT228" s="18"/>
      <c r="AU228" s="18"/>
    </row>
    <row r="229" spans="1:47" s="20" customFormat="1" x14ac:dyDescent="0.2">
      <c r="A229" s="12"/>
      <c r="B229" s="18"/>
      <c r="C229" s="18"/>
      <c r="D229" s="18"/>
      <c r="E229" s="18"/>
      <c r="F229" s="18"/>
      <c r="G229" s="18"/>
      <c r="H229" s="18"/>
      <c r="I229" s="18"/>
      <c r="J229" s="18"/>
      <c r="K229" s="18"/>
      <c r="L229" s="18"/>
      <c r="M229" s="18"/>
      <c r="N229" s="18"/>
      <c r="O229" s="18"/>
      <c r="P229" s="18"/>
      <c r="Q229" s="18"/>
      <c r="R229" s="18"/>
      <c r="S229" s="18"/>
      <c r="T229" s="18"/>
      <c r="U229" s="18"/>
      <c r="V229" s="18"/>
      <c r="W229" s="18"/>
      <c r="X229" s="18"/>
      <c r="Y229" s="18"/>
      <c r="Z229" s="18"/>
      <c r="AA229" s="18"/>
      <c r="AB229" s="18"/>
      <c r="AC229" s="18"/>
      <c r="AD229" s="18"/>
      <c r="AE229" s="18"/>
      <c r="AF229" s="18"/>
      <c r="AG229" s="18"/>
      <c r="AH229" s="18"/>
      <c r="AI229" s="18"/>
      <c r="AJ229" s="18"/>
      <c r="AK229" s="18"/>
      <c r="AL229" s="18"/>
      <c r="AM229" s="18"/>
      <c r="AN229" s="18"/>
      <c r="AO229" s="18"/>
      <c r="AP229" s="18"/>
      <c r="AQ229" s="18"/>
      <c r="AR229" s="18"/>
      <c r="AS229" s="18"/>
      <c r="AT229" s="18"/>
      <c r="AU229" s="18"/>
    </row>
    <row r="230" spans="1:47" s="20" customFormat="1" x14ac:dyDescent="0.2">
      <c r="A230" s="12"/>
      <c r="B230" s="18"/>
      <c r="C230" s="18"/>
      <c r="D230" s="18"/>
      <c r="E230" s="18"/>
      <c r="F230" s="18"/>
      <c r="G230" s="18"/>
      <c r="H230" s="18"/>
      <c r="I230" s="18"/>
      <c r="J230" s="18"/>
      <c r="K230" s="18"/>
      <c r="L230" s="18"/>
      <c r="M230" s="18"/>
      <c r="N230" s="18"/>
      <c r="O230" s="18"/>
      <c r="P230" s="18"/>
      <c r="Q230" s="18"/>
      <c r="R230" s="18"/>
      <c r="S230" s="18"/>
      <c r="T230" s="18"/>
      <c r="U230" s="18"/>
      <c r="V230" s="18"/>
      <c r="W230" s="18"/>
      <c r="X230" s="18"/>
      <c r="Y230" s="18"/>
      <c r="Z230" s="18"/>
      <c r="AA230" s="18"/>
      <c r="AB230" s="18"/>
      <c r="AC230" s="18"/>
      <c r="AD230" s="18"/>
      <c r="AE230" s="18"/>
      <c r="AF230" s="18"/>
      <c r="AG230" s="18"/>
      <c r="AH230" s="18"/>
      <c r="AI230" s="18"/>
      <c r="AJ230" s="18"/>
      <c r="AK230" s="18"/>
      <c r="AL230" s="18"/>
      <c r="AM230" s="18"/>
      <c r="AN230" s="18"/>
      <c r="AO230" s="18"/>
      <c r="AP230" s="18"/>
      <c r="AQ230" s="18"/>
      <c r="AR230" s="18"/>
      <c r="AS230" s="18"/>
      <c r="AT230" s="18"/>
      <c r="AU230" s="18"/>
    </row>
    <row r="231" spans="1:47" s="20" customFormat="1" x14ac:dyDescent="0.2">
      <c r="A231" s="12"/>
      <c r="B231" s="18"/>
      <c r="C231" s="18"/>
      <c r="D231" s="18"/>
      <c r="E231" s="18"/>
      <c r="F231" s="18"/>
      <c r="G231" s="18"/>
      <c r="H231" s="18"/>
      <c r="I231" s="18"/>
      <c r="J231" s="18"/>
      <c r="K231" s="18"/>
      <c r="L231" s="18"/>
      <c r="M231" s="18"/>
      <c r="N231" s="18"/>
      <c r="O231" s="18"/>
      <c r="P231" s="18"/>
      <c r="Q231" s="18"/>
      <c r="R231" s="18"/>
      <c r="S231" s="18"/>
      <c r="T231" s="18"/>
      <c r="U231" s="18"/>
      <c r="V231" s="18"/>
      <c r="W231" s="18"/>
      <c r="X231" s="18"/>
      <c r="Y231" s="18"/>
      <c r="Z231" s="18"/>
      <c r="AA231" s="18"/>
      <c r="AB231" s="18"/>
      <c r="AC231" s="18"/>
      <c r="AD231" s="18"/>
      <c r="AE231" s="18"/>
      <c r="AF231" s="18"/>
      <c r="AG231" s="18"/>
      <c r="AH231" s="18"/>
      <c r="AI231" s="18"/>
      <c r="AJ231" s="18"/>
      <c r="AK231" s="18"/>
      <c r="AL231" s="18"/>
      <c r="AM231" s="18"/>
      <c r="AN231" s="18"/>
      <c r="AO231" s="18"/>
      <c r="AP231" s="18"/>
      <c r="AQ231" s="18"/>
      <c r="AR231" s="18"/>
      <c r="AS231" s="18"/>
      <c r="AT231" s="18"/>
      <c r="AU231" s="18"/>
    </row>
    <row r="232" spans="1:47" s="20" customFormat="1" x14ac:dyDescent="0.2">
      <c r="A232" s="12"/>
      <c r="B232" s="18"/>
      <c r="C232" s="18"/>
      <c r="D232" s="18"/>
      <c r="E232" s="18"/>
      <c r="F232" s="18"/>
      <c r="G232" s="18"/>
      <c r="H232" s="18"/>
      <c r="I232" s="18"/>
      <c r="J232" s="18"/>
      <c r="K232" s="18"/>
      <c r="L232" s="18"/>
      <c r="M232" s="18"/>
      <c r="N232" s="18"/>
      <c r="O232" s="18"/>
      <c r="P232" s="18"/>
      <c r="Q232" s="18"/>
      <c r="R232" s="18"/>
      <c r="S232" s="18"/>
      <c r="T232" s="18"/>
      <c r="U232" s="18"/>
      <c r="V232" s="18"/>
      <c r="W232" s="18"/>
      <c r="X232" s="18"/>
      <c r="Y232" s="18"/>
      <c r="Z232" s="18"/>
      <c r="AA232" s="18"/>
      <c r="AB232" s="18"/>
      <c r="AC232" s="18"/>
      <c r="AD232" s="18"/>
      <c r="AE232" s="18"/>
      <c r="AF232" s="18"/>
      <c r="AG232" s="18"/>
      <c r="AH232" s="18"/>
      <c r="AI232" s="18"/>
      <c r="AJ232" s="18"/>
      <c r="AK232" s="18"/>
      <c r="AL232" s="18"/>
      <c r="AM232" s="18"/>
      <c r="AN232" s="18"/>
      <c r="AO232" s="18"/>
      <c r="AP232" s="18"/>
      <c r="AQ232" s="18"/>
      <c r="AR232" s="18"/>
      <c r="AS232" s="18"/>
      <c r="AT232" s="18"/>
      <c r="AU232" s="18"/>
    </row>
    <row r="233" spans="1:47" s="20" customFormat="1" x14ac:dyDescent="0.2">
      <c r="A233" s="12"/>
      <c r="B233" s="18"/>
      <c r="C233" s="18"/>
      <c r="D233" s="18"/>
      <c r="E233" s="18"/>
      <c r="F233" s="18"/>
      <c r="G233" s="18"/>
      <c r="H233" s="18"/>
      <c r="I233" s="18"/>
      <c r="J233" s="18"/>
      <c r="K233" s="18"/>
      <c r="L233" s="18"/>
      <c r="M233" s="18"/>
      <c r="N233" s="18"/>
      <c r="O233" s="18"/>
      <c r="P233" s="18"/>
      <c r="Q233" s="18"/>
      <c r="R233" s="18"/>
      <c r="S233" s="18"/>
      <c r="T233" s="18"/>
      <c r="U233" s="18"/>
      <c r="V233" s="18"/>
      <c r="W233" s="18"/>
      <c r="X233" s="18"/>
      <c r="Y233" s="18"/>
      <c r="Z233" s="18"/>
      <c r="AA233" s="18"/>
      <c r="AB233" s="18"/>
      <c r="AC233" s="18"/>
      <c r="AD233" s="18"/>
      <c r="AE233" s="18"/>
      <c r="AF233" s="18"/>
      <c r="AG233" s="18"/>
      <c r="AH233" s="18"/>
      <c r="AI233" s="18"/>
      <c r="AJ233" s="18"/>
      <c r="AK233" s="18"/>
      <c r="AL233" s="18"/>
      <c r="AM233" s="18"/>
      <c r="AN233" s="18"/>
      <c r="AO233" s="18"/>
      <c r="AP233" s="18"/>
      <c r="AQ233" s="18"/>
      <c r="AR233" s="18"/>
      <c r="AS233" s="18"/>
      <c r="AT233" s="18"/>
      <c r="AU233" s="18"/>
    </row>
    <row r="234" spans="1:47" s="20" customFormat="1" x14ac:dyDescent="0.2">
      <c r="A234" s="12"/>
      <c r="B234" s="18"/>
      <c r="C234" s="18"/>
      <c r="D234" s="18"/>
      <c r="E234" s="18"/>
      <c r="F234" s="18"/>
      <c r="G234" s="18"/>
      <c r="H234" s="18"/>
      <c r="I234" s="18"/>
      <c r="J234" s="18"/>
      <c r="K234" s="18"/>
      <c r="L234" s="18"/>
      <c r="M234" s="18"/>
      <c r="N234" s="18"/>
      <c r="O234" s="18"/>
      <c r="P234" s="18"/>
      <c r="Q234" s="18"/>
      <c r="R234" s="18"/>
      <c r="S234" s="18"/>
      <c r="T234" s="18"/>
      <c r="U234" s="18"/>
      <c r="V234" s="18"/>
      <c r="W234" s="18"/>
      <c r="X234" s="18"/>
      <c r="Y234" s="18"/>
      <c r="Z234" s="18"/>
      <c r="AA234" s="18"/>
      <c r="AB234" s="18"/>
      <c r="AC234" s="18"/>
      <c r="AD234" s="18"/>
      <c r="AE234" s="18"/>
      <c r="AF234" s="18"/>
      <c r="AG234" s="18"/>
      <c r="AH234" s="18"/>
      <c r="AI234" s="18"/>
      <c r="AJ234" s="18"/>
      <c r="AK234" s="18"/>
      <c r="AL234" s="18"/>
      <c r="AM234" s="18"/>
      <c r="AN234" s="18"/>
      <c r="AO234" s="18"/>
      <c r="AP234" s="18"/>
      <c r="AQ234" s="18"/>
      <c r="AR234" s="18"/>
      <c r="AS234" s="18"/>
      <c r="AT234" s="18"/>
      <c r="AU234" s="18"/>
    </row>
    <row r="235" spans="1:47" s="20" customFormat="1" x14ac:dyDescent="0.2">
      <c r="A235" s="12"/>
      <c r="B235" s="18"/>
      <c r="C235" s="18"/>
      <c r="D235" s="18"/>
      <c r="E235" s="18"/>
      <c r="F235" s="18"/>
      <c r="G235" s="18"/>
      <c r="H235" s="18"/>
      <c r="I235" s="18"/>
      <c r="J235" s="18"/>
      <c r="K235" s="18"/>
      <c r="L235" s="18"/>
      <c r="M235" s="18"/>
      <c r="N235" s="18"/>
      <c r="O235" s="18"/>
      <c r="P235" s="18"/>
      <c r="Q235" s="18"/>
      <c r="R235" s="18"/>
      <c r="S235" s="18"/>
      <c r="T235" s="18"/>
      <c r="U235" s="18"/>
      <c r="V235" s="18"/>
      <c r="W235" s="18"/>
      <c r="X235" s="18"/>
      <c r="Y235" s="18"/>
      <c r="Z235" s="18"/>
      <c r="AA235" s="18"/>
      <c r="AB235" s="18"/>
      <c r="AC235" s="18"/>
      <c r="AD235" s="18"/>
      <c r="AE235" s="18"/>
      <c r="AF235" s="18"/>
      <c r="AG235" s="18"/>
      <c r="AH235" s="18"/>
      <c r="AI235" s="18"/>
      <c r="AJ235" s="18"/>
      <c r="AK235" s="18"/>
      <c r="AL235" s="18"/>
      <c r="AM235" s="18"/>
      <c r="AN235" s="18"/>
      <c r="AO235" s="18"/>
      <c r="AP235" s="18"/>
      <c r="AQ235" s="18"/>
      <c r="AR235" s="18"/>
      <c r="AS235" s="18"/>
      <c r="AT235" s="18"/>
      <c r="AU235" s="18"/>
    </row>
    <row r="236" spans="1:47" s="20" customFormat="1" x14ac:dyDescent="0.2">
      <c r="A236" s="12"/>
      <c r="B236" s="18"/>
      <c r="C236" s="18"/>
      <c r="D236" s="18"/>
      <c r="E236" s="18"/>
      <c r="F236" s="18"/>
      <c r="G236" s="18"/>
      <c r="H236" s="18"/>
      <c r="I236" s="18"/>
      <c r="J236" s="18"/>
      <c r="K236" s="18"/>
      <c r="L236" s="18"/>
      <c r="M236" s="18"/>
      <c r="N236" s="18"/>
      <c r="O236" s="18"/>
      <c r="P236" s="18"/>
      <c r="Q236" s="18"/>
      <c r="R236" s="18"/>
      <c r="S236" s="18"/>
      <c r="T236" s="18"/>
      <c r="U236" s="18"/>
      <c r="V236" s="18"/>
      <c r="W236" s="18"/>
      <c r="X236" s="18"/>
      <c r="Y236" s="18"/>
      <c r="Z236" s="18"/>
      <c r="AA236" s="18"/>
      <c r="AB236" s="18"/>
      <c r="AC236" s="18"/>
      <c r="AD236" s="18"/>
      <c r="AE236" s="18"/>
      <c r="AF236" s="18"/>
      <c r="AG236" s="18"/>
      <c r="AH236" s="18"/>
      <c r="AI236" s="18"/>
      <c r="AJ236" s="18"/>
      <c r="AK236" s="18"/>
      <c r="AL236" s="18"/>
      <c r="AM236" s="18"/>
      <c r="AN236" s="18"/>
      <c r="AO236" s="18"/>
      <c r="AP236" s="18"/>
      <c r="AQ236" s="18"/>
      <c r="AR236" s="18"/>
      <c r="AS236" s="18"/>
      <c r="AT236" s="18"/>
      <c r="AU236" s="18"/>
    </row>
    <row r="237" spans="1:47" s="20" customFormat="1" x14ac:dyDescent="0.2">
      <c r="A237" s="12"/>
      <c r="B237" s="18"/>
      <c r="C237" s="18"/>
      <c r="D237" s="18"/>
      <c r="E237" s="18"/>
      <c r="F237" s="18"/>
      <c r="G237" s="18"/>
      <c r="H237" s="18"/>
      <c r="I237" s="18"/>
      <c r="J237" s="18"/>
      <c r="K237" s="18"/>
      <c r="L237" s="18"/>
      <c r="M237" s="18"/>
      <c r="N237" s="18"/>
      <c r="O237" s="18"/>
      <c r="P237" s="18"/>
      <c r="Q237" s="18"/>
      <c r="R237" s="18"/>
      <c r="S237" s="18"/>
      <c r="T237" s="18"/>
      <c r="U237" s="18"/>
      <c r="V237" s="18"/>
      <c r="W237" s="18"/>
      <c r="X237" s="18"/>
      <c r="Y237" s="18"/>
      <c r="Z237" s="18"/>
      <c r="AA237" s="18"/>
      <c r="AB237" s="18"/>
      <c r="AC237" s="18"/>
      <c r="AD237" s="18"/>
      <c r="AE237" s="18"/>
      <c r="AF237" s="18"/>
      <c r="AG237" s="18"/>
      <c r="AH237" s="18"/>
      <c r="AI237" s="18"/>
      <c r="AJ237" s="18"/>
      <c r="AK237" s="18"/>
      <c r="AL237" s="18"/>
      <c r="AM237" s="18"/>
      <c r="AN237" s="18"/>
      <c r="AO237" s="18"/>
      <c r="AP237" s="18"/>
      <c r="AQ237" s="18"/>
      <c r="AR237" s="18"/>
      <c r="AS237" s="18"/>
      <c r="AT237" s="18"/>
      <c r="AU237" s="18"/>
    </row>
    <row r="238" spans="1:47" s="20" customFormat="1" x14ac:dyDescent="0.2">
      <c r="A238" s="12"/>
      <c r="B238" s="18"/>
      <c r="C238" s="18"/>
      <c r="D238" s="18"/>
      <c r="E238" s="18"/>
      <c r="F238" s="18"/>
      <c r="G238" s="18"/>
      <c r="H238" s="18"/>
      <c r="I238" s="18"/>
      <c r="J238" s="18"/>
      <c r="K238" s="18"/>
      <c r="L238" s="18"/>
      <c r="M238" s="18"/>
      <c r="N238" s="18"/>
      <c r="O238" s="18"/>
      <c r="P238" s="18"/>
      <c r="Q238" s="18"/>
      <c r="R238" s="18"/>
      <c r="S238" s="18"/>
      <c r="T238" s="18"/>
      <c r="U238" s="18"/>
      <c r="V238" s="18"/>
      <c r="W238" s="18"/>
      <c r="X238" s="18"/>
      <c r="Y238" s="18"/>
      <c r="Z238" s="18"/>
      <c r="AA238" s="18"/>
      <c r="AB238" s="18"/>
      <c r="AC238" s="18"/>
      <c r="AD238" s="18"/>
      <c r="AE238" s="18"/>
      <c r="AF238" s="18"/>
      <c r="AG238" s="18"/>
      <c r="AH238" s="18"/>
      <c r="AI238" s="18"/>
      <c r="AJ238" s="18"/>
      <c r="AK238" s="18"/>
      <c r="AL238" s="18"/>
      <c r="AM238" s="18"/>
      <c r="AN238" s="18"/>
      <c r="AO238" s="18"/>
      <c r="AP238" s="18"/>
      <c r="AQ238" s="18"/>
      <c r="AR238" s="18"/>
      <c r="AS238" s="18"/>
      <c r="AT238" s="18"/>
      <c r="AU238" s="18"/>
    </row>
    <row r="239" spans="1:47" s="20" customFormat="1" x14ac:dyDescent="0.2">
      <c r="A239" s="12"/>
      <c r="B239" s="18"/>
      <c r="C239" s="18"/>
      <c r="D239" s="18"/>
      <c r="E239" s="18"/>
      <c r="F239" s="18"/>
      <c r="G239" s="18"/>
      <c r="H239" s="18"/>
      <c r="I239" s="18"/>
      <c r="J239" s="18"/>
      <c r="K239" s="18"/>
      <c r="L239" s="18"/>
      <c r="M239" s="18"/>
      <c r="N239" s="18"/>
      <c r="O239" s="18"/>
      <c r="P239" s="18"/>
      <c r="Q239" s="18"/>
      <c r="R239" s="18"/>
      <c r="S239" s="18"/>
      <c r="T239" s="18"/>
      <c r="U239" s="18"/>
      <c r="V239" s="18"/>
      <c r="W239" s="18"/>
      <c r="X239" s="18"/>
      <c r="Y239" s="18"/>
      <c r="Z239" s="18"/>
      <c r="AA239" s="18"/>
      <c r="AB239" s="18"/>
      <c r="AC239" s="18"/>
      <c r="AD239" s="18"/>
      <c r="AE239" s="18"/>
      <c r="AF239" s="18"/>
      <c r="AG239" s="18"/>
      <c r="AH239" s="18"/>
      <c r="AI239" s="18"/>
      <c r="AJ239" s="18"/>
      <c r="AK239" s="18"/>
      <c r="AL239" s="18"/>
      <c r="AM239" s="18"/>
      <c r="AN239" s="18"/>
      <c r="AO239" s="18"/>
      <c r="AP239" s="18"/>
      <c r="AQ239" s="18"/>
      <c r="AR239" s="18"/>
      <c r="AS239" s="18"/>
      <c r="AT239" s="18"/>
      <c r="AU239" s="18"/>
    </row>
    <row r="240" spans="1:47" s="20" customFormat="1" x14ac:dyDescent="0.2">
      <c r="A240" s="12"/>
      <c r="B240" s="18"/>
      <c r="C240" s="18"/>
      <c r="D240" s="18"/>
      <c r="E240" s="18"/>
      <c r="F240" s="18"/>
      <c r="G240" s="18"/>
      <c r="H240" s="18"/>
      <c r="I240" s="18"/>
      <c r="J240" s="18"/>
      <c r="K240" s="18"/>
      <c r="L240" s="18"/>
      <c r="M240" s="18"/>
      <c r="N240" s="18"/>
      <c r="O240" s="18"/>
      <c r="P240" s="18"/>
      <c r="Q240" s="18"/>
      <c r="R240" s="18"/>
      <c r="S240" s="18"/>
      <c r="T240" s="18"/>
      <c r="U240" s="18"/>
      <c r="V240" s="18"/>
      <c r="W240" s="18"/>
      <c r="X240" s="18"/>
      <c r="Y240" s="18"/>
      <c r="Z240" s="18"/>
      <c r="AA240" s="18"/>
      <c r="AB240" s="18"/>
      <c r="AC240" s="18"/>
      <c r="AD240" s="18"/>
      <c r="AE240" s="18"/>
      <c r="AF240" s="18"/>
      <c r="AG240" s="18"/>
      <c r="AH240" s="18"/>
      <c r="AI240" s="18"/>
      <c r="AJ240" s="18"/>
      <c r="AK240" s="18"/>
      <c r="AL240" s="18"/>
      <c r="AM240" s="18"/>
      <c r="AN240" s="18"/>
      <c r="AO240" s="18"/>
      <c r="AP240" s="18"/>
      <c r="AQ240" s="18"/>
      <c r="AR240" s="18"/>
      <c r="AS240" s="18"/>
      <c r="AT240" s="18"/>
      <c r="AU240" s="18"/>
    </row>
    <row r="241" spans="1:47" s="20" customFormat="1" x14ac:dyDescent="0.2">
      <c r="A241" s="12"/>
      <c r="B241" s="18"/>
      <c r="C241" s="18"/>
      <c r="D241" s="18"/>
      <c r="E241" s="18"/>
      <c r="F241" s="18"/>
      <c r="G241" s="18"/>
      <c r="H241" s="18"/>
      <c r="I241" s="18"/>
      <c r="J241" s="18"/>
      <c r="K241" s="18"/>
      <c r="L241" s="18"/>
      <c r="M241" s="18"/>
      <c r="N241" s="18"/>
      <c r="O241" s="18"/>
      <c r="P241" s="18"/>
      <c r="Q241" s="18"/>
      <c r="R241" s="18"/>
      <c r="S241" s="18"/>
      <c r="T241" s="18"/>
      <c r="U241" s="18"/>
      <c r="V241" s="18"/>
      <c r="W241" s="18"/>
      <c r="X241" s="18"/>
      <c r="Y241" s="18"/>
      <c r="Z241" s="18"/>
      <c r="AA241" s="18"/>
      <c r="AB241" s="18"/>
      <c r="AC241" s="18"/>
      <c r="AD241" s="18"/>
      <c r="AE241" s="18"/>
      <c r="AF241" s="18"/>
      <c r="AG241" s="18"/>
      <c r="AH241" s="18"/>
      <c r="AI241" s="18"/>
      <c r="AJ241" s="18"/>
      <c r="AK241" s="18"/>
      <c r="AL241" s="18"/>
      <c r="AM241" s="18"/>
      <c r="AN241" s="18"/>
      <c r="AO241" s="18"/>
      <c r="AP241" s="18"/>
      <c r="AQ241" s="18"/>
      <c r="AR241" s="18"/>
      <c r="AS241" s="18"/>
      <c r="AT241" s="18"/>
      <c r="AU241" s="18"/>
    </row>
    <row r="242" spans="1:47" s="20" customFormat="1" x14ac:dyDescent="0.2">
      <c r="A242" s="12"/>
      <c r="B242" s="18"/>
      <c r="C242" s="18"/>
      <c r="D242" s="18"/>
      <c r="E242" s="18"/>
      <c r="F242" s="18"/>
      <c r="G242" s="18"/>
      <c r="H242" s="18"/>
      <c r="I242" s="18"/>
      <c r="J242" s="18"/>
      <c r="K242" s="18"/>
      <c r="L242" s="18"/>
      <c r="M242" s="18"/>
      <c r="N242" s="18"/>
      <c r="O242" s="18"/>
      <c r="P242" s="18"/>
      <c r="Q242" s="18"/>
      <c r="R242" s="18"/>
      <c r="S242" s="18"/>
      <c r="T242" s="18"/>
      <c r="U242" s="18"/>
      <c r="V242" s="18"/>
      <c r="W242" s="18"/>
      <c r="X242" s="18"/>
      <c r="Y242" s="18"/>
      <c r="Z242" s="18"/>
      <c r="AA242" s="18"/>
      <c r="AB242" s="18"/>
      <c r="AC242" s="18"/>
      <c r="AD242" s="18"/>
      <c r="AE242" s="18"/>
      <c r="AF242" s="18"/>
      <c r="AG242" s="18"/>
      <c r="AH242" s="18"/>
      <c r="AI242" s="18"/>
      <c r="AJ242" s="18"/>
      <c r="AK242" s="18"/>
      <c r="AL242" s="18"/>
      <c r="AM242" s="18"/>
      <c r="AN242" s="18"/>
      <c r="AO242" s="18"/>
      <c r="AP242" s="18"/>
      <c r="AQ242" s="18"/>
      <c r="AR242" s="18"/>
      <c r="AS242" s="18"/>
      <c r="AT242" s="18"/>
      <c r="AU242" s="18"/>
    </row>
    <row r="243" spans="1:47" s="20" customFormat="1" x14ac:dyDescent="0.2">
      <c r="A243" s="12"/>
      <c r="B243" s="18"/>
      <c r="C243" s="18"/>
      <c r="D243" s="18"/>
      <c r="E243" s="18"/>
      <c r="F243" s="18"/>
      <c r="G243" s="18"/>
      <c r="H243" s="18"/>
      <c r="I243" s="18"/>
      <c r="J243" s="18"/>
      <c r="K243" s="18"/>
      <c r="L243" s="18"/>
      <c r="M243" s="18"/>
      <c r="N243" s="18"/>
      <c r="O243" s="18"/>
      <c r="P243" s="18"/>
      <c r="Q243" s="18"/>
      <c r="R243" s="18"/>
      <c r="S243" s="18"/>
      <c r="T243" s="18"/>
      <c r="U243" s="18"/>
      <c r="V243" s="18"/>
      <c r="W243" s="18"/>
      <c r="X243" s="18"/>
      <c r="Y243" s="18"/>
      <c r="Z243" s="18"/>
      <c r="AA243" s="18"/>
      <c r="AB243" s="18"/>
      <c r="AC243" s="18"/>
      <c r="AD243" s="18"/>
      <c r="AE243" s="18"/>
      <c r="AF243" s="18"/>
      <c r="AG243" s="18"/>
      <c r="AH243" s="18"/>
      <c r="AI243" s="18"/>
      <c r="AJ243" s="18"/>
      <c r="AK243" s="18"/>
      <c r="AL243" s="18"/>
      <c r="AM243" s="18"/>
      <c r="AN243" s="18"/>
      <c r="AO243" s="18"/>
      <c r="AP243" s="18"/>
      <c r="AQ243" s="18"/>
      <c r="AR243" s="18"/>
      <c r="AS243" s="18"/>
      <c r="AT243" s="18"/>
      <c r="AU243" s="18"/>
    </row>
    <row r="244" spans="1:47" s="20" customFormat="1" x14ac:dyDescent="0.2">
      <c r="A244" s="12"/>
      <c r="B244" s="18"/>
      <c r="C244" s="18"/>
      <c r="D244" s="18"/>
      <c r="E244" s="18"/>
      <c r="F244" s="18"/>
      <c r="G244" s="18"/>
      <c r="H244" s="18"/>
      <c r="I244" s="18"/>
      <c r="J244" s="18"/>
      <c r="K244" s="18"/>
      <c r="L244" s="18"/>
      <c r="M244" s="18"/>
      <c r="N244" s="18"/>
      <c r="O244" s="18"/>
      <c r="P244" s="18"/>
      <c r="Q244" s="18"/>
      <c r="R244" s="18"/>
      <c r="S244" s="18"/>
      <c r="T244" s="18"/>
      <c r="U244" s="18"/>
      <c r="V244" s="18"/>
      <c r="W244" s="18"/>
      <c r="X244" s="18"/>
      <c r="Y244" s="18"/>
      <c r="Z244" s="18"/>
      <c r="AA244" s="18"/>
      <c r="AB244" s="18"/>
      <c r="AC244" s="18"/>
      <c r="AD244" s="18"/>
      <c r="AE244" s="18"/>
      <c r="AF244" s="18"/>
      <c r="AG244" s="18"/>
      <c r="AH244" s="18"/>
      <c r="AI244" s="18"/>
      <c r="AJ244" s="18"/>
      <c r="AK244" s="18"/>
      <c r="AL244" s="18"/>
      <c r="AM244" s="18"/>
      <c r="AN244" s="18"/>
      <c r="AO244" s="18"/>
      <c r="AP244" s="18"/>
      <c r="AQ244" s="18"/>
      <c r="AR244" s="18"/>
      <c r="AS244" s="18"/>
      <c r="AT244" s="18"/>
      <c r="AU244" s="18"/>
    </row>
    <row r="245" spans="1:47" s="20" customFormat="1" x14ac:dyDescent="0.2">
      <c r="A245" s="12"/>
      <c r="B245" s="18"/>
      <c r="C245" s="18"/>
      <c r="D245" s="18"/>
      <c r="E245" s="18"/>
      <c r="F245" s="18"/>
      <c r="G245" s="18"/>
      <c r="H245" s="18"/>
      <c r="I245" s="18"/>
      <c r="J245" s="18"/>
      <c r="K245" s="18"/>
      <c r="L245" s="18"/>
      <c r="M245" s="18"/>
      <c r="N245" s="18"/>
      <c r="O245" s="18"/>
      <c r="P245" s="18"/>
      <c r="Q245" s="18"/>
      <c r="R245" s="18"/>
      <c r="S245" s="18"/>
      <c r="T245" s="21">
        <v>1575</v>
      </c>
      <c r="U245" s="18"/>
      <c r="V245" s="18"/>
      <c r="W245" s="18"/>
      <c r="X245" s="18"/>
      <c r="Y245" s="18"/>
      <c r="Z245" s="18"/>
      <c r="AA245" s="18"/>
      <c r="AB245" s="18"/>
      <c r="AC245" s="18"/>
      <c r="AD245" s="18"/>
      <c r="AE245" s="18"/>
      <c r="AF245" s="18"/>
      <c r="AG245" s="18"/>
      <c r="AH245" s="18"/>
      <c r="AI245" s="18"/>
      <c r="AJ245" s="18"/>
      <c r="AK245" s="18"/>
      <c r="AL245" s="18"/>
      <c r="AM245" s="18"/>
      <c r="AN245" s="18"/>
      <c r="AO245" s="18"/>
      <c r="AP245" s="18"/>
      <c r="AQ245" s="18"/>
      <c r="AR245" s="18"/>
      <c r="AS245" s="18"/>
      <c r="AT245" s="18"/>
      <c r="AU245" s="18"/>
    </row>
    <row r="246" spans="1:47" s="20" customFormat="1" x14ac:dyDescent="0.2">
      <c r="A246" s="12"/>
      <c r="B246" s="18"/>
      <c r="C246" s="18"/>
      <c r="D246" s="18"/>
      <c r="E246" s="18"/>
      <c r="F246" s="18"/>
      <c r="G246" s="18"/>
      <c r="H246" s="18"/>
      <c r="I246" s="18"/>
      <c r="J246" s="18"/>
      <c r="K246" s="18"/>
      <c r="L246" s="18"/>
      <c r="M246" s="18"/>
      <c r="N246" s="18"/>
      <c r="O246" s="18"/>
      <c r="P246" s="18"/>
      <c r="Q246" s="18"/>
      <c r="R246" s="18"/>
      <c r="S246" s="18"/>
      <c r="T246" s="18"/>
      <c r="U246" s="18"/>
      <c r="V246" s="18"/>
      <c r="W246" s="18"/>
      <c r="X246" s="18"/>
      <c r="Y246" s="18"/>
      <c r="Z246" s="18"/>
      <c r="AA246" s="18"/>
      <c r="AB246" s="18"/>
      <c r="AC246" s="18"/>
      <c r="AD246" s="18"/>
      <c r="AE246" s="18"/>
      <c r="AF246" s="18"/>
      <c r="AG246" s="18"/>
      <c r="AH246" s="18"/>
      <c r="AI246" s="18"/>
      <c r="AJ246" s="18"/>
      <c r="AK246" s="18"/>
      <c r="AL246" s="18"/>
      <c r="AM246" s="18"/>
      <c r="AN246" s="18"/>
      <c r="AO246" s="18"/>
      <c r="AP246" s="18"/>
      <c r="AQ246" s="18"/>
      <c r="AR246" s="18"/>
      <c r="AS246" s="18"/>
      <c r="AT246" s="18"/>
      <c r="AU246" s="18"/>
    </row>
    <row r="247" spans="1:47" s="20" customFormat="1" x14ac:dyDescent="0.2">
      <c r="A247" s="12"/>
      <c r="B247" s="18"/>
      <c r="C247" s="18"/>
      <c r="D247" s="18"/>
      <c r="E247" s="18"/>
      <c r="F247" s="18"/>
      <c r="G247" s="18"/>
      <c r="H247" s="18"/>
      <c r="I247" s="18"/>
      <c r="J247" s="18"/>
      <c r="K247" s="18"/>
      <c r="L247" s="18"/>
      <c r="M247" s="18"/>
      <c r="N247" s="18"/>
      <c r="O247" s="18"/>
      <c r="P247" s="18"/>
      <c r="Q247" s="18"/>
      <c r="R247" s="18"/>
      <c r="S247" s="18"/>
      <c r="T247" s="18"/>
      <c r="U247" s="18"/>
      <c r="V247" s="18"/>
      <c r="W247" s="18"/>
      <c r="X247" s="18"/>
      <c r="Y247" s="18"/>
      <c r="Z247" s="18"/>
      <c r="AA247" s="18"/>
      <c r="AB247" s="18"/>
      <c r="AC247" s="18"/>
      <c r="AD247" s="18"/>
      <c r="AE247" s="18"/>
      <c r="AF247" s="18"/>
      <c r="AG247" s="18"/>
      <c r="AH247" s="18"/>
      <c r="AI247" s="18"/>
      <c r="AJ247" s="18"/>
      <c r="AK247" s="18"/>
      <c r="AL247" s="18"/>
      <c r="AM247" s="18"/>
      <c r="AN247" s="18"/>
      <c r="AO247" s="18"/>
      <c r="AP247" s="18"/>
      <c r="AQ247" s="18"/>
      <c r="AR247" s="18"/>
      <c r="AS247" s="18"/>
      <c r="AT247" s="18"/>
      <c r="AU247" s="18"/>
    </row>
    <row r="248" spans="1:47" s="20" customFormat="1" x14ac:dyDescent="0.2">
      <c r="A248" s="12"/>
      <c r="B248" s="18"/>
      <c r="C248" s="18"/>
      <c r="D248" s="18"/>
      <c r="E248" s="18"/>
      <c r="F248" s="18"/>
      <c r="G248" s="18"/>
      <c r="H248" s="18"/>
      <c r="I248" s="18"/>
      <c r="J248" s="18"/>
      <c r="K248" s="18"/>
      <c r="L248" s="18"/>
      <c r="M248" s="18"/>
      <c r="N248" s="18"/>
      <c r="O248" s="18"/>
      <c r="P248" s="18"/>
      <c r="Q248" s="18"/>
      <c r="R248" s="18"/>
      <c r="S248" s="18"/>
      <c r="T248" s="18"/>
      <c r="U248" s="18"/>
      <c r="V248" s="18"/>
      <c r="W248" s="18"/>
      <c r="X248" s="18"/>
      <c r="Y248" s="18"/>
      <c r="Z248" s="18"/>
      <c r="AA248" s="18"/>
      <c r="AB248" s="18"/>
      <c r="AC248" s="18"/>
      <c r="AD248" s="18"/>
      <c r="AE248" s="18"/>
      <c r="AF248" s="18"/>
      <c r="AG248" s="18"/>
      <c r="AH248" s="18"/>
      <c r="AI248" s="18"/>
      <c r="AJ248" s="18"/>
      <c r="AK248" s="18"/>
      <c r="AL248" s="18"/>
      <c r="AM248" s="18"/>
      <c r="AN248" s="18"/>
      <c r="AO248" s="18"/>
      <c r="AP248" s="18"/>
      <c r="AQ248" s="18"/>
      <c r="AR248" s="18"/>
      <c r="AS248" s="18"/>
      <c r="AT248" s="18"/>
      <c r="AU248" s="18"/>
    </row>
    <row r="249" spans="1:47" s="20" customFormat="1" x14ac:dyDescent="0.2">
      <c r="A249" s="12"/>
      <c r="B249" s="18"/>
      <c r="C249" s="18"/>
      <c r="D249" s="18"/>
      <c r="E249" s="18"/>
      <c r="F249" s="18"/>
      <c r="G249" s="18"/>
      <c r="H249" s="18"/>
      <c r="I249" s="18"/>
      <c r="J249" s="18"/>
      <c r="K249" s="18"/>
      <c r="L249" s="18"/>
      <c r="M249" s="18"/>
      <c r="N249" s="18"/>
      <c r="O249" s="18"/>
      <c r="P249" s="18"/>
      <c r="Q249" s="18"/>
      <c r="R249" s="18"/>
      <c r="S249" s="18"/>
      <c r="T249" s="18"/>
      <c r="U249" s="18"/>
      <c r="V249" s="18"/>
      <c r="W249" s="18"/>
      <c r="X249" s="18"/>
      <c r="Y249" s="18"/>
      <c r="Z249" s="18"/>
      <c r="AA249" s="18"/>
      <c r="AB249" s="18"/>
      <c r="AC249" s="18"/>
      <c r="AD249" s="18"/>
      <c r="AE249" s="18"/>
      <c r="AF249" s="18"/>
      <c r="AG249" s="18"/>
      <c r="AH249" s="18"/>
      <c r="AI249" s="18"/>
      <c r="AJ249" s="18"/>
      <c r="AK249" s="18"/>
      <c r="AL249" s="18"/>
      <c r="AM249" s="18"/>
      <c r="AN249" s="18"/>
      <c r="AO249" s="18"/>
      <c r="AP249" s="18"/>
      <c r="AQ249" s="18"/>
      <c r="AR249" s="18"/>
      <c r="AS249" s="18"/>
      <c r="AT249" s="18"/>
      <c r="AU249" s="18"/>
    </row>
    <row r="250" spans="1:47" s="20" customFormat="1" x14ac:dyDescent="0.2">
      <c r="A250" s="12"/>
      <c r="B250" s="18"/>
      <c r="C250" s="18"/>
      <c r="D250" s="18"/>
      <c r="E250" s="18"/>
      <c r="F250" s="18"/>
      <c r="G250" s="18"/>
      <c r="H250" s="18"/>
      <c r="I250" s="18"/>
      <c r="J250" s="18"/>
      <c r="K250" s="18"/>
      <c r="L250" s="18"/>
      <c r="M250" s="18"/>
      <c r="N250" s="18"/>
      <c r="O250" s="18"/>
      <c r="P250" s="18"/>
      <c r="Q250" s="18"/>
      <c r="R250" s="18"/>
      <c r="S250" s="18"/>
      <c r="T250" s="18"/>
      <c r="U250" s="18"/>
      <c r="V250" s="18"/>
      <c r="W250" s="18"/>
      <c r="X250" s="18"/>
      <c r="Y250" s="18"/>
      <c r="Z250" s="18"/>
      <c r="AA250" s="18"/>
      <c r="AB250" s="18"/>
      <c r="AC250" s="18"/>
      <c r="AD250" s="18"/>
      <c r="AE250" s="18"/>
      <c r="AF250" s="18"/>
      <c r="AG250" s="18"/>
      <c r="AH250" s="18"/>
      <c r="AI250" s="18"/>
      <c r="AJ250" s="18"/>
      <c r="AK250" s="18"/>
      <c r="AL250" s="18"/>
      <c r="AM250" s="18"/>
      <c r="AN250" s="18"/>
      <c r="AO250" s="18"/>
      <c r="AP250" s="18"/>
      <c r="AQ250" s="18"/>
      <c r="AR250" s="18"/>
      <c r="AS250" s="18"/>
      <c r="AT250" s="18"/>
      <c r="AU250" s="18"/>
    </row>
    <row r="251" spans="1:47" s="20" customFormat="1" x14ac:dyDescent="0.2">
      <c r="A251" s="12"/>
      <c r="B251" s="18"/>
      <c r="C251" s="18"/>
      <c r="D251" s="18"/>
      <c r="E251" s="18"/>
      <c r="F251" s="18"/>
      <c r="G251" s="18"/>
      <c r="H251" s="18"/>
      <c r="I251" s="18"/>
      <c r="J251" s="18"/>
      <c r="K251" s="18"/>
      <c r="L251" s="18"/>
      <c r="M251" s="18"/>
      <c r="N251" s="18"/>
      <c r="O251" s="18"/>
      <c r="P251" s="18"/>
      <c r="Q251" s="18"/>
      <c r="R251" s="18"/>
      <c r="S251" s="18"/>
      <c r="T251" s="18"/>
      <c r="U251" s="18"/>
      <c r="V251" s="18"/>
      <c r="W251" s="18"/>
      <c r="X251" s="18"/>
      <c r="Y251" s="18"/>
      <c r="Z251" s="18"/>
      <c r="AA251" s="18"/>
      <c r="AB251" s="18"/>
      <c r="AC251" s="18"/>
      <c r="AD251" s="18"/>
      <c r="AE251" s="18"/>
      <c r="AF251" s="18"/>
      <c r="AG251" s="18"/>
      <c r="AH251" s="18"/>
      <c r="AI251" s="18"/>
      <c r="AJ251" s="18"/>
      <c r="AK251" s="18"/>
      <c r="AL251" s="18"/>
      <c r="AM251" s="18"/>
      <c r="AN251" s="18"/>
      <c r="AO251" s="18"/>
      <c r="AP251" s="18"/>
      <c r="AQ251" s="18"/>
      <c r="AR251" s="18"/>
      <c r="AS251" s="18"/>
      <c r="AT251" s="18"/>
      <c r="AU251" s="18"/>
    </row>
    <row r="252" spans="1:47" s="20" customFormat="1" x14ac:dyDescent="0.2">
      <c r="A252" s="12"/>
      <c r="B252" s="18"/>
      <c r="C252" s="18"/>
      <c r="D252" s="18"/>
      <c r="E252" s="18"/>
      <c r="F252" s="18"/>
      <c r="G252" s="18"/>
      <c r="H252" s="18"/>
      <c r="I252" s="18"/>
      <c r="J252" s="18"/>
      <c r="K252" s="18"/>
      <c r="L252" s="18"/>
      <c r="M252" s="18"/>
      <c r="N252" s="18"/>
      <c r="O252" s="18"/>
      <c r="P252" s="18"/>
      <c r="Q252" s="18"/>
      <c r="R252" s="18"/>
      <c r="S252" s="18"/>
      <c r="T252" s="18"/>
      <c r="U252" s="18"/>
      <c r="V252" s="18"/>
      <c r="W252" s="18"/>
      <c r="X252" s="18"/>
      <c r="Y252" s="18"/>
      <c r="Z252" s="18"/>
      <c r="AA252" s="18"/>
      <c r="AB252" s="18"/>
      <c r="AC252" s="18"/>
      <c r="AD252" s="18"/>
      <c r="AE252" s="18"/>
      <c r="AF252" s="18"/>
      <c r="AG252" s="18"/>
      <c r="AH252" s="18"/>
      <c r="AI252" s="18"/>
      <c r="AJ252" s="18"/>
      <c r="AK252" s="18"/>
      <c r="AL252" s="18"/>
      <c r="AM252" s="18"/>
      <c r="AN252" s="18"/>
      <c r="AO252" s="18"/>
      <c r="AP252" s="18"/>
      <c r="AQ252" s="18"/>
      <c r="AR252" s="18"/>
      <c r="AS252" s="18"/>
      <c r="AT252" s="18"/>
      <c r="AU252" s="18"/>
    </row>
    <row r="253" spans="1:47" s="20" customFormat="1" x14ac:dyDescent="0.2">
      <c r="A253" s="12"/>
      <c r="B253" s="18"/>
      <c r="C253" s="18"/>
      <c r="D253" s="18"/>
      <c r="E253" s="18"/>
      <c r="F253" s="18"/>
      <c r="G253" s="18"/>
      <c r="H253" s="18"/>
      <c r="I253" s="18"/>
      <c r="J253" s="18"/>
      <c r="K253" s="18"/>
      <c r="L253" s="18"/>
      <c r="M253" s="18"/>
      <c r="N253" s="18"/>
      <c r="O253" s="18"/>
      <c r="P253" s="18"/>
      <c r="Q253" s="18"/>
      <c r="R253" s="18"/>
      <c r="S253" s="18"/>
      <c r="T253" s="18"/>
      <c r="U253" s="18"/>
      <c r="V253" s="18"/>
      <c r="W253" s="18"/>
      <c r="X253" s="18"/>
      <c r="Y253" s="18"/>
      <c r="Z253" s="18"/>
      <c r="AA253" s="18"/>
      <c r="AB253" s="18"/>
      <c r="AC253" s="18"/>
      <c r="AD253" s="18"/>
      <c r="AE253" s="18"/>
      <c r="AF253" s="18"/>
      <c r="AG253" s="18"/>
      <c r="AH253" s="18"/>
      <c r="AI253" s="18"/>
      <c r="AJ253" s="18"/>
      <c r="AK253" s="18"/>
      <c r="AL253" s="18"/>
      <c r="AM253" s="18"/>
      <c r="AN253" s="18"/>
      <c r="AO253" s="18"/>
      <c r="AP253" s="18"/>
      <c r="AQ253" s="18"/>
      <c r="AR253" s="18"/>
      <c r="AS253" s="18"/>
      <c r="AT253" s="18"/>
      <c r="AU253" s="18"/>
    </row>
    <row r="254" spans="1:47" s="20" customFormat="1" x14ac:dyDescent="0.2">
      <c r="A254" s="12"/>
      <c r="B254" s="18"/>
      <c r="C254" s="18"/>
      <c r="D254" s="18"/>
      <c r="E254" s="18"/>
      <c r="F254" s="18"/>
      <c r="G254" s="18"/>
      <c r="H254" s="18"/>
      <c r="I254" s="18"/>
      <c r="J254" s="18"/>
      <c r="K254" s="18"/>
      <c r="L254" s="18"/>
      <c r="M254" s="18"/>
      <c r="N254" s="18"/>
      <c r="O254" s="18"/>
      <c r="P254" s="18"/>
      <c r="Q254" s="18"/>
      <c r="R254" s="18"/>
      <c r="S254" s="18"/>
      <c r="T254" s="18"/>
      <c r="U254" s="18"/>
      <c r="V254" s="18"/>
      <c r="W254" s="18"/>
      <c r="X254" s="18"/>
      <c r="Y254" s="18"/>
      <c r="Z254" s="18"/>
      <c r="AA254" s="18"/>
      <c r="AB254" s="18"/>
      <c r="AC254" s="18"/>
      <c r="AD254" s="18"/>
      <c r="AE254" s="18"/>
      <c r="AF254" s="18"/>
      <c r="AG254" s="18"/>
      <c r="AH254" s="18"/>
      <c r="AI254" s="18"/>
      <c r="AJ254" s="18"/>
      <c r="AK254" s="18"/>
      <c r="AL254" s="18"/>
      <c r="AM254" s="18"/>
      <c r="AN254" s="18"/>
      <c r="AO254" s="18"/>
      <c r="AP254" s="18"/>
      <c r="AQ254" s="18"/>
      <c r="AR254" s="18"/>
      <c r="AS254" s="18"/>
      <c r="AT254" s="18"/>
      <c r="AU254" s="18"/>
    </row>
    <row r="255" spans="1:47" s="20" customFormat="1" x14ac:dyDescent="0.2">
      <c r="A255" s="12"/>
      <c r="B255" s="18"/>
      <c r="C255" s="18"/>
      <c r="D255" s="18"/>
      <c r="E255" s="18"/>
      <c r="F255" s="18"/>
      <c r="G255" s="18"/>
      <c r="H255" s="18"/>
      <c r="I255" s="18"/>
      <c r="J255" s="18"/>
      <c r="K255" s="18"/>
      <c r="L255" s="18"/>
      <c r="M255" s="18"/>
      <c r="N255" s="18"/>
      <c r="O255" s="18"/>
      <c r="P255" s="18"/>
      <c r="Q255" s="18"/>
      <c r="R255" s="18"/>
      <c r="S255" s="18"/>
      <c r="T255" s="18"/>
      <c r="U255" s="18"/>
      <c r="V255" s="18"/>
      <c r="W255" s="18"/>
      <c r="X255" s="18"/>
      <c r="Y255" s="18"/>
      <c r="Z255" s="18"/>
      <c r="AA255" s="18"/>
      <c r="AB255" s="18"/>
      <c r="AC255" s="18"/>
      <c r="AD255" s="18"/>
      <c r="AE255" s="18"/>
      <c r="AF255" s="18"/>
      <c r="AG255" s="18"/>
      <c r="AH255" s="18"/>
      <c r="AI255" s="18"/>
      <c r="AJ255" s="18"/>
      <c r="AK255" s="18"/>
      <c r="AL255" s="18"/>
      <c r="AM255" s="18"/>
      <c r="AN255" s="18"/>
      <c r="AO255" s="18"/>
      <c r="AP255" s="18"/>
      <c r="AQ255" s="18"/>
      <c r="AR255" s="18"/>
      <c r="AS255" s="18"/>
      <c r="AT255" s="18"/>
      <c r="AU255" s="18"/>
    </row>
    <row r="256" spans="1:47" s="20" customFormat="1" x14ac:dyDescent="0.2">
      <c r="A256" s="12"/>
      <c r="B256" s="18"/>
      <c r="C256" s="18"/>
      <c r="D256" s="18"/>
      <c r="E256" s="18"/>
      <c r="F256" s="18"/>
      <c r="G256" s="18"/>
      <c r="H256" s="18"/>
      <c r="I256" s="18"/>
      <c r="J256" s="18"/>
      <c r="K256" s="18"/>
      <c r="L256" s="18"/>
      <c r="M256" s="18"/>
      <c r="N256" s="18"/>
      <c r="O256" s="18"/>
      <c r="P256" s="18"/>
      <c r="Q256" s="18"/>
      <c r="R256" s="18"/>
      <c r="S256" s="18"/>
      <c r="T256" s="18"/>
      <c r="U256" s="18"/>
      <c r="V256" s="18"/>
      <c r="W256" s="18"/>
      <c r="X256" s="18"/>
      <c r="Y256" s="18"/>
      <c r="Z256" s="18"/>
      <c r="AA256" s="18"/>
      <c r="AB256" s="18"/>
      <c r="AC256" s="18"/>
      <c r="AD256" s="18"/>
      <c r="AE256" s="18"/>
      <c r="AF256" s="18"/>
      <c r="AG256" s="18"/>
      <c r="AH256" s="18"/>
      <c r="AI256" s="18"/>
      <c r="AJ256" s="18"/>
      <c r="AK256" s="18"/>
      <c r="AL256" s="18"/>
      <c r="AM256" s="18"/>
      <c r="AN256" s="18"/>
      <c r="AO256" s="18"/>
      <c r="AP256" s="18"/>
      <c r="AQ256" s="18"/>
      <c r="AR256" s="18"/>
      <c r="AS256" s="18"/>
      <c r="AT256" s="18"/>
      <c r="AU256" s="18"/>
    </row>
    <row r="257" spans="1:47" s="20" customFormat="1" x14ac:dyDescent="0.2">
      <c r="A257" s="12"/>
      <c r="B257" s="18"/>
      <c r="C257" s="18"/>
      <c r="D257" s="18"/>
      <c r="E257" s="18"/>
      <c r="F257" s="18"/>
      <c r="G257" s="18"/>
      <c r="H257" s="18"/>
      <c r="I257" s="18"/>
      <c r="J257" s="18"/>
      <c r="K257" s="18"/>
      <c r="L257" s="18"/>
      <c r="M257" s="18"/>
      <c r="N257" s="18"/>
      <c r="O257" s="18"/>
      <c r="P257" s="18"/>
      <c r="Q257" s="18"/>
      <c r="R257" s="18"/>
      <c r="S257" s="18"/>
      <c r="T257" s="18"/>
      <c r="U257" s="18"/>
      <c r="V257" s="18"/>
      <c r="W257" s="18"/>
      <c r="X257" s="18"/>
      <c r="Y257" s="18"/>
      <c r="Z257" s="18"/>
      <c r="AA257" s="18"/>
      <c r="AB257" s="18"/>
      <c r="AC257" s="18"/>
      <c r="AD257" s="18"/>
      <c r="AE257" s="18"/>
      <c r="AF257" s="18"/>
      <c r="AG257" s="18"/>
      <c r="AH257" s="18"/>
      <c r="AI257" s="18"/>
      <c r="AJ257" s="18"/>
      <c r="AK257" s="18"/>
      <c r="AL257" s="18"/>
      <c r="AM257" s="18"/>
      <c r="AN257" s="18"/>
      <c r="AO257" s="18"/>
      <c r="AP257" s="18"/>
      <c r="AQ257" s="18"/>
      <c r="AR257" s="18"/>
      <c r="AS257" s="18"/>
      <c r="AT257" s="18"/>
      <c r="AU257" s="18"/>
    </row>
    <row r="258" spans="1:47" s="20" customFormat="1" x14ac:dyDescent="0.2">
      <c r="A258" s="12"/>
      <c r="B258" s="18"/>
      <c r="C258" s="18"/>
      <c r="D258" s="18"/>
      <c r="E258" s="18"/>
      <c r="F258" s="18"/>
      <c r="G258" s="18"/>
      <c r="H258" s="18"/>
      <c r="I258" s="18"/>
      <c r="J258" s="18"/>
      <c r="K258" s="18"/>
      <c r="L258" s="18"/>
      <c r="M258" s="18"/>
      <c r="N258" s="18"/>
      <c r="O258" s="18"/>
      <c r="P258" s="18"/>
      <c r="Q258" s="18"/>
      <c r="R258" s="18"/>
      <c r="S258" s="18"/>
      <c r="T258" s="18"/>
      <c r="U258" s="18"/>
      <c r="V258" s="18"/>
      <c r="W258" s="18"/>
      <c r="X258" s="18"/>
      <c r="Y258" s="18"/>
      <c r="Z258" s="18"/>
      <c r="AA258" s="18"/>
      <c r="AB258" s="18"/>
      <c r="AC258" s="18"/>
      <c r="AD258" s="18"/>
      <c r="AE258" s="18"/>
      <c r="AF258" s="18"/>
      <c r="AG258" s="18"/>
      <c r="AH258" s="18"/>
      <c r="AI258" s="18"/>
      <c r="AJ258" s="18"/>
      <c r="AK258" s="18"/>
      <c r="AL258" s="18"/>
      <c r="AM258" s="18"/>
      <c r="AN258" s="18"/>
      <c r="AO258" s="18"/>
      <c r="AP258" s="18"/>
      <c r="AQ258" s="18"/>
      <c r="AR258" s="18"/>
      <c r="AS258" s="18"/>
      <c r="AT258" s="18"/>
      <c r="AU258" s="18"/>
    </row>
    <row r="259" spans="1:47" s="20" customFormat="1" x14ac:dyDescent="0.2">
      <c r="A259" s="12"/>
      <c r="B259" s="18"/>
      <c r="C259" s="18"/>
      <c r="D259" s="18"/>
      <c r="E259" s="18"/>
      <c r="F259" s="18"/>
      <c r="G259" s="18"/>
      <c r="H259" s="18"/>
      <c r="I259" s="18"/>
      <c r="J259" s="18"/>
      <c r="K259" s="18"/>
      <c r="L259" s="18"/>
      <c r="M259" s="18"/>
      <c r="N259" s="18"/>
      <c r="O259" s="18"/>
      <c r="P259" s="18"/>
      <c r="Q259" s="18"/>
      <c r="R259" s="18"/>
      <c r="S259" s="18"/>
      <c r="T259" s="18"/>
      <c r="U259" s="18"/>
      <c r="V259" s="18"/>
      <c r="W259" s="18"/>
      <c r="X259" s="18"/>
      <c r="Y259" s="18"/>
      <c r="Z259" s="18"/>
      <c r="AA259" s="18"/>
      <c r="AB259" s="18"/>
      <c r="AC259" s="18"/>
      <c r="AD259" s="18"/>
      <c r="AE259" s="18"/>
      <c r="AF259" s="18"/>
      <c r="AG259" s="18"/>
      <c r="AH259" s="18"/>
      <c r="AI259" s="18"/>
      <c r="AJ259" s="18"/>
      <c r="AK259" s="18"/>
      <c r="AL259" s="18"/>
      <c r="AM259" s="18"/>
      <c r="AN259" s="18"/>
      <c r="AO259" s="18"/>
      <c r="AP259" s="18"/>
      <c r="AQ259" s="18"/>
      <c r="AR259" s="18"/>
      <c r="AS259" s="18"/>
      <c r="AT259" s="18"/>
      <c r="AU259" s="18"/>
    </row>
    <row r="260" spans="1:47" s="20" customFormat="1" x14ac:dyDescent="0.2">
      <c r="A260" s="12"/>
      <c r="B260" s="18"/>
      <c r="C260" s="18"/>
      <c r="D260" s="18"/>
      <c r="E260" s="18"/>
      <c r="F260" s="18"/>
      <c r="G260" s="18"/>
      <c r="H260" s="18"/>
      <c r="I260" s="18"/>
      <c r="J260" s="18"/>
      <c r="K260" s="18"/>
      <c r="L260" s="18"/>
      <c r="M260" s="18"/>
      <c r="N260" s="18"/>
      <c r="O260" s="18"/>
      <c r="P260" s="18"/>
      <c r="Q260" s="18"/>
      <c r="R260" s="18"/>
      <c r="S260" s="18"/>
      <c r="T260" s="18"/>
      <c r="U260" s="18"/>
      <c r="V260" s="18"/>
      <c r="W260" s="18"/>
      <c r="X260" s="18"/>
      <c r="Y260" s="18"/>
      <c r="Z260" s="18"/>
      <c r="AA260" s="18"/>
      <c r="AB260" s="18"/>
      <c r="AC260" s="18"/>
      <c r="AD260" s="18"/>
      <c r="AE260" s="18"/>
      <c r="AF260" s="18"/>
      <c r="AG260" s="18"/>
      <c r="AH260" s="18"/>
      <c r="AI260" s="18"/>
      <c r="AJ260" s="18"/>
      <c r="AK260" s="18"/>
      <c r="AL260" s="18"/>
      <c r="AM260" s="18"/>
      <c r="AN260" s="18"/>
      <c r="AO260" s="18"/>
      <c r="AP260" s="18"/>
      <c r="AQ260" s="18"/>
      <c r="AR260" s="18"/>
      <c r="AS260" s="18"/>
      <c r="AT260" s="18"/>
      <c r="AU260" s="18"/>
    </row>
    <row r="261" spans="1:47" s="20" customFormat="1" x14ac:dyDescent="0.2">
      <c r="A261" s="12"/>
      <c r="B261" s="18"/>
      <c r="C261" s="18"/>
      <c r="D261" s="18"/>
      <c r="E261" s="18"/>
      <c r="F261" s="18"/>
      <c r="G261" s="18"/>
      <c r="H261" s="18"/>
      <c r="I261" s="18"/>
      <c r="J261" s="18"/>
      <c r="K261" s="18"/>
      <c r="L261" s="18"/>
      <c r="M261" s="18"/>
      <c r="N261" s="18"/>
      <c r="O261" s="18"/>
      <c r="P261" s="18"/>
      <c r="Q261" s="18"/>
      <c r="R261" s="18"/>
      <c r="S261" s="18"/>
      <c r="T261" s="18"/>
      <c r="U261" s="18"/>
      <c r="V261" s="18"/>
      <c r="W261" s="18"/>
      <c r="X261" s="18"/>
      <c r="Y261" s="18"/>
      <c r="Z261" s="18"/>
      <c r="AA261" s="18"/>
      <c r="AB261" s="18"/>
      <c r="AC261" s="18"/>
      <c r="AD261" s="18"/>
      <c r="AE261" s="18"/>
      <c r="AF261" s="18"/>
      <c r="AG261" s="18"/>
      <c r="AH261" s="18"/>
      <c r="AI261" s="18"/>
      <c r="AJ261" s="18"/>
      <c r="AK261" s="18"/>
      <c r="AL261" s="18"/>
      <c r="AM261" s="18"/>
      <c r="AN261" s="18"/>
      <c r="AO261" s="18"/>
      <c r="AP261" s="18"/>
      <c r="AQ261" s="18"/>
      <c r="AR261" s="18"/>
      <c r="AS261" s="18"/>
      <c r="AT261" s="18"/>
      <c r="AU261" s="18"/>
    </row>
    <row r="262" spans="1:47" s="20" customFormat="1" x14ac:dyDescent="0.2">
      <c r="A262" s="12"/>
      <c r="B262" s="18"/>
      <c r="C262" s="18"/>
      <c r="D262" s="18"/>
      <c r="E262" s="18"/>
      <c r="F262" s="18"/>
      <c r="G262" s="18"/>
      <c r="H262" s="18"/>
      <c r="I262" s="18"/>
      <c r="J262" s="18"/>
      <c r="K262" s="18"/>
      <c r="L262" s="18"/>
      <c r="M262" s="18"/>
      <c r="N262" s="18"/>
      <c r="O262" s="18"/>
      <c r="P262" s="18"/>
      <c r="Q262" s="18"/>
      <c r="R262" s="18"/>
      <c r="S262" s="18"/>
      <c r="T262" s="18"/>
      <c r="U262" s="18"/>
      <c r="V262" s="18"/>
      <c r="W262" s="18"/>
      <c r="X262" s="18"/>
      <c r="Y262" s="18"/>
      <c r="Z262" s="18"/>
      <c r="AA262" s="18"/>
      <c r="AB262" s="18"/>
      <c r="AC262" s="18"/>
      <c r="AD262" s="18"/>
      <c r="AE262" s="18"/>
      <c r="AF262" s="18"/>
      <c r="AG262" s="18"/>
      <c r="AH262" s="18"/>
      <c r="AI262" s="18"/>
      <c r="AJ262" s="18"/>
      <c r="AK262" s="18"/>
      <c r="AL262" s="18"/>
      <c r="AM262" s="18"/>
      <c r="AN262" s="18"/>
      <c r="AO262" s="18"/>
      <c r="AP262" s="18"/>
      <c r="AQ262" s="18"/>
      <c r="AR262" s="18"/>
      <c r="AS262" s="18"/>
      <c r="AT262" s="18"/>
      <c r="AU262" s="18"/>
    </row>
    <row r="263" spans="1:47" s="20" customFormat="1" x14ac:dyDescent="0.2">
      <c r="A263" s="12"/>
      <c r="B263" s="18"/>
      <c r="C263" s="18"/>
      <c r="D263" s="18"/>
      <c r="E263" s="18"/>
      <c r="F263" s="18"/>
      <c r="G263" s="18"/>
      <c r="H263" s="18"/>
      <c r="I263" s="18"/>
      <c r="J263" s="18"/>
      <c r="K263" s="18"/>
      <c r="L263" s="18"/>
      <c r="M263" s="18"/>
      <c r="N263" s="18"/>
      <c r="O263" s="18"/>
      <c r="P263" s="18"/>
      <c r="Q263" s="18"/>
      <c r="R263" s="18"/>
      <c r="S263" s="18"/>
      <c r="T263" s="18"/>
      <c r="U263" s="18"/>
      <c r="V263" s="18"/>
      <c r="W263" s="18"/>
      <c r="X263" s="18"/>
      <c r="Y263" s="18"/>
      <c r="Z263" s="18"/>
      <c r="AA263" s="18"/>
      <c r="AB263" s="18"/>
      <c r="AC263" s="18"/>
      <c r="AD263" s="18"/>
      <c r="AE263" s="18"/>
      <c r="AF263" s="18"/>
      <c r="AG263" s="18"/>
      <c r="AH263" s="18"/>
      <c r="AI263" s="18"/>
      <c r="AJ263" s="18"/>
      <c r="AK263" s="18"/>
      <c r="AL263" s="18"/>
      <c r="AM263" s="18"/>
      <c r="AN263" s="18"/>
      <c r="AO263" s="18"/>
      <c r="AP263" s="18"/>
      <c r="AQ263" s="18"/>
      <c r="AR263" s="18"/>
      <c r="AS263" s="18"/>
      <c r="AT263" s="18"/>
      <c r="AU263" s="18"/>
    </row>
    <row r="264" spans="1:47" s="20" customFormat="1" x14ac:dyDescent="0.2">
      <c r="A264" s="12"/>
      <c r="B264" s="18"/>
      <c r="C264" s="18"/>
      <c r="D264" s="18"/>
      <c r="E264" s="18"/>
      <c r="F264" s="18"/>
      <c r="G264" s="18"/>
      <c r="H264" s="18"/>
      <c r="I264" s="18"/>
      <c r="J264" s="18"/>
      <c r="K264" s="18"/>
      <c r="L264" s="18"/>
      <c r="M264" s="18"/>
      <c r="N264" s="18"/>
      <c r="O264" s="18"/>
      <c r="P264" s="18"/>
      <c r="Q264" s="18"/>
      <c r="R264" s="18"/>
      <c r="S264" s="18"/>
      <c r="T264" s="18"/>
      <c r="U264" s="18"/>
      <c r="V264" s="18"/>
      <c r="W264" s="18"/>
      <c r="X264" s="18"/>
      <c r="Y264" s="18"/>
      <c r="Z264" s="18"/>
      <c r="AA264" s="18"/>
      <c r="AB264" s="18"/>
      <c r="AC264" s="18"/>
      <c r="AD264" s="18"/>
      <c r="AE264" s="18"/>
      <c r="AF264" s="18"/>
      <c r="AG264" s="18"/>
      <c r="AH264" s="18"/>
      <c r="AI264" s="18"/>
      <c r="AJ264" s="18"/>
      <c r="AK264" s="18"/>
      <c r="AL264" s="18"/>
      <c r="AM264" s="18"/>
      <c r="AN264" s="18"/>
      <c r="AO264" s="18"/>
      <c r="AP264" s="18"/>
      <c r="AQ264" s="18"/>
      <c r="AR264" s="18"/>
      <c r="AS264" s="18"/>
      <c r="AT264" s="18"/>
      <c r="AU264" s="18"/>
    </row>
    <row r="265" spans="1:47" s="20" customFormat="1" x14ac:dyDescent="0.2">
      <c r="A265" s="12"/>
      <c r="B265" s="18"/>
      <c r="C265" s="18"/>
      <c r="D265" s="18"/>
      <c r="E265" s="18"/>
      <c r="F265" s="18"/>
      <c r="G265" s="18"/>
      <c r="H265" s="18"/>
      <c r="I265" s="18"/>
      <c r="J265" s="18"/>
      <c r="K265" s="18"/>
      <c r="L265" s="18"/>
      <c r="M265" s="18"/>
      <c r="N265" s="18"/>
      <c r="O265" s="18"/>
      <c r="P265" s="18"/>
      <c r="Q265" s="18"/>
      <c r="R265" s="18"/>
      <c r="S265" s="18"/>
      <c r="T265" s="18"/>
      <c r="U265" s="18"/>
      <c r="V265" s="18"/>
      <c r="W265" s="18"/>
      <c r="X265" s="18"/>
      <c r="Y265" s="18"/>
      <c r="Z265" s="18"/>
      <c r="AA265" s="18"/>
      <c r="AB265" s="18"/>
      <c r="AC265" s="18"/>
      <c r="AD265" s="18"/>
      <c r="AE265" s="18"/>
      <c r="AF265" s="18"/>
      <c r="AG265" s="18"/>
      <c r="AH265" s="18"/>
      <c r="AI265" s="18"/>
      <c r="AJ265" s="18"/>
      <c r="AK265" s="18"/>
      <c r="AL265" s="18"/>
      <c r="AM265" s="18"/>
      <c r="AN265" s="18"/>
      <c r="AO265" s="18"/>
      <c r="AP265" s="18"/>
      <c r="AQ265" s="18"/>
      <c r="AR265" s="18"/>
      <c r="AS265" s="18"/>
      <c r="AT265" s="18"/>
      <c r="AU265" s="18"/>
    </row>
    <row r="266" spans="1:47" s="20" customFormat="1" x14ac:dyDescent="0.2">
      <c r="A266" s="12"/>
      <c r="B266" s="18"/>
      <c r="C266" s="18"/>
      <c r="D266" s="18"/>
      <c r="E266" s="18"/>
      <c r="F266" s="18"/>
      <c r="G266" s="18"/>
      <c r="H266" s="18"/>
      <c r="I266" s="18"/>
      <c r="J266" s="18"/>
      <c r="K266" s="18"/>
      <c r="L266" s="18"/>
      <c r="M266" s="18"/>
      <c r="N266" s="18"/>
      <c r="O266" s="18"/>
      <c r="P266" s="18"/>
      <c r="Q266" s="18"/>
      <c r="R266" s="18"/>
      <c r="S266" s="18"/>
      <c r="T266" s="18"/>
      <c r="U266" s="18"/>
      <c r="V266" s="18"/>
      <c r="W266" s="18"/>
      <c r="X266" s="18"/>
      <c r="Y266" s="18"/>
      <c r="Z266" s="18"/>
      <c r="AA266" s="18"/>
      <c r="AB266" s="18"/>
      <c r="AC266" s="18"/>
      <c r="AD266" s="18"/>
      <c r="AE266" s="18"/>
      <c r="AF266" s="18"/>
      <c r="AG266" s="18"/>
      <c r="AH266" s="18"/>
      <c r="AI266" s="18"/>
      <c r="AJ266" s="18"/>
      <c r="AK266" s="18"/>
      <c r="AL266" s="18"/>
      <c r="AM266" s="18"/>
      <c r="AN266" s="18"/>
      <c r="AO266" s="18"/>
      <c r="AP266" s="18"/>
      <c r="AQ266" s="18"/>
      <c r="AR266" s="18"/>
      <c r="AS266" s="18"/>
      <c r="AT266" s="18"/>
      <c r="AU266" s="18"/>
    </row>
    <row r="267" spans="1:47" s="20" customFormat="1" x14ac:dyDescent="0.2">
      <c r="A267" s="12"/>
      <c r="B267" s="18"/>
      <c r="C267" s="18"/>
      <c r="D267" s="18"/>
      <c r="E267" s="18"/>
      <c r="F267" s="18"/>
      <c r="G267" s="18"/>
      <c r="H267" s="18"/>
      <c r="I267" s="18"/>
      <c r="J267" s="18"/>
      <c r="K267" s="18"/>
      <c r="L267" s="18"/>
      <c r="M267" s="18"/>
      <c r="N267" s="18"/>
      <c r="O267" s="18"/>
      <c r="P267" s="18"/>
      <c r="Q267" s="18"/>
      <c r="R267" s="18"/>
      <c r="S267" s="18"/>
      <c r="T267" s="18"/>
      <c r="U267" s="18"/>
      <c r="V267" s="18"/>
      <c r="W267" s="18"/>
      <c r="X267" s="18"/>
      <c r="Y267" s="18"/>
      <c r="Z267" s="18"/>
      <c r="AA267" s="18"/>
      <c r="AB267" s="18"/>
      <c r="AC267" s="18"/>
      <c r="AD267" s="18"/>
      <c r="AE267" s="18"/>
      <c r="AF267" s="18"/>
      <c r="AG267" s="18"/>
      <c r="AH267" s="18"/>
      <c r="AI267" s="18"/>
      <c r="AJ267" s="18"/>
      <c r="AK267" s="18"/>
      <c r="AL267" s="18"/>
      <c r="AM267" s="18"/>
      <c r="AN267" s="18"/>
      <c r="AO267" s="18"/>
      <c r="AP267" s="18"/>
      <c r="AQ267" s="18"/>
      <c r="AR267" s="18"/>
      <c r="AS267" s="18"/>
      <c r="AT267" s="18"/>
      <c r="AU267" s="18"/>
    </row>
    <row r="268" spans="1:47" s="20" customFormat="1" x14ac:dyDescent="0.2">
      <c r="A268" s="12"/>
      <c r="B268" s="18"/>
      <c r="C268" s="18"/>
      <c r="D268" s="18"/>
      <c r="E268" s="18"/>
      <c r="F268" s="18"/>
      <c r="G268" s="18"/>
      <c r="H268" s="18"/>
      <c r="I268" s="18"/>
      <c r="J268" s="18"/>
      <c r="K268" s="18"/>
      <c r="L268" s="18"/>
      <c r="M268" s="18"/>
      <c r="N268" s="18"/>
      <c r="O268" s="18"/>
      <c r="P268" s="18"/>
      <c r="Q268" s="18"/>
      <c r="R268" s="18"/>
      <c r="S268" s="18"/>
      <c r="T268" s="18"/>
      <c r="U268" s="18"/>
      <c r="V268" s="18"/>
      <c r="W268" s="18"/>
      <c r="X268" s="18"/>
      <c r="Y268" s="18"/>
      <c r="Z268" s="18"/>
      <c r="AA268" s="18"/>
      <c r="AB268" s="18"/>
      <c r="AC268" s="18"/>
      <c r="AD268" s="18"/>
      <c r="AE268" s="18"/>
      <c r="AF268" s="18"/>
      <c r="AG268" s="18"/>
      <c r="AH268" s="18"/>
      <c r="AI268" s="18"/>
      <c r="AJ268" s="18"/>
      <c r="AK268" s="18"/>
      <c r="AL268" s="18"/>
      <c r="AM268" s="18"/>
      <c r="AN268" s="18"/>
      <c r="AO268" s="18"/>
      <c r="AP268" s="18"/>
      <c r="AQ268" s="18"/>
      <c r="AR268" s="18"/>
      <c r="AS268" s="18"/>
      <c r="AT268" s="18"/>
      <c r="AU268" s="18"/>
    </row>
    <row r="269" spans="1:47" s="20" customFormat="1" x14ac:dyDescent="0.2">
      <c r="A269" s="12"/>
      <c r="B269" s="18"/>
      <c r="C269" s="18"/>
      <c r="D269" s="18"/>
      <c r="E269" s="18"/>
      <c r="F269" s="18"/>
      <c r="G269" s="18"/>
      <c r="H269" s="18"/>
      <c r="I269" s="18"/>
      <c r="J269" s="18"/>
      <c r="K269" s="18"/>
      <c r="L269" s="18"/>
      <c r="M269" s="18"/>
      <c r="N269" s="18"/>
      <c r="O269" s="18"/>
      <c r="P269" s="18"/>
      <c r="Q269" s="18"/>
      <c r="R269" s="18"/>
      <c r="S269" s="18"/>
      <c r="T269" s="18"/>
      <c r="U269" s="18"/>
      <c r="V269" s="18"/>
      <c r="W269" s="18"/>
      <c r="X269" s="18"/>
      <c r="Y269" s="18"/>
      <c r="Z269" s="18"/>
      <c r="AA269" s="18"/>
      <c r="AB269" s="18"/>
      <c r="AC269" s="18"/>
      <c r="AD269" s="18"/>
      <c r="AE269" s="18"/>
      <c r="AF269" s="18"/>
      <c r="AG269" s="18"/>
      <c r="AH269" s="18"/>
      <c r="AI269" s="18"/>
      <c r="AJ269" s="18"/>
      <c r="AK269" s="18"/>
      <c r="AL269" s="18"/>
      <c r="AM269" s="18"/>
      <c r="AN269" s="18"/>
      <c r="AO269" s="18"/>
      <c r="AP269" s="18"/>
      <c r="AQ269" s="18"/>
      <c r="AR269" s="18"/>
      <c r="AS269" s="18"/>
      <c r="AT269" s="18"/>
      <c r="AU269" s="18"/>
    </row>
    <row r="270" spans="1:47" s="20" customFormat="1" x14ac:dyDescent="0.2">
      <c r="A270" s="12"/>
      <c r="B270" s="18"/>
      <c r="C270" s="18"/>
      <c r="D270" s="18"/>
      <c r="E270" s="18"/>
      <c r="F270" s="18"/>
      <c r="G270" s="18"/>
      <c r="H270" s="18"/>
      <c r="I270" s="18"/>
      <c r="J270" s="18"/>
      <c r="K270" s="18"/>
      <c r="L270" s="18"/>
      <c r="M270" s="18"/>
      <c r="N270" s="18"/>
      <c r="O270" s="18"/>
      <c r="P270" s="18"/>
      <c r="Q270" s="18"/>
      <c r="R270" s="18"/>
      <c r="S270" s="18"/>
      <c r="T270" s="18"/>
      <c r="U270" s="18"/>
      <c r="V270" s="18"/>
      <c r="W270" s="18"/>
      <c r="X270" s="18"/>
      <c r="Y270" s="18"/>
      <c r="Z270" s="18"/>
      <c r="AA270" s="18"/>
      <c r="AB270" s="18"/>
      <c r="AC270" s="18"/>
      <c r="AD270" s="18"/>
      <c r="AE270" s="18"/>
      <c r="AF270" s="18"/>
      <c r="AG270" s="18"/>
      <c r="AH270" s="18"/>
      <c r="AI270" s="18"/>
      <c r="AJ270" s="18"/>
      <c r="AK270" s="18"/>
      <c r="AL270" s="18"/>
      <c r="AM270" s="18"/>
      <c r="AN270" s="18"/>
      <c r="AO270" s="18"/>
      <c r="AP270" s="18"/>
      <c r="AQ270" s="18"/>
      <c r="AR270" s="18"/>
      <c r="AS270" s="18"/>
      <c r="AT270" s="18"/>
      <c r="AU270" s="18"/>
    </row>
    <row r="271" spans="1:47" s="20" customFormat="1" x14ac:dyDescent="0.2">
      <c r="A271" s="12"/>
      <c r="B271" s="18"/>
      <c r="C271" s="18"/>
      <c r="D271" s="18"/>
      <c r="E271" s="18"/>
      <c r="F271" s="18"/>
      <c r="G271" s="18"/>
      <c r="H271" s="18"/>
      <c r="I271" s="18"/>
      <c r="J271" s="18"/>
      <c r="K271" s="18"/>
      <c r="L271" s="18"/>
      <c r="M271" s="18"/>
      <c r="N271" s="18"/>
      <c r="O271" s="18"/>
      <c r="P271" s="18"/>
      <c r="Q271" s="18"/>
      <c r="R271" s="18"/>
      <c r="S271" s="18"/>
      <c r="T271" s="18"/>
      <c r="U271" s="18"/>
      <c r="V271" s="18"/>
      <c r="W271" s="18"/>
      <c r="X271" s="18"/>
      <c r="Y271" s="18"/>
      <c r="Z271" s="18"/>
      <c r="AA271" s="18"/>
      <c r="AB271" s="18"/>
      <c r="AC271" s="18"/>
      <c r="AD271" s="18"/>
      <c r="AE271" s="18"/>
      <c r="AF271" s="18"/>
      <c r="AG271" s="18"/>
      <c r="AH271" s="18"/>
      <c r="AI271" s="18"/>
      <c r="AJ271" s="18"/>
      <c r="AK271" s="18"/>
      <c r="AL271" s="18"/>
      <c r="AM271" s="18"/>
      <c r="AN271" s="18"/>
      <c r="AO271" s="18"/>
      <c r="AP271" s="18"/>
      <c r="AQ271" s="18"/>
      <c r="AR271" s="18"/>
      <c r="AS271" s="18"/>
      <c r="AT271" s="18"/>
      <c r="AU271" s="18"/>
    </row>
    <row r="272" spans="1:47" s="20" customFormat="1" x14ac:dyDescent="0.2">
      <c r="A272" s="12"/>
      <c r="B272" s="18"/>
      <c r="C272" s="18"/>
      <c r="D272" s="18"/>
      <c r="E272" s="18"/>
      <c r="F272" s="18"/>
      <c r="G272" s="18"/>
      <c r="H272" s="18"/>
      <c r="I272" s="18"/>
      <c r="J272" s="18"/>
      <c r="K272" s="18"/>
      <c r="L272" s="18"/>
      <c r="M272" s="18"/>
      <c r="N272" s="18"/>
      <c r="O272" s="18"/>
      <c r="P272" s="18"/>
      <c r="Q272" s="18"/>
      <c r="R272" s="18"/>
      <c r="S272" s="18"/>
      <c r="T272" s="18"/>
      <c r="U272" s="18"/>
      <c r="V272" s="18"/>
      <c r="W272" s="18"/>
      <c r="X272" s="18"/>
      <c r="Y272" s="18"/>
      <c r="Z272" s="18"/>
      <c r="AA272" s="18"/>
      <c r="AB272" s="18"/>
      <c r="AC272" s="18"/>
      <c r="AD272" s="18"/>
      <c r="AE272" s="18"/>
      <c r="AF272" s="18"/>
      <c r="AG272" s="18"/>
      <c r="AH272" s="18"/>
      <c r="AI272" s="18"/>
      <c r="AJ272" s="18"/>
      <c r="AK272" s="18"/>
      <c r="AL272" s="18"/>
      <c r="AM272" s="18"/>
      <c r="AN272" s="18"/>
      <c r="AO272" s="18"/>
      <c r="AP272" s="18"/>
      <c r="AQ272" s="18"/>
      <c r="AR272" s="18"/>
      <c r="AS272" s="18"/>
      <c r="AT272" s="18"/>
      <c r="AU272" s="18"/>
    </row>
    <row r="273" spans="1:47" s="20" customFormat="1" x14ac:dyDescent="0.2">
      <c r="A273" s="12"/>
      <c r="B273" s="18"/>
      <c r="C273" s="18"/>
      <c r="D273" s="18"/>
      <c r="E273" s="18"/>
      <c r="F273" s="18"/>
      <c r="G273" s="18"/>
      <c r="H273" s="18"/>
      <c r="I273" s="18"/>
      <c r="J273" s="18"/>
      <c r="K273" s="18"/>
      <c r="L273" s="18"/>
      <c r="M273" s="18"/>
      <c r="N273" s="18"/>
      <c r="O273" s="18"/>
      <c r="P273" s="18"/>
      <c r="Q273" s="18"/>
      <c r="R273" s="18"/>
      <c r="S273" s="18"/>
      <c r="T273" s="18"/>
      <c r="U273" s="18"/>
      <c r="V273" s="18"/>
      <c r="W273" s="18"/>
      <c r="X273" s="18"/>
      <c r="Y273" s="18"/>
      <c r="Z273" s="18"/>
      <c r="AA273" s="18"/>
      <c r="AB273" s="18"/>
      <c r="AC273" s="18"/>
      <c r="AD273" s="18"/>
      <c r="AE273" s="18"/>
      <c r="AF273" s="18"/>
      <c r="AG273" s="18"/>
      <c r="AH273" s="18"/>
      <c r="AI273" s="18"/>
      <c r="AJ273" s="18"/>
      <c r="AK273" s="18"/>
      <c r="AL273" s="18"/>
      <c r="AM273" s="18"/>
      <c r="AN273" s="18"/>
      <c r="AO273" s="18"/>
      <c r="AP273" s="18"/>
      <c r="AQ273" s="18"/>
      <c r="AR273" s="18"/>
      <c r="AS273" s="18"/>
      <c r="AT273" s="18"/>
      <c r="AU273" s="18"/>
    </row>
    <row r="274" spans="1:47" s="20" customFormat="1" x14ac:dyDescent="0.2">
      <c r="A274" s="12"/>
      <c r="B274" s="18"/>
      <c r="C274" s="18"/>
      <c r="D274" s="18"/>
      <c r="E274" s="18"/>
      <c r="F274" s="18"/>
      <c r="G274" s="18"/>
      <c r="H274" s="18"/>
      <c r="I274" s="18"/>
      <c r="J274" s="18"/>
      <c r="K274" s="18"/>
      <c r="L274" s="18"/>
      <c r="M274" s="18"/>
      <c r="N274" s="18"/>
      <c r="O274" s="18"/>
      <c r="P274" s="18"/>
      <c r="Q274" s="18"/>
      <c r="R274" s="18"/>
      <c r="S274" s="18"/>
      <c r="T274" s="18"/>
      <c r="U274" s="18"/>
      <c r="V274" s="18"/>
      <c r="W274" s="18"/>
      <c r="X274" s="18"/>
      <c r="Y274" s="18"/>
      <c r="Z274" s="18"/>
      <c r="AA274" s="18"/>
      <c r="AB274" s="18"/>
      <c r="AC274" s="18"/>
      <c r="AD274" s="18"/>
      <c r="AE274" s="18"/>
      <c r="AF274" s="18"/>
      <c r="AG274" s="18"/>
      <c r="AH274" s="18"/>
      <c r="AI274" s="18"/>
      <c r="AJ274" s="18"/>
      <c r="AK274" s="18"/>
      <c r="AL274" s="18"/>
      <c r="AM274" s="18"/>
      <c r="AN274" s="18"/>
      <c r="AO274" s="18"/>
      <c r="AP274" s="18"/>
      <c r="AQ274" s="18"/>
      <c r="AR274" s="18"/>
      <c r="AS274" s="18"/>
      <c r="AT274" s="18"/>
      <c r="AU274" s="18"/>
    </row>
    <row r="275" spans="1:47" s="20" customFormat="1" x14ac:dyDescent="0.2">
      <c r="A275" s="12"/>
      <c r="B275" s="18"/>
      <c r="C275" s="18"/>
      <c r="D275" s="18"/>
      <c r="E275" s="18"/>
      <c r="F275" s="18"/>
      <c r="G275" s="18"/>
      <c r="H275" s="18"/>
      <c r="I275" s="18"/>
      <c r="J275" s="18"/>
      <c r="K275" s="18"/>
      <c r="L275" s="18"/>
      <c r="M275" s="18"/>
      <c r="N275" s="18"/>
      <c r="O275" s="18"/>
      <c r="P275" s="18"/>
      <c r="Q275" s="18"/>
      <c r="R275" s="18"/>
      <c r="S275" s="18"/>
      <c r="T275" s="18"/>
      <c r="U275" s="18"/>
      <c r="V275" s="18"/>
      <c r="W275" s="18"/>
      <c r="X275" s="18"/>
      <c r="Y275" s="18"/>
      <c r="Z275" s="18"/>
      <c r="AA275" s="18"/>
      <c r="AB275" s="18"/>
      <c r="AC275" s="18"/>
      <c r="AD275" s="18"/>
      <c r="AE275" s="18"/>
      <c r="AF275" s="18"/>
      <c r="AG275" s="18"/>
      <c r="AH275" s="18"/>
      <c r="AI275" s="18"/>
      <c r="AJ275" s="18"/>
      <c r="AK275" s="18"/>
      <c r="AL275" s="18"/>
      <c r="AM275" s="18"/>
      <c r="AN275" s="18"/>
      <c r="AO275" s="18"/>
      <c r="AP275" s="18"/>
      <c r="AQ275" s="18"/>
      <c r="AR275" s="18"/>
      <c r="AS275" s="18"/>
      <c r="AT275" s="18"/>
      <c r="AU275" s="18"/>
    </row>
    <row r="276" spans="1:47" s="20" customFormat="1" x14ac:dyDescent="0.2">
      <c r="A276" s="12"/>
      <c r="B276" s="18"/>
      <c r="C276" s="18"/>
      <c r="D276" s="18"/>
      <c r="E276" s="18"/>
      <c r="F276" s="18"/>
      <c r="G276" s="18"/>
      <c r="H276" s="18"/>
      <c r="I276" s="18"/>
      <c r="J276" s="18"/>
      <c r="K276" s="18"/>
      <c r="L276" s="18"/>
      <c r="M276" s="18"/>
      <c r="N276" s="18"/>
      <c r="O276" s="18"/>
      <c r="P276" s="18"/>
      <c r="Q276" s="18"/>
      <c r="R276" s="18"/>
      <c r="S276" s="18"/>
      <c r="T276" s="18"/>
      <c r="U276" s="18"/>
      <c r="V276" s="18"/>
      <c r="W276" s="18"/>
      <c r="X276" s="18"/>
      <c r="Y276" s="18"/>
      <c r="Z276" s="18"/>
      <c r="AA276" s="18"/>
      <c r="AB276" s="18"/>
      <c r="AC276" s="18"/>
      <c r="AD276" s="18"/>
      <c r="AE276" s="18"/>
      <c r="AF276" s="18"/>
      <c r="AG276" s="18"/>
      <c r="AH276" s="18"/>
      <c r="AI276" s="18"/>
      <c r="AJ276" s="18"/>
      <c r="AK276" s="18"/>
      <c r="AL276" s="18"/>
      <c r="AM276" s="18"/>
      <c r="AN276" s="18"/>
      <c r="AO276" s="18"/>
      <c r="AP276" s="18"/>
      <c r="AQ276" s="18"/>
      <c r="AR276" s="18"/>
      <c r="AS276" s="18"/>
      <c r="AT276" s="18"/>
      <c r="AU276" s="18"/>
    </row>
    <row r="277" spans="1:47" s="20" customFormat="1" x14ac:dyDescent="0.2">
      <c r="A277" s="12"/>
      <c r="B277" s="18"/>
      <c r="C277" s="18"/>
      <c r="D277" s="18"/>
      <c r="E277" s="18"/>
      <c r="F277" s="18"/>
      <c r="G277" s="18"/>
      <c r="H277" s="18"/>
      <c r="I277" s="18"/>
      <c r="J277" s="18"/>
      <c r="K277" s="18"/>
      <c r="L277" s="18"/>
      <c r="M277" s="18"/>
      <c r="N277" s="18"/>
      <c r="O277" s="18"/>
      <c r="P277" s="18"/>
      <c r="Q277" s="18"/>
      <c r="R277" s="18"/>
      <c r="S277" s="18"/>
      <c r="T277" s="18"/>
      <c r="U277" s="18"/>
      <c r="V277" s="18"/>
      <c r="W277" s="18"/>
      <c r="X277" s="18"/>
      <c r="Y277" s="18"/>
      <c r="Z277" s="18"/>
      <c r="AA277" s="18"/>
      <c r="AB277" s="18"/>
      <c r="AC277" s="18"/>
      <c r="AD277" s="18"/>
      <c r="AE277" s="18"/>
      <c r="AF277" s="18"/>
      <c r="AG277" s="18"/>
      <c r="AH277" s="18"/>
      <c r="AI277" s="18"/>
      <c r="AJ277" s="18"/>
      <c r="AK277" s="18"/>
      <c r="AL277" s="18"/>
      <c r="AM277" s="18"/>
      <c r="AN277" s="18"/>
      <c r="AO277" s="18"/>
      <c r="AP277" s="18"/>
      <c r="AQ277" s="18"/>
      <c r="AR277" s="18"/>
      <c r="AS277" s="18"/>
      <c r="AT277" s="18"/>
      <c r="AU277" s="18"/>
    </row>
    <row r="278" spans="1:47" s="20" customFormat="1" x14ac:dyDescent="0.2">
      <c r="A278" s="12"/>
      <c r="B278" s="18"/>
      <c r="C278" s="18"/>
      <c r="D278" s="18"/>
      <c r="E278" s="18"/>
      <c r="F278" s="18"/>
      <c r="G278" s="18"/>
      <c r="H278" s="18"/>
      <c r="I278" s="18"/>
      <c r="J278" s="18"/>
      <c r="K278" s="18"/>
      <c r="L278" s="18"/>
      <c r="M278" s="18"/>
      <c r="N278" s="18"/>
      <c r="O278" s="18"/>
      <c r="P278" s="18"/>
      <c r="Q278" s="18"/>
      <c r="R278" s="18"/>
      <c r="S278" s="18"/>
      <c r="T278" s="18"/>
      <c r="U278" s="18"/>
      <c r="V278" s="18"/>
      <c r="W278" s="18"/>
      <c r="X278" s="18"/>
      <c r="Y278" s="18"/>
      <c r="Z278" s="18"/>
      <c r="AA278" s="18"/>
      <c r="AB278" s="18"/>
      <c r="AC278" s="18"/>
      <c r="AD278" s="18"/>
      <c r="AE278" s="18"/>
      <c r="AF278" s="18"/>
      <c r="AG278" s="18"/>
      <c r="AH278" s="18"/>
      <c r="AI278" s="18"/>
      <c r="AJ278" s="18"/>
      <c r="AK278" s="18"/>
      <c r="AL278" s="18"/>
      <c r="AM278" s="18"/>
      <c r="AN278" s="18"/>
      <c r="AO278" s="18"/>
      <c r="AP278" s="18"/>
      <c r="AQ278" s="18"/>
      <c r="AR278" s="18"/>
      <c r="AS278" s="18"/>
      <c r="AT278" s="18"/>
      <c r="AU278" s="18"/>
    </row>
    <row r="279" spans="1:47" s="20" customFormat="1" x14ac:dyDescent="0.2">
      <c r="A279" s="12"/>
      <c r="B279" s="18"/>
      <c r="C279" s="18"/>
      <c r="D279" s="18"/>
      <c r="E279" s="18"/>
      <c r="F279" s="18"/>
      <c r="G279" s="18"/>
      <c r="H279" s="18"/>
      <c r="I279" s="18"/>
      <c r="J279" s="18"/>
      <c r="K279" s="18"/>
      <c r="L279" s="18"/>
      <c r="M279" s="18"/>
      <c r="N279" s="18"/>
      <c r="O279" s="18"/>
      <c r="P279" s="18"/>
      <c r="Q279" s="18"/>
      <c r="R279" s="18"/>
      <c r="S279" s="18"/>
      <c r="T279" s="18"/>
      <c r="U279" s="18"/>
      <c r="V279" s="18"/>
      <c r="W279" s="18"/>
      <c r="X279" s="18"/>
      <c r="Y279" s="18"/>
      <c r="Z279" s="18"/>
      <c r="AA279" s="18"/>
      <c r="AB279" s="18"/>
      <c r="AC279" s="18"/>
      <c r="AD279" s="18"/>
      <c r="AE279" s="18"/>
      <c r="AF279" s="18"/>
      <c r="AG279" s="18"/>
      <c r="AH279" s="18"/>
      <c r="AI279" s="18"/>
      <c r="AJ279" s="18"/>
      <c r="AK279" s="18"/>
      <c r="AL279" s="18"/>
      <c r="AM279" s="18"/>
      <c r="AN279" s="18"/>
      <c r="AO279" s="18"/>
      <c r="AP279" s="18"/>
      <c r="AQ279" s="18"/>
      <c r="AR279" s="18"/>
      <c r="AS279" s="18"/>
      <c r="AT279" s="18"/>
      <c r="AU279" s="18"/>
    </row>
    <row r="280" spans="1:47" s="20" customFormat="1" x14ac:dyDescent="0.2">
      <c r="A280" s="12"/>
      <c r="B280" s="18"/>
      <c r="C280" s="18"/>
      <c r="D280" s="18"/>
      <c r="E280" s="18"/>
      <c r="F280" s="18"/>
      <c r="G280" s="18"/>
      <c r="H280" s="18"/>
      <c r="I280" s="18"/>
      <c r="J280" s="18"/>
      <c r="K280" s="18"/>
      <c r="L280" s="18"/>
      <c r="M280" s="18"/>
      <c r="N280" s="18"/>
      <c r="O280" s="18"/>
      <c r="P280" s="18"/>
      <c r="Q280" s="18"/>
      <c r="R280" s="18"/>
      <c r="S280" s="18"/>
      <c r="T280" s="18"/>
      <c r="U280" s="18"/>
      <c r="V280" s="18"/>
      <c r="W280" s="18"/>
      <c r="X280" s="18"/>
      <c r="Y280" s="18"/>
      <c r="Z280" s="18"/>
      <c r="AA280" s="18"/>
      <c r="AB280" s="18"/>
      <c r="AC280" s="18"/>
      <c r="AD280" s="18"/>
      <c r="AE280" s="18"/>
      <c r="AF280" s="18"/>
      <c r="AG280" s="18"/>
      <c r="AH280" s="18"/>
      <c r="AI280" s="18"/>
      <c r="AJ280" s="18"/>
      <c r="AK280" s="18"/>
      <c r="AL280" s="18"/>
      <c r="AM280" s="18"/>
      <c r="AN280" s="18"/>
      <c r="AO280" s="18"/>
      <c r="AP280" s="18"/>
      <c r="AQ280" s="18"/>
      <c r="AR280" s="18"/>
      <c r="AS280" s="18"/>
      <c r="AT280" s="18"/>
      <c r="AU280" s="18"/>
    </row>
    <row r="281" spans="1:47" s="20" customFormat="1" x14ac:dyDescent="0.2">
      <c r="A281" s="12"/>
      <c r="B281" s="18"/>
      <c r="C281" s="18"/>
      <c r="D281" s="18"/>
      <c r="E281" s="18"/>
      <c r="F281" s="18"/>
      <c r="G281" s="18"/>
      <c r="H281" s="18"/>
      <c r="I281" s="18"/>
      <c r="J281" s="18"/>
      <c r="K281" s="18"/>
      <c r="L281" s="18"/>
      <c r="M281" s="18"/>
      <c r="N281" s="18"/>
      <c r="O281" s="18"/>
      <c r="P281" s="18"/>
      <c r="Q281" s="18"/>
      <c r="R281" s="18"/>
      <c r="S281" s="18"/>
      <c r="T281" s="18"/>
      <c r="U281" s="18"/>
      <c r="V281" s="18"/>
      <c r="W281" s="18"/>
      <c r="X281" s="18"/>
      <c r="Y281" s="18"/>
      <c r="Z281" s="18"/>
      <c r="AA281" s="18"/>
      <c r="AB281" s="18"/>
      <c r="AC281" s="18"/>
      <c r="AD281" s="18"/>
      <c r="AE281" s="18"/>
      <c r="AF281" s="18"/>
      <c r="AG281" s="18"/>
      <c r="AH281" s="18"/>
      <c r="AI281" s="18"/>
      <c r="AJ281" s="18"/>
      <c r="AK281" s="18"/>
      <c r="AL281" s="18"/>
      <c r="AM281" s="18"/>
      <c r="AN281" s="18"/>
      <c r="AO281" s="18"/>
      <c r="AP281" s="18"/>
      <c r="AQ281" s="18"/>
      <c r="AR281" s="18"/>
      <c r="AS281" s="18"/>
      <c r="AT281" s="18"/>
      <c r="AU281" s="18"/>
    </row>
    <row r="282" spans="1:47" s="20" customFormat="1" x14ac:dyDescent="0.2">
      <c r="A282" s="12"/>
      <c r="B282" s="18"/>
      <c r="C282" s="18"/>
      <c r="D282" s="18"/>
      <c r="E282" s="18"/>
      <c r="F282" s="18"/>
      <c r="G282" s="18"/>
      <c r="H282" s="18"/>
      <c r="I282" s="18"/>
      <c r="J282" s="18"/>
      <c r="K282" s="18"/>
      <c r="L282" s="18"/>
      <c r="M282" s="18"/>
      <c r="N282" s="18"/>
      <c r="O282" s="18"/>
      <c r="P282" s="18"/>
      <c r="Q282" s="18"/>
      <c r="R282" s="18"/>
      <c r="S282" s="18"/>
      <c r="T282" s="18"/>
      <c r="U282" s="18"/>
      <c r="V282" s="18"/>
      <c r="W282" s="18"/>
      <c r="X282" s="18"/>
      <c r="Y282" s="18"/>
      <c r="Z282" s="18"/>
      <c r="AA282" s="18"/>
      <c r="AB282" s="18"/>
      <c r="AC282" s="18"/>
      <c r="AD282" s="18"/>
      <c r="AE282" s="18"/>
      <c r="AF282" s="18"/>
      <c r="AG282" s="18"/>
      <c r="AH282" s="18"/>
      <c r="AI282" s="18"/>
      <c r="AJ282" s="18"/>
      <c r="AK282" s="18"/>
      <c r="AL282" s="18"/>
      <c r="AM282" s="18"/>
      <c r="AN282" s="18"/>
      <c r="AO282" s="18"/>
      <c r="AP282" s="18"/>
      <c r="AQ282" s="18"/>
      <c r="AR282" s="18"/>
      <c r="AS282" s="18"/>
      <c r="AT282" s="18"/>
      <c r="AU282" s="18"/>
    </row>
    <row r="283" spans="1:47" s="20" customFormat="1" x14ac:dyDescent="0.2">
      <c r="A283" s="12"/>
      <c r="B283" s="18"/>
      <c r="C283" s="18"/>
      <c r="D283" s="18"/>
      <c r="E283" s="18"/>
      <c r="F283" s="18"/>
      <c r="G283" s="18"/>
      <c r="H283" s="18"/>
      <c r="I283" s="18"/>
      <c r="J283" s="18"/>
      <c r="K283" s="18"/>
      <c r="L283" s="18"/>
      <c r="M283" s="18"/>
      <c r="N283" s="18"/>
      <c r="O283" s="18"/>
      <c r="P283" s="18"/>
      <c r="Q283" s="18"/>
      <c r="R283" s="18"/>
      <c r="S283" s="18"/>
      <c r="T283" s="18"/>
      <c r="U283" s="18"/>
      <c r="V283" s="18"/>
      <c r="W283" s="18"/>
      <c r="X283" s="18"/>
      <c r="Y283" s="18"/>
      <c r="Z283" s="18"/>
      <c r="AA283" s="18"/>
      <c r="AB283" s="18"/>
      <c r="AC283" s="18"/>
      <c r="AD283" s="18"/>
      <c r="AE283" s="18"/>
      <c r="AF283" s="18"/>
      <c r="AG283" s="18"/>
      <c r="AH283" s="18"/>
      <c r="AI283" s="18"/>
      <c r="AJ283" s="18"/>
      <c r="AK283" s="18"/>
      <c r="AL283" s="18"/>
      <c r="AM283" s="18"/>
      <c r="AN283" s="18"/>
      <c r="AO283" s="18"/>
      <c r="AP283" s="18"/>
      <c r="AQ283" s="18"/>
      <c r="AR283" s="18"/>
      <c r="AS283" s="18"/>
      <c r="AT283" s="18"/>
      <c r="AU283" s="18"/>
    </row>
    <row r="284" spans="1:47" s="20" customFormat="1" x14ac:dyDescent="0.2">
      <c r="A284" s="12"/>
      <c r="B284" s="18"/>
      <c r="C284" s="18"/>
      <c r="D284" s="18"/>
      <c r="E284" s="18"/>
      <c r="F284" s="18"/>
      <c r="G284" s="18"/>
      <c r="H284" s="18"/>
      <c r="I284" s="18"/>
      <c r="J284" s="18"/>
      <c r="K284" s="18"/>
      <c r="L284" s="18"/>
      <c r="M284" s="18"/>
      <c r="N284" s="18"/>
      <c r="O284" s="18"/>
      <c r="P284" s="18"/>
      <c r="Q284" s="18"/>
      <c r="R284" s="18"/>
      <c r="S284" s="18"/>
      <c r="T284" s="18"/>
      <c r="U284" s="18"/>
      <c r="V284" s="18"/>
      <c r="W284" s="18"/>
      <c r="X284" s="18"/>
      <c r="Y284" s="18"/>
      <c r="Z284" s="18"/>
      <c r="AA284" s="18"/>
      <c r="AB284" s="18"/>
      <c r="AC284" s="18"/>
      <c r="AD284" s="18"/>
      <c r="AE284" s="18"/>
      <c r="AF284" s="18"/>
      <c r="AG284" s="18"/>
      <c r="AH284" s="18"/>
      <c r="AI284" s="18"/>
      <c r="AJ284" s="18"/>
      <c r="AK284" s="18"/>
      <c r="AL284" s="18"/>
      <c r="AM284" s="18"/>
      <c r="AN284" s="18"/>
      <c r="AO284" s="18"/>
      <c r="AP284" s="18"/>
      <c r="AQ284" s="18"/>
      <c r="AR284" s="18"/>
      <c r="AS284" s="18"/>
      <c r="AT284" s="18"/>
      <c r="AU284" s="18"/>
    </row>
    <row r="285" spans="1:47" s="20" customFormat="1" x14ac:dyDescent="0.2">
      <c r="A285" s="12"/>
      <c r="B285" s="18"/>
      <c r="C285" s="18"/>
      <c r="D285" s="18"/>
      <c r="E285" s="18"/>
      <c r="F285" s="18"/>
      <c r="G285" s="18"/>
      <c r="H285" s="18"/>
      <c r="I285" s="18"/>
      <c r="J285" s="18"/>
      <c r="K285" s="18"/>
      <c r="L285" s="18"/>
      <c r="M285" s="18"/>
      <c r="N285" s="18"/>
      <c r="O285" s="18"/>
      <c r="P285" s="18"/>
      <c r="Q285" s="18"/>
      <c r="R285" s="18"/>
      <c r="S285" s="18"/>
      <c r="T285" s="18"/>
      <c r="U285" s="18"/>
      <c r="V285" s="18"/>
      <c r="W285" s="18"/>
      <c r="X285" s="18"/>
      <c r="Y285" s="18"/>
      <c r="Z285" s="18"/>
      <c r="AA285" s="18"/>
      <c r="AB285" s="18"/>
      <c r="AC285" s="18"/>
      <c r="AD285" s="18"/>
      <c r="AE285" s="18"/>
      <c r="AF285" s="18"/>
      <c r="AG285" s="18"/>
      <c r="AH285" s="18"/>
      <c r="AI285" s="18"/>
      <c r="AJ285" s="18"/>
      <c r="AK285" s="18"/>
      <c r="AL285" s="18"/>
      <c r="AM285" s="18"/>
      <c r="AN285" s="18"/>
      <c r="AO285" s="18"/>
      <c r="AP285" s="18"/>
      <c r="AQ285" s="18"/>
      <c r="AR285" s="18"/>
      <c r="AS285" s="18"/>
      <c r="AT285" s="18"/>
      <c r="AU285" s="18"/>
    </row>
    <row r="286" spans="1:47" s="20" customFormat="1" x14ac:dyDescent="0.2">
      <c r="A286" s="12"/>
      <c r="B286" s="18"/>
      <c r="C286" s="18"/>
      <c r="D286" s="18"/>
      <c r="E286" s="18"/>
      <c r="F286" s="18"/>
      <c r="G286" s="18"/>
      <c r="H286" s="18"/>
      <c r="I286" s="18"/>
      <c r="J286" s="18"/>
      <c r="K286" s="18"/>
      <c r="L286" s="18"/>
      <c r="M286" s="18"/>
      <c r="N286" s="18"/>
      <c r="O286" s="18"/>
      <c r="P286" s="18"/>
      <c r="Q286" s="18"/>
      <c r="R286" s="18"/>
      <c r="S286" s="18"/>
      <c r="T286" s="18"/>
      <c r="U286" s="18"/>
      <c r="V286" s="18"/>
      <c r="W286" s="18"/>
      <c r="X286" s="18"/>
      <c r="Y286" s="18"/>
      <c r="Z286" s="18"/>
      <c r="AA286" s="18"/>
      <c r="AB286" s="18"/>
      <c r="AC286" s="18"/>
      <c r="AD286" s="18"/>
      <c r="AE286" s="18"/>
      <c r="AF286" s="18"/>
      <c r="AG286" s="18"/>
      <c r="AH286" s="18"/>
      <c r="AI286" s="18"/>
      <c r="AJ286" s="18"/>
      <c r="AK286" s="18"/>
      <c r="AL286" s="18"/>
      <c r="AM286" s="18"/>
      <c r="AN286" s="18"/>
      <c r="AO286" s="18"/>
      <c r="AP286" s="18"/>
      <c r="AQ286" s="18"/>
      <c r="AR286" s="18"/>
      <c r="AS286" s="18"/>
      <c r="AT286" s="18"/>
      <c r="AU286" s="18"/>
    </row>
    <row r="287" spans="1:47" s="20" customFormat="1" x14ac:dyDescent="0.2">
      <c r="A287" s="12"/>
      <c r="B287" s="18"/>
      <c r="C287" s="18"/>
      <c r="D287" s="18"/>
      <c r="E287" s="18"/>
      <c r="F287" s="18"/>
      <c r="G287" s="18"/>
      <c r="H287" s="18"/>
      <c r="I287" s="18"/>
      <c r="J287" s="18"/>
      <c r="K287" s="18"/>
      <c r="L287" s="18"/>
      <c r="M287" s="18"/>
      <c r="N287" s="18"/>
      <c r="O287" s="18"/>
      <c r="P287" s="18"/>
      <c r="Q287" s="18"/>
      <c r="R287" s="18"/>
      <c r="S287" s="18"/>
      <c r="T287" s="18"/>
      <c r="U287" s="18"/>
      <c r="V287" s="18"/>
      <c r="W287" s="18"/>
      <c r="X287" s="18"/>
      <c r="Y287" s="18"/>
      <c r="Z287" s="18"/>
      <c r="AA287" s="18"/>
      <c r="AB287" s="18"/>
      <c r="AC287" s="18"/>
      <c r="AD287" s="18"/>
      <c r="AE287" s="18"/>
      <c r="AF287" s="18"/>
      <c r="AG287" s="18"/>
      <c r="AH287" s="18"/>
      <c r="AI287" s="18"/>
      <c r="AJ287" s="18"/>
      <c r="AK287" s="18"/>
      <c r="AL287" s="18"/>
      <c r="AM287" s="18"/>
      <c r="AN287" s="18"/>
      <c r="AO287" s="18"/>
      <c r="AP287" s="18"/>
      <c r="AQ287" s="18"/>
      <c r="AR287" s="18"/>
      <c r="AS287" s="18"/>
      <c r="AT287" s="18"/>
      <c r="AU287" s="18"/>
    </row>
    <row r="288" spans="1:47" s="20" customFormat="1" x14ac:dyDescent="0.2">
      <c r="A288" s="12"/>
      <c r="B288" s="18"/>
      <c r="C288" s="18"/>
      <c r="D288" s="18"/>
      <c r="E288" s="18"/>
      <c r="F288" s="18"/>
      <c r="G288" s="18"/>
      <c r="H288" s="18"/>
      <c r="I288" s="18"/>
      <c r="J288" s="18"/>
      <c r="K288" s="18"/>
      <c r="L288" s="18"/>
      <c r="M288" s="18"/>
      <c r="N288" s="18"/>
      <c r="O288" s="18"/>
      <c r="P288" s="18"/>
      <c r="Q288" s="18"/>
      <c r="R288" s="18"/>
      <c r="S288" s="18"/>
      <c r="T288" s="18"/>
      <c r="U288" s="18"/>
      <c r="V288" s="18"/>
      <c r="W288" s="18"/>
      <c r="X288" s="18"/>
      <c r="Y288" s="18"/>
      <c r="Z288" s="18"/>
      <c r="AA288" s="18"/>
      <c r="AB288" s="18"/>
      <c r="AC288" s="18"/>
      <c r="AD288" s="18"/>
      <c r="AE288" s="18"/>
      <c r="AF288" s="18"/>
      <c r="AG288" s="18"/>
      <c r="AH288" s="18"/>
      <c r="AI288" s="18"/>
      <c r="AJ288" s="18"/>
      <c r="AK288" s="18"/>
      <c r="AL288" s="18"/>
      <c r="AM288" s="18"/>
      <c r="AN288" s="18"/>
      <c r="AO288" s="18"/>
      <c r="AP288" s="18"/>
      <c r="AQ288" s="18"/>
      <c r="AR288" s="18"/>
      <c r="AS288" s="18"/>
      <c r="AT288" s="18"/>
      <c r="AU288" s="18"/>
    </row>
    <row r="289" spans="1:47" s="20" customFormat="1" x14ac:dyDescent="0.2">
      <c r="A289" s="12"/>
      <c r="B289" s="18"/>
      <c r="C289" s="18"/>
      <c r="D289" s="18"/>
      <c r="E289" s="18"/>
      <c r="F289" s="18"/>
      <c r="G289" s="18"/>
      <c r="H289" s="18"/>
      <c r="I289" s="18"/>
      <c r="J289" s="18"/>
      <c r="K289" s="18"/>
      <c r="L289" s="18"/>
      <c r="M289" s="18"/>
      <c r="N289" s="18"/>
      <c r="O289" s="18"/>
      <c r="P289" s="18"/>
      <c r="Q289" s="18"/>
      <c r="R289" s="18"/>
      <c r="S289" s="18"/>
      <c r="T289" s="18"/>
      <c r="U289" s="18"/>
      <c r="V289" s="18"/>
      <c r="W289" s="18"/>
      <c r="X289" s="18"/>
      <c r="Y289" s="18"/>
      <c r="Z289" s="18"/>
      <c r="AA289" s="18"/>
      <c r="AB289" s="18"/>
      <c r="AC289" s="18"/>
      <c r="AD289" s="18"/>
      <c r="AE289" s="18"/>
      <c r="AF289" s="18"/>
      <c r="AG289" s="18"/>
      <c r="AH289" s="18"/>
      <c r="AI289" s="18"/>
      <c r="AJ289" s="18"/>
      <c r="AK289" s="18"/>
      <c r="AL289" s="18"/>
      <c r="AM289" s="18"/>
      <c r="AN289" s="18"/>
      <c r="AO289" s="18"/>
      <c r="AP289" s="18"/>
      <c r="AQ289" s="18"/>
      <c r="AR289" s="18"/>
      <c r="AS289" s="18"/>
      <c r="AT289" s="18"/>
      <c r="AU289" s="18"/>
    </row>
    <row r="290" spans="1:47" s="20" customFormat="1" x14ac:dyDescent="0.2">
      <c r="A290" s="12"/>
      <c r="B290" s="18"/>
      <c r="C290" s="18"/>
      <c r="D290" s="18"/>
      <c r="E290" s="18"/>
      <c r="F290" s="18"/>
      <c r="G290" s="18"/>
      <c r="H290" s="18"/>
      <c r="I290" s="18"/>
      <c r="J290" s="18"/>
      <c r="K290" s="18"/>
      <c r="L290" s="18"/>
      <c r="M290" s="18"/>
      <c r="N290" s="18"/>
      <c r="O290" s="18"/>
      <c r="P290" s="18"/>
      <c r="Q290" s="18"/>
      <c r="R290" s="18"/>
      <c r="S290" s="18"/>
      <c r="T290" s="18"/>
      <c r="U290" s="18"/>
      <c r="V290" s="18"/>
      <c r="W290" s="18"/>
      <c r="X290" s="18"/>
      <c r="Y290" s="18"/>
      <c r="Z290" s="18"/>
      <c r="AA290" s="18"/>
      <c r="AB290" s="18"/>
      <c r="AC290" s="18"/>
      <c r="AD290" s="18"/>
      <c r="AE290" s="18"/>
      <c r="AF290" s="18"/>
      <c r="AG290" s="18"/>
      <c r="AH290" s="18"/>
      <c r="AI290" s="18"/>
      <c r="AJ290" s="18"/>
      <c r="AK290" s="18"/>
      <c r="AL290" s="18"/>
      <c r="AM290" s="18"/>
      <c r="AN290" s="18"/>
      <c r="AO290" s="18"/>
      <c r="AP290" s="18"/>
      <c r="AQ290" s="18"/>
      <c r="AR290" s="18"/>
      <c r="AS290" s="18"/>
      <c r="AT290" s="18"/>
      <c r="AU290" s="18"/>
    </row>
    <row r="291" spans="1:47" s="20" customFormat="1" x14ac:dyDescent="0.2">
      <c r="A291" s="12"/>
      <c r="B291" s="18"/>
      <c r="C291" s="18"/>
      <c r="D291" s="18"/>
      <c r="E291" s="18"/>
      <c r="F291" s="18"/>
      <c r="G291" s="18"/>
      <c r="H291" s="18"/>
      <c r="I291" s="18"/>
      <c r="J291" s="18"/>
      <c r="K291" s="18"/>
      <c r="L291" s="18"/>
      <c r="M291" s="18"/>
      <c r="N291" s="18"/>
      <c r="O291" s="18"/>
      <c r="P291" s="18"/>
      <c r="Q291" s="18"/>
      <c r="R291" s="18"/>
      <c r="S291" s="18"/>
      <c r="T291" s="18"/>
      <c r="U291" s="18"/>
      <c r="V291" s="18"/>
      <c r="W291" s="18"/>
      <c r="X291" s="18"/>
      <c r="Y291" s="18"/>
      <c r="Z291" s="18"/>
      <c r="AA291" s="18"/>
      <c r="AB291" s="18"/>
      <c r="AC291" s="18"/>
      <c r="AD291" s="18"/>
      <c r="AE291" s="18"/>
      <c r="AF291" s="18"/>
      <c r="AG291" s="18"/>
      <c r="AH291" s="18"/>
      <c r="AI291" s="18"/>
      <c r="AJ291" s="18"/>
      <c r="AK291" s="18"/>
      <c r="AL291" s="18"/>
      <c r="AM291" s="18"/>
      <c r="AN291" s="18"/>
      <c r="AO291" s="18"/>
      <c r="AP291" s="18"/>
      <c r="AQ291" s="18"/>
      <c r="AR291" s="18"/>
      <c r="AS291" s="18"/>
      <c r="AT291" s="18"/>
      <c r="AU291" s="18"/>
    </row>
    <row r="292" spans="1:47" s="20" customFormat="1" x14ac:dyDescent="0.2">
      <c r="A292" s="12"/>
      <c r="B292" s="18"/>
      <c r="C292" s="18"/>
      <c r="D292" s="18"/>
      <c r="E292" s="18"/>
      <c r="F292" s="18"/>
      <c r="G292" s="18"/>
      <c r="H292" s="18"/>
      <c r="I292" s="18"/>
      <c r="J292" s="18"/>
      <c r="K292" s="18"/>
      <c r="L292" s="18"/>
      <c r="M292" s="18"/>
      <c r="N292" s="18"/>
      <c r="O292" s="18"/>
      <c r="P292" s="18"/>
      <c r="Q292" s="18"/>
      <c r="R292" s="18"/>
      <c r="S292" s="18"/>
      <c r="T292" s="18"/>
      <c r="U292" s="18"/>
      <c r="V292" s="18"/>
      <c r="W292" s="18"/>
      <c r="X292" s="18"/>
      <c r="Y292" s="18"/>
      <c r="Z292" s="18"/>
      <c r="AA292" s="18"/>
      <c r="AB292" s="18"/>
      <c r="AC292" s="18"/>
      <c r="AD292" s="18"/>
      <c r="AE292" s="18"/>
      <c r="AF292" s="18"/>
      <c r="AG292" s="18"/>
      <c r="AH292" s="18"/>
      <c r="AI292" s="18"/>
      <c r="AJ292" s="18"/>
      <c r="AK292" s="18"/>
      <c r="AL292" s="18"/>
      <c r="AM292" s="18"/>
      <c r="AN292" s="18"/>
      <c r="AO292" s="18"/>
      <c r="AP292" s="18"/>
      <c r="AQ292" s="18"/>
      <c r="AR292" s="18"/>
      <c r="AS292" s="18"/>
      <c r="AT292" s="18"/>
      <c r="AU292" s="18"/>
    </row>
    <row r="293" spans="1:47" s="20" customFormat="1" x14ac:dyDescent="0.2">
      <c r="A293" s="12"/>
      <c r="B293" s="18"/>
      <c r="C293" s="18"/>
      <c r="D293" s="18"/>
      <c r="E293" s="18"/>
      <c r="F293" s="18"/>
      <c r="G293" s="18"/>
      <c r="H293" s="18"/>
      <c r="I293" s="18"/>
      <c r="J293" s="18"/>
      <c r="K293" s="18"/>
      <c r="L293" s="18"/>
      <c r="M293" s="18"/>
      <c r="N293" s="18"/>
      <c r="O293" s="18"/>
      <c r="P293" s="18"/>
      <c r="Q293" s="18"/>
      <c r="R293" s="18"/>
      <c r="S293" s="18"/>
      <c r="T293" s="18"/>
      <c r="U293" s="18"/>
      <c r="V293" s="18"/>
      <c r="W293" s="18"/>
      <c r="X293" s="18"/>
      <c r="Y293" s="18"/>
      <c r="Z293" s="18"/>
      <c r="AA293" s="18"/>
      <c r="AB293" s="18"/>
      <c r="AC293" s="18"/>
      <c r="AD293" s="18"/>
      <c r="AE293" s="18"/>
      <c r="AF293" s="18"/>
      <c r="AG293" s="18"/>
      <c r="AH293" s="18"/>
      <c r="AI293" s="18"/>
      <c r="AJ293" s="18"/>
      <c r="AK293" s="18"/>
      <c r="AL293" s="18"/>
      <c r="AM293" s="18"/>
      <c r="AN293" s="18"/>
      <c r="AO293" s="18"/>
      <c r="AP293" s="18"/>
      <c r="AQ293" s="18"/>
      <c r="AR293" s="18"/>
      <c r="AS293" s="18"/>
      <c r="AT293" s="18"/>
      <c r="AU293" s="18"/>
    </row>
    <row r="294" spans="1:47" s="20" customFormat="1" x14ac:dyDescent="0.2">
      <c r="A294" s="12"/>
      <c r="B294" s="18"/>
      <c r="C294" s="18"/>
      <c r="D294" s="18"/>
      <c r="E294" s="18"/>
      <c r="F294" s="18"/>
      <c r="G294" s="18"/>
      <c r="H294" s="18"/>
      <c r="I294" s="18"/>
      <c r="J294" s="18"/>
      <c r="K294" s="18"/>
      <c r="L294" s="18"/>
      <c r="M294" s="18"/>
      <c r="N294" s="18"/>
      <c r="O294" s="18"/>
      <c r="P294" s="18"/>
      <c r="Q294" s="18"/>
      <c r="R294" s="18"/>
      <c r="S294" s="18"/>
      <c r="T294" s="18"/>
      <c r="U294" s="18"/>
      <c r="V294" s="18"/>
      <c r="W294" s="18"/>
      <c r="X294" s="18"/>
      <c r="Y294" s="18"/>
      <c r="Z294" s="18"/>
      <c r="AA294" s="18"/>
      <c r="AB294" s="18"/>
      <c r="AC294" s="18"/>
      <c r="AD294" s="18"/>
      <c r="AE294" s="18"/>
      <c r="AF294" s="18"/>
      <c r="AG294" s="18"/>
      <c r="AH294" s="18"/>
      <c r="AI294" s="18"/>
      <c r="AJ294" s="18"/>
      <c r="AK294" s="18"/>
      <c r="AL294" s="18"/>
      <c r="AM294" s="18"/>
      <c r="AN294" s="18"/>
      <c r="AO294" s="18"/>
      <c r="AP294" s="18"/>
      <c r="AQ294" s="18"/>
      <c r="AR294" s="18"/>
      <c r="AS294" s="18"/>
      <c r="AT294" s="18"/>
      <c r="AU294" s="18"/>
    </row>
    <row r="295" spans="1:47" s="20" customFormat="1" x14ac:dyDescent="0.2">
      <c r="A295" s="12"/>
      <c r="B295" s="18"/>
      <c r="C295" s="18"/>
      <c r="D295" s="18"/>
      <c r="E295" s="18"/>
      <c r="F295" s="18"/>
      <c r="G295" s="18"/>
      <c r="H295" s="18"/>
      <c r="I295" s="18"/>
      <c r="J295" s="18"/>
      <c r="K295" s="18"/>
      <c r="L295" s="18"/>
      <c r="M295" s="18"/>
      <c r="N295" s="18"/>
      <c r="O295" s="18"/>
      <c r="P295" s="18"/>
      <c r="Q295" s="18"/>
      <c r="R295" s="18"/>
      <c r="S295" s="18"/>
      <c r="T295" s="18"/>
      <c r="U295" s="18"/>
      <c r="V295" s="18"/>
      <c r="W295" s="18"/>
      <c r="X295" s="18"/>
      <c r="Y295" s="18"/>
      <c r="Z295" s="18"/>
      <c r="AA295" s="18"/>
      <c r="AB295" s="18"/>
      <c r="AC295" s="18"/>
      <c r="AD295" s="18"/>
      <c r="AE295" s="18"/>
      <c r="AF295" s="18"/>
      <c r="AG295" s="18"/>
      <c r="AH295" s="18"/>
      <c r="AI295" s="18"/>
      <c r="AJ295" s="18"/>
      <c r="AK295" s="18"/>
      <c r="AL295" s="18"/>
      <c r="AM295" s="18"/>
      <c r="AN295" s="18"/>
      <c r="AO295" s="18"/>
      <c r="AP295" s="18"/>
      <c r="AQ295" s="18"/>
      <c r="AR295" s="18"/>
      <c r="AS295" s="18"/>
      <c r="AT295" s="18"/>
      <c r="AU295" s="18"/>
    </row>
    <row r="296" spans="1:47" s="20" customFormat="1" x14ac:dyDescent="0.2">
      <c r="A296" s="12"/>
      <c r="B296" s="18"/>
      <c r="C296" s="18"/>
      <c r="D296" s="18"/>
      <c r="E296" s="18"/>
      <c r="F296" s="18"/>
      <c r="G296" s="18"/>
      <c r="H296" s="18"/>
      <c r="I296" s="18"/>
      <c r="J296" s="18"/>
      <c r="K296" s="18"/>
      <c r="L296" s="18"/>
      <c r="M296" s="18"/>
      <c r="N296" s="18"/>
      <c r="O296" s="18"/>
      <c r="P296" s="18"/>
      <c r="Q296" s="18"/>
      <c r="R296" s="18"/>
      <c r="S296" s="18"/>
      <c r="T296" s="18"/>
      <c r="U296" s="18"/>
      <c r="V296" s="18"/>
      <c r="W296" s="18"/>
      <c r="X296" s="18"/>
      <c r="Y296" s="18"/>
      <c r="Z296" s="18"/>
      <c r="AA296" s="18"/>
      <c r="AB296" s="18"/>
      <c r="AC296" s="18"/>
      <c r="AD296" s="18"/>
      <c r="AE296" s="18"/>
      <c r="AF296" s="18"/>
      <c r="AG296" s="18"/>
      <c r="AH296" s="18"/>
      <c r="AI296" s="18"/>
      <c r="AJ296" s="18"/>
      <c r="AK296" s="18"/>
      <c r="AL296" s="18"/>
      <c r="AM296" s="18"/>
      <c r="AN296" s="18"/>
      <c r="AO296" s="18"/>
      <c r="AP296" s="18"/>
      <c r="AQ296" s="18"/>
      <c r="AR296" s="18"/>
      <c r="AS296" s="18"/>
      <c r="AT296" s="18"/>
      <c r="AU296" s="18"/>
    </row>
    <row r="297" spans="1:47" s="20" customFormat="1" x14ac:dyDescent="0.2">
      <c r="A297" s="12"/>
      <c r="B297" s="18"/>
      <c r="C297" s="18"/>
      <c r="D297" s="18"/>
      <c r="E297" s="18"/>
      <c r="F297" s="18"/>
      <c r="G297" s="18"/>
      <c r="H297" s="18"/>
      <c r="I297" s="18"/>
      <c r="J297" s="18"/>
      <c r="K297" s="18"/>
      <c r="L297" s="18"/>
      <c r="M297" s="18"/>
      <c r="N297" s="18"/>
      <c r="O297" s="18"/>
      <c r="P297" s="18"/>
      <c r="Q297" s="18"/>
      <c r="R297" s="18"/>
      <c r="S297" s="18"/>
      <c r="T297" s="18"/>
      <c r="U297" s="18"/>
      <c r="V297" s="18"/>
      <c r="W297" s="18"/>
      <c r="X297" s="18"/>
      <c r="Y297" s="18"/>
      <c r="Z297" s="18"/>
      <c r="AA297" s="18"/>
      <c r="AB297" s="18"/>
      <c r="AC297" s="18"/>
      <c r="AD297" s="18"/>
      <c r="AE297" s="18"/>
      <c r="AF297" s="18"/>
      <c r="AG297" s="18"/>
      <c r="AH297" s="18"/>
      <c r="AI297" s="18"/>
      <c r="AJ297" s="18"/>
      <c r="AK297" s="18"/>
      <c r="AL297" s="18"/>
      <c r="AM297" s="18"/>
      <c r="AN297" s="18"/>
      <c r="AO297" s="18"/>
      <c r="AP297" s="18"/>
      <c r="AQ297" s="18"/>
      <c r="AR297" s="18"/>
      <c r="AS297" s="18"/>
      <c r="AT297" s="18"/>
      <c r="AU297" s="18"/>
    </row>
    <row r="298" spans="1:47" s="20" customFormat="1" x14ac:dyDescent="0.2">
      <c r="A298" s="12"/>
      <c r="B298" s="18"/>
      <c r="C298" s="18"/>
      <c r="D298" s="18"/>
      <c r="E298" s="18"/>
      <c r="F298" s="18"/>
      <c r="G298" s="18"/>
      <c r="H298" s="18"/>
      <c r="I298" s="18"/>
      <c r="J298" s="18"/>
      <c r="K298" s="18"/>
      <c r="L298" s="18"/>
      <c r="M298" s="18"/>
      <c r="N298" s="18"/>
      <c r="O298" s="18"/>
      <c r="P298" s="18"/>
      <c r="Q298" s="18"/>
      <c r="R298" s="18"/>
      <c r="S298" s="18"/>
      <c r="T298" s="18"/>
      <c r="U298" s="18"/>
      <c r="V298" s="18"/>
      <c r="W298" s="18"/>
      <c r="X298" s="18"/>
      <c r="Y298" s="18"/>
      <c r="Z298" s="18"/>
      <c r="AA298" s="18"/>
      <c r="AB298" s="18"/>
      <c r="AC298" s="18"/>
      <c r="AD298" s="18"/>
      <c r="AE298" s="18"/>
      <c r="AF298" s="18"/>
      <c r="AG298" s="18"/>
      <c r="AH298" s="18"/>
      <c r="AI298" s="18"/>
      <c r="AJ298" s="18"/>
      <c r="AK298" s="18"/>
      <c r="AL298" s="18"/>
      <c r="AM298" s="18"/>
      <c r="AN298" s="18"/>
      <c r="AO298" s="18"/>
      <c r="AP298" s="18"/>
      <c r="AQ298" s="18"/>
      <c r="AR298" s="18"/>
      <c r="AS298" s="18"/>
      <c r="AT298" s="18"/>
      <c r="AU298" s="18"/>
    </row>
    <row r="299" spans="1:47" s="20" customFormat="1" x14ac:dyDescent="0.2">
      <c r="A299" s="12"/>
      <c r="B299" s="18"/>
      <c r="C299" s="18"/>
      <c r="D299" s="18"/>
      <c r="E299" s="18"/>
      <c r="F299" s="18"/>
      <c r="G299" s="18"/>
      <c r="H299" s="18"/>
      <c r="I299" s="18"/>
      <c r="J299" s="18"/>
      <c r="K299" s="18"/>
      <c r="L299" s="18"/>
      <c r="M299" s="18"/>
      <c r="N299" s="18"/>
      <c r="O299" s="18"/>
      <c r="P299" s="18"/>
      <c r="Q299" s="18"/>
      <c r="R299" s="18"/>
      <c r="S299" s="18"/>
      <c r="T299" s="21">
        <v>1575</v>
      </c>
      <c r="U299" s="18"/>
      <c r="V299" s="18"/>
      <c r="W299" s="18"/>
      <c r="X299" s="18"/>
      <c r="Y299" s="18"/>
      <c r="Z299" s="18"/>
      <c r="AA299" s="18"/>
      <c r="AB299" s="18"/>
      <c r="AC299" s="18"/>
      <c r="AD299" s="18"/>
      <c r="AE299" s="18"/>
      <c r="AF299" s="18"/>
      <c r="AG299" s="18"/>
      <c r="AH299" s="18"/>
      <c r="AI299" s="18"/>
      <c r="AJ299" s="18"/>
      <c r="AK299" s="18"/>
      <c r="AL299" s="18"/>
      <c r="AM299" s="18"/>
      <c r="AN299" s="18"/>
      <c r="AO299" s="18"/>
      <c r="AP299" s="18"/>
      <c r="AQ299" s="18"/>
      <c r="AR299" s="18"/>
      <c r="AS299" s="18"/>
      <c r="AT299" s="18"/>
      <c r="AU299" s="18"/>
    </row>
    <row r="300" spans="1:47" s="20" customFormat="1" ht="25.5" customHeight="1" x14ac:dyDescent="0.2">
      <c r="A300" s="12"/>
      <c r="B300" s="18"/>
      <c r="C300" s="18"/>
      <c r="D300" s="18"/>
      <c r="E300" s="18"/>
      <c r="F300" s="18"/>
      <c r="G300" s="18"/>
      <c r="H300" s="18"/>
      <c r="I300" s="18"/>
      <c r="J300" s="18"/>
      <c r="K300" s="18"/>
      <c r="L300" s="18"/>
      <c r="M300" s="18"/>
      <c r="N300" s="18"/>
      <c r="O300" s="18"/>
      <c r="P300" s="18"/>
      <c r="Q300" s="18"/>
      <c r="R300" s="18"/>
      <c r="S300" s="18"/>
      <c r="T300" s="18"/>
      <c r="U300" s="18"/>
      <c r="V300" s="18"/>
      <c r="W300" s="18"/>
      <c r="X300" s="18"/>
      <c r="Y300" s="18"/>
      <c r="Z300" s="18"/>
      <c r="AA300" s="18"/>
      <c r="AB300" s="18"/>
      <c r="AC300" s="18"/>
      <c r="AD300" s="18"/>
      <c r="AE300" s="18"/>
      <c r="AF300" s="18"/>
      <c r="AG300" s="18"/>
      <c r="AH300" s="18"/>
      <c r="AI300" s="18"/>
      <c r="AJ300" s="18"/>
      <c r="AK300" s="18"/>
      <c r="AL300" s="18"/>
      <c r="AM300" s="18"/>
      <c r="AN300" s="18"/>
      <c r="AO300" s="18"/>
      <c r="AP300" s="18"/>
      <c r="AQ300" s="18"/>
      <c r="AR300" s="18"/>
      <c r="AS300" s="18"/>
      <c r="AT300" s="18"/>
      <c r="AU300" s="18"/>
    </row>
    <row r="301" spans="1:47" s="20" customFormat="1" x14ac:dyDescent="0.2">
      <c r="A301" s="12"/>
      <c r="B301" s="18"/>
      <c r="C301" s="18"/>
      <c r="D301" s="18"/>
      <c r="E301" s="18"/>
      <c r="F301" s="18"/>
      <c r="G301" s="18"/>
      <c r="H301" s="18"/>
      <c r="I301" s="18"/>
      <c r="J301" s="18"/>
      <c r="K301" s="18"/>
      <c r="L301" s="18"/>
      <c r="M301" s="18"/>
      <c r="N301" s="18"/>
      <c r="O301" s="18"/>
      <c r="P301" s="18"/>
      <c r="Q301" s="18"/>
      <c r="R301" s="18"/>
      <c r="S301" s="18"/>
      <c r="T301" s="18"/>
      <c r="U301" s="18"/>
      <c r="V301" s="18"/>
      <c r="W301" s="18"/>
      <c r="X301" s="18"/>
      <c r="Y301" s="18"/>
      <c r="Z301" s="18"/>
      <c r="AA301" s="18"/>
      <c r="AB301" s="18"/>
      <c r="AC301" s="18"/>
      <c r="AD301" s="18"/>
      <c r="AE301" s="18"/>
      <c r="AF301" s="18"/>
      <c r="AG301" s="18"/>
      <c r="AH301" s="18"/>
      <c r="AI301" s="18"/>
      <c r="AJ301" s="18"/>
      <c r="AK301" s="18"/>
      <c r="AL301" s="18"/>
      <c r="AM301" s="18"/>
      <c r="AN301" s="18"/>
      <c r="AO301" s="18"/>
      <c r="AP301" s="18"/>
      <c r="AQ301" s="18"/>
      <c r="AR301" s="18"/>
      <c r="AS301" s="18"/>
      <c r="AT301" s="18"/>
      <c r="AU301" s="18"/>
    </row>
    <row r="302" spans="1:47" s="20" customFormat="1" x14ac:dyDescent="0.2">
      <c r="A302" s="12"/>
      <c r="B302" s="18"/>
      <c r="C302" s="18"/>
      <c r="D302" s="18"/>
      <c r="E302" s="18"/>
      <c r="F302" s="18"/>
      <c r="G302" s="18"/>
      <c r="H302" s="18"/>
      <c r="I302" s="18"/>
      <c r="J302" s="18"/>
      <c r="K302" s="18"/>
      <c r="L302" s="18"/>
      <c r="M302" s="18"/>
      <c r="N302" s="18"/>
      <c r="O302" s="18"/>
      <c r="P302" s="18"/>
      <c r="Q302" s="18"/>
      <c r="R302" s="18"/>
      <c r="S302" s="18"/>
      <c r="T302" s="18"/>
      <c r="U302" s="18"/>
      <c r="V302" s="18"/>
      <c r="W302" s="18"/>
      <c r="X302" s="18"/>
      <c r="Y302" s="18"/>
      <c r="Z302" s="18"/>
      <c r="AA302" s="18"/>
      <c r="AB302" s="18"/>
      <c r="AC302" s="18"/>
      <c r="AD302" s="18"/>
      <c r="AE302" s="18"/>
      <c r="AF302" s="18"/>
      <c r="AG302" s="18"/>
      <c r="AH302" s="18"/>
      <c r="AI302" s="18"/>
      <c r="AJ302" s="18"/>
      <c r="AK302" s="18"/>
      <c r="AL302" s="18"/>
      <c r="AM302" s="18"/>
      <c r="AN302" s="18"/>
      <c r="AO302" s="18"/>
      <c r="AP302" s="18"/>
      <c r="AQ302" s="18"/>
      <c r="AR302" s="18"/>
      <c r="AS302" s="18"/>
      <c r="AT302" s="18"/>
      <c r="AU302" s="18"/>
    </row>
    <row r="303" spans="1:47" s="20" customFormat="1" x14ac:dyDescent="0.2">
      <c r="A303" s="12"/>
      <c r="B303" s="18"/>
      <c r="C303" s="18"/>
      <c r="D303" s="18"/>
      <c r="E303" s="18"/>
      <c r="F303" s="18"/>
      <c r="G303" s="18"/>
      <c r="H303" s="18"/>
      <c r="I303" s="18"/>
      <c r="J303" s="18"/>
      <c r="K303" s="18"/>
      <c r="L303" s="18"/>
      <c r="M303" s="18"/>
      <c r="N303" s="18"/>
      <c r="O303" s="18"/>
      <c r="P303" s="18"/>
      <c r="Q303" s="18"/>
      <c r="R303" s="18"/>
      <c r="S303" s="18"/>
      <c r="T303" s="18"/>
      <c r="U303" s="18"/>
      <c r="V303" s="18"/>
      <c r="W303" s="18"/>
      <c r="X303" s="18"/>
      <c r="Y303" s="18"/>
      <c r="Z303" s="18"/>
      <c r="AA303" s="18"/>
      <c r="AB303" s="18"/>
      <c r="AC303" s="18"/>
      <c r="AD303" s="18"/>
      <c r="AE303" s="18"/>
      <c r="AF303" s="18"/>
      <c r="AG303" s="18"/>
      <c r="AH303" s="18"/>
      <c r="AI303" s="18"/>
      <c r="AJ303" s="18"/>
      <c r="AK303" s="18"/>
      <c r="AL303" s="18"/>
      <c r="AM303" s="18"/>
      <c r="AN303" s="18"/>
      <c r="AO303" s="18"/>
      <c r="AP303" s="18"/>
      <c r="AQ303" s="18"/>
      <c r="AR303" s="18"/>
      <c r="AS303" s="18"/>
      <c r="AT303" s="18"/>
      <c r="AU303" s="18"/>
    </row>
    <row r="304" spans="1:47" s="20" customFormat="1" x14ac:dyDescent="0.2">
      <c r="A304" s="12"/>
      <c r="B304" s="18"/>
      <c r="C304" s="18"/>
      <c r="D304" s="18"/>
      <c r="E304" s="18"/>
      <c r="F304" s="18"/>
      <c r="G304" s="18"/>
      <c r="H304" s="18"/>
      <c r="I304" s="18"/>
      <c r="J304" s="18"/>
      <c r="K304" s="18"/>
      <c r="L304" s="18"/>
      <c r="M304" s="18"/>
      <c r="N304" s="18"/>
      <c r="O304" s="18"/>
      <c r="P304" s="18"/>
      <c r="Q304" s="18"/>
      <c r="R304" s="18"/>
      <c r="S304" s="18"/>
      <c r="T304" s="18"/>
      <c r="U304" s="18"/>
      <c r="V304" s="18"/>
      <c r="W304" s="18"/>
      <c r="X304" s="18"/>
      <c r="Y304" s="18"/>
      <c r="Z304" s="18"/>
      <c r="AA304" s="18"/>
      <c r="AB304" s="18"/>
      <c r="AC304" s="18"/>
      <c r="AD304" s="18"/>
      <c r="AE304" s="18"/>
      <c r="AF304" s="18"/>
      <c r="AG304" s="18"/>
      <c r="AH304" s="18"/>
      <c r="AI304" s="18"/>
      <c r="AJ304" s="18"/>
      <c r="AK304" s="18"/>
      <c r="AL304" s="18"/>
      <c r="AM304" s="18"/>
      <c r="AN304" s="18"/>
      <c r="AO304" s="18"/>
      <c r="AP304" s="18"/>
      <c r="AQ304" s="18"/>
      <c r="AR304" s="18"/>
      <c r="AS304" s="18"/>
      <c r="AT304" s="18"/>
      <c r="AU304" s="18"/>
    </row>
    <row r="305" spans="1:47" s="20" customFormat="1" x14ac:dyDescent="0.2">
      <c r="A305" s="12"/>
      <c r="B305" s="18"/>
      <c r="C305" s="18"/>
      <c r="D305" s="18"/>
      <c r="E305" s="18"/>
      <c r="F305" s="18"/>
      <c r="G305" s="18"/>
      <c r="H305" s="18"/>
      <c r="I305" s="18"/>
      <c r="J305" s="18"/>
      <c r="K305" s="18"/>
      <c r="L305" s="18"/>
      <c r="M305" s="18"/>
      <c r="N305" s="18"/>
      <c r="O305" s="18"/>
      <c r="P305" s="18"/>
      <c r="Q305" s="18"/>
      <c r="R305" s="18"/>
      <c r="S305" s="18"/>
      <c r="T305" s="18"/>
      <c r="U305" s="18"/>
      <c r="V305" s="18"/>
      <c r="W305" s="18"/>
      <c r="X305" s="18"/>
      <c r="Y305" s="18"/>
      <c r="Z305" s="18"/>
      <c r="AA305" s="18"/>
      <c r="AB305" s="18"/>
      <c r="AC305" s="18"/>
      <c r="AD305" s="18"/>
      <c r="AE305" s="18"/>
      <c r="AF305" s="18"/>
      <c r="AG305" s="18"/>
      <c r="AH305" s="18"/>
      <c r="AI305" s="18"/>
      <c r="AJ305" s="18"/>
      <c r="AK305" s="18"/>
      <c r="AL305" s="18"/>
      <c r="AM305" s="18"/>
      <c r="AN305" s="18"/>
      <c r="AO305" s="18"/>
      <c r="AP305" s="18"/>
      <c r="AQ305" s="18"/>
      <c r="AR305" s="18"/>
      <c r="AS305" s="18"/>
      <c r="AT305" s="18"/>
      <c r="AU305" s="18"/>
    </row>
    <row r="306" spans="1:47" s="20" customFormat="1" x14ac:dyDescent="0.2">
      <c r="A306" s="12"/>
      <c r="B306" s="18"/>
      <c r="C306" s="18"/>
      <c r="D306" s="18"/>
      <c r="E306" s="18"/>
      <c r="F306" s="18"/>
      <c r="G306" s="18"/>
      <c r="H306" s="18"/>
      <c r="I306" s="18"/>
      <c r="J306" s="18"/>
      <c r="K306" s="18"/>
      <c r="L306" s="18"/>
      <c r="M306" s="18"/>
      <c r="N306" s="18"/>
      <c r="O306" s="18"/>
      <c r="P306" s="18"/>
      <c r="Q306" s="18"/>
      <c r="R306" s="18"/>
      <c r="S306" s="18"/>
      <c r="T306" s="18"/>
      <c r="U306" s="18"/>
      <c r="V306" s="18"/>
      <c r="W306" s="18"/>
      <c r="X306" s="18"/>
      <c r="Y306" s="18"/>
      <c r="Z306" s="18"/>
      <c r="AA306" s="18"/>
      <c r="AB306" s="18"/>
      <c r="AC306" s="18"/>
      <c r="AD306" s="18"/>
      <c r="AE306" s="18"/>
      <c r="AF306" s="18"/>
      <c r="AG306" s="18"/>
      <c r="AH306" s="18"/>
      <c r="AI306" s="18"/>
      <c r="AJ306" s="18"/>
      <c r="AK306" s="18"/>
      <c r="AL306" s="18"/>
      <c r="AM306" s="18"/>
      <c r="AN306" s="18"/>
      <c r="AO306" s="18"/>
      <c r="AP306" s="18"/>
      <c r="AQ306" s="18"/>
      <c r="AR306" s="18"/>
      <c r="AS306" s="18"/>
      <c r="AT306" s="18"/>
      <c r="AU306" s="18"/>
    </row>
    <row r="307" spans="1:47" s="20" customFormat="1" x14ac:dyDescent="0.2">
      <c r="A307" s="12"/>
      <c r="B307" s="18"/>
      <c r="C307" s="18"/>
      <c r="D307" s="18"/>
      <c r="E307" s="18"/>
      <c r="F307" s="18"/>
      <c r="G307" s="18"/>
      <c r="H307" s="18"/>
      <c r="I307" s="18"/>
      <c r="J307" s="18"/>
      <c r="K307" s="18"/>
      <c r="L307" s="18"/>
      <c r="M307" s="18"/>
      <c r="N307" s="18"/>
      <c r="O307" s="18"/>
      <c r="P307" s="18"/>
      <c r="Q307" s="18"/>
      <c r="R307" s="18"/>
      <c r="S307" s="18"/>
      <c r="T307" s="18"/>
      <c r="U307" s="18"/>
      <c r="V307" s="18"/>
      <c r="W307" s="18"/>
      <c r="X307" s="18"/>
      <c r="Y307" s="18"/>
      <c r="Z307" s="18"/>
      <c r="AA307" s="18"/>
      <c r="AB307" s="18"/>
      <c r="AC307" s="18"/>
      <c r="AD307" s="18"/>
      <c r="AE307" s="18"/>
      <c r="AF307" s="18"/>
      <c r="AG307" s="18"/>
      <c r="AH307" s="18"/>
      <c r="AI307" s="18"/>
      <c r="AJ307" s="18"/>
      <c r="AK307" s="18"/>
      <c r="AL307" s="18"/>
      <c r="AM307" s="18"/>
      <c r="AN307" s="18"/>
      <c r="AO307" s="18"/>
      <c r="AP307" s="18"/>
      <c r="AQ307" s="18"/>
      <c r="AR307" s="18"/>
      <c r="AS307" s="18"/>
      <c r="AT307" s="18"/>
      <c r="AU307" s="18"/>
    </row>
    <row r="308" spans="1:47" s="20" customFormat="1" x14ac:dyDescent="0.2">
      <c r="A308" s="12"/>
      <c r="B308" s="18"/>
      <c r="C308" s="18"/>
      <c r="D308" s="18"/>
      <c r="E308" s="18"/>
      <c r="F308" s="18"/>
      <c r="G308" s="18"/>
      <c r="H308" s="18"/>
      <c r="I308" s="18"/>
      <c r="J308" s="18"/>
      <c r="K308" s="18"/>
      <c r="L308" s="18"/>
      <c r="M308" s="18"/>
      <c r="N308" s="18"/>
      <c r="O308" s="18"/>
      <c r="P308" s="18"/>
      <c r="Q308" s="18"/>
      <c r="R308" s="18"/>
      <c r="S308" s="18"/>
      <c r="T308" s="18"/>
      <c r="U308" s="18"/>
      <c r="V308" s="18"/>
      <c r="W308" s="18"/>
      <c r="X308" s="18"/>
      <c r="Y308" s="18"/>
      <c r="Z308" s="18"/>
      <c r="AA308" s="18"/>
      <c r="AB308" s="18"/>
      <c r="AC308" s="18"/>
      <c r="AD308" s="18"/>
      <c r="AE308" s="18"/>
      <c r="AF308" s="18"/>
      <c r="AG308" s="18"/>
      <c r="AH308" s="18"/>
      <c r="AI308" s="18"/>
      <c r="AJ308" s="18"/>
      <c r="AK308" s="18"/>
      <c r="AL308" s="18"/>
      <c r="AM308" s="18"/>
      <c r="AN308" s="18"/>
      <c r="AO308" s="18"/>
      <c r="AP308" s="18"/>
      <c r="AQ308" s="18"/>
      <c r="AR308" s="18"/>
      <c r="AS308" s="18"/>
      <c r="AT308" s="18"/>
      <c r="AU308" s="18"/>
    </row>
    <row r="309" spans="1:47" s="20" customFormat="1" x14ac:dyDescent="0.2">
      <c r="A309" s="12"/>
      <c r="B309" s="18"/>
      <c r="C309" s="18"/>
      <c r="D309" s="18"/>
      <c r="E309" s="18"/>
      <c r="F309" s="18"/>
      <c r="G309" s="18"/>
      <c r="H309" s="18"/>
      <c r="I309" s="18"/>
      <c r="J309" s="18"/>
      <c r="K309" s="18"/>
      <c r="L309" s="18"/>
      <c r="M309" s="18"/>
      <c r="N309" s="18"/>
      <c r="O309" s="18"/>
      <c r="P309" s="18"/>
      <c r="Q309" s="18"/>
      <c r="R309" s="18"/>
      <c r="S309" s="18"/>
      <c r="T309" s="18"/>
      <c r="U309" s="18"/>
      <c r="V309" s="18"/>
      <c r="W309" s="18"/>
      <c r="X309" s="18"/>
      <c r="Y309" s="18"/>
      <c r="Z309" s="18"/>
      <c r="AA309" s="18"/>
      <c r="AB309" s="18"/>
      <c r="AC309" s="18"/>
      <c r="AD309" s="18"/>
      <c r="AE309" s="18"/>
      <c r="AF309" s="18"/>
      <c r="AG309" s="18"/>
      <c r="AH309" s="18"/>
      <c r="AI309" s="18"/>
      <c r="AJ309" s="18"/>
      <c r="AK309" s="18"/>
      <c r="AL309" s="18"/>
      <c r="AM309" s="18"/>
      <c r="AN309" s="18"/>
      <c r="AO309" s="18"/>
      <c r="AP309" s="18"/>
      <c r="AQ309" s="18"/>
      <c r="AR309" s="18"/>
      <c r="AS309" s="18"/>
      <c r="AT309" s="18"/>
      <c r="AU309" s="18"/>
    </row>
    <row r="310" spans="1:47" s="20" customFormat="1" x14ac:dyDescent="0.2">
      <c r="A310" s="12"/>
      <c r="B310" s="18"/>
      <c r="C310" s="18"/>
      <c r="D310" s="18"/>
      <c r="E310" s="18"/>
      <c r="F310" s="18"/>
      <c r="G310" s="18"/>
      <c r="H310" s="18"/>
      <c r="I310" s="18"/>
      <c r="J310" s="18"/>
      <c r="K310" s="18"/>
      <c r="L310" s="18"/>
      <c r="M310" s="18"/>
      <c r="N310" s="18"/>
      <c r="O310" s="18"/>
      <c r="P310" s="18"/>
      <c r="Q310" s="18"/>
      <c r="R310" s="18"/>
      <c r="S310" s="18"/>
      <c r="T310" s="18"/>
      <c r="U310" s="18"/>
      <c r="V310" s="18"/>
      <c r="W310" s="18"/>
      <c r="X310" s="18"/>
      <c r="Y310" s="18"/>
      <c r="Z310" s="18"/>
      <c r="AA310" s="18"/>
      <c r="AB310" s="18"/>
      <c r="AC310" s="18"/>
      <c r="AD310" s="18"/>
      <c r="AE310" s="18"/>
      <c r="AF310" s="18"/>
      <c r="AG310" s="18"/>
      <c r="AH310" s="18"/>
      <c r="AI310" s="18"/>
      <c r="AJ310" s="18"/>
      <c r="AK310" s="18"/>
      <c r="AL310" s="18"/>
      <c r="AM310" s="18"/>
      <c r="AN310" s="18"/>
      <c r="AO310" s="18"/>
      <c r="AP310" s="18"/>
      <c r="AQ310" s="18"/>
      <c r="AR310" s="18"/>
      <c r="AS310" s="18"/>
      <c r="AT310" s="18"/>
      <c r="AU310" s="18"/>
    </row>
    <row r="311" spans="1:47" s="20" customFormat="1" x14ac:dyDescent="0.2">
      <c r="A311" s="12"/>
      <c r="B311" s="18"/>
      <c r="C311" s="18"/>
      <c r="D311" s="18"/>
      <c r="E311" s="18"/>
      <c r="F311" s="18"/>
      <c r="G311" s="18"/>
      <c r="H311" s="18"/>
      <c r="I311" s="18"/>
      <c r="J311" s="18"/>
      <c r="K311" s="18"/>
      <c r="L311" s="18"/>
      <c r="M311" s="18"/>
      <c r="N311" s="18"/>
      <c r="O311" s="18"/>
      <c r="P311" s="18"/>
      <c r="Q311" s="18"/>
      <c r="R311" s="18"/>
      <c r="S311" s="18"/>
      <c r="T311" s="18"/>
      <c r="U311" s="18"/>
      <c r="V311" s="18"/>
      <c r="W311" s="18"/>
      <c r="X311" s="18"/>
      <c r="Y311" s="18"/>
      <c r="Z311" s="18"/>
      <c r="AA311" s="18"/>
      <c r="AB311" s="18"/>
      <c r="AC311" s="18"/>
      <c r="AD311" s="18"/>
      <c r="AE311" s="18"/>
      <c r="AF311" s="18"/>
      <c r="AG311" s="18"/>
      <c r="AH311" s="18"/>
      <c r="AI311" s="18"/>
      <c r="AJ311" s="18"/>
      <c r="AK311" s="18"/>
      <c r="AL311" s="18"/>
      <c r="AM311" s="18"/>
      <c r="AN311" s="18"/>
      <c r="AO311" s="18"/>
      <c r="AP311" s="18"/>
      <c r="AQ311" s="18"/>
      <c r="AR311" s="18"/>
      <c r="AS311" s="18"/>
      <c r="AT311" s="18"/>
      <c r="AU311" s="18"/>
    </row>
    <row r="312" spans="1:47" s="20" customFormat="1" x14ac:dyDescent="0.2">
      <c r="A312" s="12"/>
      <c r="B312" s="18"/>
      <c r="C312" s="18"/>
      <c r="D312" s="18"/>
      <c r="E312" s="18"/>
      <c r="F312" s="18"/>
      <c r="G312" s="18"/>
      <c r="H312" s="18"/>
      <c r="I312" s="18"/>
      <c r="J312" s="18"/>
      <c r="K312" s="18"/>
      <c r="L312" s="18"/>
      <c r="M312" s="18"/>
      <c r="N312" s="18"/>
      <c r="O312" s="18"/>
      <c r="P312" s="18"/>
      <c r="Q312" s="18"/>
      <c r="R312" s="18"/>
      <c r="S312" s="18"/>
      <c r="T312" s="18"/>
      <c r="U312" s="18"/>
      <c r="V312" s="18"/>
      <c r="W312" s="18"/>
      <c r="X312" s="18"/>
      <c r="Y312" s="18"/>
      <c r="Z312" s="18"/>
      <c r="AA312" s="18"/>
      <c r="AB312" s="18"/>
      <c r="AC312" s="18"/>
      <c r="AD312" s="18"/>
      <c r="AE312" s="18"/>
      <c r="AF312" s="18"/>
      <c r="AG312" s="18"/>
      <c r="AH312" s="18"/>
      <c r="AI312" s="18"/>
      <c r="AJ312" s="18"/>
      <c r="AK312" s="18"/>
      <c r="AL312" s="18"/>
      <c r="AM312" s="18"/>
      <c r="AN312" s="18"/>
      <c r="AO312" s="18"/>
      <c r="AP312" s="18"/>
      <c r="AQ312" s="18"/>
      <c r="AR312" s="18"/>
      <c r="AS312" s="18"/>
      <c r="AT312" s="18"/>
      <c r="AU312" s="18"/>
    </row>
    <row r="313" spans="1:47" s="20" customFormat="1" x14ac:dyDescent="0.2">
      <c r="A313" s="12"/>
      <c r="B313" s="18"/>
      <c r="C313" s="18"/>
      <c r="D313" s="18"/>
      <c r="E313" s="18"/>
      <c r="F313" s="18"/>
      <c r="G313" s="18"/>
      <c r="H313" s="18"/>
      <c r="I313" s="18"/>
      <c r="J313" s="18"/>
      <c r="K313" s="18"/>
      <c r="L313" s="18"/>
      <c r="M313" s="18"/>
      <c r="N313" s="18"/>
      <c r="O313" s="18"/>
      <c r="P313" s="18"/>
      <c r="Q313" s="18"/>
      <c r="R313" s="18"/>
      <c r="S313" s="18"/>
      <c r="T313" s="18"/>
      <c r="U313" s="18"/>
      <c r="V313" s="18"/>
      <c r="W313" s="18"/>
      <c r="X313" s="18"/>
      <c r="Y313" s="18"/>
      <c r="Z313" s="18"/>
      <c r="AA313" s="18"/>
      <c r="AB313" s="18"/>
      <c r="AC313" s="18"/>
      <c r="AD313" s="18"/>
      <c r="AE313" s="18"/>
      <c r="AF313" s="18"/>
      <c r="AG313" s="18"/>
      <c r="AH313" s="18"/>
      <c r="AI313" s="18"/>
      <c r="AJ313" s="18"/>
      <c r="AK313" s="18"/>
      <c r="AL313" s="18"/>
      <c r="AM313" s="18"/>
      <c r="AN313" s="18"/>
      <c r="AO313" s="18"/>
      <c r="AP313" s="18"/>
      <c r="AQ313" s="18"/>
      <c r="AR313" s="18"/>
      <c r="AS313" s="18"/>
      <c r="AT313" s="18"/>
      <c r="AU313" s="18"/>
    </row>
    <row r="314" spans="1:47" s="20" customFormat="1" x14ac:dyDescent="0.2">
      <c r="A314" s="12"/>
      <c r="B314" s="18"/>
      <c r="C314" s="18"/>
      <c r="D314" s="18"/>
      <c r="E314" s="18"/>
      <c r="F314" s="18"/>
      <c r="G314" s="18"/>
      <c r="H314" s="18"/>
      <c r="I314" s="18"/>
      <c r="J314" s="18"/>
      <c r="K314" s="18"/>
      <c r="L314" s="18"/>
      <c r="M314" s="18"/>
      <c r="N314" s="18"/>
      <c r="O314" s="18"/>
      <c r="P314" s="18"/>
      <c r="Q314" s="18"/>
      <c r="R314" s="18"/>
      <c r="S314" s="18"/>
      <c r="T314" s="18"/>
      <c r="U314" s="18"/>
      <c r="V314" s="18"/>
      <c r="W314" s="18"/>
      <c r="X314" s="18"/>
      <c r="Y314" s="18"/>
      <c r="Z314" s="18"/>
      <c r="AA314" s="18"/>
      <c r="AB314" s="18"/>
      <c r="AC314" s="18"/>
      <c r="AD314" s="18"/>
      <c r="AE314" s="18"/>
      <c r="AF314" s="18"/>
      <c r="AG314" s="18"/>
      <c r="AH314" s="18"/>
      <c r="AI314" s="18"/>
      <c r="AJ314" s="18"/>
      <c r="AK314" s="18"/>
      <c r="AL314" s="18"/>
      <c r="AM314" s="18"/>
      <c r="AN314" s="18"/>
      <c r="AO314" s="18"/>
      <c r="AP314" s="18"/>
      <c r="AQ314" s="18"/>
      <c r="AR314" s="18"/>
      <c r="AS314" s="18"/>
      <c r="AT314" s="18"/>
      <c r="AU314" s="18"/>
    </row>
    <row r="315" spans="1:47" s="20" customFormat="1" x14ac:dyDescent="0.2">
      <c r="A315" s="12"/>
      <c r="B315" s="18"/>
      <c r="C315" s="18"/>
      <c r="D315" s="18"/>
      <c r="E315" s="18"/>
      <c r="F315" s="18"/>
      <c r="G315" s="18"/>
      <c r="H315" s="18"/>
      <c r="I315" s="18"/>
      <c r="J315" s="18"/>
      <c r="K315" s="18"/>
      <c r="L315" s="18"/>
      <c r="M315" s="18"/>
      <c r="N315" s="18"/>
      <c r="O315" s="18"/>
      <c r="P315" s="18"/>
      <c r="Q315" s="18"/>
      <c r="R315" s="18"/>
      <c r="S315" s="18"/>
      <c r="T315" s="18"/>
      <c r="U315" s="18"/>
      <c r="V315" s="18"/>
      <c r="W315" s="18"/>
      <c r="X315" s="18"/>
      <c r="Y315" s="18"/>
      <c r="Z315" s="18"/>
      <c r="AA315" s="18"/>
      <c r="AB315" s="18"/>
      <c r="AC315" s="18"/>
      <c r="AD315" s="18"/>
      <c r="AE315" s="18"/>
      <c r="AF315" s="18"/>
      <c r="AG315" s="18"/>
      <c r="AH315" s="18"/>
      <c r="AI315" s="18"/>
      <c r="AJ315" s="18"/>
      <c r="AK315" s="18"/>
      <c r="AL315" s="18"/>
      <c r="AM315" s="18"/>
      <c r="AN315" s="18"/>
      <c r="AO315" s="18"/>
      <c r="AP315" s="18"/>
      <c r="AQ315" s="18"/>
      <c r="AR315" s="18"/>
      <c r="AS315" s="18"/>
      <c r="AT315" s="18"/>
      <c r="AU315" s="18"/>
    </row>
    <row r="316" spans="1:47" s="20" customFormat="1" x14ac:dyDescent="0.2">
      <c r="A316" s="12"/>
      <c r="B316" s="18"/>
      <c r="C316" s="18"/>
      <c r="D316" s="18"/>
      <c r="E316" s="18"/>
      <c r="F316" s="18"/>
      <c r="G316" s="18"/>
      <c r="H316" s="18"/>
      <c r="I316" s="18"/>
      <c r="J316" s="18"/>
      <c r="K316" s="18"/>
      <c r="L316" s="18"/>
      <c r="M316" s="18"/>
      <c r="N316" s="18"/>
      <c r="O316" s="18"/>
      <c r="P316" s="18"/>
      <c r="Q316" s="18"/>
      <c r="R316" s="18"/>
      <c r="S316" s="18"/>
      <c r="T316" s="18"/>
      <c r="U316" s="18"/>
      <c r="V316" s="18"/>
      <c r="W316" s="18"/>
      <c r="X316" s="18"/>
      <c r="Y316" s="18"/>
      <c r="Z316" s="18"/>
      <c r="AA316" s="18"/>
      <c r="AB316" s="18"/>
      <c r="AC316" s="18"/>
      <c r="AD316" s="18"/>
      <c r="AE316" s="18"/>
      <c r="AF316" s="18"/>
      <c r="AG316" s="18"/>
      <c r="AH316" s="18"/>
      <c r="AI316" s="18"/>
      <c r="AJ316" s="18"/>
      <c r="AK316" s="18"/>
      <c r="AL316" s="18"/>
      <c r="AM316" s="18"/>
      <c r="AN316" s="18"/>
      <c r="AO316" s="18"/>
      <c r="AP316" s="18"/>
      <c r="AQ316" s="18"/>
      <c r="AR316" s="18"/>
      <c r="AS316" s="18"/>
      <c r="AT316" s="18"/>
      <c r="AU316" s="18"/>
    </row>
    <row r="317" spans="1:47" s="20" customFormat="1" x14ac:dyDescent="0.2">
      <c r="A317" s="12"/>
      <c r="B317" s="18"/>
      <c r="C317" s="18"/>
      <c r="D317" s="18"/>
      <c r="E317" s="18"/>
      <c r="F317" s="18"/>
      <c r="G317" s="18"/>
      <c r="H317" s="18"/>
      <c r="I317" s="18"/>
      <c r="J317" s="18"/>
      <c r="K317" s="18"/>
      <c r="L317" s="18"/>
      <c r="M317" s="18"/>
      <c r="N317" s="18"/>
      <c r="O317" s="18"/>
      <c r="P317" s="18"/>
      <c r="Q317" s="18"/>
      <c r="R317" s="18"/>
      <c r="S317" s="18"/>
      <c r="T317" s="18"/>
      <c r="U317" s="18"/>
      <c r="V317" s="18"/>
      <c r="W317" s="18"/>
      <c r="X317" s="18"/>
      <c r="Y317" s="18"/>
      <c r="Z317" s="18"/>
      <c r="AA317" s="18"/>
      <c r="AB317" s="18"/>
      <c r="AC317" s="18"/>
      <c r="AD317" s="18"/>
      <c r="AE317" s="18"/>
      <c r="AF317" s="18"/>
      <c r="AG317" s="18"/>
      <c r="AH317" s="18"/>
      <c r="AI317" s="18"/>
      <c r="AJ317" s="18"/>
      <c r="AK317" s="18"/>
      <c r="AL317" s="18"/>
      <c r="AM317" s="18"/>
      <c r="AN317" s="18"/>
      <c r="AO317" s="18"/>
      <c r="AP317" s="18"/>
      <c r="AQ317" s="18"/>
      <c r="AR317" s="18"/>
      <c r="AS317" s="18"/>
      <c r="AT317" s="18"/>
      <c r="AU317" s="18"/>
    </row>
    <row r="318" spans="1:47" s="20" customFormat="1" x14ac:dyDescent="0.2">
      <c r="A318" s="12"/>
      <c r="B318" s="18"/>
      <c r="C318" s="18"/>
      <c r="D318" s="18"/>
      <c r="E318" s="18"/>
      <c r="F318" s="18"/>
      <c r="G318" s="18"/>
      <c r="H318" s="18"/>
      <c r="I318" s="18"/>
      <c r="J318" s="18"/>
      <c r="K318" s="18"/>
      <c r="L318" s="18"/>
      <c r="M318" s="18"/>
      <c r="N318" s="18"/>
      <c r="O318" s="18"/>
      <c r="P318" s="18"/>
      <c r="Q318" s="18"/>
      <c r="R318" s="18"/>
      <c r="S318" s="18"/>
      <c r="T318" s="18"/>
      <c r="U318" s="18"/>
      <c r="V318" s="18"/>
      <c r="W318" s="18"/>
      <c r="X318" s="18"/>
      <c r="Y318" s="18"/>
      <c r="Z318" s="18"/>
      <c r="AA318" s="18"/>
      <c r="AB318" s="18"/>
      <c r="AC318" s="18"/>
      <c r="AD318" s="18"/>
      <c r="AE318" s="18"/>
      <c r="AF318" s="18"/>
      <c r="AG318" s="18"/>
      <c r="AH318" s="18"/>
      <c r="AI318" s="18"/>
      <c r="AJ318" s="18"/>
      <c r="AK318" s="18"/>
      <c r="AL318" s="18"/>
      <c r="AM318" s="18"/>
      <c r="AN318" s="18"/>
      <c r="AO318" s="18"/>
      <c r="AP318" s="18"/>
      <c r="AQ318" s="18"/>
      <c r="AR318" s="18"/>
      <c r="AS318" s="18"/>
      <c r="AT318" s="18"/>
      <c r="AU318" s="18"/>
    </row>
    <row r="319" spans="1:47" s="20" customFormat="1" x14ac:dyDescent="0.2">
      <c r="A319" s="12"/>
      <c r="B319" s="18"/>
      <c r="C319" s="18"/>
      <c r="D319" s="18"/>
      <c r="E319" s="18"/>
      <c r="F319" s="18"/>
      <c r="G319" s="18"/>
      <c r="H319" s="18"/>
      <c r="I319" s="18"/>
      <c r="J319" s="18"/>
      <c r="K319" s="18"/>
      <c r="L319" s="18"/>
      <c r="M319" s="18"/>
      <c r="N319" s="18"/>
      <c r="O319" s="18"/>
      <c r="P319" s="18"/>
      <c r="Q319" s="18"/>
      <c r="R319" s="18"/>
      <c r="S319" s="18"/>
      <c r="T319" s="18"/>
      <c r="U319" s="18"/>
      <c r="V319" s="18"/>
      <c r="W319" s="18"/>
      <c r="X319" s="18"/>
      <c r="Y319" s="18"/>
      <c r="Z319" s="18"/>
      <c r="AA319" s="18"/>
      <c r="AB319" s="18"/>
      <c r="AC319" s="18"/>
      <c r="AD319" s="18"/>
      <c r="AE319" s="18"/>
      <c r="AF319" s="18"/>
      <c r="AG319" s="18"/>
      <c r="AH319" s="18"/>
      <c r="AI319" s="18"/>
      <c r="AJ319" s="18"/>
      <c r="AK319" s="18"/>
      <c r="AL319" s="18"/>
      <c r="AM319" s="18"/>
      <c r="AN319" s="18"/>
      <c r="AO319" s="18"/>
      <c r="AP319" s="18"/>
      <c r="AQ319" s="18"/>
      <c r="AR319" s="18"/>
      <c r="AS319" s="18"/>
      <c r="AT319" s="18"/>
      <c r="AU319" s="18"/>
    </row>
    <row r="320" spans="1:47" s="20" customFormat="1" x14ac:dyDescent="0.2">
      <c r="A320" s="12"/>
      <c r="B320" s="18"/>
      <c r="C320" s="18"/>
      <c r="D320" s="18"/>
      <c r="E320" s="18"/>
      <c r="F320" s="18"/>
      <c r="G320" s="18"/>
      <c r="H320" s="18"/>
      <c r="I320" s="18"/>
      <c r="J320" s="18"/>
      <c r="K320" s="18"/>
      <c r="L320" s="18"/>
      <c r="M320" s="18"/>
      <c r="N320" s="18"/>
      <c r="O320" s="18"/>
      <c r="P320" s="18"/>
      <c r="Q320" s="18"/>
      <c r="R320" s="18"/>
      <c r="S320" s="18"/>
      <c r="T320" s="18"/>
      <c r="U320" s="18"/>
      <c r="V320" s="18"/>
      <c r="W320" s="18"/>
      <c r="X320" s="18"/>
      <c r="Y320" s="18"/>
      <c r="Z320" s="18"/>
      <c r="AA320" s="18"/>
      <c r="AB320" s="18"/>
      <c r="AC320" s="18"/>
      <c r="AD320" s="18"/>
      <c r="AE320" s="18"/>
      <c r="AF320" s="18"/>
      <c r="AG320" s="18"/>
      <c r="AH320" s="18"/>
      <c r="AI320" s="18"/>
      <c r="AJ320" s="18"/>
      <c r="AK320" s="18"/>
      <c r="AL320" s="18"/>
      <c r="AM320" s="18"/>
      <c r="AN320" s="18"/>
      <c r="AO320" s="18"/>
      <c r="AP320" s="18"/>
      <c r="AQ320" s="18"/>
      <c r="AR320" s="18"/>
      <c r="AS320" s="18"/>
      <c r="AT320" s="18"/>
      <c r="AU320" s="18"/>
    </row>
    <row r="321" spans="1:47" s="20" customFormat="1" x14ac:dyDescent="0.2">
      <c r="A321" s="12"/>
      <c r="B321" s="18"/>
      <c r="C321" s="18"/>
      <c r="D321" s="18"/>
      <c r="E321" s="18"/>
      <c r="F321" s="18"/>
      <c r="G321" s="18"/>
      <c r="H321" s="18"/>
      <c r="I321" s="18"/>
      <c r="J321" s="18"/>
      <c r="K321" s="18"/>
      <c r="L321" s="18"/>
      <c r="M321" s="18"/>
      <c r="N321" s="18"/>
      <c r="O321" s="18"/>
      <c r="P321" s="18"/>
      <c r="Q321" s="18"/>
      <c r="R321" s="18"/>
      <c r="S321" s="18"/>
      <c r="T321" s="18"/>
      <c r="U321" s="18"/>
      <c r="V321" s="18"/>
      <c r="W321" s="18"/>
      <c r="X321" s="18"/>
      <c r="Y321" s="18"/>
      <c r="Z321" s="18"/>
      <c r="AA321" s="18"/>
      <c r="AB321" s="18"/>
      <c r="AC321" s="18"/>
      <c r="AD321" s="18"/>
      <c r="AE321" s="18"/>
      <c r="AF321" s="18"/>
      <c r="AG321" s="18"/>
      <c r="AH321" s="18"/>
      <c r="AI321" s="18"/>
      <c r="AJ321" s="18"/>
      <c r="AK321" s="18"/>
      <c r="AL321" s="18"/>
      <c r="AM321" s="18"/>
      <c r="AN321" s="18"/>
      <c r="AO321" s="18"/>
      <c r="AP321" s="18"/>
      <c r="AQ321" s="18"/>
      <c r="AR321" s="18"/>
      <c r="AS321" s="18"/>
      <c r="AT321" s="18"/>
      <c r="AU321" s="18"/>
    </row>
    <row r="322" spans="1:47" s="20" customFormat="1" x14ac:dyDescent="0.2">
      <c r="A322" s="12"/>
      <c r="B322" s="18"/>
      <c r="C322" s="18"/>
      <c r="D322" s="18"/>
      <c r="E322" s="18"/>
      <c r="F322" s="18"/>
      <c r="G322" s="18"/>
      <c r="H322" s="18"/>
      <c r="I322" s="18"/>
      <c r="J322" s="18"/>
      <c r="K322" s="18"/>
      <c r="L322" s="18"/>
      <c r="M322" s="18"/>
      <c r="N322" s="18"/>
      <c r="O322" s="18"/>
      <c r="P322" s="18"/>
      <c r="Q322" s="18"/>
      <c r="R322" s="18"/>
      <c r="S322" s="18"/>
      <c r="T322" s="18"/>
      <c r="U322" s="18"/>
      <c r="V322" s="18"/>
      <c r="W322" s="18"/>
      <c r="X322" s="18"/>
      <c r="Y322" s="18"/>
      <c r="Z322" s="18"/>
      <c r="AA322" s="18"/>
      <c r="AB322" s="18"/>
      <c r="AC322" s="18"/>
      <c r="AD322" s="18"/>
      <c r="AE322" s="18"/>
      <c r="AF322" s="18"/>
      <c r="AG322" s="18"/>
      <c r="AH322" s="18"/>
      <c r="AI322" s="18"/>
      <c r="AJ322" s="18"/>
      <c r="AK322" s="18"/>
      <c r="AL322" s="18"/>
      <c r="AM322" s="18"/>
      <c r="AN322" s="18"/>
      <c r="AO322" s="18"/>
      <c r="AP322" s="18"/>
      <c r="AQ322" s="18"/>
      <c r="AR322" s="18"/>
      <c r="AS322" s="18"/>
      <c r="AT322" s="18"/>
      <c r="AU322" s="18"/>
    </row>
    <row r="323" spans="1:47" s="20" customFormat="1" x14ac:dyDescent="0.2">
      <c r="A323" s="12"/>
      <c r="B323" s="18"/>
      <c r="C323" s="18"/>
      <c r="D323" s="18"/>
      <c r="E323" s="18"/>
      <c r="F323" s="18"/>
      <c r="G323" s="18"/>
      <c r="H323" s="18"/>
      <c r="I323" s="18"/>
      <c r="J323" s="18"/>
      <c r="K323" s="18"/>
      <c r="L323" s="18"/>
      <c r="M323" s="18"/>
      <c r="N323" s="18"/>
      <c r="O323" s="18"/>
      <c r="P323" s="18"/>
      <c r="Q323" s="18"/>
      <c r="R323" s="18"/>
      <c r="S323" s="18"/>
      <c r="T323" s="18"/>
      <c r="U323" s="18"/>
      <c r="V323" s="18"/>
      <c r="W323" s="18"/>
      <c r="X323" s="18"/>
      <c r="Y323" s="18"/>
      <c r="Z323" s="18"/>
      <c r="AA323" s="18"/>
      <c r="AB323" s="18"/>
      <c r="AC323" s="18"/>
      <c r="AD323" s="18"/>
      <c r="AE323" s="18"/>
      <c r="AF323" s="18"/>
      <c r="AG323" s="18"/>
      <c r="AH323" s="18"/>
      <c r="AI323" s="18"/>
      <c r="AJ323" s="18"/>
      <c r="AK323" s="18"/>
      <c r="AL323" s="18"/>
      <c r="AM323" s="18"/>
      <c r="AN323" s="18"/>
      <c r="AO323" s="18"/>
      <c r="AP323" s="18"/>
      <c r="AQ323" s="18"/>
      <c r="AR323" s="18"/>
      <c r="AS323" s="18"/>
      <c r="AT323" s="18"/>
      <c r="AU323" s="18"/>
    </row>
    <row r="324" spans="1:47" s="20" customFormat="1" x14ac:dyDescent="0.2">
      <c r="A324" s="12"/>
      <c r="B324" s="18"/>
      <c r="C324" s="18"/>
      <c r="D324" s="18"/>
      <c r="E324" s="18"/>
      <c r="F324" s="18"/>
      <c r="G324" s="18"/>
      <c r="H324" s="18"/>
      <c r="I324" s="18"/>
      <c r="J324" s="18"/>
      <c r="K324" s="18"/>
      <c r="L324" s="18"/>
      <c r="M324" s="18"/>
      <c r="N324" s="18"/>
      <c r="O324" s="18"/>
      <c r="P324" s="18"/>
      <c r="Q324" s="18"/>
      <c r="R324" s="18"/>
      <c r="S324" s="18"/>
      <c r="T324" s="18"/>
      <c r="U324" s="18"/>
      <c r="V324" s="18"/>
      <c r="W324" s="18"/>
      <c r="X324" s="18"/>
      <c r="Y324" s="18"/>
      <c r="Z324" s="18"/>
      <c r="AA324" s="18"/>
      <c r="AB324" s="18"/>
      <c r="AC324" s="18"/>
      <c r="AD324" s="18"/>
      <c r="AE324" s="18"/>
      <c r="AF324" s="18"/>
      <c r="AG324" s="18"/>
      <c r="AH324" s="18"/>
      <c r="AI324" s="18"/>
      <c r="AJ324" s="18"/>
      <c r="AK324" s="18"/>
      <c r="AL324" s="18"/>
      <c r="AM324" s="18"/>
      <c r="AN324" s="18"/>
      <c r="AO324" s="18"/>
      <c r="AP324" s="18"/>
      <c r="AQ324" s="18"/>
      <c r="AR324" s="18"/>
      <c r="AS324" s="18"/>
      <c r="AT324" s="18"/>
      <c r="AU324" s="18"/>
    </row>
    <row r="325" spans="1:47" s="20" customFormat="1" x14ac:dyDescent="0.2">
      <c r="A325" s="12"/>
      <c r="B325" s="18"/>
      <c r="C325" s="18"/>
      <c r="D325" s="18"/>
      <c r="E325" s="18"/>
      <c r="F325" s="18"/>
      <c r="G325" s="18"/>
      <c r="H325" s="18"/>
      <c r="I325" s="18"/>
      <c r="J325" s="18"/>
      <c r="K325" s="18"/>
      <c r="L325" s="18"/>
      <c r="M325" s="18"/>
      <c r="N325" s="18"/>
      <c r="O325" s="18"/>
      <c r="P325" s="18"/>
      <c r="Q325" s="18"/>
      <c r="R325" s="18"/>
      <c r="S325" s="18"/>
      <c r="T325" s="18"/>
      <c r="U325" s="18"/>
      <c r="V325" s="18"/>
      <c r="W325" s="18"/>
      <c r="X325" s="18"/>
      <c r="Y325" s="18"/>
      <c r="Z325" s="18"/>
      <c r="AA325" s="18"/>
      <c r="AB325" s="18"/>
      <c r="AC325" s="18"/>
      <c r="AD325" s="18"/>
      <c r="AE325" s="18"/>
      <c r="AF325" s="18"/>
      <c r="AG325" s="18"/>
      <c r="AH325" s="18"/>
      <c r="AI325" s="18"/>
      <c r="AJ325" s="18"/>
      <c r="AK325" s="18"/>
      <c r="AL325" s="18"/>
      <c r="AM325" s="18"/>
      <c r="AN325" s="18"/>
      <c r="AO325" s="18"/>
      <c r="AP325" s="18"/>
      <c r="AQ325" s="18"/>
      <c r="AR325" s="18"/>
      <c r="AS325" s="18"/>
      <c r="AT325" s="18"/>
      <c r="AU325" s="18"/>
    </row>
    <row r="326" spans="1:47" s="20" customFormat="1" x14ac:dyDescent="0.2">
      <c r="A326" s="12"/>
      <c r="B326" s="18"/>
      <c r="C326" s="18"/>
      <c r="D326" s="18"/>
      <c r="E326" s="18"/>
      <c r="F326" s="18"/>
      <c r="G326" s="18"/>
      <c r="H326" s="18"/>
      <c r="I326" s="18"/>
      <c r="J326" s="18"/>
      <c r="K326" s="18"/>
      <c r="L326" s="18"/>
      <c r="M326" s="18"/>
      <c r="N326" s="18"/>
      <c r="O326" s="18"/>
      <c r="P326" s="18"/>
      <c r="Q326" s="18"/>
      <c r="R326" s="18"/>
      <c r="S326" s="18"/>
      <c r="T326" s="18"/>
      <c r="U326" s="18"/>
      <c r="V326" s="18"/>
      <c r="W326" s="18"/>
      <c r="X326" s="18"/>
      <c r="Y326" s="18"/>
      <c r="Z326" s="18"/>
      <c r="AA326" s="18"/>
      <c r="AB326" s="18"/>
      <c r="AC326" s="18"/>
      <c r="AD326" s="18"/>
      <c r="AE326" s="18"/>
      <c r="AF326" s="18"/>
      <c r="AG326" s="18"/>
      <c r="AH326" s="18"/>
      <c r="AI326" s="18"/>
      <c r="AJ326" s="18"/>
      <c r="AK326" s="18"/>
      <c r="AL326" s="18"/>
      <c r="AM326" s="18"/>
      <c r="AN326" s="18"/>
      <c r="AO326" s="18"/>
      <c r="AP326" s="18"/>
      <c r="AQ326" s="18"/>
      <c r="AR326" s="18"/>
      <c r="AS326" s="18"/>
      <c r="AT326" s="18"/>
      <c r="AU326" s="18"/>
    </row>
    <row r="327" spans="1:47" s="20" customFormat="1" x14ac:dyDescent="0.2">
      <c r="A327" s="12"/>
      <c r="B327" s="18"/>
      <c r="C327" s="18"/>
      <c r="D327" s="18"/>
      <c r="E327" s="18"/>
      <c r="F327" s="18"/>
      <c r="G327" s="18"/>
      <c r="H327" s="18"/>
      <c r="I327" s="18"/>
      <c r="J327" s="18"/>
      <c r="K327" s="18"/>
      <c r="L327" s="18"/>
      <c r="M327" s="18"/>
      <c r="N327" s="18"/>
      <c r="O327" s="18"/>
      <c r="P327" s="18"/>
      <c r="Q327" s="18"/>
      <c r="R327" s="18"/>
      <c r="S327" s="18"/>
      <c r="T327" s="18"/>
      <c r="U327" s="18"/>
      <c r="V327" s="18"/>
      <c r="W327" s="18"/>
      <c r="X327" s="18"/>
      <c r="Y327" s="18"/>
      <c r="Z327" s="18"/>
      <c r="AA327" s="18"/>
      <c r="AB327" s="18"/>
      <c r="AC327" s="18"/>
      <c r="AD327" s="18"/>
      <c r="AE327" s="18"/>
      <c r="AF327" s="18"/>
      <c r="AG327" s="18"/>
      <c r="AH327" s="18"/>
      <c r="AI327" s="18"/>
      <c r="AJ327" s="18"/>
      <c r="AK327" s="18"/>
      <c r="AL327" s="18"/>
      <c r="AM327" s="18"/>
      <c r="AN327" s="18"/>
      <c r="AO327" s="18"/>
      <c r="AP327" s="18"/>
      <c r="AQ327" s="18"/>
      <c r="AR327" s="18"/>
      <c r="AS327" s="18"/>
      <c r="AT327" s="18"/>
      <c r="AU327" s="18"/>
    </row>
    <row r="328" spans="1:47" s="20" customFormat="1" x14ac:dyDescent="0.2">
      <c r="A328" s="12"/>
      <c r="B328" s="18"/>
      <c r="C328" s="18"/>
      <c r="D328" s="18"/>
      <c r="E328" s="18"/>
      <c r="F328" s="18"/>
      <c r="G328" s="18"/>
      <c r="H328" s="18"/>
      <c r="I328" s="18"/>
      <c r="J328" s="18"/>
      <c r="K328" s="18"/>
      <c r="L328" s="18"/>
      <c r="M328" s="18"/>
      <c r="N328" s="18"/>
      <c r="O328" s="18"/>
      <c r="P328" s="18"/>
      <c r="Q328" s="18"/>
      <c r="R328" s="18"/>
      <c r="S328" s="18"/>
      <c r="T328" s="18"/>
      <c r="U328" s="18"/>
      <c r="V328" s="18"/>
      <c r="W328" s="18"/>
      <c r="X328" s="18"/>
      <c r="Y328" s="18"/>
      <c r="Z328" s="18"/>
      <c r="AA328" s="18"/>
      <c r="AB328" s="18"/>
      <c r="AC328" s="18"/>
      <c r="AD328" s="18"/>
      <c r="AE328" s="18"/>
      <c r="AF328" s="18"/>
      <c r="AG328" s="18"/>
      <c r="AH328" s="18"/>
      <c r="AI328" s="18"/>
      <c r="AJ328" s="18"/>
      <c r="AK328" s="18"/>
      <c r="AL328" s="18"/>
      <c r="AM328" s="18"/>
      <c r="AN328" s="18"/>
      <c r="AO328" s="18"/>
      <c r="AP328" s="18"/>
      <c r="AQ328" s="18"/>
      <c r="AR328" s="18"/>
      <c r="AS328" s="18"/>
      <c r="AT328" s="18"/>
      <c r="AU328" s="18"/>
    </row>
    <row r="329" spans="1:47" s="20" customFormat="1" x14ac:dyDescent="0.2">
      <c r="A329" s="12"/>
      <c r="B329" s="18"/>
      <c r="C329" s="18"/>
      <c r="D329" s="18"/>
      <c r="E329" s="18"/>
      <c r="F329" s="18"/>
      <c r="G329" s="18"/>
      <c r="H329" s="18"/>
      <c r="I329" s="18"/>
      <c r="J329" s="18"/>
      <c r="K329" s="18"/>
      <c r="L329" s="18"/>
      <c r="M329" s="18"/>
      <c r="N329" s="18"/>
      <c r="O329" s="18"/>
      <c r="P329" s="18"/>
      <c r="Q329" s="18"/>
      <c r="R329" s="18"/>
      <c r="S329" s="18"/>
      <c r="T329" s="18"/>
      <c r="U329" s="18"/>
      <c r="V329" s="18"/>
      <c r="W329" s="18"/>
      <c r="X329" s="18"/>
      <c r="Y329" s="18"/>
      <c r="Z329" s="18"/>
      <c r="AA329" s="18"/>
      <c r="AB329" s="18"/>
      <c r="AC329" s="18"/>
      <c r="AD329" s="18"/>
      <c r="AE329" s="18"/>
      <c r="AF329" s="18"/>
      <c r="AG329" s="18"/>
      <c r="AH329" s="18"/>
      <c r="AI329" s="18"/>
      <c r="AJ329" s="18"/>
      <c r="AK329" s="18"/>
      <c r="AL329" s="18"/>
      <c r="AM329" s="18"/>
      <c r="AN329" s="18"/>
      <c r="AO329" s="18"/>
      <c r="AP329" s="18"/>
      <c r="AQ329" s="18"/>
      <c r="AR329" s="18"/>
      <c r="AS329" s="18"/>
      <c r="AT329" s="18"/>
      <c r="AU329" s="18"/>
    </row>
    <row r="330" spans="1:47" s="20" customFormat="1" x14ac:dyDescent="0.2">
      <c r="A330" s="12"/>
      <c r="B330" s="18"/>
      <c r="C330" s="18"/>
      <c r="D330" s="18"/>
      <c r="E330" s="18"/>
      <c r="F330" s="18"/>
      <c r="G330" s="18"/>
      <c r="H330" s="18"/>
      <c r="I330" s="18"/>
      <c r="J330" s="18"/>
      <c r="K330" s="18"/>
      <c r="L330" s="18"/>
      <c r="M330" s="18"/>
      <c r="N330" s="18"/>
      <c r="O330" s="18"/>
      <c r="P330" s="18"/>
      <c r="Q330" s="18"/>
      <c r="R330" s="18"/>
      <c r="S330" s="18"/>
      <c r="T330" s="18"/>
      <c r="U330" s="18"/>
      <c r="V330" s="18"/>
      <c r="W330" s="18"/>
      <c r="X330" s="18"/>
      <c r="Y330" s="18"/>
      <c r="Z330" s="18"/>
      <c r="AA330" s="18"/>
      <c r="AB330" s="18"/>
      <c r="AC330" s="18"/>
      <c r="AD330" s="18"/>
      <c r="AE330" s="18"/>
      <c r="AF330" s="18"/>
      <c r="AG330" s="18"/>
      <c r="AH330" s="18"/>
      <c r="AI330" s="18"/>
      <c r="AJ330" s="18"/>
      <c r="AK330" s="18"/>
      <c r="AL330" s="18"/>
      <c r="AM330" s="18"/>
      <c r="AN330" s="18"/>
      <c r="AO330" s="18"/>
      <c r="AP330" s="18"/>
      <c r="AQ330" s="18"/>
      <c r="AR330" s="18"/>
      <c r="AS330" s="18"/>
      <c r="AT330" s="18"/>
      <c r="AU330" s="18"/>
    </row>
    <row r="331" spans="1:47" s="20" customFormat="1" x14ac:dyDescent="0.2">
      <c r="A331" s="12"/>
      <c r="B331" s="18"/>
      <c r="C331" s="18"/>
      <c r="D331" s="18"/>
      <c r="E331" s="18"/>
      <c r="F331" s="18"/>
      <c r="G331" s="18"/>
      <c r="H331" s="18"/>
      <c r="I331" s="18"/>
      <c r="J331" s="18"/>
      <c r="K331" s="18"/>
      <c r="L331" s="18"/>
      <c r="M331" s="18"/>
      <c r="N331" s="18"/>
      <c r="O331" s="18"/>
      <c r="P331" s="18"/>
      <c r="Q331" s="18"/>
      <c r="R331" s="18"/>
      <c r="S331" s="18"/>
      <c r="T331" s="18"/>
      <c r="U331" s="18"/>
      <c r="V331" s="18"/>
      <c r="W331" s="18"/>
      <c r="X331" s="18"/>
      <c r="Y331" s="18"/>
      <c r="Z331" s="18"/>
      <c r="AA331" s="18"/>
      <c r="AB331" s="18"/>
      <c r="AC331" s="18"/>
      <c r="AD331" s="18"/>
      <c r="AE331" s="18"/>
      <c r="AF331" s="18"/>
      <c r="AG331" s="18"/>
      <c r="AH331" s="18"/>
      <c r="AI331" s="18"/>
      <c r="AJ331" s="18"/>
      <c r="AK331" s="18"/>
      <c r="AL331" s="18"/>
      <c r="AM331" s="18"/>
      <c r="AN331" s="18"/>
      <c r="AO331" s="18"/>
      <c r="AP331" s="18"/>
      <c r="AQ331" s="18"/>
      <c r="AR331" s="18"/>
      <c r="AS331" s="18"/>
      <c r="AT331" s="18"/>
      <c r="AU331" s="18"/>
    </row>
    <row r="332" spans="1:47" s="20" customFormat="1" x14ac:dyDescent="0.2">
      <c r="A332" s="12"/>
      <c r="B332" s="18"/>
      <c r="C332" s="18"/>
      <c r="D332" s="18"/>
      <c r="E332" s="18"/>
      <c r="F332" s="18"/>
      <c r="G332" s="18"/>
      <c r="H332" s="18"/>
      <c r="I332" s="18"/>
      <c r="J332" s="18"/>
      <c r="K332" s="18"/>
      <c r="L332" s="18"/>
      <c r="M332" s="18"/>
      <c r="N332" s="18"/>
      <c r="O332" s="18"/>
      <c r="P332" s="18"/>
      <c r="Q332" s="18"/>
      <c r="R332" s="18"/>
      <c r="S332" s="18"/>
      <c r="T332" s="18"/>
      <c r="U332" s="18"/>
      <c r="V332" s="18"/>
      <c r="W332" s="18"/>
      <c r="X332" s="18"/>
      <c r="Y332" s="18"/>
      <c r="Z332" s="18"/>
      <c r="AA332" s="18"/>
      <c r="AB332" s="18"/>
      <c r="AC332" s="18"/>
      <c r="AD332" s="18"/>
      <c r="AE332" s="18"/>
      <c r="AF332" s="18"/>
      <c r="AG332" s="18"/>
      <c r="AH332" s="18"/>
      <c r="AI332" s="18"/>
      <c r="AJ332" s="18"/>
      <c r="AK332" s="18"/>
      <c r="AL332" s="18"/>
      <c r="AM332" s="18"/>
      <c r="AN332" s="18"/>
      <c r="AO332" s="18"/>
      <c r="AP332" s="18"/>
      <c r="AQ332" s="18"/>
      <c r="AR332" s="18"/>
      <c r="AS332" s="18"/>
      <c r="AT332" s="18"/>
      <c r="AU332" s="18"/>
    </row>
    <row r="333" spans="1:47" s="20" customFormat="1" x14ac:dyDescent="0.2">
      <c r="A333" s="12"/>
      <c r="B333" s="18"/>
      <c r="C333" s="18"/>
      <c r="D333" s="18"/>
      <c r="E333" s="18"/>
      <c r="F333" s="18"/>
      <c r="G333" s="18"/>
      <c r="H333" s="18"/>
      <c r="I333" s="18"/>
      <c r="J333" s="18"/>
      <c r="K333" s="18"/>
      <c r="L333" s="18"/>
      <c r="M333" s="18"/>
      <c r="N333" s="18"/>
      <c r="O333" s="18"/>
      <c r="P333" s="18"/>
      <c r="Q333" s="18"/>
      <c r="R333" s="18"/>
      <c r="S333" s="18"/>
      <c r="T333" s="18"/>
      <c r="U333" s="18"/>
      <c r="V333" s="18"/>
      <c r="W333" s="18"/>
      <c r="X333" s="18"/>
      <c r="Y333" s="18"/>
      <c r="Z333" s="18"/>
      <c r="AA333" s="18"/>
      <c r="AB333" s="18"/>
      <c r="AC333" s="18"/>
      <c r="AD333" s="18"/>
      <c r="AE333" s="18"/>
      <c r="AF333" s="18"/>
      <c r="AG333" s="18"/>
      <c r="AH333" s="18"/>
      <c r="AI333" s="18"/>
      <c r="AJ333" s="18"/>
      <c r="AK333" s="18"/>
      <c r="AL333" s="18"/>
      <c r="AM333" s="18"/>
      <c r="AN333" s="18"/>
      <c r="AO333" s="18"/>
      <c r="AP333" s="18"/>
      <c r="AQ333" s="18"/>
      <c r="AR333" s="18"/>
      <c r="AS333" s="18"/>
      <c r="AT333" s="18"/>
      <c r="AU333" s="18"/>
    </row>
    <row r="334" spans="1:47" s="20" customFormat="1" x14ac:dyDescent="0.2">
      <c r="A334" s="12"/>
      <c r="B334" s="18"/>
      <c r="C334" s="18"/>
      <c r="D334" s="18"/>
      <c r="E334" s="18"/>
      <c r="F334" s="18"/>
      <c r="G334" s="18"/>
      <c r="H334" s="18"/>
      <c r="I334" s="18"/>
      <c r="J334" s="18"/>
      <c r="K334" s="18"/>
      <c r="L334" s="18"/>
      <c r="M334" s="18"/>
      <c r="N334" s="18"/>
      <c r="O334" s="18"/>
      <c r="P334" s="18"/>
      <c r="Q334" s="18"/>
      <c r="R334" s="18"/>
      <c r="S334" s="18"/>
      <c r="T334" s="18"/>
      <c r="U334" s="18"/>
      <c r="V334" s="18"/>
      <c r="W334" s="18"/>
      <c r="X334" s="18"/>
      <c r="Y334" s="18"/>
      <c r="Z334" s="18"/>
      <c r="AA334" s="18"/>
      <c r="AB334" s="18"/>
      <c r="AC334" s="18"/>
      <c r="AD334" s="18"/>
      <c r="AE334" s="18"/>
      <c r="AF334" s="18"/>
      <c r="AG334" s="18"/>
      <c r="AH334" s="18"/>
      <c r="AI334" s="18"/>
      <c r="AJ334" s="18"/>
      <c r="AK334" s="18"/>
      <c r="AL334" s="18"/>
      <c r="AM334" s="18"/>
      <c r="AN334" s="18"/>
      <c r="AO334" s="18"/>
      <c r="AP334" s="18"/>
      <c r="AQ334" s="18"/>
      <c r="AR334" s="18"/>
      <c r="AS334" s="18"/>
      <c r="AT334" s="18"/>
      <c r="AU334" s="18"/>
    </row>
    <row r="335" spans="1:47" s="20" customFormat="1" x14ac:dyDescent="0.2">
      <c r="A335" s="12"/>
      <c r="B335" s="18"/>
      <c r="C335" s="18"/>
      <c r="D335" s="18"/>
      <c r="E335" s="18"/>
      <c r="F335" s="18"/>
      <c r="G335" s="18"/>
      <c r="H335" s="18"/>
      <c r="I335" s="18"/>
      <c r="J335" s="18"/>
      <c r="K335" s="18"/>
      <c r="L335" s="18"/>
      <c r="M335" s="18"/>
      <c r="N335" s="18"/>
      <c r="O335" s="18"/>
      <c r="P335" s="18"/>
      <c r="Q335" s="18"/>
      <c r="R335" s="18"/>
      <c r="S335" s="18"/>
      <c r="T335" s="18"/>
      <c r="U335" s="18"/>
      <c r="V335" s="18"/>
      <c r="W335" s="18"/>
      <c r="X335" s="18"/>
      <c r="Y335" s="18"/>
      <c r="Z335" s="18"/>
      <c r="AA335" s="18"/>
      <c r="AB335" s="18"/>
      <c r="AC335" s="18"/>
      <c r="AD335" s="18"/>
      <c r="AE335" s="18"/>
      <c r="AF335" s="18"/>
      <c r="AG335" s="18"/>
      <c r="AH335" s="18"/>
      <c r="AI335" s="18"/>
      <c r="AJ335" s="18"/>
      <c r="AK335" s="18"/>
      <c r="AL335" s="18"/>
      <c r="AM335" s="18"/>
      <c r="AN335" s="18"/>
      <c r="AO335" s="18"/>
      <c r="AP335" s="18"/>
      <c r="AQ335" s="18"/>
      <c r="AR335" s="18"/>
      <c r="AS335" s="18"/>
      <c r="AT335" s="18"/>
      <c r="AU335" s="18"/>
    </row>
    <row r="336" spans="1:47" s="20" customFormat="1" x14ac:dyDescent="0.2">
      <c r="A336" s="12"/>
      <c r="B336" s="18"/>
      <c r="C336" s="18"/>
      <c r="D336" s="18"/>
      <c r="E336" s="18"/>
      <c r="F336" s="18"/>
      <c r="G336" s="18"/>
      <c r="H336" s="18"/>
      <c r="I336" s="18"/>
      <c r="J336" s="18"/>
      <c r="K336" s="18"/>
      <c r="L336" s="18"/>
      <c r="M336" s="18"/>
      <c r="N336" s="18"/>
      <c r="O336" s="18"/>
      <c r="P336" s="18"/>
      <c r="Q336" s="18"/>
      <c r="R336" s="18"/>
      <c r="S336" s="18"/>
      <c r="T336" s="18"/>
      <c r="U336" s="18"/>
      <c r="V336" s="18"/>
      <c r="W336" s="18"/>
      <c r="X336" s="18"/>
      <c r="Y336" s="18"/>
      <c r="Z336" s="18"/>
      <c r="AA336" s="18"/>
      <c r="AB336" s="18"/>
      <c r="AC336" s="18"/>
      <c r="AD336" s="18"/>
      <c r="AE336" s="18"/>
      <c r="AF336" s="18"/>
      <c r="AG336" s="18"/>
      <c r="AH336" s="18"/>
      <c r="AI336" s="18"/>
      <c r="AJ336" s="18"/>
      <c r="AK336" s="18"/>
      <c r="AL336" s="18"/>
      <c r="AM336" s="18"/>
      <c r="AN336" s="18"/>
      <c r="AO336" s="18"/>
      <c r="AP336" s="18"/>
      <c r="AQ336" s="18"/>
      <c r="AR336" s="18"/>
      <c r="AS336" s="18"/>
      <c r="AT336" s="18"/>
      <c r="AU336" s="18"/>
    </row>
    <row r="337" spans="1:47" s="20" customFormat="1" x14ac:dyDescent="0.2">
      <c r="A337" s="12"/>
      <c r="B337" s="18"/>
      <c r="C337" s="18"/>
      <c r="D337" s="18"/>
      <c r="E337" s="18"/>
      <c r="F337" s="18"/>
      <c r="G337" s="18"/>
      <c r="H337" s="18"/>
      <c r="I337" s="18"/>
      <c r="J337" s="18"/>
      <c r="K337" s="18"/>
      <c r="L337" s="18"/>
      <c r="M337" s="18"/>
      <c r="N337" s="18"/>
      <c r="O337" s="18"/>
      <c r="P337" s="18"/>
      <c r="Q337" s="18"/>
      <c r="R337" s="18"/>
      <c r="S337" s="18"/>
      <c r="T337" s="18"/>
      <c r="U337" s="18"/>
      <c r="V337" s="18"/>
      <c r="W337" s="18"/>
      <c r="X337" s="18"/>
      <c r="Y337" s="18"/>
      <c r="Z337" s="18"/>
      <c r="AA337" s="18"/>
      <c r="AB337" s="18"/>
      <c r="AC337" s="18"/>
      <c r="AD337" s="18"/>
      <c r="AE337" s="18"/>
      <c r="AF337" s="18"/>
      <c r="AG337" s="18"/>
      <c r="AH337" s="18"/>
      <c r="AI337" s="18"/>
      <c r="AJ337" s="18"/>
      <c r="AK337" s="18"/>
      <c r="AL337" s="18"/>
      <c r="AM337" s="18"/>
      <c r="AN337" s="18"/>
      <c r="AO337" s="18"/>
      <c r="AP337" s="18"/>
      <c r="AQ337" s="18"/>
      <c r="AR337" s="18"/>
      <c r="AS337" s="18"/>
      <c r="AT337" s="18"/>
      <c r="AU337" s="18"/>
    </row>
    <row r="338" spans="1:47" s="20" customFormat="1" x14ac:dyDescent="0.2">
      <c r="A338" s="12"/>
      <c r="B338" s="18"/>
      <c r="C338" s="18"/>
      <c r="D338" s="18"/>
      <c r="E338" s="18"/>
      <c r="F338" s="18"/>
      <c r="G338" s="18"/>
      <c r="H338" s="18"/>
      <c r="I338" s="18"/>
      <c r="J338" s="18"/>
      <c r="K338" s="18"/>
      <c r="L338" s="18"/>
      <c r="M338" s="18"/>
      <c r="N338" s="18"/>
      <c r="O338" s="18"/>
      <c r="P338" s="18"/>
      <c r="Q338" s="18"/>
      <c r="R338" s="18"/>
      <c r="S338" s="18"/>
      <c r="T338" s="18"/>
      <c r="U338" s="18"/>
      <c r="V338" s="18"/>
      <c r="W338" s="18"/>
      <c r="X338" s="18"/>
      <c r="Y338" s="18"/>
      <c r="Z338" s="18"/>
      <c r="AA338" s="18"/>
      <c r="AB338" s="18"/>
      <c r="AC338" s="18"/>
      <c r="AD338" s="18"/>
      <c r="AE338" s="18"/>
      <c r="AF338" s="18"/>
      <c r="AG338" s="18"/>
      <c r="AH338" s="18"/>
      <c r="AI338" s="18"/>
      <c r="AJ338" s="18"/>
      <c r="AK338" s="18"/>
      <c r="AL338" s="18"/>
      <c r="AM338" s="18"/>
      <c r="AN338" s="18"/>
      <c r="AO338" s="18"/>
      <c r="AP338" s="18"/>
      <c r="AQ338" s="18"/>
      <c r="AR338" s="18"/>
      <c r="AS338" s="18"/>
      <c r="AT338" s="18"/>
      <c r="AU338" s="18"/>
    </row>
    <row r="339" spans="1:47" s="20" customFormat="1" x14ac:dyDescent="0.2">
      <c r="A339" s="12"/>
      <c r="B339" s="18"/>
      <c r="C339" s="18"/>
      <c r="D339" s="18"/>
      <c r="E339" s="18"/>
      <c r="F339" s="18"/>
      <c r="G339" s="18"/>
      <c r="H339" s="18"/>
      <c r="I339" s="18"/>
      <c r="J339" s="18"/>
      <c r="K339" s="18"/>
      <c r="L339" s="18"/>
      <c r="M339" s="18"/>
      <c r="N339" s="18"/>
      <c r="O339" s="18"/>
      <c r="P339" s="18"/>
      <c r="Q339" s="18"/>
      <c r="R339" s="18"/>
      <c r="S339" s="18"/>
      <c r="T339" s="18"/>
      <c r="U339" s="18"/>
      <c r="V339" s="18"/>
      <c r="W339" s="18"/>
      <c r="X339" s="18"/>
      <c r="Y339" s="18"/>
      <c r="Z339" s="18"/>
      <c r="AA339" s="18"/>
      <c r="AB339" s="18"/>
      <c r="AC339" s="18"/>
      <c r="AD339" s="18"/>
      <c r="AE339" s="18"/>
      <c r="AF339" s="18"/>
      <c r="AG339" s="18"/>
      <c r="AH339" s="18"/>
      <c r="AI339" s="18"/>
      <c r="AJ339" s="18"/>
      <c r="AK339" s="18"/>
      <c r="AL339" s="18"/>
      <c r="AM339" s="18"/>
      <c r="AN339" s="18"/>
      <c r="AO339" s="18"/>
      <c r="AP339" s="18"/>
      <c r="AQ339" s="18"/>
      <c r="AR339" s="18"/>
      <c r="AS339" s="18"/>
      <c r="AT339" s="18"/>
      <c r="AU339" s="18"/>
    </row>
    <row r="340" spans="1:47" s="20" customFormat="1" x14ac:dyDescent="0.2">
      <c r="A340" s="12"/>
      <c r="B340" s="18"/>
      <c r="C340" s="18"/>
      <c r="D340" s="18"/>
      <c r="E340" s="18"/>
      <c r="F340" s="18"/>
      <c r="G340" s="18"/>
      <c r="H340" s="18"/>
      <c r="I340" s="18"/>
      <c r="J340" s="18"/>
      <c r="K340" s="18"/>
      <c r="L340" s="18"/>
      <c r="M340" s="18"/>
      <c r="N340" s="18"/>
      <c r="O340" s="18"/>
      <c r="P340" s="18"/>
      <c r="Q340" s="18"/>
      <c r="R340" s="18"/>
      <c r="S340" s="18"/>
      <c r="T340" s="18"/>
      <c r="U340" s="18"/>
      <c r="V340" s="18"/>
      <c r="W340" s="18"/>
      <c r="X340" s="18"/>
      <c r="Y340" s="18"/>
      <c r="Z340" s="18"/>
      <c r="AA340" s="18"/>
      <c r="AB340" s="18"/>
      <c r="AC340" s="18"/>
      <c r="AD340" s="18"/>
      <c r="AE340" s="18"/>
      <c r="AF340" s="18"/>
      <c r="AG340" s="18"/>
      <c r="AH340" s="18"/>
      <c r="AI340" s="18"/>
      <c r="AJ340" s="18"/>
      <c r="AK340" s="18"/>
      <c r="AL340" s="18"/>
      <c r="AM340" s="18"/>
      <c r="AN340" s="18"/>
      <c r="AO340" s="18"/>
      <c r="AP340" s="18"/>
      <c r="AQ340" s="18"/>
      <c r="AR340" s="18"/>
      <c r="AS340" s="18"/>
      <c r="AT340" s="18"/>
      <c r="AU340" s="18"/>
    </row>
    <row r="341" spans="1:47" s="20" customFormat="1" x14ac:dyDescent="0.2">
      <c r="A341" s="12"/>
      <c r="B341" s="18"/>
      <c r="C341" s="18"/>
      <c r="D341" s="18"/>
      <c r="E341" s="18"/>
      <c r="F341" s="18"/>
      <c r="G341" s="18"/>
      <c r="H341" s="18"/>
      <c r="I341" s="18"/>
      <c r="J341" s="18"/>
      <c r="K341" s="18"/>
      <c r="L341" s="18"/>
      <c r="M341" s="18"/>
      <c r="N341" s="18"/>
      <c r="O341" s="18"/>
      <c r="P341" s="18"/>
      <c r="Q341" s="18"/>
      <c r="R341" s="18"/>
      <c r="S341" s="18"/>
      <c r="T341" s="18"/>
      <c r="U341" s="18"/>
      <c r="V341" s="18"/>
      <c r="W341" s="18"/>
      <c r="X341" s="18"/>
      <c r="Y341" s="18"/>
      <c r="Z341" s="18"/>
      <c r="AA341" s="18"/>
      <c r="AB341" s="18"/>
      <c r="AC341" s="18"/>
      <c r="AD341" s="18"/>
      <c r="AE341" s="18"/>
      <c r="AF341" s="18"/>
      <c r="AG341" s="18"/>
      <c r="AH341" s="18"/>
      <c r="AI341" s="18"/>
      <c r="AJ341" s="18"/>
      <c r="AK341" s="18"/>
      <c r="AL341" s="18"/>
      <c r="AM341" s="18"/>
      <c r="AN341" s="18"/>
      <c r="AO341" s="18"/>
      <c r="AP341" s="18"/>
      <c r="AQ341" s="18"/>
      <c r="AR341" s="18"/>
      <c r="AS341" s="18"/>
      <c r="AT341" s="18"/>
      <c r="AU341" s="18"/>
    </row>
    <row r="342" spans="1:47" s="20" customFormat="1" x14ac:dyDescent="0.2">
      <c r="A342" s="12"/>
      <c r="B342" s="18"/>
      <c r="C342" s="18"/>
      <c r="D342" s="18"/>
      <c r="E342" s="18"/>
      <c r="F342" s="18"/>
      <c r="G342" s="18"/>
      <c r="H342" s="18"/>
      <c r="I342" s="18"/>
      <c r="J342" s="18"/>
      <c r="K342" s="18"/>
      <c r="L342" s="18"/>
      <c r="M342" s="18"/>
      <c r="N342" s="18"/>
      <c r="O342" s="18"/>
      <c r="P342" s="18"/>
      <c r="Q342" s="18"/>
      <c r="R342" s="18"/>
      <c r="S342" s="18"/>
      <c r="T342" s="18"/>
      <c r="U342" s="18"/>
      <c r="V342" s="18"/>
      <c r="W342" s="18"/>
      <c r="X342" s="18"/>
      <c r="Y342" s="18"/>
      <c r="Z342" s="18"/>
      <c r="AA342" s="18"/>
      <c r="AB342" s="18"/>
      <c r="AC342" s="18"/>
      <c r="AD342" s="18"/>
      <c r="AE342" s="18"/>
      <c r="AF342" s="18"/>
      <c r="AG342" s="18"/>
      <c r="AH342" s="18"/>
      <c r="AI342" s="18"/>
      <c r="AJ342" s="18"/>
      <c r="AK342" s="18"/>
      <c r="AL342" s="18"/>
      <c r="AM342" s="18"/>
      <c r="AN342" s="18"/>
      <c r="AO342" s="18"/>
      <c r="AP342" s="18"/>
      <c r="AQ342" s="18"/>
      <c r="AR342" s="18"/>
      <c r="AS342" s="18"/>
      <c r="AT342" s="18"/>
      <c r="AU342" s="18"/>
    </row>
    <row r="343" spans="1:47" s="20" customFormat="1" x14ac:dyDescent="0.2">
      <c r="A343" s="12"/>
      <c r="B343" s="18"/>
      <c r="C343" s="18"/>
      <c r="D343" s="18"/>
      <c r="E343" s="18"/>
      <c r="F343" s="18"/>
      <c r="G343" s="18"/>
      <c r="H343" s="18"/>
      <c r="I343" s="18"/>
      <c r="J343" s="18"/>
      <c r="K343" s="18"/>
      <c r="L343" s="18"/>
      <c r="M343" s="18"/>
      <c r="N343" s="18"/>
      <c r="O343" s="18"/>
      <c r="P343" s="18"/>
      <c r="Q343" s="18"/>
      <c r="R343" s="18"/>
      <c r="S343" s="18"/>
      <c r="T343" s="18"/>
      <c r="U343" s="18"/>
      <c r="V343" s="18"/>
      <c r="W343" s="18"/>
      <c r="X343" s="18"/>
      <c r="Y343" s="18"/>
      <c r="Z343" s="18"/>
      <c r="AA343" s="18"/>
      <c r="AB343" s="18"/>
      <c r="AC343" s="18"/>
      <c r="AD343" s="18"/>
      <c r="AE343" s="18"/>
      <c r="AF343" s="18"/>
      <c r="AG343" s="18"/>
      <c r="AH343" s="18"/>
      <c r="AI343" s="18"/>
      <c r="AJ343" s="18"/>
      <c r="AK343" s="18"/>
      <c r="AL343" s="18"/>
      <c r="AM343" s="18"/>
      <c r="AN343" s="18"/>
      <c r="AO343" s="18"/>
      <c r="AP343" s="18"/>
      <c r="AQ343" s="18"/>
      <c r="AR343" s="18"/>
      <c r="AS343" s="18"/>
      <c r="AT343" s="18"/>
      <c r="AU343" s="18"/>
    </row>
    <row r="344" spans="1:47" s="20" customFormat="1" x14ac:dyDescent="0.2">
      <c r="A344" s="12"/>
      <c r="B344" s="18"/>
      <c r="C344" s="18"/>
      <c r="D344" s="18"/>
      <c r="E344" s="18"/>
      <c r="F344" s="18"/>
      <c r="G344" s="18"/>
      <c r="H344" s="18"/>
      <c r="I344" s="18"/>
      <c r="J344" s="18"/>
      <c r="K344" s="18"/>
      <c r="L344" s="18"/>
      <c r="M344" s="18"/>
      <c r="N344" s="18"/>
      <c r="O344" s="18"/>
      <c r="P344" s="18"/>
      <c r="Q344" s="18"/>
      <c r="R344" s="18"/>
      <c r="S344" s="18"/>
      <c r="T344" s="18"/>
      <c r="U344" s="18"/>
      <c r="V344" s="18"/>
      <c r="W344" s="18"/>
      <c r="X344" s="18"/>
      <c r="Y344" s="18"/>
      <c r="Z344" s="18"/>
      <c r="AA344" s="18"/>
      <c r="AB344" s="18"/>
      <c r="AC344" s="18"/>
      <c r="AD344" s="18"/>
      <c r="AE344" s="18"/>
      <c r="AF344" s="18"/>
      <c r="AG344" s="18"/>
      <c r="AH344" s="18"/>
      <c r="AI344" s="18"/>
      <c r="AJ344" s="18"/>
      <c r="AK344" s="18"/>
      <c r="AL344" s="18"/>
      <c r="AM344" s="18"/>
      <c r="AN344" s="18"/>
      <c r="AO344" s="18"/>
      <c r="AP344" s="18"/>
      <c r="AQ344" s="18"/>
      <c r="AR344" s="18"/>
      <c r="AS344" s="18"/>
      <c r="AT344" s="18"/>
      <c r="AU344" s="18"/>
    </row>
    <row r="345" spans="1:47" s="20" customFormat="1" x14ac:dyDescent="0.2">
      <c r="A345" s="12"/>
      <c r="B345" s="18"/>
      <c r="C345" s="18"/>
      <c r="D345" s="18"/>
      <c r="E345" s="18"/>
      <c r="F345" s="18"/>
      <c r="G345" s="18"/>
      <c r="H345" s="18"/>
      <c r="I345" s="18"/>
      <c r="J345" s="18"/>
      <c r="K345" s="18"/>
      <c r="L345" s="18"/>
      <c r="M345" s="18"/>
      <c r="N345" s="18"/>
      <c r="O345" s="18"/>
      <c r="P345" s="18"/>
      <c r="Q345" s="18"/>
      <c r="R345" s="18"/>
      <c r="S345" s="18"/>
      <c r="T345" s="18"/>
      <c r="U345" s="18"/>
      <c r="V345" s="18"/>
      <c r="W345" s="18"/>
      <c r="X345" s="18"/>
      <c r="Y345" s="18"/>
      <c r="Z345" s="18"/>
      <c r="AA345" s="18"/>
      <c r="AB345" s="18"/>
      <c r="AC345" s="18"/>
      <c r="AD345" s="18"/>
      <c r="AE345" s="18"/>
      <c r="AF345" s="18"/>
      <c r="AG345" s="18"/>
      <c r="AH345" s="18"/>
      <c r="AI345" s="18"/>
      <c r="AJ345" s="18"/>
      <c r="AK345" s="18"/>
      <c r="AL345" s="18"/>
      <c r="AM345" s="18"/>
      <c r="AN345" s="18"/>
      <c r="AO345" s="18"/>
      <c r="AP345" s="18"/>
      <c r="AQ345" s="18"/>
      <c r="AR345" s="18"/>
      <c r="AS345" s="18"/>
      <c r="AT345" s="18"/>
      <c r="AU345" s="18"/>
    </row>
    <row r="346" spans="1:47" s="20" customFormat="1" x14ac:dyDescent="0.2">
      <c r="A346" s="12"/>
      <c r="B346" s="18"/>
      <c r="C346" s="18"/>
      <c r="D346" s="18"/>
      <c r="E346" s="18"/>
      <c r="F346" s="18"/>
      <c r="G346" s="18"/>
      <c r="H346" s="18"/>
      <c r="I346" s="18"/>
      <c r="J346" s="18"/>
      <c r="K346" s="18"/>
      <c r="L346" s="18"/>
      <c r="M346" s="18"/>
      <c r="N346" s="18"/>
      <c r="O346" s="18"/>
      <c r="P346" s="18"/>
      <c r="Q346" s="18"/>
      <c r="R346" s="18"/>
      <c r="S346" s="18"/>
      <c r="T346" s="18"/>
      <c r="U346" s="18"/>
      <c r="V346" s="18"/>
      <c r="W346" s="18"/>
      <c r="X346" s="18"/>
      <c r="Y346" s="18"/>
      <c r="Z346" s="18"/>
      <c r="AA346" s="18"/>
      <c r="AB346" s="18"/>
      <c r="AC346" s="18"/>
      <c r="AD346" s="18"/>
      <c r="AE346" s="18"/>
      <c r="AF346" s="18"/>
      <c r="AG346" s="18"/>
      <c r="AH346" s="18"/>
      <c r="AI346" s="18"/>
      <c r="AJ346" s="18"/>
      <c r="AK346" s="18"/>
      <c r="AL346" s="18"/>
      <c r="AM346" s="18"/>
      <c r="AN346" s="18"/>
      <c r="AO346" s="18"/>
      <c r="AP346" s="18"/>
      <c r="AQ346" s="18"/>
      <c r="AR346" s="18"/>
      <c r="AS346" s="18"/>
      <c r="AT346" s="18"/>
      <c r="AU346" s="18"/>
    </row>
    <row r="347" spans="1:47" s="20" customFormat="1" x14ac:dyDescent="0.2">
      <c r="A347" s="12"/>
      <c r="B347" s="18"/>
      <c r="C347" s="18"/>
      <c r="D347" s="18"/>
      <c r="E347" s="18"/>
      <c r="F347" s="18"/>
      <c r="G347" s="18"/>
      <c r="H347" s="18"/>
      <c r="I347" s="18"/>
      <c r="J347" s="18"/>
      <c r="K347" s="18"/>
      <c r="L347" s="18"/>
      <c r="M347" s="18"/>
      <c r="N347" s="18"/>
      <c r="O347" s="18"/>
      <c r="P347" s="18"/>
      <c r="Q347" s="18"/>
      <c r="R347" s="18"/>
      <c r="S347" s="18"/>
      <c r="T347" s="18"/>
      <c r="U347" s="18"/>
      <c r="V347" s="18"/>
      <c r="W347" s="18"/>
      <c r="X347" s="18"/>
      <c r="Y347" s="18"/>
      <c r="Z347" s="18"/>
      <c r="AA347" s="18"/>
      <c r="AB347" s="18"/>
      <c r="AC347" s="18"/>
      <c r="AD347" s="18"/>
      <c r="AE347" s="18"/>
      <c r="AF347" s="18"/>
      <c r="AG347" s="18"/>
      <c r="AH347" s="18"/>
      <c r="AI347" s="18"/>
      <c r="AJ347" s="18"/>
      <c r="AK347" s="18"/>
      <c r="AL347" s="18"/>
      <c r="AM347" s="18"/>
      <c r="AN347" s="18"/>
      <c r="AO347" s="18"/>
      <c r="AP347" s="18"/>
      <c r="AQ347" s="18"/>
      <c r="AR347" s="18"/>
      <c r="AS347" s="18"/>
      <c r="AT347" s="18"/>
      <c r="AU347" s="18"/>
    </row>
    <row r="348" spans="1:47" s="20" customFormat="1" x14ac:dyDescent="0.2">
      <c r="A348" s="12"/>
      <c r="B348" s="18"/>
      <c r="C348" s="18"/>
      <c r="D348" s="18"/>
      <c r="E348" s="18"/>
      <c r="F348" s="18"/>
      <c r="G348" s="18"/>
      <c r="H348" s="18"/>
      <c r="I348" s="18"/>
      <c r="J348" s="18"/>
      <c r="K348" s="18"/>
      <c r="L348" s="18"/>
      <c r="M348" s="18"/>
      <c r="N348" s="18"/>
      <c r="O348" s="18"/>
      <c r="P348" s="18"/>
      <c r="Q348" s="18"/>
      <c r="R348" s="18"/>
      <c r="S348" s="18"/>
      <c r="T348" s="18"/>
      <c r="U348" s="18"/>
      <c r="V348" s="18"/>
      <c r="W348" s="18"/>
      <c r="X348" s="18"/>
      <c r="Y348" s="18"/>
      <c r="Z348" s="18"/>
      <c r="AA348" s="18"/>
      <c r="AB348" s="18"/>
      <c r="AC348" s="18"/>
      <c r="AD348" s="18"/>
      <c r="AE348" s="18"/>
      <c r="AF348" s="18"/>
      <c r="AG348" s="18"/>
      <c r="AH348" s="18"/>
      <c r="AI348" s="18"/>
      <c r="AJ348" s="18"/>
      <c r="AK348" s="18"/>
      <c r="AL348" s="18"/>
      <c r="AM348" s="18"/>
      <c r="AN348" s="18"/>
      <c r="AO348" s="18"/>
      <c r="AP348" s="18"/>
      <c r="AQ348" s="18"/>
      <c r="AR348" s="18"/>
      <c r="AS348" s="18"/>
      <c r="AT348" s="18"/>
      <c r="AU348" s="18"/>
    </row>
    <row r="349" spans="1:47" s="20" customFormat="1" x14ac:dyDescent="0.2">
      <c r="A349" s="12"/>
      <c r="B349" s="18"/>
      <c r="C349" s="18"/>
      <c r="D349" s="18"/>
      <c r="E349" s="18"/>
      <c r="F349" s="18"/>
      <c r="G349" s="18"/>
      <c r="H349" s="18"/>
      <c r="I349" s="18"/>
      <c r="J349" s="18"/>
      <c r="K349" s="18"/>
      <c r="L349" s="18"/>
      <c r="M349" s="18"/>
      <c r="N349" s="18"/>
      <c r="O349" s="18"/>
      <c r="P349" s="18"/>
      <c r="Q349" s="18"/>
      <c r="R349" s="18"/>
      <c r="S349" s="18"/>
      <c r="T349" s="18"/>
      <c r="U349" s="18"/>
      <c r="V349" s="18"/>
      <c r="W349" s="18"/>
      <c r="X349" s="18"/>
      <c r="Y349" s="18"/>
      <c r="Z349" s="18"/>
      <c r="AA349" s="18"/>
      <c r="AB349" s="18"/>
      <c r="AC349" s="18"/>
      <c r="AD349" s="18"/>
      <c r="AE349" s="18"/>
      <c r="AF349" s="18"/>
      <c r="AG349" s="18"/>
      <c r="AH349" s="18"/>
      <c r="AI349" s="18"/>
      <c r="AJ349" s="18"/>
      <c r="AK349" s="18"/>
      <c r="AL349" s="18"/>
      <c r="AM349" s="18"/>
      <c r="AN349" s="18"/>
      <c r="AO349" s="18"/>
      <c r="AP349" s="18"/>
      <c r="AQ349" s="18"/>
      <c r="AR349" s="18"/>
      <c r="AS349" s="18"/>
      <c r="AT349" s="18"/>
      <c r="AU349" s="18"/>
    </row>
    <row r="350" spans="1:47" s="20" customFormat="1" x14ac:dyDescent="0.2">
      <c r="A350" s="12"/>
      <c r="B350" s="18"/>
      <c r="C350" s="18"/>
      <c r="D350" s="18"/>
      <c r="E350" s="18"/>
      <c r="F350" s="18"/>
      <c r="G350" s="18"/>
      <c r="H350" s="18"/>
      <c r="I350" s="18"/>
      <c r="J350" s="18"/>
      <c r="K350" s="18"/>
      <c r="L350" s="18"/>
      <c r="M350" s="18"/>
      <c r="N350" s="18"/>
      <c r="O350" s="18"/>
      <c r="P350" s="18"/>
      <c r="Q350" s="18"/>
      <c r="R350" s="18"/>
      <c r="S350" s="18"/>
      <c r="T350" s="18"/>
      <c r="U350" s="18"/>
      <c r="V350" s="18"/>
      <c r="W350" s="18"/>
      <c r="X350" s="18"/>
      <c r="Y350" s="18"/>
      <c r="Z350" s="18"/>
      <c r="AA350" s="18"/>
      <c r="AB350" s="18"/>
      <c r="AC350" s="18"/>
      <c r="AD350" s="18"/>
      <c r="AE350" s="18"/>
      <c r="AF350" s="18"/>
      <c r="AG350" s="18"/>
      <c r="AH350" s="18"/>
      <c r="AI350" s="18"/>
      <c r="AJ350" s="18"/>
      <c r="AK350" s="18"/>
      <c r="AL350" s="18"/>
      <c r="AM350" s="18"/>
      <c r="AN350" s="18"/>
      <c r="AO350" s="18"/>
      <c r="AP350" s="18"/>
      <c r="AQ350" s="18"/>
      <c r="AR350" s="18"/>
      <c r="AS350" s="18"/>
      <c r="AT350" s="18"/>
      <c r="AU350" s="18"/>
    </row>
    <row r="351" spans="1:47" s="20" customFormat="1" x14ac:dyDescent="0.2">
      <c r="A351" s="12"/>
      <c r="B351" s="18"/>
      <c r="C351" s="18"/>
      <c r="D351" s="18"/>
      <c r="E351" s="18"/>
      <c r="F351" s="18"/>
      <c r="G351" s="18"/>
      <c r="H351" s="18"/>
      <c r="I351" s="18"/>
      <c r="J351" s="18"/>
      <c r="K351" s="18"/>
      <c r="L351" s="18"/>
      <c r="M351" s="18"/>
      <c r="N351" s="18"/>
      <c r="O351" s="18"/>
      <c r="P351" s="18"/>
      <c r="Q351" s="18"/>
      <c r="R351" s="18"/>
      <c r="S351" s="18"/>
      <c r="T351" s="18"/>
      <c r="U351" s="18"/>
      <c r="V351" s="18"/>
      <c r="W351" s="18"/>
      <c r="X351" s="18"/>
      <c r="Y351" s="18"/>
      <c r="Z351" s="18"/>
      <c r="AA351" s="18"/>
      <c r="AB351" s="18"/>
      <c r="AC351" s="18"/>
      <c r="AD351" s="18"/>
      <c r="AE351" s="18"/>
      <c r="AF351" s="18"/>
      <c r="AG351" s="18"/>
      <c r="AH351" s="18"/>
      <c r="AI351" s="18"/>
      <c r="AJ351" s="18"/>
      <c r="AK351" s="18"/>
      <c r="AL351" s="18"/>
      <c r="AM351" s="18"/>
      <c r="AN351" s="18"/>
      <c r="AO351" s="18"/>
      <c r="AP351" s="18"/>
      <c r="AQ351" s="18"/>
      <c r="AR351" s="18"/>
      <c r="AS351" s="18"/>
      <c r="AT351" s="18"/>
      <c r="AU351" s="18"/>
    </row>
    <row r="352" spans="1:47" s="20" customFormat="1" x14ac:dyDescent="0.2">
      <c r="A352" s="12"/>
      <c r="B352" s="18"/>
      <c r="C352" s="18"/>
      <c r="D352" s="18"/>
      <c r="E352" s="18"/>
      <c r="F352" s="18"/>
      <c r="G352" s="18"/>
      <c r="H352" s="18"/>
      <c r="I352" s="18"/>
      <c r="J352" s="18"/>
      <c r="K352" s="18"/>
      <c r="L352" s="18"/>
      <c r="M352" s="18"/>
      <c r="N352" s="18"/>
      <c r="O352" s="18"/>
      <c r="P352" s="18"/>
      <c r="Q352" s="18"/>
      <c r="R352" s="18"/>
      <c r="S352" s="18"/>
      <c r="T352" s="18"/>
      <c r="U352" s="18"/>
      <c r="V352" s="18"/>
      <c r="W352" s="18"/>
      <c r="X352" s="18"/>
      <c r="Y352" s="18"/>
      <c r="Z352" s="18"/>
      <c r="AA352" s="18"/>
      <c r="AB352" s="18"/>
      <c r="AC352" s="18"/>
      <c r="AD352" s="18"/>
      <c r="AE352" s="18"/>
      <c r="AF352" s="18"/>
      <c r="AG352" s="18"/>
      <c r="AH352" s="18"/>
      <c r="AI352" s="18"/>
      <c r="AJ352" s="18"/>
      <c r="AK352" s="18"/>
      <c r="AL352" s="18"/>
      <c r="AM352" s="18"/>
      <c r="AN352" s="18"/>
      <c r="AO352" s="18"/>
      <c r="AP352" s="18"/>
      <c r="AQ352" s="18"/>
      <c r="AR352" s="18"/>
      <c r="AS352" s="18"/>
      <c r="AT352" s="18"/>
      <c r="AU352" s="18"/>
    </row>
    <row r="353" spans="1:47" s="20" customFormat="1" x14ac:dyDescent="0.2">
      <c r="A353" s="12"/>
      <c r="B353" s="18"/>
      <c r="C353" s="18"/>
      <c r="D353" s="18"/>
      <c r="E353" s="18"/>
      <c r="F353" s="18"/>
      <c r="G353" s="18"/>
      <c r="H353" s="18"/>
      <c r="I353" s="18"/>
      <c r="J353" s="18"/>
      <c r="K353" s="18"/>
      <c r="L353" s="18"/>
      <c r="M353" s="18"/>
      <c r="N353" s="18"/>
      <c r="O353" s="18"/>
      <c r="P353" s="18"/>
      <c r="Q353" s="18"/>
      <c r="R353" s="18"/>
      <c r="S353" s="18"/>
      <c r="T353" s="18"/>
      <c r="U353" s="18"/>
      <c r="V353" s="18"/>
      <c r="W353" s="18"/>
      <c r="X353" s="18"/>
      <c r="Y353" s="18"/>
      <c r="Z353" s="18"/>
      <c r="AA353" s="18"/>
      <c r="AB353" s="18"/>
      <c r="AC353" s="18"/>
      <c r="AD353" s="18"/>
      <c r="AE353" s="18"/>
      <c r="AF353" s="18"/>
      <c r="AG353" s="18"/>
      <c r="AH353" s="18"/>
      <c r="AI353" s="18"/>
      <c r="AJ353" s="18"/>
      <c r="AK353" s="18"/>
      <c r="AL353" s="18"/>
      <c r="AM353" s="18"/>
      <c r="AN353" s="18"/>
      <c r="AO353" s="18"/>
      <c r="AP353" s="18"/>
      <c r="AQ353" s="18"/>
      <c r="AR353" s="18"/>
      <c r="AS353" s="18"/>
      <c r="AT353" s="18"/>
      <c r="AU353" s="18"/>
    </row>
    <row r="354" spans="1:47" s="20" customFormat="1" x14ac:dyDescent="0.2">
      <c r="A354" s="12"/>
      <c r="B354" s="18"/>
      <c r="C354" s="18"/>
      <c r="D354" s="18"/>
      <c r="E354" s="18"/>
      <c r="F354" s="18"/>
      <c r="G354" s="18"/>
      <c r="H354" s="18"/>
      <c r="I354" s="18"/>
      <c r="J354" s="18"/>
      <c r="K354" s="18"/>
      <c r="L354" s="18"/>
      <c r="M354" s="18"/>
      <c r="N354" s="18"/>
      <c r="O354" s="18"/>
      <c r="P354" s="18"/>
      <c r="Q354" s="18"/>
      <c r="R354" s="18"/>
      <c r="S354" s="18"/>
      <c r="T354" s="18"/>
      <c r="U354" s="18"/>
      <c r="V354" s="18"/>
      <c r="W354" s="18"/>
      <c r="X354" s="18"/>
      <c r="Y354" s="18"/>
      <c r="Z354" s="18"/>
      <c r="AA354" s="18"/>
      <c r="AB354" s="18"/>
      <c r="AC354" s="18"/>
      <c r="AD354" s="18"/>
      <c r="AE354" s="18"/>
      <c r="AF354" s="18"/>
      <c r="AG354" s="18"/>
      <c r="AH354" s="18"/>
      <c r="AI354" s="18"/>
      <c r="AJ354" s="18"/>
      <c r="AK354" s="18"/>
      <c r="AL354" s="18"/>
      <c r="AM354" s="18"/>
      <c r="AN354" s="18"/>
      <c r="AO354" s="18"/>
      <c r="AP354" s="18"/>
      <c r="AQ354" s="18"/>
      <c r="AR354" s="18"/>
      <c r="AS354" s="18"/>
      <c r="AT354" s="18"/>
      <c r="AU354" s="18"/>
    </row>
    <row r="355" spans="1:47" s="20" customFormat="1" x14ac:dyDescent="0.2">
      <c r="A355" s="12"/>
      <c r="B355" s="18"/>
      <c r="C355" s="18"/>
      <c r="D355" s="18"/>
      <c r="E355" s="18"/>
      <c r="F355" s="18"/>
      <c r="G355" s="18"/>
      <c r="H355" s="18"/>
      <c r="I355" s="18"/>
      <c r="J355" s="18"/>
      <c r="K355" s="18"/>
      <c r="L355" s="18"/>
      <c r="M355" s="18"/>
      <c r="N355" s="18"/>
      <c r="O355" s="18"/>
      <c r="P355" s="18"/>
      <c r="Q355" s="18"/>
      <c r="R355" s="18"/>
      <c r="S355" s="18"/>
      <c r="T355" s="18"/>
      <c r="U355" s="18"/>
      <c r="V355" s="18"/>
      <c r="W355" s="18"/>
      <c r="X355" s="18"/>
      <c r="Y355" s="18"/>
      <c r="Z355" s="18"/>
      <c r="AA355" s="18"/>
      <c r="AB355" s="18"/>
      <c r="AC355" s="18"/>
      <c r="AD355" s="18"/>
      <c r="AE355" s="18"/>
      <c r="AF355" s="18"/>
      <c r="AG355" s="18"/>
      <c r="AH355" s="18"/>
      <c r="AI355" s="18"/>
      <c r="AJ355" s="18"/>
      <c r="AK355" s="18"/>
      <c r="AL355" s="18"/>
      <c r="AM355" s="18"/>
      <c r="AN355" s="18"/>
      <c r="AO355" s="18"/>
      <c r="AP355" s="18"/>
      <c r="AQ355" s="18"/>
      <c r="AR355" s="18"/>
      <c r="AS355" s="18"/>
      <c r="AT355" s="18"/>
      <c r="AU355" s="18"/>
    </row>
    <row r="356" spans="1:47" s="20" customFormat="1" x14ac:dyDescent="0.2">
      <c r="A356" s="12"/>
      <c r="B356" s="18"/>
      <c r="C356" s="18"/>
      <c r="D356" s="18"/>
      <c r="E356" s="18"/>
      <c r="F356" s="18"/>
      <c r="G356" s="18"/>
      <c r="H356" s="18"/>
      <c r="I356" s="18"/>
      <c r="J356" s="18"/>
      <c r="K356" s="18"/>
      <c r="L356" s="18"/>
      <c r="M356" s="18"/>
      <c r="N356" s="18"/>
      <c r="O356" s="18"/>
      <c r="P356" s="18"/>
      <c r="Q356" s="18"/>
      <c r="R356" s="18"/>
      <c r="S356" s="18"/>
      <c r="T356" s="18"/>
      <c r="U356" s="18"/>
      <c r="V356" s="18"/>
      <c r="W356" s="18"/>
      <c r="X356" s="18"/>
      <c r="Y356" s="18"/>
      <c r="Z356" s="18"/>
      <c r="AA356" s="18"/>
      <c r="AB356" s="18"/>
      <c r="AC356" s="18"/>
      <c r="AD356" s="18"/>
      <c r="AE356" s="18"/>
      <c r="AF356" s="18"/>
      <c r="AG356" s="18"/>
      <c r="AH356" s="18"/>
      <c r="AI356" s="18"/>
      <c r="AJ356" s="18"/>
      <c r="AK356" s="18"/>
      <c r="AL356" s="18"/>
      <c r="AM356" s="18"/>
      <c r="AN356" s="18"/>
      <c r="AO356" s="18"/>
      <c r="AP356" s="18"/>
      <c r="AQ356" s="18"/>
      <c r="AR356" s="18"/>
      <c r="AS356" s="18"/>
      <c r="AT356" s="18"/>
      <c r="AU356" s="18"/>
    </row>
    <row r="357" spans="1:47" s="20" customFormat="1" x14ac:dyDescent="0.2">
      <c r="A357" s="12"/>
      <c r="B357" s="18"/>
      <c r="C357" s="18"/>
      <c r="D357" s="18"/>
      <c r="E357" s="18"/>
      <c r="F357" s="18"/>
      <c r="G357" s="18"/>
      <c r="H357" s="18"/>
      <c r="I357" s="18"/>
      <c r="J357" s="18"/>
      <c r="K357" s="18"/>
      <c r="L357" s="18"/>
      <c r="M357" s="18"/>
      <c r="N357" s="18"/>
      <c r="O357" s="18"/>
      <c r="P357" s="18"/>
      <c r="Q357" s="18"/>
      <c r="R357" s="18"/>
      <c r="S357" s="18"/>
      <c r="T357" s="18"/>
      <c r="U357" s="18"/>
      <c r="V357" s="18"/>
      <c r="W357" s="18"/>
      <c r="X357" s="18"/>
      <c r="Y357" s="18"/>
      <c r="Z357" s="18"/>
      <c r="AA357" s="18"/>
      <c r="AB357" s="18"/>
      <c r="AC357" s="18"/>
      <c r="AD357" s="18"/>
      <c r="AE357" s="18"/>
      <c r="AF357" s="18"/>
      <c r="AG357" s="18"/>
      <c r="AH357" s="18"/>
      <c r="AI357" s="18"/>
      <c r="AJ357" s="18"/>
      <c r="AK357" s="18"/>
      <c r="AL357" s="18"/>
      <c r="AM357" s="18"/>
      <c r="AN357" s="18"/>
      <c r="AO357" s="18"/>
      <c r="AP357" s="18"/>
      <c r="AQ357" s="18"/>
      <c r="AR357" s="18"/>
      <c r="AS357" s="18"/>
      <c r="AT357" s="18"/>
      <c r="AU357" s="18"/>
    </row>
    <row r="358" spans="1:47" s="20" customFormat="1" x14ac:dyDescent="0.2">
      <c r="A358" s="12"/>
      <c r="B358" s="18"/>
      <c r="C358" s="18"/>
      <c r="D358" s="18"/>
      <c r="E358" s="18"/>
      <c r="F358" s="18"/>
      <c r="G358" s="18"/>
      <c r="H358" s="18"/>
      <c r="I358" s="18"/>
      <c r="J358" s="18"/>
      <c r="K358" s="18"/>
      <c r="L358" s="18"/>
      <c r="M358" s="18"/>
      <c r="N358" s="18"/>
      <c r="O358" s="18"/>
      <c r="P358" s="18"/>
      <c r="Q358" s="18"/>
      <c r="R358" s="18"/>
      <c r="S358" s="18"/>
      <c r="T358" s="18"/>
      <c r="U358" s="18"/>
      <c r="V358" s="18"/>
      <c r="W358" s="18"/>
      <c r="X358" s="18"/>
      <c r="Y358" s="18"/>
      <c r="Z358" s="18"/>
      <c r="AA358" s="18"/>
      <c r="AB358" s="18"/>
      <c r="AC358" s="18"/>
      <c r="AD358" s="18"/>
      <c r="AE358" s="18"/>
      <c r="AF358" s="18"/>
      <c r="AG358" s="18"/>
      <c r="AH358" s="18"/>
      <c r="AI358" s="18"/>
      <c r="AJ358" s="18"/>
      <c r="AK358" s="18"/>
      <c r="AL358" s="18"/>
      <c r="AM358" s="18"/>
      <c r="AN358" s="18"/>
      <c r="AO358" s="18"/>
      <c r="AP358" s="18"/>
      <c r="AQ358" s="18"/>
      <c r="AR358" s="18"/>
      <c r="AS358" s="18"/>
      <c r="AT358" s="18"/>
      <c r="AU358" s="18"/>
    </row>
    <row r="359" spans="1:47" s="20" customFormat="1" x14ac:dyDescent="0.2">
      <c r="A359" s="12"/>
      <c r="B359" s="18"/>
      <c r="C359" s="18"/>
      <c r="D359" s="18"/>
      <c r="E359" s="18"/>
      <c r="F359" s="18"/>
      <c r="G359" s="18"/>
      <c r="H359" s="18"/>
      <c r="I359" s="18"/>
      <c r="J359" s="18"/>
      <c r="K359" s="18"/>
      <c r="L359" s="18"/>
      <c r="M359" s="18"/>
      <c r="N359" s="18"/>
      <c r="O359" s="18"/>
      <c r="P359" s="18"/>
      <c r="Q359" s="18"/>
      <c r="R359" s="18"/>
      <c r="S359" s="18"/>
      <c r="T359" s="18"/>
      <c r="U359" s="18"/>
      <c r="V359" s="18"/>
      <c r="W359" s="18"/>
      <c r="X359" s="18"/>
      <c r="Y359" s="18"/>
      <c r="Z359" s="18"/>
      <c r="AA359" s="18"/>
      <c r="AB359" s="18"/>
      <c r="AC359" s="18"/>
      <c r="AD359" s="18"/>
      <c r="AE359" s="18"/>
      <c r="AF359" s="18"/>
      <c r="AG359" s="18"/>
      <c r="AH359" s="18"/>
      <c r="AI359" s="18"/>
      <c r="AJ359" s="18"/>
      <c r="AK359" s="18"/>
      <c r="AL359" s="18"/>
      <c r="AM359" s="18"/>
      <c r="AN359" s="18"/>
      <c r="AO359" s="18"/>
      <c r="AP359" s="18"/>
      <c r="AQ359" s="18"/>
      <c r="AR359" s="18"/>
      <c r="AS359" s="18"/>
      <c r="AT359" s="18"/>
      <c r="AU359" s="18"/>
    </row>
    <row r="360" spans="1:47" s="20" customFormat="1" x14ac:dyDescent="0.2">
      <c r="A360" s="12"/>
      <c r="B360" s="18"/>
      <c r="C360" s="18"/>
      <c r="D360" s="18"/>
      <c r="E360" s="18"/>
      <c r="F360" s="18"/>
      <c r="G360" s="18"/>
      <c r="H360" s="18"/>
      <c r="I360" s="18"/>
      <c r="J360" s="18"/>
      <c r="K360" s="18"/>
      <c r="L360" s="18"/>
      <c r="M360" s="18"/>
      <c r="N360" s="18"/>
      <c r="O360" s="18"/>
      <c r="P360" s="18"/>
      <c r="Q360" s="18"/>
      <c r="R360" s="18"/>
      <c r="S360" s="18"/>
      <c r="T360" s="18"/>
      <c r="U360" s="18"/>
      <c r="V360" s="18"/>
      <c r="W360" s="18"/>
      <c r="X360" s="18"/>
      <c r="Y360" s="18"/>
      <c r="Z360" s="18"/>
      <c r="AA360" s="18"/>
      <c r="AB360" s="18"/>
      <c r="AC360" s="18"/>
      <c r="AD360" s="18"/>
      <c r="AE360" s="18"/>
      <c r="AF360" s="18"/>
      <c r="AG360" s="18"/>
      <c r="AH360" s="18"/>
      <c r="AI360" s="18"/>
      <c r="AJ360" s="18"/>
      <c r="AK360" s="18"/>
      <c r="AL360" s="18"/>
      <c r="AM360" s="18"/>
      <c r="AN360" s="18"/>
      <c r="AO360" s="18"/>
      <c r="AP360" s="18"/>
      <c r="AQ360" s="18"/>
      <c r="AR360" s="18"/>
      <c r="AS360" s="18"/>
      <c r="AT360" s="18"/>
      <c r="AU360" s="18"/>
    </row>
    <row r="361" spans="1:47" s="20" customFormat="1" x14ac:dyDescent="0.2">
      <c r="A361" s="12"/>
      <c r="B361" s="18"/>
      <c r="C361" s="18"/>
      <c r="D361" s="18"/>
      <c r="E361" s="18"/>
      <c r="F361" s="18"/>
      <c r="G361" s="18"/>
      <c r="H361" s="18"/>
      <c r="I361" s="18"/>
      <c r="J361" s="18"/>
      <c r="K361" s="18"/>
      <c r="L361" s="18"/>
      <c r="M361" s="18"/>
      <c r="N361" s="18"/>
      <c r="O361" s="18"/>
      <c r="P361" s="18"/>
      <c r="Q361" s="18"/>
      <c r="R361" s="18"/>
      <c r="S361" s="18"/>
      <c r="T361" s="18"/>
      <c r="U361" s="18"/>
      <c r="V361" s="18"/>
      <c r="W361" s="18"/>
      <c r="X361" s="18"/>
      <c r="Y361" s="18"/>
      <c r="Z361" s="18"/>
      <c r="AA361" s="18"/>
      <c r="AB361" s="18"/>
      <c r="AC361" s="18"/>
      <c r="AD361" s="18"/>
      <c r="AE361" s="18"/>
      <c r="AF361" s="18"/>
      <c r="AG361" s="18"/>
      <c r="AH361" s="18"/>
      <c r="AI361" s="18"/>
      <c r="AJ361" s="18"/>
      <c r="AK361" s="18"/>
      <c r="AL361" s="18"/>
      <c r="AM361" s="18"/>
      <c r="AN361" s="18"/>
      <c r="AO361" s="18"/>
      <c r="AP361" s="18"/>
      <c r="AQ361" s="18"/>
      <c r="AR361" s="18"/>
      <c r="AS361" s="18"/>
      <c r="AT361" s="18"/>
      <c r="AU361" s="18"/>
    </row>
    <row r="362" spans="1:47" s="20" customFormat="1" x14ac:dyDescent="0.2">
      <c r="A362" s="12"/>
      <c r="B362" s="18"/>
      <c r="C362" s="18"/>
      <c r="D362" s="18"/>
      <c r="E362" s="18"/>
      <c r="F362" s="18"/>
      <c r="G362" s="18"/>
      <c r="H362" s="18"/>
      <c r="I362" s="18"/>
      <c r="J362" s="18"/>
      <c r="K362" s="18"/>
      <c r="L362" s="18"/>
      <c r="M362" s="18"/>
      <c r="N362" s="18"/>
      <c r="O362" s="18"/>
      <c r="P362" s="18"/>
      <c r="Q362" s="18"/>
      <c r="R362" s="18"/>
      <c r="S362" s="18"/>
      <c r="T362" s="18"/>
      <c r="U362" s="18"/>
      <c r="V362" s="18"/>
      <c r="W362" s="18"/>
      <c r="X362" s="18"/>
      <c r="Y362" s="18"/>
      <c r="Z362" s="18"/>
      <c r="AA362" s="18"/>
      <c r="AB362" s="18"/>
      <c r="AC362" s="18"/>
      <c r="AD362" s="18"/>
      <c r="AE362" s="18"/>
      <c r="AF362" s="18"/>
      <c r="AG362" s="18"/>
      <c r="AH362" s="18"/>
      <c r="AI362" s="18"/>
      <c r="AJ362" s="18"/>
      <c r="AK362" s="18"/>
      <c r="AL362" s="18"/>
      <c r="AM362" s="18"/>
      <c r="AN362" s="18"/>
      <c r="AO362" s="18"/>
      <c r="AP362" s="18"/>
      <c r="AQ362" s="18"/>
      <c r="AR362" s="18"/>
      <c r="AS362" s="18"/>
      <c r="AT362" s="18"/>
      <c r="AU362" s="18"/>
    </row>
    <row r="363" spans="1:47" s="20" customFormat="1" x14ac:dyDescent="0.2">
      <c r="A363" s="12"/>
      <c r="B363" s="18"/>
      <c r="C363" s="18"/>
      <c r="D363" s="18"/>
      <c r="E363" s="18"/>
      <c r="F363" s="18"/>
      <c r="G363" s="18"/>
      <c r="H363" s="18"/>
      <c r="I363" s="18"/>
      <c r="J363" s="18"/>
      <c r="K363" s="18"/>
      <c r="L363" s="18"/>
      <c r="M363" s="18"/>
      <c r="N363" s="18"/>
      <c r="O363" s="18"/>
      <c r="P363" s="18"/>
      <c r="Q363" s="18"/>
      <c r="R363" s="18"/>
      <c r="S363" s="18"/>
      <c r="T363" s="18"/>
      <c r="U363" s="18"/>
      <c r="V363" s="18"/>
      <c r="W363" s="18"/>
      <c r="X363" s="18"/>
      <c r="Y363" s="18"/>
      <c r="Z363" s="18"/>
      <c r="AA363" s="18"/>
      <c r="AB363" s="18"/>
      <c r="AC363" s="18"/>
      <c r="AD363" s="18"/>
      <c r="AE363" s="18"/>
      <c r="AF363" s="18"/>
      <c r="AG363" s="18"/>
      <c r="AH363" s="18"/>
      <c r="AI363" s="18"/>
      <c r="AJ363" s="18"/>
      <c r="AK363" s="18"/>
      <c r="AL363" s="18"/>
      <c r="AM363" s="18"/>
      <c r="AN363" s="18"/>
      <c r="AO363" s="18"/>
      <c r="AP363" s="18"/>
      <c r="AQ363" s="18"/>
      <c r="AR363" s="18"/>
      <c r="AS363" s="18"/>
      <c r="AT363" s="18"/>
      <c r="AU363" s="18"/>
    </row>
    <row r="364" spans="1:47" s="20" customFormat="1" x14ac:dyDescent="0.2">
      <c r="A364" s="12"/>
      <c r="B364" s="18"/>
      <c r="C364" s="18"/>
      <c r="D364" s="18"/>
      <c r="E364" s="18"/>
      <c r="F364" s="18"/>
      <c r="G364" s="18"/>
      <c r="H364" s="18"/>
      <c r="I364" s="18"/>
      <c r="J364" s="18"/>
      <c r="K364" s="18"/>
      <c r="L364" s="18"/>
      <c r="M364" s="18"/>
      <c r="N364" s="18"/>
      <c r="O364" s="18"/>
      <c r="P364" s="18"/>
      <c r="Q364" s="18"/>
      <c r="R364" s="18"/>
      <c r="S364" s="18"/>
      <c r="T364" s="18"/>
      <c r="U364" s="18"/>
      <c r="V364" s="18"/>
      <c r="W364" s="18"/>
      <c r="X364" s="18"/>
      <c r="Y364" s="18"/>
      <c r="Z364" s="18"/>
      <c r="AA364" s="18"/>
      <c r="AB364" s="18"/>
      <c r="AC364" s="18"/>
      <c r="AD364" s="18"/>
      <c r="AE364" s="18"/>
      <c r="AF364" s="18"/>
      <c r="AG364" s="18"/>
      <c r="AH364" s="18"/>
      <c r="AI364" s="18"/>
      <c r="AJ364" s="18"/>
      <c r="AK364" s="18"/>
      <c r="AL364" s="18"/>
      <c r="AM364" s="18"/>
      <c r="AN364" s="18"/>
      <c r="AO364" s="18"/>
      <c r="AP364" s="18"/>
      <c r="AQ364" s="18"/>
      <c r="AR364" s="18"/>
      <c r="AS364" s="18"/>
      <c r="AT364" s="18"/>
      <c r="AU364" s="18"/>
    </row>
    <row r="365" spans="1:47" s="20" customFormat="1" x14ac:dyDescent="0.2">
      <c r="A365" s="12"/>
      <c r="B365" s="18"/>
      <c r="C365" s="18"/>
      <c r="D365" s="18"/>
      <c r="E365" s="18"/>
      <c r="F365" s="18"/>
      <c r="G365" s="18"/>
      <c r="H365" s="18"/>
      <c r="I365" s="18"/>
      <c r="J365" s="18"/>
      <c r="K365" s="18"/>
      <c r="L365" s="18"/>
      <c r="M365" s="18"/>
      <c r="N365" s="18"/>
      <c r="O365" s="18"/>
      <c r="P365" s="18"/>
      <c r="Q365" s="18"/>
      <c r="R365" s="18"/>
      <c r="S365" s="18"/>
      <c r="T365" s="18"/>
      <c r="U365" s="18"/>
      <c r="V365" s="18"/>
      <c r="W365" s="18"/>
      <c r="X365" s="18"/>
      <c r="Y365" s="18"/>
      <c r="Z365" s="18"/>
      <c r="AA365" s="18"/>
      <c r="AB365" s="18"/>
      <c r="AC365" s="18"/>
      <c r="AD365" s="18"/>
      <c r="AE365" s="18"/>
      <c r="AF365" s="18"/>
      <c r="AG365" s="18"/>
      <c r="AH365" s="18"/>
      <c r="AI365" s="18"/>
      <c r="AJ365" s="18"/>
      <c r="AK365" s="18"/>
      <c r="AL365" s="18"/>
      <c r="AM365" s="18"/>
      <c r="AN365" s="18"/>
      <c r="AO365" s="18"/>
      <c r="AP365" s="18"/>
      <c r="AQ365" s="18"/>
      <c r="AR365" s="18"/>
      <c r="AS365" s="18"/>
      <c r="AT365" s="18"/>
      <c r="AU365" s="18"/>
    </row>
    <row r="366" spans="1:47" s="20" customFormat="1" x14ac:dyDescent="0.2">
      <c r="A366" s="12"/>
      <c r="B366" s="18"/>
      <c r="C366" s="18"/>
      <c r="D366" s="18"/>
      <c r="E366" s="18"/>
      <c r="F366" s="18"/>
      <c r="G366" s="18"/>
      <c r="H366" s="18"/>
      <c r="I366" s="18"/>
      <c r="J366" s="18"/>
      <c r="K366" s="18"/>
      <c r="L366" s="18"/>
      <c r="M366" s="18"/>
      <c r="N366" s="18"/>
      <c r="O366" s="18"/>
      <c r="P366" s="18"/>
      <c r="Q366" s="18"/>
      <c r="R366" s="18"/>
      <c r="S366" s="18"/>
      <c r="T366" s="18"/>
      <c r="U366" s="18"/>
      <c r="V366" s="18"/>
      <c r="W366" s="18"/>
      <c r="X366" s="18"/>
      <c r="Y366" s="18"/>
      <c r="Z366" s="18"/>
      <c r="AA366" s="18"/>
      <c r="AB366" s="18"/>
      <c r="AC366" s="18"/>
      <c r="AD366" s="18"/>
      <c r="AE366" s="18"/>
      <c r="AF366" s="18"/>
      <c r="AG366" s="18"/>
      <c r="AH366" s="18"/>
      <c r="AI366" s="18"/>
      <c r="AJ366" s="18"/>
      <c r="AK366" s="18"/>
      <c r="AL366" s="18"/>
      <c r="AM366" s="18"/>
      <c r="AN366" s="18"/>
      <c r="AO366" s="18"/>
      <c r="AP366" s="18"/>
      <c r="AQ366" s="18"/>
      <c r="AR366" s="18"/>
      <c r="AS366" s="18"/>
      <c r="AT366" s="18"/>
      <c r="AU366" s="18"/>
    </row>
    <row r="367" spans="1:47" s="20" customFormat="1" x14ac:dyDescent="0.2">
      <c r="A367" s="12"/>
      <c r="B367" s="18"/>
      <c r="C367" s="18"/>
      <c r="D367" s="18"/>
      <c r="E367" s="18"/>
      <c r="F367" s="18"/>
      <c r="G367" s="18"/>
      <c r="H367" s="18"/>
      <c r="I367" s="18"/>
      <c r="J367" s="18"/>
      <c r="K367" s="18"/>
      <c r="L367" s="18"/>
      <c r="M367" s="18"/>
      <c r="N367" s="18"/>
      <c r="O367" s="18"/>
      <c r="P367" s="18"/>
      <c r="Q367" s="18"/>
      <c r="R367" s="18"/>
      <c r="S367" s="18"/>
      <c r="T367" s="18"/>
      <c r="U367" s="18"/>
      <c r="V367" s="18"/>
      <c r="W367" s="18"/>
      <c r="X367" s="18"/>
      <c r="Y367" s="18"/>
      <c r="Z367" s="18"/>
      <c r="AA367" s="18"/>
      <c r="AB367" s="18"/>
      <c r="AC367" s="18"/>
      <c r="AD367" s="18"/>
      <c r="AE367" s="18"/>
      <c r="AF367" s="18"/>
      <c r="AG367" s="18"/>
      <c r="AH367" s="18"/>
      <c r="AI367" s="18"/>
      <c r="AJ367" s="18"/>
      <c r="AK367" s="18"/>
      <c r="AL367" s="18"/>
      <c r="AM367" s="18"/>
      <c r="AN367" s="18"/>
      <c r="AO367" s="18"/>
      <c r="AP367" s="18"/>
      <c r="AQ367" s="18"/>
      <c r="AR367" s="18"/>
      <c r="AS367" s="18"/>
      <c r="AT367" s="18"/>
      <c r="AU367" s="18"/>
    </row>
    <row r="368" spans="1:47" s="20" customFormat="1" x14ac:dyDescent="0.2">
      <c r="A368" s="12"/>
      <c r="B368" s="18"/>
      <c r="C368" s="18"/>
      <c r="D368" s="18"/>
      <c r="E368" s="18"/>
      <c r="F368" s="18"/>
      <c r="G368" s="18"/>
      <c r="H368" s="18"/>
      <c r="I368" s="18"/>
      <c r="J368" s="18"/>
      <c r="K368" s="18"/>
      <c r="L368" s="18"/>
      <c r="M368" s="18"/>
      <c r="N368" s="18"/>
      <c r="O368" s="18"/>
      <c r="P368" s="18"/>
      <c r="Q368" s="18"/>
      <c r="R368" s="18"/>
      <c r="S368" s="18"/>
      <c r="T368" s="18"/>
      <c r="U368" s="18"/>
      <c r="V368" s="18"/>
      <c r="W368" s="18"/>
      <c r="X368" s="18"/>
      <c r="Y368" s="18"/>
      <c r="Z368" s="18"/>
      <c r="AA368" s="18"/>
      <c r="AB368" s="18"/>
      <c r="AC368" s="18"/>
      <c r="AD368" s="18"/>
      <c r="AE368" s="18"/>
      <c r="AF368" s="18"/>
      <c r="AG368" s="18"/>
      <c r="AH368" s="18"/>
      <c r="AI368" s="18"/>
      <c r="AJ368" s="18"/>
      <c r="AK368" s="18"/>
      <c r="AL368" s="18"/>
      <c r="AM368" s="18"/>
      <c r="AN368" s="18"/>
      <c r="AO368" s="18"/>
      <c r="AP368" s="18"/>
      <c r="AQ368" s="18"/>
      <c r="AR368" s="18"/>
      <c r="AS368" s="18"/>
      <c r="AT368" s="18"/>
      <c r="AU368" s="18"/>
    </row>
    <row r="369" spans="1:47" s="20" customFormat="1" x14ac:dyDescent="0.2">
      <c r="A369" s="12"/>
      <c r="B369" s="18"/>
      <c r="C369" s="18"/>
      <c r="D369" s="18"/>
      <c r="E369" s="18"/>
      <c r="F369" s="18"/>
      <c r="G369" s="18"/>
      <c r="H369" s="18"/>
      <c r="I369" s="18"/>
      <c r="J369" s="18"/>
      <c r="K369" s="18"/>
      <c r="L369" s="18"/>
      <c r="M369" s="18"/>
      <c r="N369" s="18"/>
      <c r="O369" s="18"/>
      <c r="P369" s="18"/>
      <c r="Q369" s="18"/>
      <c r="R369" s="18"/>
      <c r="S369" s="18"/>
      <c r="T369" s="18"/>
      <c r="U369" s="18"/>
      <c r="V369" s="18"/>
      <c r="W369" s="18"/>
      <c r="X369" s="18"/>
      <c r="Y369" s="18"/>
      <c r="Z369" s="18"/>
      <c r="AA369" s="18"/>
      <c r="AB369" s="18"/>
      <c r="AC369" s="18"/>
      <c r="AD369" s="18"/>
      <c r="AE369" s="18"/>
      <c r="AF369" s="18"/>
      <c r="AG369" s="18"/>
      <c r="AH369" s="18"/>
      <c r="AI369" s="18"/>
      <c r="AJ369" s="18"/>
      <c r="AK369" s="18"/>
      <c r="AL369" s="18"/>
      <c r="AM369" s="18"/>
      <c r="AN369" s="18"/>
      <c r="AO369" s="18"/>
      <c r="AP369" s="18"/>
      <c r="AQ369" s="18"/>
      <c r="AR369" s="18"/>
      <c r="AS369" s="18"/>
      <c r="AT369" s="18"/>
      <c r="AU369" s="18"/>
    </row>
    <row r="370" spans="1:47" s="20" customFormat="1" x14ac:dyDescent="0.2">
      <c r="A370" s="12"/>
      <c r="B370" s="18"/>
      <c r="C370" s="18"/>
      <c r="D370" s="18"/>
      <c r="E370" s="18"/>
      <c r="F370" s="18"/>
      <c r="G370" s="18"/>
      <c r="H370" s="18"/>
      <c r="I370" s="18"/>
      <c r="J370" s="18"/>
      <c r="K370" s="18"/>
      <c r="L370" s="18"/>
      <c r="M370" s="18"/>
      <c r="N370" s="18"/>
      <c r="O370" s="18"/>
      <c r="P370" s="18"/>
      <c r="Q370" s="18"/>
      <c r="R370" s="18"/>
      <c r="S370" s="18"/>
      <c r="T370" s="18"/>
      <c r="U370" s="18"/>
      <c r="V370" s="18"/>
      <c r="W370" s="18"/>
      <c r="X370" s="18"/>
      <c r="Y370" s="18"/>
      <c r="Z370" s="18"/>
      <c r="AA370" s="18"/>
      <c r="AB370" s="18"/>
      <c r="AC370" s="18"/>
      <c r="AD370" s="18"/>
      <c r="AE370" s="18"/>
      <c r="AF370" s="18"/>
      <c r="AG370" s="18"/>
      <c r="AH370" s="18"/>
      <c r="AI370" s="18"/>
      <c r="AJ370" s="18"/>
      <c r="AK370" s="18"/>
      <c r="AL370" s="18"/>
      <c r="AM370" s="18"/>
      <c r="AN370" s="18"/>
      <c r="AO370" s="18"/>
      <c r="AP370" s="18"/>
      <c r="AQ370" s="18"/>
      <c r="AR370" s="18"/>
      <c r="AS370" s="18"/>
      <c r="AT370" s="18"/>
      <c r="AU370" s="18"/>
    </row>
    <row r="371" spans="1:47" s="20" customFormat="1" x14ac:dyDescent="0.2">
      <c r="A371" s="12"/>
      <c r="B371" s="18"/>
      <c r="C371" s="18"/>
      <c r="D371" s="18"/>
      <c r="E371" s="18"/>
      <c r="F371" s="18"/>
      <c r="G371" s="18"/>
      <c r="H371" s="18"/>
      <c r="I371" s="18"/>
      <c r="J371" s="18"/>
      <c r="K371" s="18"/>
      <c r="L371" s="18"/>
      <c r="M371" s="18"/>
      <c r="N371" s="18"/>
      <c r="O371" s="18"/>
      <c r="P371" s="18"/>
      <c r="Q371" s="18"/>
      <c r="R371" s="18"/>
      <c r="S371" s="18"/>
      <c r="T371" s="18"/>
      <c r="U371" s="18"/>
      <c r="V371" s="18"/>
      <c r="W371" s="18"/>
      <c r="X371" s="18"/>
      <c r="Y371" s="18"/>
      <c r="Z371" s="18"/>
      <c r="AA371" s="18"/>
      <c r="AB371" s="18"/>
      <c r="AC371" s="18"/>
      <c r="AD371" s="18"/>
      <c r="AE371" s="18"/>
      <c r="AF371" s="18"/>
      <c r="AG371" s="18"/>
      <c r="AH371" s="18"/>
      <c r="AI371" s="18"/>
      <c r="AJ371" s="18"/>
      <c r="AK371" s="18"/>
      <c r="AL371" s="18"/>
      <c r="AM371" s="18"/>
      <c r="AN371" s="18"/>
      <c r="AO371" s="18"/>
      <c r="AP371" s="18"/>
      <c r="AQ371" s="18"/>
      <c r="AR371" s="18"/>
      <c r="AS371" s="18"/>
      <c r="AT371" s="18"/>
      <c r="AU371" s="18"/>
    </row>
    <row r="372" spans="1:47" s="20" customFormat="1" x14ac:dyDescent="0.2">
      <c r="A372" s="12"/>
      <c r="B372" s="18"/>
      <c r="C372" s="18"/>
      <c r="D372" s="18"/>
      <c r="E372" s="18"/>
      <c r="F372" s="18"/>
      <c r="G372" s="18"/>
      <c r="H372" s="18"/>
      <c r="I372" s="18"/>
      <c r="J372" s="18"/>
      <c r="K372" s="18"/>
      <c r="L372" s="18"/>
      <c r="M372" s="18"/>
      <c r="N372" s="18"/>
      <c r="O372" s="18"/>
      <c r="P372" s="18"/>
      <c r="Q372" s="18"/>
      <c r="R372" s="18"/>
      <c r="S372" s="18"/>
      <c r="T372" s="18"/>
      <c r="U372" s="18"/>
      <c r="V372" s="18"/>
      <c r="W372" s="18"/>
      <c r="X372" s="18"/>
      <c r="Y372" s="18"/>
      <c r="Z372" s="18"/>
      <c r="AA372" s="18"/>
      <c r="AB372" s="18"/>
      <c r="AC372" s="18"/>
      <c r="AD372" s="18"/>
      <c r="AE372" s="18"/>
      <c r="AF372" s="18"/>
      <c r="AG372" s="18"/>
      <c r="AH372" s="18"/>
      <c r="AI372" s="18"/>
      <c r="AJ372" s="18"/>
      <c r="AK372" s="18"/>
      <c r="AL372" s="18"/>
      <c r="AM372" s="18"/>
      <c r="AN372" s="18"/>
      <c r="AO372" s="18"/>
      <c r="AP372" s="18"/>
      <c r="AQ372" s="18"/>
      <c r="AR372" s="18"/>
      <c r="AS372" s="18"/>
      <c r="AT372" s="18"/>
      <c r="AU372" s="18"/>
    </row>
    <row r="373" spans="1:47" s="20" customFormat="1" x14ac:dyDescent="0.2">
      <c r="A373" s="12"/>
      <c r="B373" s="18"/>
      <c r="C373" s="18"/>
      <c r="D373" s="18"/>
      <c r="E373" s="18"/>
      <c r="F373" s="18"/>
      <c r="G373" s="18"/>
      <c r="H373" s="18"/>
      <c r="I373" s="18"/>
      <c r="J373" s="18"/>
      <c r="K373" s="18"/>
      <c r="L373" s="18"/>
      <c r="M373" s="18"/>
      <c r="N373" s="18"/>
      <c r="O373" s="18"/>
      <c r="P373" s="18"/>
      <c r="Q373" s="18"/>
      <c r="R373" s="18"/>
      <c r="S373" s="18"/>
      <c r="T373" s="18"/>
      <c r="U373" s="18"/>
      <c r="V373" s="18"/>
      <c r="W373" s="18"/>
      <c r="X373" s="18"/>
      <c r="Y373" s="18"/>
      <c r="Z373" s="18"/>
      <c r="AA373" s="18"/>
      <c r="AB373" s="18"/>
      <c r="AC373" s="18"/>
      <c r="AD373" s="18"/>
      <c r="AE373" s="18"/>
      <c r="AF373" s="18"/>
      <c r="AG373" s="18"/>
      <c r="AH373" s="18"/>
      <c r="AI373" s="18"/>
      <c r="AJ373" s="18"/>
      <c r="AK373" s="18"/>
      <c r="AL373" s="18"/>
      <c r="AM373" s="18"/>
      <c r="AN373" s="18"/>
      <c r="AO373" s="18"/>
      <c r="AP373" s="18"/>
      <c r="AQ373" s="18"/>
      <c r="AR373" s="18"/>
      <c r="AS373" s="18"/>
      <c r="AT373" s="18"/>
      <c r="AU373" s="18"/>
    </row>
    <row r="374" spans="1:47" s="20" customFormat="1" x14ac:dyDescent="0.2">
      <c r="A374" s="12"/>
      <c r="B374" s="18"/>
      <c r="C374" s="18"/>
      <c r="D374" s="18"/>
      <c r="E374" s="18"/>
      <c r="F374" s="18"/>
      <c r="G374" s="18"/>
      <c r="H374" s="18"/>
      <c r="I374" s="18"/>
      <c r="J374" s="18"/>
      <c r="K374" s="18"/>
      <c r="L374" s="18"/>
      <c r="M374" s="18"/>
      <c r="N374" s="18"/>
      <c r="O374" s="18"/>
      <c r="P374" s="18"/>
      <c r="Q374" s="18"/>
      <c r="R374" s="18"/>
      <c r="S374" s="18"/>
      <c r="T374" s="18"/>
      <c r="U374" s="18"/>
      <c r="V374" s="18"/>
      <c r="W374" s="18"/>
      <c r="X374" s="18"/>
      <c r="Y374" s="18"/>
      <c r="Z374" s="18"/>
      <c r="AA374" s="18"/>
      <c r="AB374" s="18"/>
      <c r="AC374" s="18"/>
      <c r="AD374" s="18"/>
      <c r="AE374" s="18"/>
      <c r="AF374" s="18"/>
      <c r="AG374" s="18"/>
      <c r="AH374" s="18"/>
      <c r="AI374" s="18"/>
      <c r="AJ374" s="18"/>
      <c r="AK374" s="18"/>
      <c r="AL374" s="18"/>
      <c r="AM374" s="18"/>
      <c r="AN374" s="18"/>
      <c r="AO374" s="18"/>
      <c r="AP374" s="18"/>
      <c r="AQ374" s="18"/>
      <c r="AR374" s="18"/>
      <c r="AS374" s="18"/>
      <c r="AT374" s="18"/>
      <c r="AU374" s="18"/>
    </row>
    <row r="375" spans="1:47" s="20" customFormat="1" x14ac:dyDescent="0.2">
      <c r="A375" s="12"/>
      <c r="B375" s="18"/>
      <c r="C375" s="18"/>
      <c r="D375" s="18"/>
      <c r="E375" s="18"/>
      <c r="F375" s="18"/>
      <c r="G375" s="18"/>
      <c r="H375" s="18"/>
      <c r="I375" s="18"/>
      <c r="J375" s="18"/>
      <c r="K375" s="18"/>
      <c r="L375" s="18"/>
      <c r="M375" s="18"/>
      <c r="N375" s="18"/>
      <c r="O375" s="18"/>
      <c r="P375" s="18"/>
      <c r="Q375" s="18"/>
      <c r="R375" s="18"/>
      <c r="S375" s="18"/>
      <c r="T375" s="18"/>
      <c r="U375" s="18"/>
      <c r="V375" s="18"/>
      <c r="W375" s="18"/>
      <c r="X375" s="18"/>
      <c r="Y375" s="18"/>
      <c r="Z375" s="18"/>
      <c r="AA375" s="18"/>
      <c r="AB375" s="18"/>
      <c r="AC375" s="18"/>
      <c r="AD375" s="18"/>
      <c r="AE375" s="18"/>
      <c r="AF375" s="18"/>
      <c r="AG375" s="18"/>
      <c r="AH375" s="18"/>
      <c r="AI375" s="18"/>
      <c r="AJ375" s="18"/>
      <c r="AK375" s="18"/>
      <c r="AL375" s="18"/>
      <c r="AM375" s="18"/>
      <c r="AN375" s="18"/>
      <c r="AO375" s="18"/>
      <c r="AP375" s="18"/>
      <c r="AQ375" s="18"/>
      <c r="AR375" s="18"/>
      <c r="AS375" s="18"/>
      <c r="AT375" s="18"/>
      <c r="AU375" s="18"/>
    </row>
    <row r="376" spans="1:47" s="20" customFormat="1" x14ac:dyDescent="0.2">
      <c r="A376" s="12"/>
      <c r="B376" s="18"/>
      <c r="C376" s="18"/>
      <c r="D376" s="18"/>
      <c r="E376" s="18"/>
      <c r="F376" s="18"/>
      <c r="G376" s="18"/>
      <c r="H376" s="18"/>
      <c r="I376" s="18"/>
      <c r="J376" s="18"/>
      <c r="K376" s="18"/>
      <c r="L376" s="18"/>
      <c r="M376" s="18"/>
      <c r="N376" s="18"/>
      <c r="O376" s="18"/>
      <c r="P376" s="18"/>
      <c r="Q376" s="18"/>
      <c r="R376" s="18"/>
      <c r="S376" s="18"/>
      <c r="T376" s="18"/>
      <c r="U376" s="18"/>
      <c r="V376" s="18"/>
      <c r="W376" s="18"/>
      <c r="X376" s="18"/>
      <c r="Y376" s="18"/>
      <c r="Z376" s="18"/>
      <c r="AA376" s="18"/>
      <c r="AB376" s="18"/>
      <c r="AC376" s="18"/>
      <c r="AD376" s="18"/>
      <c r="AE376" s="18"/>
      <c r="AF376" s="18"/>
      <c r="AG376" s="18"/>
      <c r="AH376" s="18"/>
      <c r="AI376" s="18"/>
      <c r="AJ376" s="18"/>
      <c r="AK376" s="18"/>
      <c r="AL376" s="18"/>
      <c r="AM376" s="18"/>
      <c r="AN376" s="18"/>
      <c r="AO376" s="18"/>
      <c r="AP376" s="18"/>
      <c r="AQ376" s="18"/>
      <c r="AR376" s="18"/>
      <c r="AS376" s="18"/>
      <c r="AT376" s="18"/>
      <c r="AU376" s="18"/>
    </row>
    <row r="377" spans="1:47" s="20" customFormat="1" x14ac:dyDescent="0.2">
      <c r="A377" s="12"/>
      <c r="B377" s="18"/>
      <c r="C377" s="18"/>
      <c r="D377" s="18"/>
      <c r="E377" s="18"/>
      <c r="F377" s="18"/>
      <c r="G377" s="18"/>
      <c r="H377" s="18"/>
      <c r="I377" s="18"/>
      <c r="J377" s="18"/>
      <c r="K377" s="18"/>
      <c r="L377" s="18"/>
      <c r="M377" s="18"/>
      <c r="N377" s="18"/>
      <c r="O377" s="18"/>
      <c r="P377" s="18"/>
      <c r="Q377" s="18"/>
      <c r="R377" s="18"/>
      <c r="S377" s="18"/>
      <c r="T377" s="18"/>
      <c r="U377" s="18"/>
      <c r="V377" s="18"/>
      <c r="W377" s="18"/>
      <c r="X377" s="18"/>
      <c r="Y377" s="18"/>
      <c r="Z377" s="18"/>
      <c r="AA377" s="18"/>
      <c r="AB377" s="18"/>
      <c r="AC377" s="18"/>
      <c r="AD377" s="18"/>
      <c r="AE377" s="18"/>
      <c r="AF377" s="18"/>
      <c r="AG377" s="18"/>
      <c r="AH377" s="18"/>
      <c r="AI377" s="18"/>
      <c r="AJ377" s="18"/>
      <c r="AK377" s="18"/>
      <c r="AL377" s="18"/>
      <c r="AM377" s="18"/>
      <c r="AN377" s="18"/>
      <c r="AO377" s="18"/>
      <c r="AP377" s="18"/>
      <c r="AQ377" s="18"/>
      <c r="AR377" s="18"/>
      <c r="AS377" s="18"/>
      <c r="AT377" s="18"/>
      <c r="AU377" s="18"/>
    </row>
    <row r="378" spans="1:47" s="20" customFormat="1" x14ac:dyDescent="0.2">
      <c r="A378" s="12"/>
      <c r="B378" s="18"/>
      <c r="C378" s="18"/>
      <c r="D378" s="18"/>
      <c r="E378" s="18"/>
      <c r="F378" s="18"/>
      <c r="G378" s="18"/>
      <c r="H378" s="18"/>
      <c r="I378" s="18"/>
      <c r="J378" s="18"/>
      <c r="K378" s="18"/>
      <c r="L378" s="18"/>
      <c r="M378" s="18"/>
      <c r="N378" s="18"/>
      <c r="O378" s="18"/>
      <c r="P378" s="18"/>
      <c r="Q378" s="18"/>
      <c r="R378" s="18"/>
      <c r="S378" s="18"/>
      <c r="T378" s="18"/>
      <c r="U378" s="18"/>
      <c r="V378" s="18"/>
      <c r="W378" s="18"/>
      <c r="X378" s="18"/>
      <c r="Y378" s="18"/>
      <c r="Z378" s="18"/>
      <c r="AA378" s="18"/>
      <c r="AB378" s="18"/>
      <c r="AC378" s="18"/>
      <c r="AD378" s="18"/>
      <c r="AE378" s="18"/>
      <c r="AF378" s="18"/>
      <c r="AG378" s="18"/>
      <c r="AH378" s="18"/>
      <c r="AI378" s="18"/>
      <c r="AJ378" s="18"/>
      <c r="AK378" s="18"/>
      <c r="AL378" s="18"/>
      <c r="AM378" s="18"/>
      <c r="AN378" s="18"/>
      <c r="AO378" s="18"/>
      <c r="AP378" s="18"/>
      <c r="AQ378" s="18"/>
      <c r="AR378" s="18"/>
      <c r="AS378" s="18"/>
      <c r="AT378" s="18"/>
      <c r="AU378" s="18"/>
    </row>
    <row r="379" spans="1:47" s="20" customFormat="1" x14ac:dyDescent="0.2">
      <c r="A379" s="12"/>
      <c r="B379" s="18"/>
      <c r="C379" s="18"/>
      <c r="D379" s="18"/>
      <c r="E379" s="18"/>
      <c r="F379" s="18"/>
      <c r="G379" s="18"/>
      <c r="H379" s="18"/>
      <c r="I379" s="18"/>
      <c r="J379" s="18"/>
      <c r="K379" s="18"/>
      <c r="L379" s="18"/>
      <c r="M379" s="18"/>
      <c r="N379" s="18"/>
      <c r="O379" s="18"/>
      <c r="P379" s="18"/>
      <c r="Q379" s="18"/>
      <c r="R379" s="18"/>
      <c r="S379" s="18"/>
      <c r="T379" s="18"/>
      <c r="U379" s="18"/>
      <c r="V379" s="18"/>
      <c r="W379" s="18"/>
      <c r="X379" s="18"/>
      <c r="Y379" s="18"/>
      <c r="Z379" s="18"/>
      <c r="AA379" s="18"/>
      <c r="AB379" s="18"/>
      <c r="AC379" s="18"/>
      <c r="AD379" s="18"/>
      <c r="AE379" s="18"/>
      <c r="AF379" s="18"/>
      <c r="AG379" s="18"/>
      <c r="AH379" s="18"/>
      <c r="AI379" s="18"/>
      <c r="AJ379" s="18"/>
      <c r="AK379" s="18"/>
      <c r="AL379" s="18"/>
      <c r="AM379" s="18"/>
      <c r="AN379" s="18"/>
      <c r="AO379" s="18"/>
      <c r="AP379" s="18"/>
      <c r="AQ379" s="18"/>
      <c r="AR379" s="18"/>
      <c r="AS379" s="18"/>
      <c r="AT379" s="18"/>
      <c r="AU379" s="18"/>
    </row>
    <row r="380" spans="1:47" s="20" customFormat="1" x14ac:dyDescent="0.2">
      <c r="A380" s="12"/>
      <c r="B380" s="18"/>
      <c r="C380" s="18"/>
      <c r="D380" s="18"/>
      <c r="E380" s="18"/>
      <c r="F380" s="18"/>
      <c r="G380" s="18"/>
      <c r="H380" s="18"/>
      <c r="I380" s="18"/>
      <c r="J380" s="18"/>
      <c r="K380" s="18"/>
      <c r="L380" s="18"/>
      <c r="M380" s="18"/>
      <c r="N380" s="18"/>
      <c r="O380" s="18"/>
      <c r="P380" s="18"/>
      <c r="Q380" s="18"/>
      <c r="R380" s="18"/>
      <c r="S380" s="18"/>
      <c r="T380" s="18"/>
      <c r="U380" s="18"/>
      <c r="V380" s="18"/>
      <c r="W380" s="18"/>
      <c r="X380" s="18"/>
      <c r="Y380" s="18"/>
      <c r="Z380" s="18"/>
      <c r="AA380" s="18"/>
      <c r="AB380" s="18"/>
      <c r="AC380" s="18"/>
      <c r="AD380" s="18"/>
      <c r="AE380" s="18"/>
      <c r="AF380" s="18"/>
      <c r="AG380" s="18"/>
      <c r="AH380" s="18"/>
      <c r="AI380" s="18"/>
      <c r="AJ380" s="18"/>
      <c r="AK380" s="18"/>
      <c r="AL380" s="18"/>
      <c r="AM380" s="18"/>
      <c r="AN380" s="18"/>
      <c r="AO380" s="18"/>
      <c r="AP380" s="18"/>
      <c r="AQ380" s="18"/>
      <c r="AR380" s="18"/>
      <c r="AS380" s="18"/>
      <c r="AT380" s="18"/>
      <c r="AU380" s="18"/>
    </row>
    <row r="381" spans="1:47" s="20" customFormat="1" x14ac:dyDescent="0.2">
      <c r="A381" s="12"/>
      <c r="B381" s="18"/>
      <c r="C381" s="18"/>
      <c r="D381" s="18"/>
      <c r="E381" s="18"/>
      <c r="F381" s="18"/>
      <c r="G381" s="18"/>
      <c r="H381" s="18"/>
      <c r="I381" s="18"/>
      <c r="J381" s="18"/>
      <c r="K381" s="18"/>
      <c r="L381" s="18"/>
      <c r="M381" s="18"/>
      <c r="N381" s="18"/>
      <c r="O381" s="18"/>
      <c r="P381" s="18"/>
      <c r="Q381" s="18"/>
      <c r="R381" s="18"/>
      <c r="S381" s="18"/>
      <c r="T381" s="18"/>
      <c r="U381" s="18"/>
      <c r="V381" s="18"/>
      <c r="W381" s="18"/>
      <c r="X381" s="18"/>
      <c r="Y381" s="18"/>
      <c r="Z381" s="18"/>
      <c r="AA381" s="18"/>
      <c r="AB381" s="18"/>
      <c r="AC381" s="18"/>
      <c r="AD381" s="18"/>
      <c r="AE381" s="18"/>
      <c r="AF381" s="18"/>
      <c r="AG381" s="18"/>
      <c r="AH381" s="18"/>
      <c r="AI381" s="18"/>
      <c r="AJ381" s="18"/>
      <c r="AK381" s="18"/>
      <c r="AL381" s="18"/>
      <c r="AM381" s="18"/>
      <c r="AN381" s="18"/>
      <c r="AO381" s="18"/>
      <c r="AP381" s="18"/>
      <c r="AQ381" s="18"/>
      <c r="AR381" s="18"/>
      <c r="AS381" s="18"/>
      <c r="AT381" s="18"/>
      <c r="AU381" s="18"/>
    </row>
    <row r="382" spans="1:47" s="20" customFormat="1" x14ac:dyDescent="0.2">
      <c r="A382" s="12"/>
      <c r="B382" s="18"/>
      <c r="C382" s="18"/>
      <c r="D382" s="18"/>
      <c r="E382" s="18"/>
      <c r="F382" s="18"/>
      <c r="G382" s="18"/>
      <c r="H382" s="18"/>
      <c r="I382" s="18"/>
      <c r="J382" s="18"/>
      <c r="K382" s="18"/>
      <c r="L382" s="18"/>
      <c r="M382" s="18"/>
      <c r="N382" s="18"/>
      <c r="O382" s="18"/>
      <c r="P382" s="18"/>
      <c r="Q382" s="18"/>
      <c r="R382" s="18"/>
      <c r="S382" s="18"/>
      <c r="T382" s="18"/>
      <c r="U382" s="18"/>
      <c r="V382" s="18"/>
      <c r="W382" s="18"/>
      <c r="X382" s="18"/>
      <c r="Y382" s="18"/>
      <c r="Z382" s="18"/>
      <c r="AA382" s="18"/>
      <c r="AB382" s="18"/>
      <c r="AC382" s="18"/>
      <c r="AD382" s="18"/>
      <c r="AE382" s="18"/>
      <c r="AF382" s="18"/>
      <c r="AG382" s="18"/>
      <c r="AH382" s="18"/>
      <c r="AI382" s="18"/>
      <c r="AJ382" s="18"/>
      <c r="AK382" s="18"/>
      <c r="AL382" s="18"/>
      <c r="AM382" s="18"/>
      <c r="AN382" s="18"/>
      <c r="AO382" s="18"/>
      <c r="AP382" s="18"/>
      <c r="AQ382" s="18"/>
      <c r="AR382" s="18"/>
      <c r="AS382" s="18"/>
      <c r="AT382" s="18"/>
      <c r="AU382" s="18"/>
    </row>
    <row r="383" spans="1:47" s="20" customFormat="1" x14ac:dyDescent="0.2">
      <c r="A383" s="12"/>
      <c r="B383" s="18"/>
      <c r="C383" s="18"/>
      <c r="D383" s="18"/>
      <c r="E383" s="18"/>
      <c r="F383" s="18"/>
      <c r="G383" s="18"/>
      <c r="H383" s="18"/>
      <c r="I383" s="18"/>
      <c r="J383" s="18"/>
      <c r="K383" s="18"/>
      <c r="L383" s="18"/>
      <c r="M383" s="18"/>
      <c r="N383" s="18"/>
      <c r="O383" s="18"/>
      <c r="P383" s="18"/>
      <c r="Q383" s="18"/>
      <c r="R383" s="18"/>
      <c r="S383" s="18"/>
      <c r="T383" s="18"/>
      <c r="U383" s="18"/>
      <c r="V383" s="18"/>
      <c r="W383" s="18"/>
      <c r="X383" s="18"/>
      <c r="Y383" s="18"/>
      <c r="Z383" s="18"/>
      <c r="AA383" s="18"/>
      <c r="AB383" s="18"/>
      <c r="AC383" s="18"/>
      <c r="AD383" s="18"/>
      <c r="AE383" s="18"/>
      <c r="AF383" s="18"/>
      <c r="AG383" s="18"/>
      <c r="AH383" s="18"/>
      <c r="AI383" s="18"/>
      <c r="AJ383" s="18"/>
      <c r="AK383" s="18"/>
      <c r="AL383" s="18"/>
      <c r="AM383" s="18"/>
      <c r="AN383" s="18"/>
      <c r="AO383" s="18"/>
      <c r="AP383" s="18"/>
      <c r="AQ383" s="18"/>
      <c r="AR383" s="18"/>
      <c r="AS383" s="18"/>
      <c r="AT383" s="18"/>
      <c r="AU383" s="18"/>
    </row>
    <row r="384" spans="1:47" s="20" customFormat="1" x14ac:dyDescent="0.2">
      <c r="A384" s="12"/>
      <c r="B384" s="18"/>
      <c r="C384" s="18"/>
      <c r="D384" s="18"/>
      <c r="E384" s="18"/>
      <c r="F384" s="18"/>
      <c r="G384" s="18"/>
      <c r="H384" s="18"/>
      <c r="I384" s="18"/>
      <c r="J384" s="18"/>
      <c r="K384" s="18"/>
      <c r="L384" s="18"/>
      <c r="M384" s="18"/>
      <c r="N384" s="18"/>
      <c r="O384" s="18"/>
      <c r="P384" s="18"/>
      <c r="Q384" s="18"/>
      <c r="R384" s="18"/>
      <c r="S384" s="18"/>
      <c r="T384" s="18"/>
      <c r="U384" s="18"/>
      <c r="V384" s="18"/>
      <c r="W384" s="18"/>
      <c r="X384" s="18"/>
      <c r="Y384" s="18"/>
      <c r="Z384" s="18"/>
      <c r="AA384" s="18"/>
      <c r="AB384" s="18"/>
      <c r="AC384" s="18"/>
      <c r="AD384" s="18"/>
      <c r="AE384" s="18"/>
      <c r="AF384" s="18"/>
      <c r="AG384" s="18"/>
      <c r="AH384" s="18"/>
      <c r="AI384" s="18"/>
      <c r="AJ384" s="18"/>
      <c r="AK384" s="18"/>
      <c r="AL384" s="18"/>
      <c r="AM384" s="18"/>
      <c r="AN384" s="18"/>
      <c r="AO384" s="18"/>
      <c r="AP384" s="18"/>
      <c r="AQ384" s="18"/>
      <c r="AR384" s="18"/>
      <c r="AS384" s="18"/>
      <c r="AT384" s="18"/>
      <c r="AU384" s="18"/>
    </row>
    <row r="385" spans="1:47" s="20" customFormat="1" x14ac:dyDescent="0.2">
      <c r="A385" s="12"/>
      <c r="B385" s="18"/>
      <c r="C385" s="18"/>
      <c r="D385" s="18"/>
      <c r="E385" s="18"/>
      <c r="F385" s="18"/>
      <c r="G385" s="18"/>
      <c r="H385" s="18"/>
      <c r="I385" s="18"/>
      <c r="J385" s="18"/>
      <c r="K385" s="18"/>
      <c r="L385" s="18"/>
      <c r="M385" s="18"/>
      <c r="N385" s="18"/>
      <c r="O385" s="18"/>
      <c r="P385" s="18"/>
      <c r="Q385" s="18"/>
      <c r="R385" s="18"/>
      <c r="S385" s="18"/>
      <c r="T385" s="18"/>
      <c r="U385" s="18"/>
      <c r="V385" s="18"/>
      <c r="W385" s="18"/>
      <c r="X385" s="18"/>
      <c r="Y385" s="18"/>
      <c r="Z385" s="18"/>
      <c r="AA385" s="18"/>
      <c r="AB385" s="18"/>
      <c r="AC385" s="18"/>
      <c r="AD385" s="18"/>
      <c r="AE385" s="18"/>
      <c r="AF385" s="18"/>
      <c r="AG385" s="18"/>
      <c r="AH385" s="18"/>
      <c r="AI385" s="18"/>
      <c r="AJ385" s="18"/>
      <c r="AK385" s="18"/>
      <c r="AL385" s="18"/>
      <c r="AM385" s="18"/>
      <c r="AN385" s="18"/>
      <c r="AO385" s="18"/>
      <c r="AP385" s="18"/>
      <c r="AQ385" s="18"/>
      <c r="AR385" s="18"/>
      <c r="AS385" s="18"/>
      <c r="AT385" s="18"/>
      <c r="AU385" s="18"/>
    </row>
    <row r="386" spans="1:47" s="20" customFormat="1" x14ac:dyDescent="0.2">
      <c r="A386" s="12"/>
      <c r="B386" s="18"/>
      <c r="C386" s="18"/>
      <c r="D386" s="18"/>
      <c r="E386" s="18"/>
      <c r="F386" s="18"/>
      <c r="G386" s="18"/>
      <c r="H386" s="18"/>
      <c r="I386" s="18"/>
      <c r="J386" s="18"/>
      <c r="K386" s="18"/>
      <c r="L386" s="18"/>
      <c r="M386" s="18"/>
      <c r="N386" s="18"/>
      <c r="O386" s="18"/>
      <c r="P386" s="18"/>
      <c r="Q386" s="18"/>
      <c r="R386" s="18"/>
      <c r="S386" s="18"/>
      <c r="T386" s="18"/>
      <c r="U386" s="18"/>
      <c r="V386" s="18"/>
      <c r="W386" s="18"/>
      <c r="X386" s="18"/>
      <c r="Y386" s="18"/>
      <c r="Z386" s="18"/>
      <c r="AA386" s="18"/>
      <c r="AB386" s="18"/>
      <c r="AC386" s="18"/>
      <c r="AD386" s="18"/>
      <c r="AE386" s="18"/>
      <c r="AF386" s="18"/>
      <c r="AG386" s="18"/>
      <c r="AH386" s="18"/>
      <c r="AI386" s="18"/>
      <c r="AJ386" s="18"/>
      <c r="AK386" s="18"/>
      <c r="AL386" s="18"/>
      <c r="AM386" s="18"/>
      <c r="AN386" s="18"/>
      <c r="AO386" s="18"/>
      <c r="AP386" s="18"/>
      <c r="AQ386" s="18"/>
      <c r="AR386" s="18"/>
      <c r="AS386" s="18"/>
      <c r="AT386" s="18"/>
      <c r="AU386" s="18"/>
    </row>
    <row r="387" spans="1:47" s="20" customFormat="1" x14ac:dyDescent="0.2">
      <c r="A387" s="12"/>
      <c r="B387" s="18"/>
      <c r="C387" s="18"/>
      <c r="D387" s="18"/>
      <c r="E387" s="18"/>
      <c r="F387" s="18"/>
      <c r="G387" s="18"/>
      <c r="H387" s="18"/>
      <c r="I387" s="18"/>
      <c r="J387" s="18"/>
      <c r="K387" s="18"/>
      <c r="L387" s="18"/>
      <c r="M387" s="18"/>
      <c r="N387" s="18"/>
      <c r="O387" s="18"/>
      <c r="P387" s="18"/>
      <c r="Q387" s="18"/>
      <c r="R387" s="18"/>
      <c r="S387" s="18"/>
      <c r="T387" s="18"/>
      <c r="U387" s="18"/>
      <c r="V387" s="18"/>
      <c r="W387" s="18"/>
      <c r="X387" s="18"/>
      <c r="Y387" s="18"/>
      <c r="Z387" s="18"/>
      <c r="AA387" s="18"/>
      <c r="AB387" s="18"/>
      <c r="AC387" s="18"/>
      <c r="AD387" s="18"/>
      <c r="AE387" s="18"/>
      <c r="AF387" s="18"/>
      <c r="AG387" s="18"/>
      <c r="AH387" s="18"/>
      <c r="AI387" s="18"/>
      <c r="AJ387" s="18"/>
      <c r="AK387" s="18"/>
      <c r="AL387" s="18"/>
      <c r="AM387" s="18"/>
      <c r="AN387" s="18"/>
      <c r="AO387" s="18"/>
      <c r="AP387" s="18"/>
      <c r="AQ387" s="18"/>
      <c r="AR387" s="18"/>
      <c r="AS387" s="18"/>
      <c r="AT387" s="18"/>
      <c r="AU387" s="18"/>
    </row>
    <row r="388" spans="1:47" s="20" customFormat="1" x14ac:dyDescent="0.2">
      <c r="A388" s="12"/>
      <c r="B388" s="18"/>
      <c r="C388" s="18"/>
      <c r="D388" s="18"/>
      <c r="E388" s="18"/>
      <c r="F388" s="18"/>
      <c r="G388" s="18"/>
      <c r="H388" s="18"/>
      <c r="I388" s="18"/>
      <c r="J388" s="18"/>
      <c r="K388" s="18"/>
      <c r="L388" s="18"/>
      <c r="M388" s="18"/>
      <c r="N388" s="18"/>
      <c r="O388" s="18"/>
      <c r="P388" s="18"/>
      <c r="Q388" s="18"/>
      <c r="R388" s="18"/>
      <c r="S388" s="18"/>
      <c r="T388" s="18"/>
      <c r="U388" s="18"/>
      <c r="V388" s="18"/>
      <c r="W388" s="18"/>
      <c r="X388" s="18"/>
      <c r="Y388" s="18"/>
      <c r="Z388" s="18"/>
      <c r="AA388" s="18"/>
      <c r="AB388" s="18"/>
      <c r="AC388" s="18"/>
      <c r="AD388" s="18"/>
      <c r="AE388" s="18"/>
      <c r="AF388" s="18"/>
      <c r="AG388" s="18"/>
      <c r="AH388" s="18"/>
      <c r="AI388" s="18"/>
      <c r="AJ388" s="18"/>
      <c r="AK388" s="18"/>
      <c r="AL388" s="18"/>
      <c r="AM388" s="18"/>
      <c r="AN388" s="18"/>
      <c r="AO388" s="18"/>
      <c r="AP388" s="18"/>
      <c r="AQ388" s="18"/>
      <c r="AR388" s="18"/>
      <c r="AS388" s="18"/>
      <c r="AT388" s="18"/>
      <c r="AU388" s="18"/>
    </row>
    <row r="389" spans="1:47" s="20" customFormat="1" x14ac:dyDescent="0.2">
      <c r="A389" s="12"/>
      <c r="B389" s="18"/>
      <c r="C389" s="18"/>
      <c r="D389" s="18"/>
      <c r="E389" s="18"/>
      <c r="F389" s="18"/>
      <c r="G389" s="18"/>
      <c r="H389" s="18"/>
      <c r="I389" s="18"/>
      <c r="J389" s="18"/>
      <c r="K389" s="18"/>
      <c r="L389" s="18"/>
      <c r="M389" s="18"/>
      <c r="N389" s="18"/>
      <c r="O389" s="18"/>
      <c r="P389" s="18"/>
      <c r="Q389" s="18"/>
      <c r="R389" s="18"/>
      <c r="S389" s="18"/>
      <c r="T389" s="18"/>
      <c r="U389" s="18"/>
      <c r="V389" s="18"/>
      <c r="W389" s="18"/>
      <c r="X389" s="18"/>
      <c r="Y389" s="18"/>
      <c r="Z389" s="18"/>
      <c r="AA389" s="18"/>
      <c r="AB389" s="18"/>
      <c r="AC389" s="18"/>
      <c r="AD389" s="18"/>
      <c r="AE389" s="18"/>
      <c r="AF389" s="18"/>
      <c r="AG389" s="18"/>
      <c r="AH389" s="18"/>
      <c r="AI389" s="18"/>
      <c r="AJ389" s="18"/>
      <c r="AK389" s="18"/>
      <c r="AL389" s="18"/>
      <c r="AM389" s="18"/>
      <c r="AN389" s="18"/>
      <c r="AO389" s="18"/>
      <c r="AP389" s="18"/>
      <c r="AQ389" s="18"/>
      <c r="AR389" s="18"/>
      <c r="AS389" s="18"/>
      <c r="AT389" s="18"/>
      <c r="AU389" s="18"/>
    </row>
    <row r="390" spans="1:47" s="20" customFormat="1" x14ac:dyDescent="0.2">
      <c r="A390" s="12"/>
      <c r="B390" s="18"/>
      <c r="C390" s="18"/>
      <c r="D390" s="18"/>
      <c r="E390" s="18"/>
      <c r="F390" s="18"/>
      <c r="G390" s="18"/>
      <c r="H390" s="18"/>
      <c r="I390" s="18"/>
      <c r="J390" s="18"/>
      <c r="K390" s="18"/>
      <c r="L390" s="18"/>
      <c r="M390" s="18"/>
      <c r="N390" s="18"/>
      <c r="O390" s="18"/>
      <c r="P390" s="18"/>
      <c r="Q390" s="18"/>
      <c r="R390" s="18"/>
      <c r="S390" s="18"/>
      <c r="T390" s="18"/>
      <c r="U390" s="18"/>
      <c r="V390" s="18"/>
      <c r="W390" s="18"/>
      <c r="X390" s="18"/>
      <c r="Y390" s="18"/>
      <c r="Z390" s="18"/>
      <c r="AA390" s="18"/>
      <c r="AB390" s="18"/>
      <c r="AC390" s="18"/>
      <c r="AD390" s="18"/>
      <c r="AE390" s="18"/>
      <c r="AF390" s="18"/>
      <c r="AG390" s="18"/>
      <c r="AH390" s="18"/>
      <c r="AI390" s="18"/>
      <c r="AJ390" s="18"/>
      <c r="AK390" s="18"/>
      <c r="AL390" s="18"/>
      <c r="AM390" s="18"/>
      <c r="AN390" s="18"/>
      <c r="AO390" s="18"/>
      <c r="AP390" s="18"/>
      <c r="AQ390" s="18"/>
      <c r="AR390" s="18"/>
      <c r="AS390" s="18"/>
      <c r="AT390" s="18"/>
      <c r="AU390" s="18"/>
    </row>
    <row r="391" spans="1:47" s="20" customFormat="1" x14ac:dyDescent="0.2">
      <c r="A391" s="12"/>
      <c r="B391" s="18"/>
      <c r="C391" s="18"/>
      <c r="D391" s="18"/>
      <c r="E391" s="18"/>
      <c r="F391" s="18"/>
      <c r="G391" s="18"/>
      <c r="H391" s="18"/>
      <c r="I391" s="18"/>
      <c r="J391" s="18"/>
      <c r="K391" s="18"/>
      <c r="L391" s="18"/>
      <c r="M391" s="18"/>
      <c r="N391" s="18"/>
      <c r="O391" s="18"/>
      <c r="P391" s="18"/>
      <c r="Q391" s="18"/>
      <c r="R391" s="18"/>
      <c r="S391" s="18"/>
      <c r="T391" s="18"/>
      <c r="U391" s="18"/>
      <c r="V391" s="18"/>
      <c r="W391" s="18"/>
      <c r="X391" s="18"/>
      <c r="Y391" s="18"/>
      <c r="Z391" s="18"/>
      <c r="AA391" s="18"/>
      <c r="AB391" s="18"/>
      <c r="AC391" s="18"/>
      <c r="AD391" s="18"/>
      <c r="AE391" s="18"/>
      <c r="AF391" s="18"/>
      <c r="AG391" s="18"/>
      <c r="AH391" s="18"/>
      <c r="AI391" s="18"/>
      <c r="AJ391" s="18"/>
      <c r="AK391" s="18"/>
      <c r="AL391" s="18"/>
      <c r="AM391" s="18"/>
      <c r="AN391" s="18"/>
      <c r="AO391" s="18"/>
      <c r="AP391" s="18"/>
      <c r="AQ391" s="18"/>
      <c r="AR391" s="18"/>
      <c r="AS391" s="18"/>
      <c r="AT391" s="18"/>
      <c r="AU391" s="18"/>
    </row>
    <row r="392" spans="1:47" s="20" customFormat="1" x14ac:dyDescent="0.2">
      <c r="A392" s="12"/>
      <c r="B392" s="18"/>
      <c r="C392" s="18"/>
      <c r="D392" s="18"/>
      <c r="E392" s="18"/>
      <c r="F392" s="18"/>
      <c r="G392" s="18"/>
      <c r="H392" s="18"/>
      <c r="I392" s="18"/>
      <c r="J392" s="18"/>
      <c r="K392" s="18"/>
      <c r="L392" s="18"/>
      <c r="M392" s="18"/>
      <c r="N392" s="18"/>
      <c r="O392" s="18"/>
      <c r="P392" s="18"/>
      <c r="Q392" s="18"/>
      <c r="R392" s="18"/>
      <c r="S392" s="18"/>
      <c r="T392" s="18"/>
      <c r="U392" s="18"/>
      <c r="V392" s="18"/>
      <c r="W392" s="18"/>
      <c r="X392" s="18"/>
      <c r="Y392" s="18"/>
      <c r="Z392" s="18"/>
      <c r="AA392" s="18"/>
      <c r="AB392" s="18"/>
      <c r="AC392" s="18"/>
      <c r="AD392" s="18"/>
      <c r="AE392" s="18"/>
      <c r="AF392" s="18"/>
      <c r="AG392" s="18"/>
      <c r="AH392" s="18"/>
      <c r="AI392" s="18"/>
      <c r="AJ392" s="18"/>
      <c r="AK392" s="18"/>
      <c r="AL392" s="18"/>
      <c r="AM392" s="18"/>
      <c r="AN392" s="18"/>
      <c r="AO392" s="18"/>
      <c r="AP392" s="18"/>
      <c r="AQ392" s="18"/>
      <c r="AR392" s="18"/>
      <c r="AS392" s="18"/>
      <c r="AT392" s="18"/>
      <c r="AU392" s="18"/>
    </row>
    <row r="393" spans="1:47" s="20" customFormat="1" x14ac:dyDescent="0.2">
      <c r="A393" s="12"/>
      <c r="B393" s="18"/>
      <c r="C393" s="18"/>
      <c r="D393" s="18"/>
      <c r="E393" s="18"/>
      <c r="F393" s="18"/>
      <c r="G393" s="18"/>
      <c r="H393" s="18"/>
      <c r="I393" s="18"/>
      <c r="J393" s="18"/>
      <c r="K393" s="18"/>
      <c r="L393" s="18"/>
      <c r="M393" s="18"/>
      <c r="N393" s="18"/>
      <c r="O393" s="18"/>
      <c r="P393" s="18"/>
      <c r="Q393" s="18"/>
      <c r="R393" s="18"/>
      <c r="S393" s="18"/>
      <c r="T393" s="18"/>
      <c r="U393" s="18"/>
      <c r="V393" s="18"/>
      <c r="W393" s="18"/>
      <c r="X393" s="18"/>
      <c r="Y393" s="18"/>
      <c r="Z393" s="18"/>
      <c r="AA393" s="18"/>
      <c r="AB393" s="18"/>
      <c r="AC393" s="18"/>
      <c r="AD393" s="18"/>
      <c r="AE393" s="18"/>
      <c r="AF393" s="18"/>
      <c r="AG393" s="18"/>
      <c r="AH393" s="18"/>
      <c r="AI393" s="18"/>
      <c r="AJ393" s="18"/>
      <c r="AK393" s="18"/>
      <c r="AL393" s="18"/>
      <c r="AM393" s="18"/>
      <c r="AN393" s="18"/>
      <c r="AO393" s="18"/>
      <c r="AP393" s="18"/>
      <c r="AQ393" s="18"/>
      <c r="AR393" s="18"/>
      <c r="AS393" s="18"/>
      <c r="AT393" s="18"/>
      <c r="AU393" s="18"/>
    </row>
    <row r="394" spans="1:47" s="20" customFormat="1" x14ac:dyDescent="0.2">
      <c r="A394" s="12"/>
      <c r="B394" s="18"/>
      <c r="C394" s="18"/>
      <c r="D394" s="18"/>
      <c r="E394" s="18"/>
      <c r="F394" s="18"/>
      <c r="G394" s="18"/>
      <c r="H394" s="18"/>
      <c r="I394" s="18"/>
      <c r="J394" s="18"/>
      <c r="K394" s="18"/>
      <c r="L394" s="18"/>
      <c r="M394" s="18"/>
      <c r="N394" s="18"/>
      <c r="O394" s="18"/>
      <c r="P394" s="18"/>
      <c r="Q394" s="18"/>
      <c r="R394" s="18"/>
      <c r="S394" s="18"/>
      <c r="T394" s="18"/>
      <c r="U394" s="18"/>
      <c r="V394" s="18"/>
      <c r="W394" s="18"/>
      <c r="X394" s="18"/>
      <c r="Y394" s="18"/>
      <c r="Z394" s="18"/>
      <c r="AA394" s="18"/>
      <c r="AB394" s="18"/>
      <c r="AC394" s="18"/>
      <c r="AD394" s="18"/>
      <c r="AE394" s="18"/>
      <c r="AF394" s="18"/>
      <c r="AG394" s="18"/>
      <c r="AH394" s="18"/>
      <c r="AI394" s="18"/>
      <c r="AJ394" s="18"/>
      <c r="AK394" s="18"/>
      <c r="AL394" s="18"/>
      <c r="AM394" s="18"/>
      <c r="AN394" s="18"/>
      <c r="AO394" s="18"/>
      <c r="AP394" s="18"/>
      <c r="AQ394" s="18"/>
      <c r="AR394" s="18"/>
      <c r="AS394" s="18"/>
      <c r="AT394" s="18"/>
      <c r="AU394" s="18"/>
    </row>
    <row r="395" spans="1:47" s="20" customFormat="1" x14ac:dyDescent="0.2">
      <c r="A395" s="12"/>
      <c r="B395" s="18"/>
      <c r="C395" s="18"/>
      <c r="D395" s="18"/>
      <c r="E395" s="18"/>
      <c r="F395" s="18"/>
      <c r="G395" s="18"/>
      <c r="H395" s="18"/>
      <c r="I395" s="18"/>
      <c r="J395" s="18"/>
      <c r="K395" s="18"/>
      <c r="L395" s="18"/>
      <c r="M395" s="18"/>
      <c r="N395" s="18"/>
      <c r="O395" s="18"/>
      <c r="P395" s="18"/>
      <c r="Q395" s="18"/>
      <c r="R395" s="18"/>
      <c r="S395" s="18"/>
      <c r="T395" s="18"/>
      <c r="U395" s="18"/>
      <c r="V395" s="18"/>
      <c r="W395" s="18"/>
      <c r="X395" s="18"/>
      <c r="Y395" s="18"/>
      <c r="Z395" s="18"/>
      <c r="AA395" s="18"/>
      <c r="AB395" s="18"/>
      <c r="AC395" s="18"/>
      <c r="AD395" s="18"/>
      <c r="AE395" s="18"/>
      <c r="AF395" s="18"/>
      <c r="AG395" s="18"/>
      <c r="AH395" s="18"/>
      <c r="AI395" s="18"/>
      <c r="AJ395" s="18"/>
      <c r="AK395" s="18"/>
      <c r="AL395" s="18"/>
      <c r="AM395" s="18"/>
      <c r="AN395" s="18"/>
      <c r="AO395" s="18"/>
      <c r="AP395" s="18"/>
      <c r="AQ395" s="18"/>
      <c r="AR395" s="18"/>
      <c r="AS395" s="18"/>
      <c r="AT395" s="18"/>
      <c r="AU395" s="18"/>
    </row>
    <row r="396" spans="1:47" s="20" customFormat="1" x14ac:dyDescent="0.2">
      <c r="A396" s="12"/>
      <c r="B396" s="18"/>
      <c r="C396" s="18"/>
      <c r="D396" s="18"/>
      <c r="E396" s="18"/>
      <c r="F396" s="18"/>
      <c r="G396" s="18"/>
      <c r="H396" s="18"/>
      <c r="I396" s="18"/>
      <c r="J396" s="18"/>
      <c r="K396" s="18"/>
      <c r="L396" s="18"/>
      <c r="M396" s="18"/>
      <c r="N396" s="18"/>
      <c r="O396" s="18"/>
      <c r="P396" s="18"/>
      <c r="Q396" s="18"/>
      <c r="R396" s="18"/>
      <c r="S396" s="18"/>
      <c r="T396" s="18"/>
      <c r="U396" s="18"/>
      <c r="V396" s="18"/>
      <c r="W396" s="18"/>
      <c r="X396" s="18"/>
      <c r="Y396" s="18"/>
      <c r="Z396" s="18"/>
      <c r="AA396" s="18"/>
      <c r="AB396" s="18"/>
      <c r="AC396" s="18"/>
      <c r="AD396" s="18"/>
      <c r="AE396" s="18"/>
      <c r="AF396" s="18"/>
      <c r="AG396" s="18"/>
      <c r="AH396" s="18"/>
      <c r="AI396" s="18"/>
      <c r="AJ396" s="18"/>
      <c r="AK396" s="18"/>
      <c r="AL396" s="18"/>
      <c r="AM396" s="18"/>
      <c r="AN396" s="18"/>
      <c r="AO396" s="18"/>
      <c r="AP396" s="18"/>
      <c r="AQ396" s="18"/>
      <c r="AR396" s="18"/>
      <c r="AS396" s="18"/>
      <c r="AT396" s="18"/>
      <c r="AU396" s="18"/>
    </row>
    <row r="397" spans="1:47" s="20" customFormat="1" x14ac:dyDescent="0.2">
      <c r="A397" s="12"/>
      <c r="B397" s="18"/>
      <c r="C397" s="18"/>
      <c r="D397" s="18"/>
      <c r="E397" s="18"/>
      <c r="F397" s="18"/>
      <c r="G397" s="18"/>
      <c r="H397" s="18"/>
      <c r="I397" s="18"/>
      <c r="J397" s="18"/>
      <c r="K397" s="18"/>
      <c r="L397" s="18"/>
      <c r="M397" s="18"/>
      <c r="N397" s="18"/>
      <c r="O397" s="18"/>
      <c r="P397" s="18"/>
      <c r="Q397" s="18"/>
      <c r="R397" s="18"/>
      <c r="S397" s="18"/>
      <c r="T397" s="18"/>
      <c r="U397" s="18"/>
      <c r="V397" s="18"/>
      <c r="W397" s="18"/>
      <c r="X397" s="18"/>
      <c r="Y397" s="18"/>
      <c r="Z397" s="18"/>
      <c r="AA397" s="18"/>
      <c r="AB397" s="18"/>
      <c r="AC397" s="18"/>
      <c r="AD397" s="18"/>
      <c r="AE397" s="18"/>
      <c r="AF397" s="18"/>
      <c r="AG397" s="18"/>
      <c r="AH397" s="18"/>
      <c r="AI397" s="18"/>
      <c r="AJ397" s="18"/>
      <c r="AK397" s="18"/>
      <c r="AL397" s="18"/>
      <c r="AM397" s="18"/>
      <c r="AN397" s="18"/>
      <c r="AO397" s="18"/>
      <c r="AP397" s="18"/>
      <c r="AQ397" s="18"/>
      <c r="AR397" s="18"/>
      <c r="AS397" s="18"/>
      <c r="AT397" s="18"/>
      <c r="AU397" s="18"/>
    </row>
    <row r="398" spans="1:47" s="20" customFormat="1" x14ac:dyDescent="0.2">
      <c r="A398" s="12"/>
      <c r="B398" s="18"/>
      <c r="C398" s="18"/>
      <c r="D398" s="18"/>
      <c r="E398" s="18"/>
      <c r="F398" s="18"/>
      <c r="G398" s="18"/>
      <c r="H398" s="18"/>
      <c r="I398" s="18"/>
      <c r="J398" s="18"/>
      <c r="K398" s="18"/>
      <c r="L398" s="18"/>
      <c r="M398" s="18"/>
      <c r="N398" s="18"/>
      <c r="O398" s="18"/>
      <c r="P398" s="18"/>
      <c r="Q398" s="18"/>
      <c r="R398" s="18"/>
      <c r="S398" s="18"/>
      <c r="T398" s="18"/>
      <c r="U398" s="18"/>
      <c r="V398" s="18"/>
      <c r="W398" s="18"/>
      <c r="X398" s="18"/>
      <c r="Y398" s="18"/>
      <c r="Z398" s="18"/>
      <c r="AA398" s="18"/>
      <c r="AB398" s="18"/>
      <c r="AC398" s="18"/>
      <c r="AD398" s="18"/>
      <c r="AE398" s="18"/>
      <c r="AF398" s="18"/>
      <c r="AG398" s="18"/>
      <c r="AH398" s="18"/>
      <c r="AI398" s="18"/>
      <c r="AJ398" s="18"/>
      <c r="AK398" s="18"/>
      <c r="AL398" s="18"/>
      <c r="AM398" s="18"/>
      <c r="AN398" s="18"/>
      <c r="AO398" s="18"/>
      <c r="AP398" s="18"/>
      <c r="AQ398" s="18"/>
      <c r="AR398" s="18"/>
      <c r="AS398" s="18"/>
      <c r="AT398" s="18"/>
      <c r="AU398" s="18"/>
    </row>
    <row r="399" spans="1:47" s="20" customFormat="1" x14ac:dyDescent="0.2">
      <c r="A399" s="12"/>
      <c r="B399" s="18"/>
      <c r="C399" s="18"/>
      <c r="D399" s="18"/>
      <c r="E399" s="18"/>
      <c r="F399" s="18"/>
      <c r="G399" s="18"/>
      <c r="H399" s="18"/>
      <c r="I399" s="18"/>
      <c r="J399" s="18"/>
      <c r="K399" s="18"/>
      <c r="L399" s="18"/>
      <c r="M399" s="18"/>
      <c r="N399" s="18"/>
      <c r="O399" s="18"/>
      <c r="P399" s="18"/>
      <c r="Q399" s="18"/>
      <c r="R399" s="18"/>
      <c r="S399" s="18"/>
      <c r="T399" s="18"/>
      <c r="U399" s="18"/>
      <c r="V399" s="18"/>
      <c r="W399" s="18"/>
      <c r="X399" s="18"/>
      <c r="Y399" s="18"/>
      <c r="Z399" s="18"/>
      <c r="AA399" s="18"/>
      <c r="AB399" s="18"/>
      <c r="AC399" s="18"/>
      <c r="AD399" s="18"/>
      <c r="AE399" s="18"/>
      <c r="AF399" s="18"/>
      <c r="AG399" s="18"/>
      <c r="AH399" s="18"/>
      <c r="AI399" s="18"/>
      <c r="AJ399" s="18"/>
      <c r="AK399" s="18"/>
      <c r="AL399" s="18"/>
      <c r="AM399" s="18"/>
      <c r="AN399" s="18"/>
      <c r="AO399" s="18"/>
      <c r="AP399" s="18"/>
      <c r="AQ399" s="18"/>
      <c r="AR399" s="18"/>
      <c r="AS399" s="18"/>
      <c r="AT399" s="18"/>
      <c r="AU399" s="18"/>
    </row>
    <row r="400" spans="1:47" s="20" customFormat="1" x14ac:dyDescent="0.2">
      <c r="A400" s="12"/>
      <c r="B400" s="18"/>
      <c r="C400" s="18"/>
      <c r="D400" s="18"/>
      <c r="E400" s="18"/>
      <c r="F400" s="18"/>
      <c r="G400" s="18"/>
      <c r="H400" s="18"/>
      <c r="I400" s="18"/>
      <c r="J400" s="18"/>
      <c r="K400" s="18"/>
      <c r="L400" s="18"/>
      <c r="M400" s="18"/>
      <c r="N400" s="18"/>
      <c r="O400" s="18"/>
      <c r="P400" s="18"/>
      <c r="Q400" s="18"/>
      <c r="R400" s="18"/>
      <c r="S400" s="18"/>
      <c r="T400" s="18"/>
      <c r="U400" s="18"/>
      <c r="V400" s="18"/>
      <c r="W400" s="18"/>
      <c r="X400" s="18"/>
      <c r="Y400" s="18"/>
      <c r="Z400" s="18"/>
      <c r="AA400" s="18"/>
      <c r="AB400" s="18"/>
      <c r="AC400" s="18"/>
      <c r="AD400" s="18"/>
      <c r="AE400" s="18"/>
      <c r="AF400" s="18"/>
      <c r="AG400" s="18"/>
      <c r="AH400" s="18"/>
      <c r="AI400" s="18"/>
      <c r="AJ400" s="18"/>
      <c r="AK400" s="18"/>
      <c r="AL400" s="18"/>
      <c r="AM400" s="18"/>
      <c r="AN400" s="18"/>
      <c r="AO400" s="18"/>
      <c r="AP400" s="18"/>
      <c r="AQ400" s="18"/>
      <c r="AR400" s="18"/>
      <c r="AS400" s="18"/>
      <c r="AT400" s="18"/>
      <c r="AU400" s="18"/>
    </row>
    <row r="401" spans="1:47" s="20" customFormat="1" x14ac:dyDescent="0.2">
      <c r="A401" s="12"/>
      <c r="B401" s="18"/>
      <c r="C401" s="18"/>
      <c r="D401" s="18"/>
      <c r="E401" s="18"/>
      <c r="F401" s="18"/>
      <c r="G401" s="18"/>
      <c r="H401" s="18"/>
      <c r="I401" s="18"/>
      <c r="J401" s="18"/>
      <c r="K401" s="18"/>
      <c r="L401" s="18"/>
      <c r="M401" s="18"/>
      <c r="N401" s="18"/>
      <c r="O401" s="18"/>
      <c r="P401" s="18"/>
      <c r="Q401" s="18"/>
      <c r="R401" s="18"/>
      <c r="S401" s="18"/>
      <c r="T401" s="18"/>
      <c r="U401" s="18"/>
      <c r="V401" s="18"/>
      <c r="W401" s="18"/>
      <c r="X401" s="18"/>
      <c r="Y401" s="18"/>
      <c r="Z401" s="18"/>
      <c r="AA401" s="18"/>
      <c r="AB401" s="18"/>
      <c r="AC401" s="18"/>
      <c r="AD401" s="18"/>
      <c r="AE401" s="18"/>
      <c r="AF401" s="18"/>
      <c r="AG401" s="18"/>
      <c r="AH401" s="18"/>
      <c r="AI401" s="18"/>
      <c r="AJ401" s="18"/>
      <c r="AK401" s="18"/>
      <c r="AL401" s="18"/>
      <c r="AM401" s="18"/>
      <c r="AN401" s="18"/>
      <c r="AO401" s="18"/>
      <c r="AP401" s="18"/>
      <c r="AQ401" s="18"/>
      <c r="AR401" s="18"/>
      <c r="AS401" s="18"/>
      <c r="AT401" s="18"/>
      <c r="AU401" s="18"/>
    </row>
    <row r="402" spans="1:47" s="20" customFormat="1" x14ac:dyDescent="0.2">
      <c r="A402" s="12"/>
      <c r="B402" s="18"/>
      <c r="C402" s="18"/>
      <c r="D402" s="18"/>
      <c r="E402" s="18"/>
      <c r="F402" s="18"/>
      <c r="G402" s="18"/>
      <c r="H402" s="18"/>
      <c r="I402" s="18"/>
      <c r="J402" s="18"/>
      <c r="K402" s="18"/>
      <c r="L402" s="18"/>
      <c r="M402" s="18"/>
      <c r="N402" s="18"/>
      <c r="O402" s="18"/>
      <c r="P402" s="18"/>
      <c r="Q402" s="18"/>
      <c r="R402" s="18"/>
      <c r="S402" s="18"/>
      <c r="T402" s="18"/>
      <c r="U402" s="18"/>
      <c r="V402" s="18"/>
      <c r="W402" s="18"/>
      <c r="X402" s="18"/>
      <c r="Y402" s="18"/>
      <c r="Z402" s="18"/>
      <c r="AA402" s="18"/>
      <c r="AB402" s="18"/>
      <c r="AC402" s="18"/>
      <c r="AD402" s="18"/>
      <c r="AE402" s="18"/>
      <c r="AF402" s="18"/>
      <c r="AG402" s="18"/>
      <c r="AH402" s="18"/>
      <c r="AI402" s="18"/>
      <c r="AJ402" s="18"/>
      <c r="AK402" s="18"/>
      <c r="AL402" s="18"/>
      <c r="AM402" s="18"/>
      <c r="AN402" s="18"/>
      <c r="AO402" s="18"/>
      <c r="AP402" s="18"/>
      <c r="AQ402" s="18"/>
      <c r="AR402" s="18"/>
      <c r="AS402" s="18"/>
      <c r="AT402" s="18"/>
      <c r="AU402" s="18"/>
    </row>
    <row r="403" spans="1:47" s="20" customFormat="1" x14ac:dyDescent="0.2">
      <c r="A403" s="12"/>
      <c r="B403" s="18"/>
      <c r="C403" s="18"/>
      <c r="D403" s="18"/>
      <c r="E403" s="18"/>
      <c r="F403" s="18"/>
      <c r="G403" s="18"/>
      <c r="H403" s="18"/>
      <c r="I403" s="18"/>
      <c r="J403" s="18"/>
      <c r="K403" s="18"/>
      <c r="L403" s="18"/>
      <c r="M403" s="18"/>
      <c r="N403" s="18"/>
      <c r="O403" s="18"/>
      <c r="P403" s="18"/>
      <c r="Q403" s="18"/>
      <c r="R403" s="18"/>
      <c r="S403" s="18"/>
      <c r="T403" s="18"/>
      <c r="U403" s="18"/>
      <c r="V403" s="18"/>
      <c r="W403" s="18"/>
      <c r="X403" s="18"/>
      <c r="Y403" s="18"/>
      <c r="Z403" s="18"/>
      <c r="AA403" s="18"/>
      <c r="AB403" s="18"/>
      <c r="AC403" s="18"/>
      <c r="AD403" s="18"/>
      <c r="AE403" s="18"/>
      <c r="AF403" s="18"/>
      <c r="AG403" s="18"/>
      <c r="AH403" s="18"/>
      <c r="AI403" s="18"/>
      <c r="AJ403" s="18"/>
      <c r="AK403" s="18"/>
      <c r="AL403" s="18"/>
      <c r="AM403" s="18"/>
      <c r="AN403" s="18"/>
      <c r="AO403" s="18"/>
      <c r="AP403" s="18"/>
      <c r="AQ403" s="18"/>
      <c r="AR403" s="18"/>
      <c r="AS403" s="18"/>
      <c r="AT403" s="18"/>
      <c r="AU403" s="18"/>
    </row>
    <row r="404" spans="1:47" s="20" customFormat="1" x14ac:dyDescent="0.2">
      <c r="A404" s="18"/>
      <c r="B404" s="18"/>
      <c r="C404" s="18"/>
      <c r="D404" s="18"/>
      <c r="E404" s="18"/>
      <c r="F404" s="18"/>
      <c r="G404" s="18"/>
      <c r="H404" s="18"/>
      <c r="I404" s="18"/>
      <c r="J404" s="18"/>
      <c r="K404" s="18"/>
      <c r="L404" s="18"/>
      <c r="M404" s="18"/>
      <c r="N404" s="18"/>
      <c r="O404" s="18"/>
      <c r="P404" s="18"/>
      <c r="Q404" s="18"/>
      <c r="R404" s="18"/>
      <c r="S404" s="18"/>
      <c r="T404" s="18"/>
      <c r="U404" s="18"/>
      <c r="V404" s="18"/>
      <c r="W404" s="18"/>
      <c r="X404" s="18"/>
      <c r="Y404" s="18"/>
      <c r="Z404" s="18"/>
      <c r="AA404" s="18"/>
      <c r="AB404" s="18"/>
      <c r="AC404" s="18"/>
      <c r="AD404" s="18"/>
      <c r="AE404" s="18"/>
      <c r="AF404" s="18"/>
      <c r="AG404" s="18"/>
      <c r="AH404" s="18"/>
      <c r="AI404" s="18"/>
      <c r="AJ404" s="18"/>
      <c r="AK404" s="18"/>
      <c r="AL404" s="18"/>
      <c r="AM404" s="18"/>
      <c r="AN404" s="18"/>
      <c r="AO404" s="18"/>
      <c r="AP404" s="18"/>
      <c r="AQ404" s="18"/>
      <c r="AR404" s="18"/>
      <c r="AS404" s="18"/>
      <c r="AT404" s="18"/>
      <c r="AU404" s="18"/>
    </row>
    <row r="405" spans="1:47" s="20" customFormat="1" x14ac:dyDescent="0.2">
      <c r="A405" s="18"/>
      <c r="B405" s="18"/>
      <c r="C405" s="18"/>
      <c r="D405" s="18"/>
      <c r="E405" s="18"/>
      <c r="F405" s="18"/>
      <c r="G405" s="18"/>
      <c r="H405" s="18"/>
      <c r="I405" s="18"/>
      <c r="J405" s="18"/>
      <c r="K405" s="18"/>
      <c r="L405" s="18"/>
      <c r="M405" s="18"/>
      <c r="N405" s="18"/>
      <c r="O405" s="18"/>
      <c r="P405" s="18"/>
      <c r="Q405" s="18"/>
      <c r="R405" s="18"/>
      <c r="S405" s="18"/>
      <c r="T405" s="18"/>
      <c r="U405" s="18"/>
      <c r="V405" s="18"/>
      <c r="W405" s="18"/>
      <c r="X405" s="18"/>
      <c r="Y405" s="18"/>
      <c r="Z405" s="18"/>
      <c r="AA405" s="18"/>
      <c r="AB405" s="18"/>
      <c r="AC405" s="18"/>
      <c r="AD405" s="18"/>
      <c r="AE405" s="18"/>
      <c r="AF405" s="18"/>
      <c r="AG405" s="18"/>
      <c r="AH405" s="18"/>
      <c r="AI405" s="18"/>
      <c r="AJ405" s="18"/>
      <c r="AK405" s="18"/>
      <c r="AL405" s="18"/>
      <c r="AM405" s="18"/>
      <c r="AN405" s="18"/>
      <c r="AO405" s="18"/>
      <c r="AP405" s="18"/>
      <c r="AQ405" s="18"/>
      <c r="AR405" s="18"/>
      <c r="AS405" s="18"/>
      <c r="AT405" s="18"/>
      <c r="AU405" s="18"/>
    </row>
    <row r="406" spans="1:47" s="20" customFormat="1" x14ac:dyDescent="0.2">
      <c r="A406" s="18"/>
      <c r="B406" s="18"/>
      <c r="C406" s="18"/>
      <c r="D406" s="18"/>
      <c r="E406" s="18"/>
      <c r="F406" s="18"/>
      <c r="G406" s="18"/>
      <c r="H406" s="18"/>
      <c r="I406" s="18"/>
      <c r="J406" s="18"/>
      <c r="K406" s="18"/>
      <c r="L406" s="18"/>
      <c r="M406" s="18"/>
      <c r="N406" s="18"/>
      <c r="O406" s="18"/>
      <c r="P406" s="18"/>
      <c r="Q406" s="18"/>
      <c r="R406" s="18"/>
      <c r="S406" s="18"/>
      <c r="T406" s="18"/>
      <c r="U406" s="18"/>
      <c r="V406" s="18"/>
      <c r="W406" s="18"/>
      <c r="X406" s="18"/>
      <c r="Y406" s="18"/>
      <c r="Z406" s="18"/>
      <c r="AA406" s="18"/>
      <c r="AB406" s="18"/>
      <c r="AC406" s="18"/>
      <c r="AD406" s="18"/>
      <c r="AE406" s="18"/>
      <c r="AF406" s="18"/>
      <c r="AG406" s="18"/>
      <c r="AH406" s="18"/>
      <c r="AI406" s="18"/>
      <c r="AJ406" s="18"/>
      <c r="AK406" s="18"/>
      <c r="AL406" s="18"/>
      <c r="AM406" s="18"/>
      <c r="AN406" s="18"/>
      <c r="AO406" s="18"/>
      <c r="AP406" s="18"/>
      <c r="AQ406" s="18"/>
      <c r="AR406" s="18"/>
      <c r="AS406" s="18"/>
      <c r="AT406" s="18"/>
      <c r="AU406" s="18"/>
    </row>
    <row r="407" spans="1:47" s="20" customFormat="1" x14ac:dyDescent="0.2">
      <c r="A407" s="18"/>
      <c r="B407" s="18"/>
      <c r="C407" s="18"/>
      <c r="D407" s="18"/>
      <c r="E407" s="18"/>
      <c r="F407" s="18"/>
      <c r="G407" s="18"/>
      <c r="H407" s="18"/>
      <c r="I407" s="18"/>
      <c r="J407" s="18"/>
      <c r="K407" s="18"/>
      <c r="L407" s="18"/>
      <c r="M407" s="18"/>
      <c r="N407" s="18"/>
      <c r="O407" s="18"/>
      <c r="P407" s="18"/>
      <c r="Q407" s="18"/>
      <c r="R407" s="18"/>
      <c r="S407" s="18"/>
      <c r="T407" s="18"/>
      <c r="U407" s="18"/>
      <c r="V407" s="18"/>
      <c r="W407" s="18"/>
      <c r="X407" s="18"/>
      <c r="Y407" s="18"/>
      <c r="Z407" s="18"/>
      <c r="AA407" s="18"/>
      <c r="AB407" s="18"/>
      <c r="AC407" s="18"/>
      <c r="AD407" s="18"/>
      <c r="AE407" s="18"/>
      <c r="AF407" s="18"/>
      <c r="AG407" s="18"/>
      <c r="AH407" s="18"/>
      <c r="AI407" s="18"/>
      <c r="AJ407" s="18"/>
      <c r="AK407" s="18"/>
      <c r="AL407" s="18"/>
      <c r="AM407" s="18"/>
      <c r="AN407" s="18"/>
      <c r="AO407" s="18"/>
      <c r="AP407" s="18"/>
      <c r="AQ407" s="18"/>
      <c r="AR407" s="18"/>
      <c r="AS407" s="18"/>
      <c r="AT407" s="18"/>
      <c r="AU407" s="18"/>
    </row>
    <row r="408" spans="1:47" s="20" customFormat="1" x14ac:dyDescent="0.2">
      <c r="A408" s="18"/>
      <c r="B408" s="18"/>
      <c r="C408" s="18"/>
      <c r="D408" s="18"/>
      <c r="E408" s="18"/>
      <c r="F408" s="18"/>
      <c r="G408" s="18"/>
      <c r="H408" s="18"/>
      <c r="I408" s="18"/>
      <c r="J408" s="18"/>
      <c r="K408" s="18"/>
      <c r="L408" s="18"/>
      <c r="M408" s="18"/>
      <c r="N408" s="18"/>
      <c r="O408" s="18"/>
      <c r="P408" s="18"/>
      <c r="Q408" s="18"/>
      <c r="R408" s="18"/>
      <c r="S408" s="18"/>
      <c r="T408" s="18"/>
      <c r="U408" s="18"/>
      <c r="V408" s="18"/>
      <c r="W408" s="18"/>
      <c r="X408" s="18"/>
      <c r="Y408" s="18"/>
      <c r="Z408" s="18"/>
      <c r="AA408" s="18"/>
      <c r="AB408" s="18"/>
      <c r="AC408" s="18"/>
      <c r="AD408" s="18"/>
      <c r="AE408" s="18"/>
      <c r="AF408" s="18"/>
      <c r="AG408" s="18"/>
      <c r="AH408" s="18"/>
      <c r="AI408" s="18"/>
      <c r="AJ408" s="18"/>
      <c r="AK408" s="18"/>
      <c r="AL408" s="18"/>
      <c r="AM408" s="18"/>
      <c r="AN408" s="18"/>
      <c r="AO408" s="18"/>
      <c r="AP408" s="18"/>
      <c r="AQ408" s="18"/>
      <c r="AR408" s="18"/>
      <c r="AS408" s="18"/>
      <c r="AT408" s="18"/>
      <c r="AU408" s="18"/>
    </row>
    <row r="409" spans="1:47" s="20" customFormat="1" x14ac:dyDescent="0.2">
      <c r="A409" s="18"/>
      <c r="B409" s="18"/>
      <c r="C409" s="18"/>
      <c r="D409" s="18"/>
      <c r="E409" s="18"/>
      <c r="F409" s="18"/>
      <c r="G409" s="18"/>
      <c r="H409" s="18"/>
      <c r="I409" s="18"/>
      <c r="J409" s="18"/>
      <c r="K409" s="18"/>
      <c r="L409" s="18"/>
      <c r="M409" s="18"/>
      <c r="N409" s="18"/>
      <c r="O409" s="18"/>
      <c r="P409" s="18"/>
      <c r="Q409" s="18"/>
      <c r="R409" s="18"/>
      <c r="S409" s="18"/>
      <c r="T409" s="18"/>
      <c r="U409" s="18"/>
      <c r="V409" s="18"/>
      <c r="W409" s="18"/>
      <c r="X409" s="18"/>
      <c r="Y409" s="18"/>
      <c r="Z409" s="18"/>
      <c r="AA409" s="18"/>
      <c r="AB409" s="18"/>
      <c r="AC409" s="18"/>
      <c r="AD409" s="18"/>
      <c r="AE409" s="18"/>
      <c r="AF409" s="18"/>
      <c r="AG409" s="18"/>
      <c r="AH409" s="18"/>
      <c r="AI409" s="18"/>
      <c r="AJ409" s="18"/>
      <c r="AK409" s="18"/>
      <c r="AL409" s="18"/>
      <c r="AM409" s="18"/>
      <c r="AN409" s="18"/>
      <c r="AO409" s="18"/>
      <c r="AP409" s="18"/>
      <c r="AQ409" s="18"/>
      <c r="AR409" s="18"/>
      <c r="AS409" s="18"/>
      <c r="AT409" s="18"/>
      <c r="AU409" s="18"/>
    </row>
    <row r="410" spans="1:47" s="20" customFormat="1" x14ac:dyDescent="0.2">
      <c r="A410" s="18"/>
      <c r="B410" s="18"/>
      <c r="C410" s="18"/>
      <c r="D410" s="18"/>
      <c r="E410" s="18"/>
      <c r="F410" s="18"/>
      <c r="G410" s="18"/>
      <c r="H410" s="18"/>
      <c r="I410" s="18"/>
      <c r="J410" s="18"/>
      <c r="K410" s="18"/>
      <c r="L410" s="18"/>
      <c r="M410" s="18"/>
      <c r="N410" s="18"/>
      <c r="O410" s="18"/>
      <c r="P410" s="18"/>
      <c r="Q410" s="18"/>
      <c r="R410" s="18"/>
      <c r="S410" s="18"/>
      <c r="T410" s="18"/>
      <c r="U410" s="18"/>
      <c r="V410" s="18"/>
      <c r="W410" s="18"/>
      <c r="X410" s="18"/>
      <c r="Y410" s="18"/>
      <c r="Z410" s="18"/>
      <c r="AA410" s="18"/>
      <c r="AB410" s="18"/>
      <c r="AC410" s="18"/>
      <c r="AD410" s="18"/>
      <c r="AE410" s="18"/>
      <c r="AF410" s="18"/>
      <c r="AG410" s="18"/>
      <c r="AH410" s="18"/>
      <c r="AI410" s="18"/>
      <c r="AJ410" s="18"/>
      <c r="AK410" s="18"/>
      <c r="AL410" s="18"/>
      <c r="AM410" s="18"/>
      <c r="AN410" s="18"/>
      <c r="AO410" s="18"/>
      <c r="AP410" s="18"/>
      <c r="AQ410" s="18"/>
      <c r="AR410" s="18"/>
      <c r="AS410" s="18"/>
      <c r="AT410" s="18"/>
      <c r="AU410" s="18"/>
    </row>
    <row r="411" spans="1:47" s="20" customFormat="1" x14ac:dyDescent="0.2">
      <c r="A411" s="18"/>
      <c r="B411" s="18"/>
      <c r="C411" s="18"/>
      <c r="D411" s="18"/>
      <c r="E411" s="18"/>
      <c r="F411" s="18"/>
      <c r="G411" s="18"/>
      <c r="H411" s="18"/>
      <c r="I411" s="18"/>
      <c r="J411" s="18"/>
      <c r="K411" s="18"/>
      <c r="L411" s="18"/>
      <c r="M411" s="18"/>
      <c r="N411" s="18"/>
      <c r="O411" s="18"/>
      <c r="P411" s="18"/>
      <c r="Q411" s="18"/>
      <c r="R411" s="18"/>
      <c r="S411" s="18"/>
      <c r="T411" s="18"/>
      <c r="U411" s="18"/>
      <c r="V411" s="18"/>
      <c r="W411" s="18"/>
      <c r="X411" s="18"/>
      <c r="Y411" s="18"/>
      <c r="Z411" s="18"/>
      <c r="AA411" s="18"/>
      <c r="AB411" s="18"/>
      <c r="AC411" s="18"/>
      <c r="AD411" s="18"/>
      <c r="AE411" s="18"/>
      <c r="AF411" s="18"/>
      <c r="AG411" s="18"/>
      <c r="AH411" s="18"/>
      <c r="AI411" s="18"/>
      <c r="AJ411" s="18"/>
      <c r="AK411" s="18"/>
      <c r="AL411" s="18"/>
      <c r="AM411" s="18"/>
      <c r="AN411" s="18"/>
      <c r="AO411" s="18"/>
      <c r="AP411" s="18"/>
      <c r="AQ411" s="18"/>
      <c r="AR411" s="18"/>
      <c r="AS411" s="18"/>
      <c r="AT411" s="18"/>
      <c r="AU411" s="18"/>
    </row>
    <row r="412" spans="1:47" s="20" customFormat="1" x14ac:dyDescent="0.2">
      <c r="A412" s="18"/>
      <c r="B412" s="18"/>
      <c r="C412" s="18"/>
      <c r="D412" s="18"/>
      <c r="E412" s="18"/>
      <c r="F412" s="18"/>
      <c r="G412" s="18"/>
      <c r="H412" s="18"/>
      <c r="I412" s="18"/>
      <c r="J412" s="18"/>
      <c r="K412" s="18"/>
      <c r="L412" s="18"/>
      <c r="M412" s="18"/>
      <c r="N412" s="18"/>
      <c r="O412" s="18"/>
      <c r="P412" s="18"/>
      <c r="Q412" s="18"/>
      <c r="R412" s="18"/>
      <c r="S412" s="18"/>
      <c r="T412" s="18"/>
      <c r="U412" s="18"/>
      <c r="V412" s="18"/>
      <c r="W412" s="18"/>
      <c r="X412" s="18"/>
      <c r="Y412" s="18"/>
      <c r="Z412" s="18"/>
      <c r="AA412" s="18"/>
      <c r="AB412" s="18"/>
      <c r="AC412" s="18"/>
      <c r="AD412" s="18"/>
      <c r="AE412" s="18"/>
      <c r="AF412" s="18"/>
      <c r="AG412" s="18"/>
      <c r="AH412" s="18"/>
      <c r="AI412" s="18"/>
      <c r="AJ412" s="18"/>
      <c r="AK412" s="18"/>
      <c r="AL412" s="18"/>
      <c r="AM412" s="18"/>
      <c r="AN412" s="18"/>
      <c r="AO412" s="18"/>
      <c r="AP412" s="18"/>
      <c r="AQ412" s="18"/>
      <c r="AR412" s="18"/>
      <c r="AS412" s="18"/>
      <c r="AT412" s="18"/>
      <c r="AU412" s="18"/>
    </row>
    <row r="413" spans="1:47" s="20" customFormat="1" x14ac:dyDescent="0.2">
      <c r="A413" s="18"/>
      <c r="B413" s="18"/>
      <c r="C413" s="18"/>
      <c r="D413" s="18"/>
      <c r="E413" s="18"/>
      <c r="F413" s="18"/>
      <c r="G413" s="18"/>
      <c r="H413" s="18"/>
      <c r="I413" s="18"/>
      <c r="J413" s="18"/>
      <c r="K413" s="18"/>
      <c r="L413" s="18"/>
      <c r="M413" s="18"/>
      <c r="N413" s="18"/>
      <c r="O413" s="18"/>
      <c r="P413" s="18"/>
      <c r="Q413" s="18"/>
      <c r="R413" s="18"/>
      <c r="S413" s="18"/>
      <c r="T413" s="18"/>
      <c r="U413" s="18"/>
      <c r="V413" s="18"/>
      <c r="W413" s="18"/>
      <c r="X413" s="18"/>
      <c r="Y413" s="18"/>
      <c r="Z413" s="18"/>
      <c r="AA413" s="18"/>
      <c r="AB413" s="18"/>
      <c r="AC413" s="18"/>
      <c r="AD413" s="18"/>
      <c r="AE413" s="18"/>
      <c r="AF413" s="18"/>
      <c r="AG413" s="18"/>
      <c r="AH413" s="18"/>
      <c r="AI413" s="18"/>
      <c r="AJ413" s="18"/>
      <c r="AK413" s="18"/>
      <c r="AL413" s="18"/>
      <c r="AM413" s="18"/>
      <c r="AN413" s="18"/>
      <c r="AO413" s="18"/>
      <c r="AP413" s="18"/>
      <c r="AQ413" s="18"/>
      <c r="AR413" s="18"/>
      <c r="AS413" s="18"/>
      <c r="AT413" s="18"/>
      <c r="AU413" s="18"/>
    </row>
    <row r="414" spans="1:47" s="20" customFormat="1" x14ac:dyDescent="0.2">
      <c r="A414" s="18"/>
      <c r="B414" s="18"/>
      <c r="C414" s="18"/>
      <c r="D414" s="18"/>
      <c r="E414" s="18"/>
      <c r="F414" s="18"/>
      <c r="G414" s="18"/>
      <c r="H414" s="18"/>
      <c r="I414" s="18"/>
      <c r="J414" s="18"/>
      <c r="K414" s="18"/>
      <c r="L414" s="18"/>
      <c r="M414" s="18"/>
      <c r="N414" s="18"/>
      <c r="O414" s="18"/>
      <c r="P414" s="18"/>
      <c r="Q414" s="18"/>
      <c r="R414" s="18"/>
      <c r="S414" s="18"/>
      <c r="T414" s="18"/>
      <c r="U414" s="18"/>
      <c r="V414" s="18"/>
      <c r="W414" s="18"/>
      <c r="X414" s="18"/>
      <c r="Y414" s="18"/>
      <c r="Z414" s="18"/>
      <c r="AA414" s="18"/>
      <c r="AB414" s="18"/>
      <c r="AC414" s="18"/>
      <c r="AD414" s="18"/>
      <c r="AE414" s="18"/>
      <c r="AF414" s="18"/>
      <c r="AG414" s="18"/>
      <c r="AH414" s="18"/>
      <c r="AI414" s="18"/>
      <c r="AJ414" s="18"/>
      <c r="AK414" s="18"/>
      <c r="AL414" s="18"/>
      <c r="AM414" s="18"/>
      <c r="AN414" s="18"/>
      <c r="AO414" s="18"/>
      <c r="AP414" s="18"/>
      <c r="AQ414" s="18"/>
      <c r="AR414" s="18"/>
      <c r="AS414" s="18"/>
      <c r="AT414" s="18"/>
      <c r="AU414" s="18"/>
    </row>
    <row r="415" spans="1:47" s="20" customFormat="1" x14ac:dyDescent="0.2">
      <c r="A415" s="18"/>
      <c r="B415" s="18"/>
      <c r="C415" s="18"/>
      <c r="D415" s="18"/>
      <c r="E415" s="18"/>
      <c r="F415" s="18"/>
      <c r="G415" s="18"/>
      <c r="H415" s="18"/>
      <c r="I415" s="18"/>
      <c r="J415" s="18"/>
      <c r="K415" s="18"/>
      <c r="L415" s="18"/>
      <c r="M415" s="18"/>
      <c r="N415" s="18"/>
      <c r="O415" s="18"/>
      <c r="P415" s="18"/>
      <c r="Q415" s="18"/>
      <c r="R415" s="18"/>
      <c r="S415" s="18"/>
      <c r="T415" s="18"/>
      <c r="U415" s="18"/>
      <c r="V415" s="18"/>
      <c r="W415" s="18"/>
      <c r="X415" s="18"/>
      <c r="Y415" s="18"/>
      <c r="Z415" s="18"/>
      <c r="AA415" s="18"/>
      <c r="AB415" s="18"/>
      <c r="AC415" s="18"/>
      <c r="AD415" s="18"/>
      <c r="AE415" s="18"/>
      <c r="AF415" s="18"/>
      <c r="AG415" s="18"/>
      <c r="AH415" s="18"/>
      <c r="AI415" s="18"/>
      <c r="AJ415" s="18"/>
      <c r="AK415" s="18"/>
      <c r="AL415" s="18"/>
      <c r="AM415" s="18"/>
      <c r="AN415" s="18"/>
      <c r="AO415" s="18"/>
      <c r="AP415" s="18"/>
      <c r="AQ415" s="18"/>
      <c r="AR415" s="18"/>
      <c r="AS415" s="18"/>
      <c r="AT415" s="18"/>
      <c r="AU415" s="18"/>
    </row>
    <row r="416" spans="1:47" s="20" customFormat="1" x14ac:dyDescent="0.2">
      <c r="A416" s="18"/>
      <c r="B416" s="18"/>
      <c r="C416" s="18"/>
      <c r="D416" s="18"/>
      <c r="E416" s="18"/>
      <c r="F416" s="18"/>
      <c r="G416" s="18"/>
      <c r="H416" s="18"/>
      <c r="I416" s="18"/>
      <c r="J416" s="18"/>
      <c r="K416" s="18"/>
      <c r="L416" s="18"/>
      <c r="M416" s="18"/>
      <c r="N416" s="18"/>
      <c r="O416" s="18"/>
      <c r="P416" s="18"/>
      <c r="Q416" s="18"/>
      <c r="R416" s="18"/>
      <c r="S416" s="18"/>
      <c r="T416" s="18"/>
      <c r="U416" s="18"/>
      <c r="V416" s="18"/>
      <c r="W416" s="18"/>
      <c r="X416" s="18"/>
      <c r="Y416" s="18"/>
      <c r="Z416" s="18"/>
      <c r="AA416" s="18"/>
      <c r="AB416" s="18"/>
      <c r="AC416" s="18"/>
      <c r="AD416" s="18"/>
      <c r="AE416" s="18"/>
      <c r="AF416" s="18"/>
      <c r="AG416" s="18"/>
      <c r="AH416" s="18"/>
      <c r="AI416" s="18"/>
      <c r="AJ416" s="18"/>
      <c r="AK416" s="18"/>
      <c r="AL416" s="18"/>
      <c r="AM416" s="18"/>
      <c r="AN416" s="18"/>
      <c r="AO416" s="18"/>
      <c r="AP416" s="18"/>
      <c r="AQ416" s="18"/>
      <c r="AR416" s="18"/>
      <c r="AS416" s="18"/>
      <c r="AT416" s="18"/>
      <c r="AU416" s="18"/>
    </row>
    <row r="417" spans="1:47" s="20" customFormat="1" x14ac:dyDescent="0.2">
      <c r="A417" s="18"/>
      <c r="B417" s="18"/>
      <c r="C417" s="18"/>
      <c r="D417" s="18"/>
      <c r="E417" s="18"/>
      <c r="F417" s="18"/>
      <c r="G417" s="18"/>
      <c r="H417" s="18"/>
      <c r="I417" s="18"/>
      <c r="J417" s="18"/>
      <c r="K417" s="18"/>
      <c r="L417" s="18"/>
      <c r="M417" s="18"/>
      <c r="N417" s="18"/>
      <c r="O417" s="18"/>
      <c r="P417" s="18"/>
      <c r="Q417" s="18"/>
      <c r="R417" s="18"/>
      <c r="S417" s="18"/>
      <c r="T417" s="18"/>
      <c r="U417" s="18"/>
      <c r="V417" s="18"/>
      <c r="W417" s="18"/>
      <c r="X417" s="18"/>
      <c r="Y417" s="18"/>
      <c r="Z417" s="18"/>
      <c r="AA417" s="18"/>
      <c r="AB417" s="18"/>
      <c r="AC417" s="18"/>
      <c r="AD417" s="18"/>
      <c r="AE417" s="18"/>
      <c r="AF417" s="18"/>
      <c r="AG417" s="18"/>
      <c r="AH417" s="18"/>
      <c r="AI417" s="18"/>
      <c r="AJ417" s="18"/>
      <c r="AK417" s="18"/>
      <c r="AL417" s="18"/>
      <c r="AM417" s="18"/>
      <c r="AN417" s="18"/>
      <c r="AO417" s="18"/>
      <c r="AP417" s="18"/>
      <c r="AQ417" s="18"/>
      <c r="AR417" s="18"/>
      <c r="AS417" s="18"/>
      <c r="AT417" s="18"/>
      <c r="AU417" s="18"/>
    </row>
    <row r="418" spans="1:47" s="20" customFormat="1" x14ac:dyDescent="0.2">
      <c r="A418" s="18"/>
      <c r="B418" s="18"/>
      <c r="C418" s="18"/>
      <c r="D418" s="18"/>
      <c r="E418" s="18"/>
      <c r="F418" s="18"/>
      <c r="G418" s="18"/>
      <c r="H418" s="18"/>
      <c r="I418" s="18"/>
      <c r="J418" s="18"/>
      <c r="K418" s="18"/>
      <c r="L418" s="18"/>
      <c r="M418" s="18"/>
      <c r="N418" s="18"/>
      <c r="O418" s="18"/>
      <c r="P418" s="18"/>
      <c r="Q418" s="18"/>
      <c r="R418" s="18"/>
      <c r="S418" s="18"/>
      <c r="T418" s="18"/>
      <c r="U418" s="18"/>
      <c r="V418" s="18"/>
      <c r="W418" s="18"/>
      <c r="X418" s="18"/>
      <c r="Y418" s="18"/>
      <c r="Z418" s="18"/>
      <c r="AA418" s="18"/>
      <c r="AB418" s="18"/>
      <c r="AC418" s="18"/>
      <c r="AD418" s="18"/>
      <c r="AE418" s="18"/>
      <c r="AF418" s="18"/>
      <c r="AG418" s="18"/>
      <c r="AH418" s="18"/>
      <c r="AI418" s="18"/>
      <c r="AJ418" s="18"/>
      <c r="AK418" s="18"/>
      <c r="AL418" s="18"/>
      <c r="AM418" s="18"/>
      <c r="AN418" s="18"/>
      <c r="AO418" s="18"/>
      <c r="AP418" s="18"/>
      <c r="AQ418" s="18"/>
      <c r="AR418" s="18"/>
      <c r="AS418" s="18"/>
      <c r="AT418" s="18"/>
      <c r="AU418" s="18"/>
    </row>
    <row r="419" spans="1:47" s="20" customFormat="1" x14ac:dyDescent="0.2">
      <c r="A419" s="18"/>
      <c r="B419" s="18"/>
      <c r="C419" s="18"/>
      <c r="D419" s="18"/>
      <c r="E419" s="18"/>
      <c r="F419" s="18"/>
      <c r="G419" s="18"/>
      <c r="H419" s="18"/>
    </row>
    <row r="420" spans="1:47" s="20" customFormat="1" x14ac:dyDescent="0.2">
      <c r="A420" s="18"/>
      <c r="B420" s="18"/>
      <c r="C420" s="18"/>
      <c r="D420" s="18"/>
      <c r="E420" s="18"/>
      <c r="F420" s="18"/>
      <c r="G420" s="18"/>
      <c r="H420" s="18"/>
    </row>
    <row r="421" spans="1:47" s="20" customFormat="1" x14ac:dyDescent="0.2">
      <c r="A421" s="18"/>
      <c r="B421" s="18"/>
      <c r="C421" s="18"/>
      <c r="D421" s="18"/>
      <c r="E421" s="18"/>
      <c r="F421" s="18"/>
      <c r="G421" s="18"/>
      <c r="H421" s="18"/>
    </row>
    <row r="422" spans="1:47" s="20" customFormat="1" x14ac:dyDescent="0.2">
      <c r="A422" s="18"/>
      <c r="B422" s="18"/>
      <c r="C422" s="18"/>
      <c r="D422" s="18"/>
      <c r="E422" s="18"/>
      <c r="F422" s="18"/>
      <c r="G422" s="18"/>
      <c r="H422" s="18"/>
    </row>
    <row r="423" spans="1:47" s="20" customFormat="1" x14ac:dyDescent="0.2">
      <c r="A423" s="18"/>
      <c r="B423" s="18"/>
      <c r="C423" s="18"/>
      <c r="D423" s="18"/>
      <c r="E423" s="18"/>
      <c r="F423" s="18"/>
      <c r="G423" s="18"/>
      <c r="H423" s="18"/>
    </row>
    <row r="424" spans="1:47" s="20" customFormat="1" x14ac:dyDescent="0.2">
      <c r="A424" s="18"/>
      <c r="B424" s="18"/>
      <c r="C424" s="18"/>
      <c r="D424" s="18"/>
      <c r="E424" s="18"/>
      <c r="F424" s="18"/>
      <c r="G424" s="18"/>
      <c r="H424" s="18"/>
    </row>
    <row r="425" spans="1:47" s="20" customFormat="1" x14ac:dyDescent="0.2">
      <c r="A425" s="18"/>
      <c r="B425" s="18"/>
      <c r="C425" s="18"/>
      <c r="D425" s="18"/>
      <c r="E425" s="18"/>
      <c r="F425" s="18"/>
      <c r="G425" s="18"/>
      <c r="H425" s="18"/>
    </row>
    <row r="426" spans="1:47" s="20" customFormat="1" x14ac:dyDescent="0.2">
      <c r="A426" s="18"/>
      <c r="B426" s="18"/>
      <c r="C426" s="18"/>
      <c r="D426" s="18"/>
      <c r="E426" s="18"/>
      <c r="F426" s="18"/>
      <c r="G426" s="18"/>
      <c r="H426" s="18"/>
    </row>
    <row r="427" spans="1:47" s="20" customFormat="1" x14ac:dyDescent="0.2">
      <c r="A427" s="18"/>
      <c r="B427" s="18"/>
      <c r="C427" s="18"/>
      <c r="D427" s="18"/>
      <c r="E427" s="18"/>
      <c r="F427" s="18"/>
      <c r="G427" s="18"/>
      <c r="H427" s="18"/>
    </row>
    <row r="428" spans="1:47" s="20" customFormat="1" x14ac:dyDescent="0.2">
      <c r="A428" s="18"/>
      <c r="B428" s="18"/>
      <c r="C428" s="18"/>
      <c r="D428" s="18"/>
      <c r="E428" s="18"/>
      <c r="F428" s="18"/>
      <c r="G428" s="18"/>
      <c r="H428" s="18"/>
    </row>
    <row r="429" spans="1:47" s="20" customFormat="1" x14ac:dyDescent="0.2">
      <c r="A429" s="18"/>
      <c r="B429" s="18"/>
      <c r="C429" s="18"/>
      <c r="D429" s="18"/>
      <c r="E429" s="18"/>
      <c r="F429" s="18"/>
      <c r="G429" s="18"/>
      <c r="H429" s="18"/>
    </row>
    <row r="430" spans="1:47" s="20" customFormat="1" x14ac:dyDescent="0.2">
      <c r="A430" s="18"/>
      <c r="B430" s="18"/>
      <c r="C430" s="18"/>
      <c r="D430" s="18"/>
      <c r="E430" s="18"/>
      <c r="F430" s="18"/>
      <c r="G430" s="18"/>
      <c r="H430" s="18"/>
    </row>
    <row r="431" spans="1:47" s="20" customFormat="1" x14ac:dyDescent="0.2">
      <c r="A431" s="18"/>
      <c r="B431" s="18"/>
      <c r="C431" s="18"/>
      <c r="D431" s="18"/>
      <c r="E431" s="18"/>
      <c r="F431" s="18"/>
      <c r="G431" s="18"/>
      <c r="H431" s="18"/>
    </row>
    <row r="432" spans="1:47" s="20" customFormat="1" x14ac:dyDescent="0.2">
      <c r="A432" s="18"/>
      <c r="B432" s="18"/>
      <c r="C432" s="18"/>
      <c r="D432" s="18"/>
      <c r="E432" s="18"/>
      <c r="F432" s="18"/>
      <c r="G432" s="18"/>
      <c r="H432" s="18"/>
    </row>
    <row r="433" spans="1:8" s="20" customFormat="1" x14ac:dyDescent="0.2">
      <c r="A433" s="18"/>
      <c r="B433" s="18"/>
      <c r="C433" s="18"/>
      <c r="D433" s="18"/>
      <c r="E433" s="18"/>
      <c r="F433" s="18"/>
      <c r="G433" s="18"/>
      <c r="H433" s="18"/>
    </row>
    <row r="434" spans="1:8" s="20" customFormat="1" x14ac:dyDescent="0.2">
      <c r="A434" s="18"/>
      <c r="B434" s="18"/>
      <c r="C434" s="18"/>
      <c r="D434" s="18"/>
      <c r="E434" s="18"/>
      <c r="F434" s="18"/>
      <c r="G434" s="18"/>
      <c r="H434" s="18"/>
    </row>
    <row r="435" spans="1:8" s="20" customFormat="1" x14ac:dyDescent="0.2">
      <c r="A435" s="18"/>
      <c r="B435" s="18"/>
      <c r="C435" s="18"/>
      <c r="D435" s="18"/>
      <c r="E435" s="18"/>
      <c r="F435" s="18"/>
      <c r="G435" s="18"/>
      <c r="H435" s="18"/>
    </row>
    <row r="436" spans="1:8" s="20" customFormat="1" x14ac:dyDescent="0.2">
      <c r="A436" s="18"/>
      <c r="B436" s="18"/>
      <c r="C436" s="18"/>
      <c r="D436" s="18"/>
      <c r="E436" s="18"/>
      <c r="F436" s="18"/>
      <c r="G436" s="18"/>
      <c r="H436" s="18"/>
    </row>
    <row r="437" spans="1:8" s="20" customFormat="1" x14ac:dyDescent="0.2">
      <c r="A437" s="18"/>
      <c r="B437" s="18"/>
      <c r="C437" s="18"/>
      <c r="D437" s="18"/>
      <c r="E437" s="18"/>
      <c r="F437" s="18"/>
      <c r="G437" s="18"/>
      <c r="H437" s="18"/>
    </row>
    <row r="438" spans="1:8" s="20" customFormat="1" x14ac:dyDescent="0.2">
      <c r="A438" s="18"/>
      <c r="B438" s="18"/>
      <c r="C438" s="18"/>
      <c r="D438" s="18"/>
      <c r="E438" s="18"/>
      <c r="F438" s="18"/>
      <c r="G438" s="18"/>
      <c r="H438" s="18"/>
    </row>
    <row r="439" spans="1:8" s="20" customFormat="1" x14ac:dyDescent="0.2">
      <c r="A439" s="18"/>
      <c r="B439" s="18"/>
      <c r="C439" s="18"/>
      <c r="D439" s="18"/>
      <c r="E439" s="18"/>
      <c r="F439" s="18"/>
      <c r="G439" s="18"/>
      <c r="H439" s="18"/>
    </row>
    <row r="440" spans="1:8" s="20" customFormat="1" x14ac:dyDescent="0.2">
      <c r="A440" s="18"/>
      <c r="B440" s="18"/>
      <c r="C440" s="18"/>
      <c r="D440" s="18"/>
      <c r="E440" s="18"/>
      <c r="F440" s="18"/>
      <c r="G440" s="18"/>
      <c r="H440" s="18"/>
    </row>
    <row r="441" spans="1:8" s="20" customFormat="1" x14ac:dyDescent="0.2">
      <c r="A441" s="18"/>
      <c r="B441" s="18"/>
      <c r="C441" s="18"/>
      <c r="D441" s="18"/>
      <c r="E441" s="18"/>
      <c r="F441" s="18"/>
      <c r="G441" s="18"/>
      <c r="H441" s="18"/>
    </row>
    <row r="442" spans="1:8" s="20" customFormat="1" x14ac:dyDescent="0.2">
      <c r="A442" s="18"/>
      <c r="B442" s="18"/>
      <c r="C442" s="18"/>
      <c r="D442" s="18"/>
      <c r="E442" s="18"/>
      <c r="F442" s="18"/>
      <c r="G442" s="18"/>
      <c r="H442" s="18"/>
    </row>
    <row r="443" spans="1:8" s="20" customFormat="1" x14ac:dyDescent="0.2">
      <c r="A443" s="18"/>
      <c r="B443" s="18"/>
      <c r="C443" s="18"/>
      <c r="D443" s="18"/>
      <c r="E443" s="18"/>
      <c r="F443" s="18"/>
      <c r="G443" s="18"/>
      <c r="H443" s="18"/>
    </row>
    <row r="444" spans="1:8" s="20" customFormat="1" x14ac:dyDescent="0.2">
      <c r="A444" s="18"/>
      <c r="B444" s="18"/>
      <c r="C444" s="18"/>
      <c r="D444" s="18"/>
      <c r="E444" s="18"/>
      <c r="F444" s="18"/>
      <c r="G444" s="18"/>
      <c r="H444" s="18"/>
    </row>
    <row r="445" spans="1:8" s="20" customFormat="1" x14ac:dyDescent="0.2">
      <c r="A445" s="18"/>
      <c r="B445" s="18"/>
      <c r="C445" s="18"/>
      <c r="D445" s="18"/>
      <c r="E445" s="18"/>
      <c r="F445" s="18"/>
      <c r="G445" s="18"/>
      <c r="H445" s="18"/>
    </row>
    <row r="446" spans="1:8" s="20" customFormat="1" x14ac:dyDescent="0.2">
      <c r="A446" s="18"/>
      <c r="B446" s="18"/>
      <c r="C446" s="18"/>
      <c r="D446" s="18"/>
      <c r="E446" s="18"/>
      <c r="F446" s="18"/>
      <c r="G446" s="18"/>
      <c r="H446" s="18"/>
    </row>
    <row r="447" spans="1:8" s="20" customFormat="1" x14ac:dyDescent="0.2">
      <c r="A447" s="18"/>
      <c r="B447" s="18"/>
      <c r="C447" s="18"/>
      <c r="D447" s="18"/>
      <c r="E447" s="18"/>
      <c r="F447" s="18"/>
      <c r="G447" s="18"/>
      <c r="H447" s="18"/>
    </row>
    <row r="448" spans="1:8" s="20" customFormat="1" x14ac:dyDescent="0.2">
      <c r="A448" s="18"/>
      <c r="B448" s="18"/>
      <c r="C448" s="18"/>
      <c r="D448" s="18"/>
      <c r="E448" s="18"/>
      <c r="F448" s="18"/>
      <c r="G448" s="18"/>
      <c r="H448" s="18"/>
    </row>
    <row r="449" spans="1:8" s="20" customFormat="1" x14ac:dyDescent="0.2">
      <c r="A449" s="18"/>
      <c r="B449" s="18"/>
      <c r="C449" s="18"/>
      <c r="D449" s="18"/>
      <c r="E449" s="18"/>
      <c r="F449" s="18"/>
      <c r="G449" s="18"/>
      <c r="H449" s="18"/>
    </row>
    <row r="450" spans="1:8" s="20" customFormat="1" x14ac:dyDescent="0.2">
      <c r="A450" s="18"/>
      <c r="B450" s="18"/>
      <c r="C450" s="18"/>
      <c r="D450" s="18"/>
      <c r="E450" s="18"/>
      <c r="F450" s="18"/>
      <c r="G450" s="18"/>
      <c r="H450" s="18"/>
    </row>
    <row r="451" spans="1:8" s="20" customFormat="1" x14ac:dyDescent="0.2">
      <c r="A451" s="18"/>
      <c r="B451" s="18"/>
      <c r="C451" s="18"/>
      <c r="D451" s="18"/>
      <c r="E451" s="18"/>
      <c r="F451" s="18"/>
      <c r="G451" s="18"/>
      <c r="H451" s="18"/>
    </row>
    <row r="452" spans="1:8" s="20" customFormat="1" x14ac:dyDescent="0.2">
      <c r="A452" s="18"/>
      <c r="B452" s="18"/>
      <c r="C452" s="18"/>
      <c r="D452" s="18"/>
      <c r="E452" s="18"/>
      <c r="F452" s="18"/>
      <c r="G452" s="18"/>
      <c r="H452" s="18"/>
    </row>
    <row r="453" spans="1:8" s="20" customFormat="1" x14ac:dyDescent="0.2">
      <c r="A453" s="18"/>
      <c r="B453" s="18"/>
      <c r="C453" s="18"/>
      <c r="D453" s="18"/>
      <c r="E453" s="18"/>
      <c r="F453" s="18"/>
      <c r="G453" s="18"/>
      <c r="H453" s="18"/>
    </row>
    <row r="454" spans="1:8" s="20" customFormat="1" x14ac:dyDescent="0.2">
      <c r="A454" s="18"/>
      <c r="B454" s="18"/>
      <c r="C454" s="18"/>
      <c r="D454" s="18"/>
      <c r="E454" s="18"/>
      <c r="F454" s="18"/>
      <c r="G454" s="18"/>
      <c r="H454" s="18"/>
    </row>
    <row r="455" spans="1:8" s="20" customFormat="1" x14ac:dyDescent="0.2">
      <c r="A455" s="18"/>
      <c r="B455" s="18"/>
      <c r="C455" s="18"/>
      <c r="D455" s="18"/>
      <c r="E455" s="18"/>
      <c r="F455" s="18"/>
      <c r="G455" s="18"/>
      <c r="H455" s="18"/>
    </row>
    <row r="456" spans="1:8" s="20" customFormat="1" x14ac:dyDescent="0.2">
      <c r="A456" s="18"/>
      <c r="B456" s="18"/>
      <c r="C456" s="18"/>
      <c r="D456" s="18"/>
      <c r="E456" s="18"/>
      <c r="F456" s="18"/>
      <c r="G456" s="18"/>
      <c r="H456" s="18"/>
    </row>
    <row r="457" spans="1:8" s="20" customFormat="1" x14ac:dyDescent="0.2">
      <c r="A457" s="18"/>
      <c r="B457" s="18"/>
      <c r="C457" s="18"/>
      <c r="D457" s="18"/>
      <c r="E457" s="18"/>
      <c r="F457" s="18"/>
      <c r="G457" s="18"/>
      <c r="H457" s="18"/>
    </row>
    <row r="458" spans="1:8" s="20" customFormat="1" x14ac:dyDescent="0.2">
      <c r="A458" s="18"/>
      <c r="B458" s="18"/>
      <c r="C458" s="18"/>
      <c r="D458" s="18"/>
      <c r="E458" s="18"/>
      <c r="F458" s="18"/>
      <c r="G458" s="18"/>
      <c r="H458" s="18"/>
    </row>
    <row r="459" spans="1:8" s="20" customFormat="1" x14ac:dyDescent="0.2">
      <c r="A459" s="18"/>
      <c r="B459" s="18"/>
      <c r="C459" s="18"/>
      <c r="D459" s="18"/>
      <c r="E459" s="18"/>
      <c r="F459" s="18"/>
      <c r="G459" s="18"/>
      <c r="H459" s="18"/>
    </row>
    <row r="460" spans="1:8" s="20" customFormat="1" x14ac:dyDescent="0.2">
      <c r="A460" s="18"/>
      <c r="B460" s="18"/>
      <c r="C460" s="18"/>
      <c r="D460" s="18"/>
      <c r="E460" s="18"/>
      <c r="F460" s="18"/>
      <c r="G460" s="18"/>
      <c r="H460" s="18"/>
    </row>
    <row r="461" spans="1:8" s="20" customFormat="1" x14ac:dyDescent="0.2">
      <c r="A461" s="18"/>
      <c r="B461" s="18"/>
      <c r="C461" s="18"/>
      <c r="D461" s="18"/>
      <c r="E461" s="18"/>
      <c r="F461" s="18"/>
      <c r="G461" s="18"/>
      <c r="H461" s="18"/>
    </row>
    <row r="462" spans="1:8" s="20" customFormat="1" x14ac:dyDescent="0.2">
      <c r="A462" s="18"/>
      <c r="B462" s="18"/>
      <c r="C462" s="18"/>
      <c r="D462" s="18"/>
      <c r="E462" s="18"/>
      <c r="F462" s="18"/>
      <c r="G462" s="18"/>
      <c r="H462" s="18"/>
    </row>
    <row r="463" spans="1:8" s="20" customFormat="1" x14ac:dyDescent="0.2">
      <c r="A463" s="18"/>
      <c r="B463" s="18"/>
      <c r="C463" s="18"/>
      <c r="D463" s="18"/>
      <c r="E463" s="18"/>
      <c r="F463" s="18"/>
      <c r="G463" s="18"/>
      <c r="H463" s="18"/>
    </row>
    <row r="464" spans="1:8" s="20" customFormat="1" x14ac:dyDescent="0.2">
      <c r="A464" s="18"/>
      <c r="B464" s="18"/>
      <c r="C464" s="18"/>
      <c r="D464" s="18"/>
      <c r="E464" s="18"/>
      <c r="F464" s="18"/>
      <c r="G464" s="18"/>
      <c r="H464" s="18"/>
    </row>
    <row r="465" spans="1:8" s="20" customFormat="1" x14ac:dyDescent="0.2">
      <c r="A465" s="18"/>
      <c r="B465" s="18"/>
      <c r="C465" s="18"/>
      <c r="D465" s="18"/>
      <c r="E465" s="18"/>
      <c r="F465" s="18"/>
      <c r="G465" s="18"/>
      <c r="H465" s="18"/>
    </row>
    <row r="466" spans="1:8" s="20" customFormat="1" x14ac:dyDescent="0.2">
      <c r="A466" s="18"/>
      <c r="B466" s="18"/>
      <c r="C466" s="18"/>
      <c r="D466" s="18"/>
      <c r="E466" s="18"/>
      <c r="F466" s="18"/>
      <c r="G466" s="18"/>
      <c r="H466" s="18"/>
    </row>
    <row r="467" spans="1:8" s="20" customFormat="1" x14ac:dyDescent="0.2">
      <c r="A467" s="18"/>
      <c r="B467" s="18"/>
      <c r="C467" s="18"/>
      <c r="D467" s="18"/>
      <c r="E467" s="18"/>
      <c r="F467" s="18"/>
      <c r="G467" s="18"/>
      <c r="H467" s="18"/>
    </row>
    <row r="468" spans="1:8" s="20" customFormat="1" x14ac:dyDescent="0.2">
      <c r="A468" s="18"/>
      <c r="B468" s="18"/>
      <c r="C468" s="18"/>
      <c r="D468" s="18"/>
      <c r="E468" s="18"/>
      <c r="F468" s="18"/>
      <c r="G468" s="18"/>
      <c r="H468" s="18"/>
    </row>
    <row r="469" spans="1:8" s="20" customFormat="1" x14ac:dyDescent="0.2">
      <c r="A469" s="18"/>
      <c r="B469" s="18"/>
      <c r="C469" s="18"/>
      <c r="D469" s="18"/>
      <c r="E469" s="18"/>
      <c r="F469" s="18"/>
      <c r="G469" s="18"/>
      <c r="H469" s="18"/>
    </row>
    <row r="470" spans="1:8" s="20" customFormat="1" x14ac:dyDescent="0.2">
      <c r="A470" s="18"/>
      <c r="B470" s="18"/>
      <c r="C470" s="18"/>
      <c r="D470" s="18"/>
      <c r="E470" s="18"/>
      <c r="F470" s="18"/>
      <c r="G470" s="18"/>
      <c r="H470" s="18"/>
    </row>
    <row r="471" spans="1:8" s="20" customFormat="1" x14ac:dyDescent="0.2">
      <c r="A471" s="18"/>
      <c r="B471" s="18"/>
      <c r="C471" s="18"/>
      <c r="D471" s="18"/>
      <c r="E471" s="18"/>
      <c r="F471" s="18"/>
      <c r="G471" s="18"/>
      <c r="H471" s="18"/>
    </row>
    <row r="472" spans="1:8" s="20" customFormat="1" x14ac:dyDescent="0.2">
      <c r="A472" s="18"/>
      <c r="B472" s="18"/>
      <c r="C472" s="18"/>
      <c r="D472" s="18"/>
      <c r="E472" s="18"/>
      <c r="F472" s="18"/>
      <c r="G472" s="18"/>
      <c r="H472" s="18"/>
    </row>
    <row r="473" spans="1:8" s="20" customFormat="1" x14ac:dyDescent="0.2">
      <c r="A473" s="18"/>
      <c r="B473" s="18"/>
      <c r="C473" s="18"/>
      <c r="D473" s="18"/>
      <c r="E473" s="18"/>
      <c r="F473" s="18"/>
      <c r="G473" s="18"/>
      <c r="H473" s="18"/>
    </row>
    <row r="474" spans="1:8" s="20" customFormat="1" x14ac:dyDescent="0.2">
      <c r="A474" s="18"/>
      <c r="B474" s="18"/>
      <c r="C474" s="18"/>
      <c r="D474" s="18"/>
      <c r="E474" s="18"/>
      <c r="F474" s="18"/>
      <c r="G474" s="18"/>
      <c r="H474" s="18"/>
    </row>
    <row r="475" spans="1:8" s="20" customFormat="1" x14ac:dyDescent="0.2">
      <c r="A475" s="18"/>
      <c r="B475" s="18"/>
      <c r="C475" s="18"/>
      <c r="D475" s="18"/>
      <c r="E475" s="18"/>
      <c r="F475" s="18"/>
      <c r="G475" s="18"/>
      <c r="H475" s="18"/>
    </row>
    <row r="476" spans="1:8" s="20" customFormat="1" x14ac:dyDescent="0.2">
      <c r="A476" s="18"/>
      <c r="B476" s="18"/>
      <c r="C476" s="18"/>
      <c r="D476" s="18"/>
      <c r="E476" s="18"/>
      <c r="F476" s="18"/>
      <c r="G476" s="18"/>
      <c r="H476" s="18"/>
    </row>
    <row r="477" spans="1:8" s="20" customFormat="1" x14ac:dyDescent="0.2">
      <c r="A477" s="18"/>
      <c r="B477" s="18"/>
      <c r="C477" s="18"/>
      <c r="D477" s="18"/>
      <c r="E477" s="18"/>
      <c r="F477" s="18"/>
      <c r="G477" s="18"/>
      <c r="H477" s="18"/>
    </row>
    <row r="478" spans="1:8" s="20" customFormat="1" x14ac:dyDescent="0.2">
      <c r="A478" s="18"/>
      <c r="B478" s="18"/>
      <c r="C478" s="18"/>
      <c r="D478" s="18"/>
      <c r="E478" s="18"/>
      <c r="F478" s="18"/>
      <c r="G478" s="18"/>
      <c r="H478" s="18"/>
    </row>
    <row r="479" spans="1:8" s="20" customFormat="1" x14ac:dyDescent="0.2">
      <c r="A479" s="18"/>
      <c r="B479" s="18"/>
      <c r="C479" s="18"/>
      <c r="D479" s="18"/>
      <c r="E479" s="18"/>
      <c r="F479" s="18"/>
      <c r="G479" s="18"/>
      <c r="H479" s="18"/>
    </row>
    <row r="480" spans="1:8" s="20" customFormat="1" x14ac:dyDescent="0.2">
      <c r="A480" s="18"/>
      <c r="B480" s="18"/>
      <c r="C480" s="18"/>
      <c r="D480" s="18"/>
      <c r="E480" s="18"/>
      <c r="F480" s="18"/>
      <c r="G480" s="18"/>
      <c r="H480" s="18"/>
    </row>
    <row r="481" spans="1:8" s="20" customFormat="1" x14ac:dyDescent="0.2">
      <c r="A481" s="18"/>
      <c r="B481" s="18"/>
      <c r="C481" s="18"/>
      <c r="D481" s="18"/>
      <c r="E481" s="18"/>
      <c r="F481" s="18"/>
      <c r="G481" s="18"/>
      <c r="H481" s="18"/>
    </row>
    <row r="482" spans="1:8" s="20" customFormat="1" x14ac:dyDescent="0.2">
      <c r="A482" s="18"/>
      <c r="B482" s="18"/>
      <c r="C482" s="18"/>
      <c r="D482" s="18"/>
      <c r="E482" s="18"/>
      <c r="F482" s="18"/>
      <c r="G482" s="18"/>
      <c r="H482" s="18"/>
    </row>
    <row r="483" spans="1:8" s="20" customFormat="1" x14ac:dyDescent="0.2">
      <c r="A483" s="18"/>
      <c r="B483" s="18"/>
      <c r="C483" s="18"/>
      <c r="D483" s="18"/>
      <c r="E483" s="18"/>
      <c r="F483" s="18"/>
      <c r="G483" s="18"/>
      <c r="H483" s="18"/>
    </row>
    <row r="484" spans="1:8" s="20" customFormat="1" x14ac:dyDescent="0.2">
      <c r="A484" s="18"/>
      <c r="B484" s="18"/>
      <c r="C484" s="18"/>
      <c r="D484" s="18"/>
      <c r="E484" s="18"/>
      <c r="F484" s="18"/>
      <c r="G484" s="18"/>
      <c r="H484" s="18"/>
    </row>
    <row r="485" spans="1:8" s="20" customFormat="1" x14ac:dyDescent="0.2">
      <c r="A485" s="18"/>
      <c r="B485" s="18"/>
      <c r="C485" s="18"/>
      <c r="D485" s="18"/>
      <c r="E485" s="18"/>
      <c r="F485" s="18"/>
      <c r="G485" s="18"/>
      <c r="H485" s="18"/>
    </row>
    <row r="486" spans="1:8" s="20" customFormat="1" x14ac:dyDescent="0.2">
      <c r="A486" s="18"/>
      <c r="B486" s="18"/>
      <c r="C486" s="18"/>
      <c r="D486" s="18"/>
      <c r="E486" s="18"/>
      <c r="F486" s="18"/>
      <c r="G486" s="18"/>
      <c r="H486" s="18"/>
    </row>
    <row r="487" spans="1:8" s="20" customFormat="1" x14ac:dyDescent="0.2">
      <c r="A487" s="18"/>
      <c r="B487" s="18"/>
      <c r="C487" s="18"/>
      <c r="D487" s="18"/>
      <c r="E487" s="18"/>
      <c r="F487" s="18"/>
      <c r="G487" s="18"/>
      <c r="H487" s="18"/>
    </row>
    <row r="488" spans="1:8" s="20" customFormat="1" x14ac:dyDescent="0.2">
      <c r="A488" s="18"/>
      <c r="B488" s="18"/>
      <c r="C488" s="18"/>
      <c r="D488" s="18"/>
      <c r="E488" s="18"/>
      <c r="F488" s="18"/>
      <c r="G488" s="18"/>
      <c r="H488" s="18"/>
    </row>
    <row r="489" spans="1:8" s="20" customFormat="1" x14ac:dyDescent="0.2">
      <c r="A489" s="18"/>
      <c r="B489" s="18"/>
      <c r="C489" s="18"/>
      <c r="D489" s="18"/>
      <c r="E489" s="18"/>
      <c r="F489" s="18"/>
      <c r="G489" s="18"/>
      <c r="H489" s="18"/>
    </row>
    <row r="490" spans="1:8" s="20" customFormat="1" x14ac:dyDescent="0.2">
      <c r="A490" s="18"/>
      <c r="B490" s="18"/>
      <c r="C490" s="18"/>
      <c r="D490" s="18"/>
      <c r="E490" s="18"/>
      <c r="F490" s="18"/>
      <c r="G490" s="18"/>
      <c r="H490" s="18"/>
    </row>
    <row r="491" spans="1:8" s="20" customFormat="1" x14ac:dyDescent="0.2">
      <c r="A491" s="18"/>
      <c r="B491" s="18"/>
      <c r="C491" s="18"/>
      <c r="D491" s="18"/>
      <c r="E491" s="18"/>
      <c r="F491" s="18"/>
      <c r="G491" s="18"/>
      <c r="H491" s="18"/>
    </row>
    <row r="492" spans="1:8" s="20" customFormat="1" x14ac:dyDescent="0.2">
      <c r="A492" s="18"/>
      <c r="B492" s="18"/>
      <c r="C492" s="18"/>
      <c r="D492" s="18"/>
      <c r="E492" s="18"/>
      <c r="F492" s="18"/>
      <c r="G492" s="18"/>
      <c r="H492" s="18"/>
    </row>
    <row r="493" spans="1:8" s="20" customFormat="1" x14ac:dyDescent="0.2">
      <c r="A493" s="18"/>
      <c r="B493" s="18"/>
      <c r="C493" s="18"/>
      <c r="D493" s="18"/>
      <c r="E493" s="18"/>
      <c r="F493" s="18"/>
      <c r="G493" s="18"/>
      <c r="H493" s="18"/>
    </row>
    <row r="494" spans="1:8" s="20" customFormat="1" x14ac:dyDescent="0.2">
      <c r="A494" s="18"/>
      <c r="B494" s="18"/>
      <c r="C494" s="18"/>
      <c r="D494" s="18"/>
      <c r="E494" s="18"/>
      <c r="F494" s="18"/>
      <c r="G494" s="18"/>
      <c r="H494" s="18"/>
    </row>
    <row r="495" spans="1:8" s="20" customFormat="1" x14ac:dyDescent="0.2">
      <c r="A495" s="18"/>
      <c r="B495" s="18"/>
      <c r="C495" s="18"/>
      <c r="D495" s="18"/>
      <c r="E495" s="18"/>
      <c r="F495" s="18"/>
      <c r="G495" s="18"/>
      <c r="H495" s="18"/>
    </row>
    <row r="496" spans="1:8" s="20" customFormat="1" x14ac:dyDescent="0.2">
      <c r="A496" s="18"/>
      <c r="B496" s="18"/>
      <c r="C496" s="18"/>
      <c r="D496" s="18"/>
      <c r="E496" s="18"/>
      <c r="F496" s="18"/>
      <c r="G496" s="18"/>
      <c r="H496" s="18"/>
    </row>
    <row r="497" spans="1:8" s="20" customFormat="1" x14ac:dyDescent="0.2">
      <c r="A497" s="18"/>
      <c r="B497" s="18"/>
      <c r="C497" s="18"/>
      <c r="D497" s="18"/>
      <c r="E497" s="18"/>
      <c r="F497" s="18"/>
      <c r="G497" s="18"/>
      <c r="H497" s="18"/>
    </row>
    <row r="498" spans="1:8" s="20" customFormat="1" x14ac:dyDescent="0.2">
      <c r="A498" s="18"/>
      <c r="B498" s="18"/>
      <c r="C498" s="18"/>
      <c r="D498" s="18"/>
      <c r="E498" s="18"/>
      <c r="F498" s="18"/>
      <c r="G498" s="18"/>
      <c r="H498" s="18"/>
    </row>
    <row r="499" spans="1:8" s="20" customFormat="1" x14ac:dyDescent="0.2">
      <c r="A499" s="18"/>
      <c r="B499" s="18"/>
      <c r="C499" s="18"/>
      <c r="D499" s="18"/>
      <c r="E499" s="18"/>
      <c r="F499" s="18"/>
      <c r="G499" s="18"/>
      <c r="H499" s="18"/>
    </row>
    <row r="500" spans="1:8" s="20" customFormat="1" x14ac:dyDescent="0.2">
      <c r="A500" s="18"/>
      <c r="B500" s="18"/>
      <c r="C500" s="18"/>
      <c r="D500" s="18"/>
      <c r="E500" s="18"/>
      <c r="F500" s="18"/>
      <c r="G500" s="18"/>
      <c r="H500" s="18"/>
    </row>
    <row r="501" spans="1:8" s="20" customFormat="1" x14ac:dyDescent="0.2">
      <c r="A501" s="18"/>
      <c r="B501" s="18"/>
      <c r="C501" s="18"/>
      <c r="D501" s="18"/>
      <c r="E501" s="18"/>
      <c r="F501" s="18"/>
      <c r="G501" s="18"/>
      <c r="H501" s="18"/>
    </row>
    <row r="502" spans="1:8" s="20" customFormat="1" x14ac:dyDescent="0.2">
      <c r="A502" s="18"/>
      <c r="B502" s="18"/>
      <c r="C502" s="18"/>
      <c r="D502" s="18"/>
      <c r="E502" s="18"/>
      <c r="F502" s="18"/>
      <c r="G502" s="18"/>
      <c r="H502" s="18"/>
    </row>
    <row r="503" spans="1:8" s="20" customFormat="1" x14ac:dyDescent="0.2">
      <c r="A503" s="18"/>
      <c r="B503" s="18"/>
      <c r="C503" s="18"/>
      <c r="D503" s="18"/>
      <c r="E503" s="18"/>
      <c r="F503" s="18"/>
      <c r="G503" s="18"/>
      <c r="H503" s="18"/>
    </row>
    <row r="504" spans="1:8" s="20" customFormat="1" x14ac:dyDescent="0.2">
      <c r="A504" s="18"/>
      <c r="B504" s="18"/>
      <c r="C504" s="18"/>
      <c r="D504" s="18"/>
      <c r="E504" s="18"/>
      <c r="F504" s="18"/>
      <c r="G504" s="18"/>
      <c r="H504" s="18"/>
    </row>
    <row r="505" spans="1:8" s="20" customFormat="1" x14ac:dyDescent="0.2">
      <c r="A505" s="18"/>
      <c r="B505" s="18"/>
      <c r="C505" s="18"/>
      <c r="D505" s="18"/>
      <c r="E505" s="18"/>
      <c r="F505" s="18"/>
      <c r="G505" s="18"/>
      <c r="H505" s="18"/>
    </row>
    <row r="506" spans="1:8" s="20" customFormat="1" x14ac:dyDescent="0.2">
      <c r="A506" s="18"/>
      <c r="B506" s="18"/>
      <c r="C506" s="18"/>
      <c r="D506" s="18"/>
      <c r="E506" s="18"/>
      <c r="F506" s="18"/>
      <c r="G506" s="18"/>
      <c r="H506" s="18"/>
    </row>
    <row r="507" spans="1:8" s="20" customFormat="1" x14ac:dyDescent="0.2">
      <c r="A507" s="18"/>
      <c r="B507" s="18"/>
      <c r="C507" s="18"/>
      <c r="D507" s="18"/>
      <c r="E507" s="18"/>
      <c r="F507" s="18"/>
      <c r="G507" s="18"/>
      <c r="H507" s="18"/>
    </row>
    <row r="508" spans="1:8" s="20" customFormat="1" x14ac:dyDescent="0.2">
      <c r="A508" s="18"/>
      <c r="B508" s="18"/>
      <c r="C508" s="18"/>
      <c r="D508" s="18"/>
      <c r="E508" s="18"/>
      <c r="F508" s="18"/>
      <c r="G508" s="18"/>
      <c r="H508" s="18"/>
    </row>
    <row r="509" spans="1:8" s="20" customFormat="1" x14ac:dyDescent="0.2">
      <c r="A509" s="18"/>
      <c r="B509" s="18"/>
      <c r="C509" s="18"/>
      <c r="D509" s="18"/>
      <c r="E509" s="18"/>
      <c r="F509" s="18"/>
      <c r="G509" s="18"/>
      <c r="H509" s="18"/>
    </row>
    <row r="510" spans="1:8" s="20" customFormat="1" x14ac:dyDescent="0.2">
      <c r="A510" s="18"/>
      <c r="B510" s="18"/>
      <c r="C510" s="18"/>
      <c r="D510" s="18"/>
      <c r="E510" s="18"/>
      <c r="F510" s="18"/>
      <c r="G510" s="18"/>
      <c r="H510" s="18"/>
    </row>
    <row r="511" spans="1:8" s="20" customFormat="1" x14ac:dyDescent="0.2">
      <c r="A511" s="18"/>
      <c r="B511" s="18"/>
      <c r="C511" s="18"/>
      <c r="D511" s="18"/>
      <c r="E511" s="18"/>
      <c r="F511" s="18"/>
      <c r="G511" s="18"/>
      <c r="H511" s="18"/>
    </row>
    <row r="512" spans="1:8" s="20" customFormat="1" x14ac:dyDescent="0.2">
      <c r="A512" s="18"/>
      <c r="B512" s="18"/>
      <c r="C512" s="18"/>
      <c r="D512" s="18"/>
      <c r="E512" s="18"/>
      <c r="F512" s="18"/>
      <c r="G512" s="18"/>
      <c r="H512" s="18"/>
    </row>
    <row r="513" spans="1:8" s="20" customFormat="1" x14ac:dyDescent="0.2">
      <c r="A513" s="18"/>
      <c r="B513" s="18"/>
      <c r="C513" s="18"/>
      <c r="D513" s="18"/>
      <c r="E513" s="18"/>
      <c r="F513" s="18"/>
      <c r="G513" s="18"/>
      <c r="H513" s="18"/>
    </row>
    <row r="514" spans="1:8" s="20" customFormat="1" x14ac:dyDescent="0.2">
      <c r="A514" s="18"/>
      <c r="B514" s="18"/>
      <c r="C514" s="18"/>
      <c r="D514" s="18"/>
      <c r="E514" s="18"/>
      <c r="F514" s="18"/>
      <c r="G514" s="18"/>
      <c r="H514" s="18"/>
    </row>
    <row r="515" spans="1:8" s="20" customFormat="1" x14ac:dyDescent="0.2">
      <c r="A515" s="18"/>
      <c r="B515" s="18"/>
      <c r="C515" s="18"/>
      <c r="D515" s="18"/>
      <c r="E515" s="18"/>
      <c r="F515" s="18"/>
      <c r="G515" s="18"/>
      <c r="H515" s="18"/>
    </row>
    <row r="516" spans="1:8" s="20" customFormat="1" x14ac:dyDescent="0.2">
      <c r="A516" s="18"/>
      <c r="B516" s="18"/>
      <c r="C516" s="18"/>
      <c r="D516" s="18"/>
      <c r="E516" s="18"/>
      <c r="F516" s="18"/>
      <c r="G516" s="18"/>
      <c r="H516" s="18"/>
    </row>
    <row r="517" spans="1:8" s="20" customFormat="1" x14ac:dyDescent="0.2">
      <c r="A517" s="18"/>
      <c r="B517" s="18"/>
      <c r="C517" s="18"/>
      <c r="D517" s="18"/>
      <c r="E517" s="18"/>
      <c r="F517" s="18"/>
      <c r="G517" s="18"/>
      <c r="H517" s="18"/>
    </row>
    <row r="518" spans="1:8" s="20" customFormat="1" x14ac:dyDescent="0.2">
      <c r="A518" s="18"/>
      <c r="B518" s="18"/>
      <c r="C518" s="18"/>
      <c r="D518" s="18"/>
      <c r="E518" s="18"/>
      <c r="F518" s="18"/>
      <c r="G518" s="18"/>
      <c r="H518" s="18"/>
    </row>
    <row r="519" spans="1:8" s="20" customFormat="1" x14ac:dyDescent="0.2">
      <c r="A519" s="18"/>
      <c r="B519" s="18"/>
      <c r="C519" s="18"/>
      <c r="D519" s="18"/>
      <c r="E519" s="18"/>
      <c r="F519" s="18"/>
      <c r="G519" s="18"/>
      <c r="H519" s="18"/>
    </row>
    <row r="520" spans="1:8" s="20" customFormat="1" x14ac:dyDescent="0.2">
      <c r="A520" s="18"/>
      <c r="B520" s="18"/>
      <c r="C520" s="18"/>
      <c r="D520" s="18"/>
      <c r="E520" s="18"/>
      <c r="F520" s="18"/>
      <c r="G520" s="18"/>
      <c r="H520" s="18"/>
    </row>
    <row r="521" spans="1:8" s="20" customFormat="1" x14ac:dyDescent="0.2">
      <c r="A521" s="18"/>
      <c r="B521" s="18"/>
      <c r="C521" s="18"/>
      <c r="D521" s="18"/>
      <c r="E521" s="18"/>
      <c r="F521" s="18"/>
      <c r="G521" s="18"/>
      <c r="H521" s="18"/>
    </row>
    <row r="522" spans="1:8" s="20" customFormat="1" x14ac:dyDescent="0.2">
      <c r="A522" s="18"/>
      <c r="B522" s="18"/>
      <c r="C522" s="18"/>
      <c r="D522" s="18"/>
      <c r="E522" s="18"/>
      <c r="F522" s="18"/>
      <c r="G522" s="18"/>
      <c r="H522" s="18"/>
    </row>
    <row r="523" spans="1:8" s="20" customFormat="1" x14ac:dyDescent="0.2">
      <c r="A523" s="18"/>
      <c r="B523" s="18"/>
      <c r="C523" s="18"/>
      <c r="D523" s="18"/>
      <c r="E523" s="18"/>
      <c r="F523" s="18"/>
      <c r="G523" s="18"/>
      <c r="H523" s="18"/>
    </row>
    <row r="524" spans="1:8" s="20" customFormat="1" x14ac:dyDescent="0.2">
      <c r="A524" s="18"/>
      <c r="B524" s="18"/>
      <c r="C524" s="18"/>
      <c r="D524" s="18"/>
      <c r="E524" s="18"/>
      <c r="F524" s="18"/>
      <c r="G524" s="18"/>
      <c r="H524" s="18"/>
    </row>
    <row r="525" spans="1:8" s="20" customFormat="1" x14ac:dyDescent="0.2">
      <c r="A525" s="18"/>
      <c r="B525" s="18"/>
      <c r="C525" s="18"/>
      <c r="D525" s="18"/>
      <c r="E525" s="18"/>
      <c r="F525" s="18"/>
      <c r="G525" s="18"/>
      <c r="H525" s="18"/>
    </row>
    <row r="526" spans="1:8" s="20" customFormat="1" x14ac:dyDescent="0.2">
      <c r="A526" s="18"/>
      <c r="B526" s="18"/>
      <c r="C526" s="18"/>
      <c r="D526" s="18"/>
      <c r="E526" s="18"/>
      <c r="F526" s="18"/>
      <c r="G526" s="18"/>
      <c r="H526" s="18"/>
    </row>
    <row r="527" spans="1:8" s="20" customFormat="1" x14ac:dyDescent="0.2">
      <c r="A527" s="18"/>
      <c r="B527" s="18"/>
      <c r="C527" s="18"/>
      <c r="D527" s="18"/>
      <c r="E527" s="18"/>
      <c r="F527" s="18"/>
      <c r="G527" s="18"/>
      <c r="H527" s="18"/>
    </row>
    <row r="528" spans="1:8" s="20" customFormat="1" x14ac:dyDescent="0.2">
      <c r="A528" s="18"/>
      <c r="B528" s="18"/>
      <c r="C528" s="18"/>
      <c r="D528" s="18"/>
      <c r="E528" s="18"/>
      <c r="F528" s="18"/>
      <c r="G528" s="18"/>
      <c r="H528" s="18"/>
    </row>
    <row r="529" spans="1:8" s="20" customFormat="1" x14ac:dyDescent="0.2">
      <c r="A529" s="18"/>
      <c r="B529" s="18"/>
      <c r="C529" s="18"/>
      <c r="D529" s="18"/>
      <c r="E529" s="18"/>
      <c r="F529" s="18"/>
      <c r="G529" s="18"/>
      <c r="H529" s="18"/>
    </row>
    <row r="530" spans="1:8" s="20" customFormat="1" x14ac:dyDescent="0.2">
      <c r="A530" s="18"/>
      <c r="B530" s="18"/>
      <c r="C530" s="18"/>
      <c r="D530" s="18"/>
      <c r="E530" s="18"/>
      <c r="F530" s="18"/>
      <c r="G530" s="18"/>
      <c r="H530" s="18"/>
    </row>
    <row r="531" spans="1:8" s="20" customFormat="1" x14ac:dyDescent="0.2">
      <c r="A531" s="18"/>
      <c r="B531" s="18"/>
      <c r="C531" s="18"/>
      <c r="D531" s="18"/>
      <c r="E531" s="18"/>
      <c r="F531" s="18"/>
      <c r="G531" s="18"/>
      <c r="H531" s="18"/>
    </row>
    <row r="532" spans="1:8" s="20" customFormat="1" x14ac:dyDescent="0.2">
      <c r="A532" s="18"/>
      <c r="B532" s="18"/>
      <c r="C532" s="18"/>
      <c r="D532" s="18"/>
      <c r="E532" s="18"/>
      <c r="F532" s="18"/>
      <c r="G532" s="18"/>
      <c r="H532" s="18"/>
    </row>
    <row r="533" spans="1:8" s="20" customFormat="1" x14ac:dyDescent="0.2">
      <c r="A533" s="18"/>
      <c r="B533" s="18"/>
      <c r="C533" s="18"/>
      <c r="D533" s="18"/>
      <c r="E533" s="18"/>
      <c r="F533" s="18"/>
      <c r="G533" s="18"/>
      <c r="H533" s="18"/>
    </row>
    <row r="534" spans="1:8" s="20" customFormat="1" x14ac:dyDescent="0.2">
      <c r="A534" s="18"/>
      <c r="B534" s="18"/>
      <c r="C534" s="18"/>
      <c r="D534" s="18"/>
      <c r="E534" s="18"/>
      <c r="F534" s="18"/>
      <c r="G534" s="18"/>
      <c r="H534" s="18"/>
    </row>
    <row r="535" spans="1:8" s="20" customFormat="1" x14ac:dyDescent="0.2">
      <c r="A535" s="18"/>
      <c r="B535" s="18"/>
      <c r="C535" s="18"/>
      <c r="D535" s="18"/>
      <c r="E535" s="18"/>
      <c r="F535" s="18"/>
      <c r="G535" s="18"/>
      <c r="H535" s="18"/>
    </row>
    <row r="536" spans="1:8" s="20" customFormat="1" x14ac:dyDescent="0.2">
      <c r="A536" s="18"/>
      <c r="B536" s="18"/>
      <c r="C536" s="18"/>
      <c r="D536" s="18"/>
      <c r="E536" s="18"/>
      <c r="F536" s="18"/>
      <c r="G536" s="18"/>
      <c r="H536" s="18"/>
    </row>
    <row r="537" spans="1:8" s="20" customFormat="1" x14ac:dyDescent="0.2">
      <c r="A537" s="18"/>
      <c r="B537" s="18"/>
      <c r="C537" s="18"/>
      <c r="D537" s="18"/>
      <c r="E537" s="18"/>
      <c r="F537" s="18"/>
      <c r="G537" s="18"/>
      <c r="H537" s="18"/>
    </row>
    <row r="538" spans="1:8" s="20" customFormat="1" x14ac:dyDescent="0.2">
      <c r="A538" s="18"/>
      <c r="B538" s="18"/>
      <c r="C538" s="18"/>
      <c r="D538" s="18"/>
      <c r="E538" s="18"/>
      <c r="F538" s="18"/>
      <c r="G538" s="18"/>
      <c r="H538" s="18"/>
    </row>
    <row r="539" spans="1:8" s="20" customFormat="1" x14ac:dyDescent="0.2">
      <c r="A539" s="18"/>
      <c r="B539" s="18"/>
      <c r="C539" s="18"/>
      <c r="D539" s="18"/>
      <c r="E539" s="18"/>
      <c r="F539" s="18"/>
      <c r="G539" s="18"/>
      <c r="H539" s="18"/>
    </row>
    <row r="540" spans="1:8" s="20" customFormat="1" x14ac:dyDescent="0.2">
      <c r="A540" s="18"/>
      <c r="B540" s="18"/>
      <c r="C540" s="18"/>
      <c r="D540" s="18"/>
      <c r="E540" s="18"/>
      <c r="F540" s="18"/>
      <c r="G540" s="18"/>
      <c r="H540" s="18"/>
    </row>
    <row r="541" spans="1:8" s="20" customFormat="1" x14ac:dyDescent="0.2">
      <c r="A541" s="18"/>
      <c r="B541" s="18"/>
      <c r="C541" s="18"/>
      <c r="D541" s="18"/>
      <c r="E541" s="18"/>
      <c r="F541" s="18"/>
      <c r="G541" s="18"/>
      <c r="H541" s="18"/>
    </row>
    <row r="542" spans="1:8" s="20" customFormat="1" x14ac:dyDescent="0.2">
      <c r="A542" s="18"/>
      <c r="B542" s="18"/>
      <c r="C542" s="18"/>
      <c r="D542" s="18"/>
      <c r="E542" s="18"/>
      <c r="F542" s="18"/>
      <c r="G542" s="18"/>
      <c r="H542" s="18"/>
    </row>
    <row r="543" spans="1:8" s="20" customFormat="1" x14ac:dyDescent="0.2">
      <c r="A543" s="18"/>
      <c r="B543" s="18"/>
      <c r="C543" s="18"/>
      <c r="D543" s="18"/>
      <c r="E543" s="18"/>
      <c r="F543" s="18"/>
      <c r="G543" s="18"/>
      <c r="H543" s="18"/>
    </row>
    <row r="544" spans="1:8" s="20" customFormat="1" x14ac:dyDescent="0.2">
      <c r="A544" s="18"/>
      <c r="B544" s="18"/>
      <c r="C544" s="18"/>
      <c r="D544" s="18"/>
      <c r="E544" s="18"/>
      <c r="F544" s="18"/>
      <c r="G544" s="18"/>
      <c r="H544" s="18"/>
    </row>
    <row r="545" spans="1:8" s="20" customFormat="1" x14ac:dyDescent="0.2">
      <c r="A545" s="18"/>
      <c r="B545" s="18"/>
      <c r="C545" s="18"/>
      <c r="D545" s="18"/>
      <c r="E545" s="18"/>
      <c r="F545" s="18"/>
      <c r="G545" s="18"/>
      <c r="H545" s="18"/>
    </row>
    <row r="546" spans="1:8" s="20" customFormat="1" x14ac:dyDescent="0.2">
      <c r="A546" s="18"/>
      <c r="B546" s="18"/>
      <c r="C546" s="18"/>
      <c r="D546" s="18"/>
      <c r="E546" s="18"/>
      <c r="F546" s="18"/>
      <c r="G546" s="18"/>
      <c r="H546" s="18"/>
    </row>
    <row r="547" spans="1:8" s="20" customFormat="1" x14ac:dyDescent="0.2">
      <c r="A547" s="18"/>
      <c r="B547" s="18"/>
      <c r="C547" s="18"/>
      <c r="D547" s="18"/>
      <c r="E547" s="18"/>
      <c r="F547" s="18"/>
      <c r="G547" s="18"/>
      <c r="H547" s="18"/>
    </row>
    <row r="548" spans="1:8" s="20" customFormat="1" x14ac:dyDescent="0.2">
      <c r="A548" s="18"/>
      <c r="B548" s="18"/>
      <c r="C548" s="18"/>
      <c r="D548" s="18"/>
      <c r="E548" s="18"/>
      <c r="F548" s="18"/>
      <c r="G548" s="18"/>
      <c r="H548" s="18"/>
    </row>
    <row r="549" spans="1:8" s="20" customFormat="1" x14ac:dyDescent="0.2">
      <c r="A549" s="18"/>
      <c r="B549" s="18"/>
      <c r="C549" s="18"/>
      <c r="D549" s="18"/>
      <c r="E549" s="18"/>
      <c r="F549" s="18"/>
      <c r="G549" s="18"/>
      <c r="H549" s="18"/>
    </row>
    <row r="550" spans="1:8" s="20" customFormat="1" x14ac:dyDescent="0.2">
      <c r="A550" s="18"/>
      <c r="B550" s="18"/>
      <c r="C550" s="18"/>
      <c r="D550" s="18"/>
      <c r="E550" s="18"/>
      <c r="F550" s="18"/>
      <c r="G550" s="18"/>
      <c r="H550" s="18"/>
    </row>
    <row r="551" spans="1:8" s="20" customFormat="1" x14ac:dyDescent="0.2">
      <c r="A551" s="18"/>
      <c r="B551" s="18"/>
      <c r="C551" s="18"/>
      <c r="D551" s="18"/>
      <c r="E551" s="18"/>
      <c r="F551" s="18"/>
      <c r="G551" s="18"/>
      <c r="H551" s="18"/>
    </row>
    <row r="552" spans="1:8" s="20" customFormat="1" x14ac:dyDescent="0.2">
      <c r="A552" s="18"/>
      <c r="B552" s="18"/>
      <c r="C552" s="18"/>
      <c r="D552" s="18"/>
      <c r="E552" s="18"/>
      <c r="F552" s="18"/>
      <c r="G552" s="18"/>
      <c r="H552" s="18"/>
    </row>
    <row r="553" spans="1:8" s="20" customFormat="1" x14ac:dyDescent="0.2">
      <c r="A553" s="18"/>
      <c r="B553" s="18"/>
      <c r="C553" s="18"/>
      <c r="D553" s="18"/>
      <c r="E553" s="18"/>
      <c r="F553" s="18"/>
      <c r="G553" s="18"/>
      <c r="H553" s="18"/>
    </row>
    <row r="554" spans="1:8" s="20" customFormat="1" x14ac:dyDescent="0.2">
      <c r="A554" s="18"/>
      <c r="B554" s="18"/>
      <c r="C554" s="18"/>
      <c r="D554" s="18"/>
      <c r="E554" s="18"/>
      <c r="F554" s="18"/>
      <c r="G554" s="18"/>
      <c r="H554" s="18"/>
    </row>
    <row r="555" spans="1:8" s="20" customFormat="1" x14ac:dyDescent="0.2">
      <c r="A555" s="18"/>
      <c r="B555" s="18"/>
      <c r="C555" s="18"/>
      <c r="D555" s="18"/>
      <c r="E555" s="18"/>
      <c r="F555" s="18"/>
      <c r="G555" s="18"/>
      <c r="H555" s="18"/>
    </row>
    <row r="556" spans="1:8" s="20" customFormat="1" x14ac:dyDescent="0.2">
      <c r="A556" s="18"/>
      <c r="B556" s="18"/>
      <c r="C556" s="18"/>
      <c r="D556" s="18"/>
      <c r="E556" s="18"/>
      <c r="F556" s="18"/>
      <c r="G556" s="18"/>
      <c r="H556" s="18"/>
    </row>
    <row r="557" spans="1:8" s="20" customFormat="1" x14ac:dyDescent="0.2">
      <c r="A557" s="18"/>
      <c r="B557" s="18"/>
      <c r="C557" s="18"/>
      <c r="D557" s="18"/>
      <c r="E557" s="18"/>
      <c r="F557" s="18"/>
      <c r="G557" s="18"/>
      <c r="H557" s="18"/>
    </row>
    <row r="558" spans="1:8" s="20" customFormat="1" x14ac:dyDescent="0.2">
      <c r="A558" s="18"/>
      <c r="B558" s="18"/>
      <c r="C558" s="18"/>
      <c r="D558" s="18"/>
      <c r="E558" s="18"/>
      <c r="F558" s="18"/>
      <c r="G558" s="18"/>
      <c r="H558" s="18"/>
    </row>
    <row r="559" spans="1:8" s="20" customFormat="1" x14ac:dyDescent="0.2">
      <c r="A559" s="18"/>
      <c r="B559" s="18"/>
      <c r="C559" s="18"/>
      <c r="D559" s="18"/>
      <c r="E559" s="18"/>
      <c r="F559" s="18"/>
      <c r="G559" s="18"/>
      <c r="H559" s="18"/>
    </row>
    <row r="560" spans="1:8" s="20" customFormat="1" x14ac:dyDescent="0.2">
      <c r="A560" s="18"/>
      <c r="B560" s="18"/>
      <c r="C560" s="18"/>
      <c r="D560" s="18"/>
      <c r="E560" s="18"/>
      <c r="F560" s="18"/>
      <c r="G560" s="18"/>
      <c r="H560" s="18"/>
    </row>
    <row r="561" spans="1:8" s="20" customFormat="1" x14ac:dyDescent="0.2">
      <c r="A561" s="18"/>
      <c r="B561" s="18"/>
      <c r="C561" s="18"/>
      <c r="D561" s="18"/>
      <c r="E561" s="18"/>
      <c r="F561" s="18"/>
      <c r="G561" s="18"/>
      <c r="H561" s="18"/>
    </row>
    <row r="562" spans="1:8" s="20" customFormat="1" x14ac:dyDescent="0.2">
      <c r="A562" s="18"/>
      <c r="B562" s="18"/>
      <c r="C562" s="18"/>
      <c r="D562" s="18"/>
      <c r="E562" s="18"/>
      <c r="F562" s="18"/>
      <c r="G562" s="18"/>
      <c r="H562" s="18"/>
    </row>
    <row r="563" spans="1:8" s="20" customFormat="1" x14ac:dyDescent="0.2">
      <c r="A563" s="18"/>
      <c r="B563" s="18"/>
      <c r="C563" s="18"/>
      <c r="D563" s="18"/>
      <c r="E563" s="18"/>
      <c r="F563" s="18"/>
      <c r="G563" s="18"/>
      <c r="H563" s="18"/>
    </row>
    <row r="564" spans="1:8" s="20" customFormat="1" x14ac:dyDescent="0.2">
      <c r="A564" s="18"/>
      <c r="B564" s="18"/>
      <c r="C564" s="18"/>
      <c r="D564" s="18"/>
      <c r="E564" s="18"/>
      <c r="F564" s="18"/>
      <c r="G564" s="18"/>
      <c r="H564" s="18"/>
    </row>
    <row r="565" spans="1:8" s="20" customFormat="1" x14ac:dyDescent="0.2">
      <c r="A565" s="18"/>
      <c r="B565" s="18"/>
      <c r="C565" s="18"/>
      <c r="D565" s="18"/>
      <c r="E565" s="18"/>
      <c r="F565" s="18"/>
      <c r="G565" s="18"/>
      <c r="H565" s="18"/>
    </row>
    <row r="566" spans="1:8" s="20" customFormat="1" x14ac:dyDescent="0.2">
      <c r="A566" s="18"/>
      <c r="B566" s="18"/>
      <c r="C566" s="18"/>
      <c r="D566" s="18"/>
      <c r="E566" s="18"/>
      <c r="F566" s="18"/>
      <c r="G566" s="18"/>
      <c r="H566" s="18"/>
    </row>
    <row r="567" spans="1:8" s="20" customFormat="1" x14ac:dyDescent="0.2">
      <c r="A567" s="18"/>
      <c r="B567" s="18"/>
      <c r="C567" s="18"/>
      <c r="D567" s="18"/>
      <c r="E567" s="18"/>
      <c r="F567" s="18"/>
      <c r="G567" s="18"/>
      <c r="H567" s="18"/>
    </row>
    <row r="568" spans="1:8" s="20" customFormat="1" x14ac:dyDescent="0.2">
      <c r="A568" s="18"/>
      <c r="B568" s="18"/>
      <c r="C568" s="18"/>
      <c r="D568" s="18"/>
      <c r="E568" s="18"/>
      <c r="F568" s="18"/>
      <c r="G568" s="18"/>
      <c r="H568" s="18"/>
    </row>
    <row r="569" spans="1:8" s="20" customFormat="1" x14ac:dyDescent="0.2">
      <c r="A569" s="18"/>
      <c r="B569" s="18"/>
      <c r="C569" s="18"/>
      <c r="D569" s="18"/>
      <c r="E569" s="18"/>
      <c r="F569" s="18"/>
      <c r="G569" s="18"/>
      <c r="H569" s="18"/>
    </row>
    <row r="570" spans="1:8" s="20" customFormat="1" x14ac:dyDescent="0.2">
      <c r="A570" s="18"/>
      <c r="B570" s="18"/>
      <c r="C570" s="18"/>
      <c r="D570" s="18"/>
      <c r="E570" s="18"/>
      <c r="F570" s="18"/>
      <c r="G570" s="18"/>
      <c r="H570" s="18"/>
    </row>
    <row r="571" spans="1:8" s="20" customFormat="1" x14ac:dyDescent="0.2">
      <c r="A571" s="18"/>
      <c r="B571" s="18"/>
      <c r="C571" s="18"/>
      <c r="D571" s="18"/>
      <c r="E571" s="18"/>
      <c r="F571" s="18"/>
      <c r="G571" s="18"/>
      <c r="H571" s="18"/>
    </row>
    <row r="572" spans="1:8" s="20" customFormat="1" x14ac:dyDescent="0.2">
      <c r="A572" s="18"/>
      <c r="B572" s="18"/>
      <c r="C572" s="18"/>
      <c r="D572" s="18"/>
      <c r="E572" s="18"/>
      <c r="F572" s="18"/>
      <c r="G572" s="18"/>
      <c r="H572" s="18"/>
    </row>
    <row r="573" spans="1:8" s="20" customFormat="1" x14ac:dyDescent="0.2">
      <c r="A573" s="18"/>
      <c r="B573" s="18"/>
      <c r="C573" s="18"/>
      <c r="D573" s="18"/>
      <c r="E573" s="18"/>
      <c r="F573" s="18"/>
      <c r="G573" s="18"/>
      <c r="H573" s="18"/>
    </row>
    <row r="574" spans="1:8" s="20" customFormat="1" x14ac:dyDescent="0.2">
      <c r="A574" s="18"/>
      <c r="B574" s="18"/>
      <c r="C574" s="18"/>
      <c r="D574" s="18"/>
      <c r="E574" s="18"/>
      <c r="F574" s="18"/>
      <c r="G574" s="18"/>
      <c r="H574" s="18"/>
    </row>
    <row r="575" spans="1:8" s="20" customFormat="1" x14ac:dyDescent="0.2">
      <c r="A575" s="18"/>
      <c r="B575" s="18"/>
      <c r="C575" s="18"/>
      <c r="D575" s="18"/>
      <c r="E575" s="18"/>
      <c r="F575" s="18"/>
      <c r="G575" s="18"/>
      <c r="H575" s="18"/>
    </row>
    <row r="576" spans="1:8" s="20" customFormat="1" x14ac:dyDescent="0.2">
      <c r="A576" s="18"/>
      <c r="B576" s="18"/>
      <c r="C576" s="18"/>
      <c r="D576" s="18"/>
      <c r="E576" s="18"/>
      <c r="F576" s="18"/>
      <c r="G576" s="18"/>
      <c r="H576" s="18"/>
    </row>
    <row r="577" spans="1:8" s="20" customFormat="1" x14ac:dyDescent="0.2">
      <c r="A577" s="18"/>
      <c r="B577" s="18"/>
      <c r="C577" s="18"/>
      <c r="D577" s="18"/>
      <c r="E577" s="18"/>
      <c r="F577" s="18"/>
      <c r="G577" s="18"/>
      <c r="H577" s="18"/>
    </row>
    <row r="578" spans="1:8" s="20" customFormat="1" x14ac:dyDescent="0.2">
      <c r="A578" s="18"/>
      <c r="B578" s="18"/>
      <c r="C578" s="18"/>
      <c r="D578" s="18"/>
      <c r="E578" s="18"/>
      <c r="F578" s="18"/>
      <c r="G578" s="18"/>
      <c r="H578" s="18"/>
    </row>
    <row r="579" spans="1:8" s="20" customFormat="1" x14ac:dyDescent="0.2">
      <c r="A579" s="18"/>
      <c r="B579" s="18"/>
      <c r="C579" s="18"/>
      <c r="D579" s="18"/>
      <c r="E579" s="18"/>
      <c r="F579" s="18"/>
      <c r="G579" s="18"/>
      <c r="H579" s="18"/>
    </row>
    <row r="580" spans="1:8" s="20" customFormat="1" x14ac:dyDescent="0.2">
      <c r="A580" s="18"/>
      <c r="B580" s="18"/>
      <c r="C580" s="18"/>
      <c r="D580" s="18"/>
      <c r="E580" s="18"/>
      <c r="F580" s="18"/>
      <c r="G580" s="18"/>
      <c r="H580" s="18"/>
    </row>
    <row r="581" spans="1:8" s="20" customFormat="1" x14ac:dyDescent="0.2">
      <c r="A581" s="18"/>
      <c r="B581" s="18"/>
      <c r="C581" s="18"/>
      <c r="D581" s="18"/>
      <c r="E581" s="18"/>
      <c r="F581" s="18"/>
      <c r="G581" s="18"/>
      <c r="H581" s="18"/>
    </row>
    <row r="582" spans="1:8" s="20" customFormat="1" x14ac:dyDescent="0.2">
      <c r="A582" s="18"/>
      <c r="B582" s="18"/>
      <c r="C582" s="18"/>
      <c r="D582" s="18"/>
      <c r="E582" s="18"/>
      <c r="F582" s="18"/>
      <c r="G582" s="18"/>
      <c r="H582" s="18"/>
    </row>
    <row r="583" spans="1:8" s="20" customFormat="1" x14ac:dyDescent="0.2">
      <c r="A583" s="18"/>
      <c r="B583" s="18"/>
      <c r="C583" s="18"/>
      <c r="D583" s="18"/>
      <c r="E583" s="18"/>
      <c r="F583" s="18"/>
      <c r="G583" s="18"/>
      <c r="H583" s="18"/>
    </row>
    <row r="584" spans="1:8" s="20" customFormat="1" x14ac:dyDescent="0.2">
      <c r="A584" s="18"/>
      <c r="B584" s="18"/>
      <c r="C584" s="18"/>
      <c r="D584" s="18"/>
      <c r="E584" s="18"/>
      <c r="F584" s="18"/>
      <c r="G584" s="18"/>
      <c r="H584" s="18"/>
    </row>
    <row r="585" spans="1:8" s="20" customFormat="1" x14ac:dyDescent="0.2">
      <c r="A585" s="18"/>
      <c r="B585" s="18"/>
      <c r="C585" s="18"/>
      <c r="D585" s="18"/>
      <c r="E585" s="18"/>
      <c r="F585" s="18"/>
      <c r="G585" s="18"/>
      <c r="H585" s="18"/>
    </row>
    <row r="586" spans="1:8" s="20" customFormat="1" x14ac:dyDescent="0.2">
      <c r="A586" s="18"/>
      <c r="B586" s="18"/>
      <c r="C586" s="18"/>
      <c r="D586" s="18"/>
      <c r="E586" s="18"/>
      <c r="F586" s="18"/>
      <c r="G586" s="18"/>
      <c r="H586" s="18"/>
    </row>
    <row r="587" spans="1:8" s="20" customFormat="1" x14ac:dyDescent="0.2">
      <c r="A587" s="18"/>
      <c r="B587" s="18"/>
      <c r="C587" s="18"/>
      <c r="D587" s="18"/>
      <c r="E587" s="18"/>
      <c r="F587" s="18"/>
      <c r="G587" s="18"/>
      <c r="H587" s="18"/>
    </row>
    <row r="588" spans="1:8" s="20" customFormat="1" x14ac:dyDescent="0.2">
      <c r="A588" s="18"/>
      <c r="B588" s="18"/>
      <c r="C588" s="18"/>
      <c r="D588" s="18"/>
      <c r="E588" s="18"/>
      <c r="F588" s="18"/>
      <c r="G588" s="18"/>
      <c r="H588" s="18"/>
    </row>
    <row r="589" spans="1:8" s="20" customFormat="1" x14ac:dyDescent="0.2">
      <c r="A589" s="18"/>
      <c r="B589" s="18"/>
      <c r="C589" s="18"/>
      <c r="D589" s="18"/>
      <c r="E589" s="18"/>
      <c r="F589" s="18"/>
      <c r="G589" s="18"/>
      <c r="H589" s="18"/>
    </row>
    <row r="590" spans="1:8" s="20" customFormat="1" x14ac:dyDescent="0.2">
      <c r="A590" s="18"/>
      <c r="B590" s="18"/>
      <c r="C590" s="18"/>
      <c r="D590" s="18"/>
      <c r="E590" s="18"/>
      <c r="F590" s="18"/>
      <c r="G590" s="18"/>
      <c r="H590" s="18"/>
    </row>
    <row r="591" spans="1:8" s="20" customFormat="1" x14ac:dyDescent="0.2">
      <c r="A591" s="18"/>
      <c r="B591" s="18"/>
      <c r="C591" s="18"/>
      <c r="D591" s="18"/>
      <c r="E591" s="18"/>
      <c r="F591" s="18"/>
      <c r="G591" s="18"/>
      <c r="H591" s="18"/>
    </row>
    <row r="592" spans="1:8" s="20" customFormat="1" x14ac:dyDescent="0.2">
      <c r="A592" s="18"/>
      <c r="B592" s="18"/>
      <c r="C592" s="18"/>
      <c r="D592" s="18"/>
      <c r="E592" s="18"/>
      <c r="F592" s="18"/>
      <c r="G592" s="18"/>
      <c r="H592" s="18"/>
    </row>
    <row r="593" spans="1:8" s="20" customFormat="1" x14ac:dyDescent="0.2">
      <c r="A593" s="18"/>
      <c r="B593" s="18"/>
      <c r="C593" s="18"/>
      <c r="D593" s="18"/>
      <c r="E593" s="18"/>
      <c r="F593" s="18"/>
      <c r="G593" s="18"/>
      <c r="H593" s="18"/>
    </row>
    <row r="594" spans="1:8" s="20" customFormat="1" x14ac:dyDescent="0.2">
      <c r="A594" s="18"/>
      <c r="B594" s="18"/>
      <c r="C594" s="18"/>
      <c r="D594" s="18"/>
      <c r="E594" s="18"/>
      <c r="F594" s="18"/>
      <c r="G594" s="18"/>
      <c r="H594" s="18"/>
    </row>
    <row r="595" spans="1:8" s="20" customFormat="1" x14ac:dyDescent="0.2">
      <c r="A595" s="18"/>
      <c r="B595" s="18"/>
      <c r="C595" s="18"/>
      <c r="D595" s="18"/>
      <c r="E595" s="18"/>
      <c r="F595" s="18"/>
      <c r="G595" s="18"/>
      <c r="H595" s="18"/>
    </row>
    <row r="596" spans="1:8" s="20" customFormat="1" x14ac:dyDescent="0.2">
      <c r="A596" s="18"/>
      <c r="B596" s="18"/>
      <c r="C596" s="18"/>
      <c r="D596" s="18"/>
      <c r="E596" s="18"/>
      <c r="F596" s="18"/>
      <c r="G596" s="18"/>
      <c r="H596" s="18"/>
    </row>
    <row r="597" spans="1:8" s="20" customFormat="1" x14ac:dyDescent="0.2">
      <c r="A597" s="18"/>
      <c r="B597" s="18"/>
      <c r="C597" s="18"/>
      <c r="D597" s="18"/>
      <c r="E597" s="18"/>
      <c r="F597" s="18"/>
      <c r="G597" s="18"/>
      <c r="H597" s="18"/>
    </row>
    <row r="598" spans="1:8" s="20" customFormat="1" x14ac:dyDescent="0.2">
      <c r="A598" s="18"/>
      <c r="B598" s="18"/>
      <c r="C598" s="18"/>
      <c r="D598" s="18"/>
      <c r="E598" s="18"/>
      <c r="F598" s="18"/>
      <c r="G598" s="18"/>
      <c r="H598" s="18"/>
    </row>
    <row r="599" spans="1:8" s="20" customFormat="1" x14ac:dyDescent="0.2">
      <c r="A599" s="18"/>
      <c r="B599" s="18"/>
      <c r="C599" s="18"/>
      <c r="D599" s="18"/>
      <c r="E599" s="18"/>
      <c r="F599" s="18"/>
      <c r="G599" s="18"/>
      <c r="H599" s="18"/>
    </row>
    <row r="600" spans="1:8" s="20" customFormat="1" x14ac:dyDescent="0.2">
      <c r="A600" s="18"/>
      <c r="B600" s="18"/>
      <c r="C600" s="18"/>
      <c r="D600" s="18"/>
      <c r="E600" s="18"/>
      <c r="F600" s="18"/>
      <c r="G600" s="18"/>
      <c r="H600" s="18"/>
    </row>
    <row r="601" spans="1:8" s="20" customFormat="1" x14ac:dyDescent="0.2">
      <c r="A601" s="18"/>
      <c r="B601" s="18"/>
      <c r="C601" s="18"/>
      <c r="D601" s="18"/>
      <c r="E601" s="18"/>
      <c r="F601" s="18"/>
      <c r="G601" s="18"/>
      <c r="H601" s="18"/>
    </row>
    <row r="602" spans="1:8" s="20" customFormat="1" x14ac:dyDescent="0.2">
      <c r="A602" s="18"/>
      <c r="B602" s="18"/>
      <c r="C602" s="18"/>
      <c r="D602" s="18"/>
      <c r="E602" s="18"/>
      <c r="F602" s="18"/>
      <c r="G602" s="18"/>
      <c r="H602" s="18"/>
    </row>
    <row r="603" spans="1:8" s="20" customFormat="1" x14ac:dyDescent="0.2">
      <c r="A603" s="18"/>
      <c r="B603" s="18"/>
      <c r="C603" s="18"/>
      <c r="D603" s="18"/>
      <c r="E603" s="18"/>
      <c r="F603" s="18"/>
      <c r="G603" s="18"/>
      <c r="H603" s="18"/>
    </row>
    <row r="604" spans="1:8" s="20" customFormat="1" x14ac:dyDescent="0.2">
      <c r="A604" s="18"/>
      <c r="B604" s="18"/>
      <c r="C604" s="18"/>
      <c r="D604" s="18"/>
      <c r="E604" s="18"/>
      <c r="F604" s="18"/>
      <c r="G604" s="18"/>
      <c r="H604" s="18"/>
    </row>
    <row r="605" spans="1:8" s="20" customFormat="1" x14ac:dyDescent="0.2">
      <c r="A605" s="18"/>
      <c r="B605" s="18"/>
      <c r="C605" s="18"/>
      <c r="D605" s="18"/>
      <c r="E605" s="18"/>
      <c r="F605" s="18"/>
      <c r="G605" s="18"/>
      <c r="H605" s="18"/>
    </row>
    <row r="606" spans="1:8" s="20" customFormat="1" x14ac:dyDescent="0.2">
      <c r="A606" s="18"/>
      <c r="B606" s="18"/>
      <c r="C606" s="18"/>
      <c r="D606" s="18"/>
      <c r="E606" s="18"/>
      <c r="F606" s="18"/>
      <c r="G606" s="18"/>
      <c r="H606" s="18"/>
    </row>
    <row r="607" spans="1:8" s="20" customFormat="1" x14ac:dyDescent="0.2">
      <c r="A607" s="18"/>
      <c r="B607" s="18"/>
      <c r="C607" s="18"/>
      <c r="D607" s="18"/>
      <c r="E607" s="18"/>
      <c r="F607" s="18"/>
      <c r="G607" s="18"/>
      <c r="H607" s="18"/>
    </row>
    <row r="608" spans="1:8" s="20" customFormat="1" x14ac:dyDescent="0.2">
      <c r="A608" s="18"/>
      <c r="B608" s="18"/>
      <c r="C608" s="18"/>
      <c r="D608" s="18"/>
      <c r="E608" s="18"/>
      <c r="F608" s="18"/>
      <c r="G608" s="18"/>
      <c r="H608" s="18"/>
    </row>
    <row r="609" spans="1:8" s="20" customFormat="1" x14ac:dyDescent="0.2">
      <c r="A609" s="18"/>
      <c r="B609" s="18"/>
      <c r="C609" s="18"/>
      <c r="D609" s="18"/>
      <c r="E609" s="18"/>
      <c r="F609" s="18"/>
      <c r="G609" s="18"/>
      <c r="H609" s="18"/>
    </row>
    <row r="610" spans="1:8" s="20" customFormat="1" x14ac:dyDescent="0.2">
      <c r="A610" s="18"/>
      <c r="B610" s="18"/>
      <c r="C610" s="18"/>
      <c r="D610" s="18"/>
      <c r="E610" s="18"/>
      <c r="F610" s="18"/>
      <c r="G610" s="18"/>
      <c r="H610" s="18"/>
    </row>
    <row r="611" spans="1:8" s="20" customFormat="1" x14ac:dyDescent="0.2">
      <c r="A611" s="18"/>
      <c r="B611" s="18"/>
      <c r="C611" s="18"/>
      <c r="D611" s="18"/>
      <c r="E611" s="18"/>
      <c r="F611" s="18"/>
      <c r="G611" s="18"/>
      <c r="H611" s="18"/>
    </row>
    <row r="612" spans="1:8" s="20" customFormat="1" x14ac:dyDescent="0.2">
      <c r="A612" s="18"/>
      <c r="B612" s="18"/>
      <c r="C612" s="18"/>
      <c r="D612" s="18"/>
      <c r="E612" s="18"/>
      <c r="F612" s="18"/>
      <c r="G612" s="18"/>
      <c r="H612" s="18"/>
    </row>
    <row r="613" spans="1:8" s="20" customFormat="1" x14ac:dyDescent="0.2">
      <c r="A613" s="18"/>
      <c r="B613" s="18"/>
      <c r="C613" s="18"/>
      <c r="D613" s="18"/>
      <c r="E613" s="18"/>
      <c r="F613" s="18"/>
      <c r="G613" s="18"/>
      <c r="H613" s="18"/>
    </row>
    <row r="614" spans="1:8" s="20" customFormat="1" x14ac:dyDescent="0.2">
      <c r="A614" s="18"/>
      <c r="B614" s="18"/>
      <c r="C614" s="18"/>
      <c r="D614" s="18"/>
      <c r="E614" s="18"/>
      <c r="F614" s="18"/>
      <c r="G614" s="18"/>
      <c r="H614" s="18"/>
    </row>
    <row r="615" spans="1:8" s="20" customFormat="1" x14ac:dyDescent="0.2">
      <c r="A615" s="18"/>
      <c r="B615" s="18"/>
      <c r="C615" s="18"/>
      <c r="D615" s="18"/>
      <c r="E615" s="18"/>
      <c r="F615" s="18"/>
      <c r="G615" s="18"/>
      <c r="H615" s="18"/>
    </row>
    <row r="616" spans="1:8" s="20" customFormat="1" x14ac:dyDescent="0.2">
      <c r="A616" s="18"/>
      <c r="B616" s="18"/>
      <c r="C616" s="18"/>
      <c r="D616" s="18"/>
      <c r="E616" s="18"/>
      <c r="F616" s="18"/>
      <c r="G616" s="18"/>
      <c r="H616" s="18"/>
    </row>
    <row r="617" spans="1:8" s="20" customFormat="1" x14ac:dyDescent="0.2">
      <c r="A617" s="18"/>
      <c r="B617" s="18"/>
      <c r="C617" s="18"/>
      <c r="D617" s="18"/>
      <c r="E617" s="18"/>
      <c r="F617" s="18"/>
      <c r="G617" s="18"/>
      <c r="H617" s="18"/>
    </row>
    <row r="618" spans="1:8" s="20" customFormat="1" x14ac:dyDescent="0.2">
      <c r="A618" s="18"/>
      <c r="B618" s="18"/>
      <c r="C618" s="18"/>
      <c r="D618" s="18"/>
      <c r="E618" s="18"/>
      <c r="F618" s="18"/>
      <c r="G618" s="18"/>
      <c r="H618" s="18"/>
    </row>
    <row r="619" spans="1:8" s="20" customFormat="1" x14ac:dyDescent="0.2">
      <c r="A619" s="18"/>
      <c r="B619" s="18"/>
      <c r="C619" s="18"/>
      <c r="D619" s="18"/>
      <c r="E619" s="18"/>
      <c r="F619" s="18"/>
      <c r="G619" s="18"/>
      <c r="H619" s="18"/>
    </row>
    <row r="620" spans="1:8" s="20" customFormat="1" x14ac:dyDescent="0.2">
      <c r="A620" s="18"/>
      <c r="B620" s="18"/>
      <c r="C620" s="18"/>
      <c r="D620" s="18"/>
      <c r="E620" s="18"/>
      <c r="F620" s="18"/>
      <c r="G620" s="18"/>
      <c r="H620" s="18"/>
    </row>
    <row r="621" spans="1:8" s="20" customFormat="1" x14ac:dyDescent="0.2">
      <c r="A621" s="18"/>
      <c r="B621" s="18"/>
      <c r="C621" s="18"/>
      <c r="D621" s="18"/>
      <c r="E621" s="18"/>
      <c r="F621" s="18"/>
      <c r="G621" s="18"/>
      <c r="H621" s="18"/>
    </row>
    <row r="622" spans="1:8" s="20" customFormat="1" x14ac:dyDescent="0.2">
      <c r="A622" s="18"/>
      <c r="B622" s="18"/>
      <c r="C622" s="18"/>
      <c r="D622" s="18"/>
      <c r="E622" s="18"/>
      <c r="F622" s="18"/>
      <c r="G622" s="18"/>
      <c r="H622" s="18"/>
    </row>
    <row r="623" spans="1:8" s="20" customFormat="1" x14ac:dyDescent="0.2">
      <c r="A623" s="18"/>
      <c r="B623" s="18"/>
      <c r="C623" s="18"/>
      <c r="D623" s="18"/>
      <c r="E623" s="18"/>
      <c r="F623" s="18"/>
      <c r="G623" s="18"/>
      <c r="H623" s="18"/>
    </row>
    <row r="624" spans="1:8" s="20" customFormat="1" x14ac:dyDescent="0.2">
      <c r="A624" s="18"/>
      <c r="B624" s="18"/>
      <c r="C624" s="18"/>
      <c r="D624" s="18"/>
      <c r="E624" s="18"/>
      <c r="F624" s="18"/>
      <c r="G624" s="18"/>
      <c r="H624" s="18"/>
    </row>
    <row r="625" spans="1:8" s="20" customFormat="1" x14ac:dyDescent="0.2">
      <c r="A625" s="18"/>
      <c r="B625" s="18"/>
      <c r="C625" s="18"/>
      <c r="D625" s="18"/>
      <c r="E625" s="18"/>
      <c r="F625" s="18"/>
      <c r="G625" s="18"/>
      <c r="H625" s="18"/>
    </row>
    <row r="626" spans="1:8" s="20" customFormat="1" x14ac:dyDescent="0.2">
      <c r="A626" s="18"/>
      <c r="B626" s="18"/>
      <c r="C626" s="18"/>
      <c r="D626" s="18"/>
      <c r="E626" s="18"/>
      <c r="F626" s="18"/>
      <c r="G626" s="18"/>
      <c r="H626" s="18"/>
    </row>
    <row r="627" spans="1:8" s="20" customFormat="1" x14ac:dyDescent="0.2">
      <c r="A627" s="18"/>
      <c r="B627" s="18"/>
      <c r="C627" s="18"/>
      <c r="D627" s="18"/>
      <c r="E627" s="18"/>
      <c r="F627" s="18"/>
      <c r="G627" s="18"/>
      <c r="H627" s="18"/>
    </row>
    <row r="628" spans="1:8" s="20" customFormat="1" x14ac:dyDescent="0.2">
      <c r="A628" s="18"/>
      <c r="B628" s="18"/>
      <c r="C628" s="18"/>
      <c r="D628" s="18"/>
      <c r="E628" s="18"/>
      <c r="F628" s="18"/>
      <c r="G628" s="18"/>
      <c r="H628" s="18"/>
    </row>
    <row r="629" spans="1:8" s="20" customFormat="1" x14ac:dyDescent="0.2">
      <c r="A629" s="18"/>
      <c r="B629" s="18"/>
      <c r="C629" s="18"/>
      <c r="D629" s="18"/>
      <c r="E629" s="18"/>
      <c r="F629" s="18"/>
      <c r="G629" s="18"/>
      <c r="H629" s="18"/>
    </row>
    <row r="630" spans="1:8" s="20" customFormat="1" x14ac:dyDescent="0.2">
      <c r="A630" s="18"/>
      <c r="B630" s="18"/>
      <c r="C630" s="18"/>
      <c r="D630" s="18"/>
      <c r="E630" s="18"/>
      <c r="F630" s="18"/>
      <c r="G630" s="18"/>
      <c r="H630" s="18"/>
    </row>
    <row r="631" spans="1:8" s="20" customFormat="1" x14ac:dyDescent="0.2">
      <c r="A631" s="18"/>
      <c r="B631" s="18"/>
      <c r="C631" s="18"/>
      <c r="D631" s="18"/>
      <c r="E631" s="18"/>
      <c r="F631" s="18"/>
      <c r="G631" s="18"/>
      <c r="H631" s="18"/>
    </row>
    <row r="632" spans="1:8" s="20" customFormat="1" x14ac:dyDescent="0.2">
      <c r="A632" s="18"/>
      <c r="B632" s="18"/>
      <c r="C632" s="18"/>
      <c r="D632" s="18"/>
      <c r="E632" s="18"/>
      <c r="F632" s="18"/>
      <c r="G632" s="18"/>
      <c r="H632" s="18"/>
    </row>
    <row r="633" spans="1:8" s="20" customFormat="1" x14ac:dyDescent="0.2">
      <c r="A633" s="18"/>
      <c r="B633" s="18"/>
      <c r="C633" s="18"/>
      <c r="D633" s="18"/>
      <c r="E633" s="18"/>
      <c r="F633" s="18"/>
      <c r="G633" s="18"/>
      <c r="H633" s="18"/>
    </row>
    <row r="634" spans="1:8" s="20" customFormat="1" x14ac:dyDescent="0.2">
      <c r="A634" s="18"/>
      <c r="B634" s="18"/>
      <c r="C634" s="18"/>
      <c r="D634" s="18"/>
      <c r="E634" s="18"/>
      <c r="F634" s="18"/>
      <c r="G634" s="18"/>
      <c r="H634" s="18"/>
    </row>
    <row r="635" spans="1:8" s="20" customFormat="1" x14ac:dyDescent="0.2">
      <c r="A635" s="18"/>
      <c r="B635" s="18"/>
      <c r="C635" s="18"/>
      <c r="D635" s="18"/>
      <c r="E635" s="18"/>
      <c r="F635" s="18"/>
      <c r="G635" s="18"/>
      <c r="H635" s="18"/>
    </row>
    <row r="636" spans="1:8" s="20" customFormat="1" x14ac:dyDescent="0.2">
      <c r="A636" s="18"/>
      <c r="B636" s="18"/>
      <c r="C636" s="18"/>
      <c r="D636" s="18"/>
      <c r="E636" s="18"/>
      <c r="F636" s="18"/>
      <c r="G636" s="18"/>
      <c r="H636" s="18"/>
    </row>
    <row r="637" spans="1:8" s="20" customFormat="1" x14ac:dyDescent="0.2">
      <c r="A637" s="18"/>
      <c r="B637" s="18"/>
      <c r="C637" s="18"/>
      <c r="D637" s="18"/>
      <c r="E637" s="18"/>
      <c r="F637" s="18"/>
      <c r="G637" s="18"/>
      <c r="H637" s="18"/>
    </row>
    <row r="638" spans="1:8" s="20" customFormat="1" x14ac:dyDescent="0.2">
      <c r="A638" s="18"/>
      <c r="B638" s="18"/>
      <c r="C638" s="18"/>
      <c r="D638" s="18"/>
      <c r="E638" s="18"/>
      <c r="F638" s="18"/>
      <c r="G638" s="18"/>
      <c r="H638" s="18"/>
    </row>
    <row r="639" spans="1:8" s="20" customFormat="1" x14ac:dyDescent="0.2">
      <c r="A639" s="18"/>
      <c r="B639" s="18"/>
      <c r="C639" s="18"/>
      <c r="D639" s="18"/>
      <c r="E639" s="18"/>
      <c r="F639" s="18"/>
      <c r="G639" s="18"/>
      <c r="H639" s="18"/>
    </row>
    <row r="640" spans="1:8" s="20" customFormat="1" x14ac:dyDescent="0.2">
      <c r="A640" s="18"/>
      <c r="B640" s="18"/>
      <c r="C640" s="18"/>
      <c r="D640" s="18"/>
      <c r="E640" s="18"/>
      <c r="F640" s="18"/>
      <c r="G640" s="18"/>
      <c r="H640" s="18"/>
    </row>
    <row r="641" spans="1:8" s="20" customFormat="1" x14ac:dyDescent="0.2">
      <c r="A641" s="18"/>
      <c r="B641" s="18"/>
      <c r="C641" s="18"/>
      <c r="D641" s="18"/>
      <c r="E641" s="18"/>
      <c r="F641" s="18"/>
      <c r="G641" s="18"/>
      <c r="H641" s="18"/>
    </row>
    <row r="642" spans="1:8" s="20" customFormat="1" x14ac:dyDescent="0.2">
      <c r="A642" s="18"/>
      <c r="B642" s="18"/>
      <c r="C642" s="18"/>
      <c r="D642" s="18"/>
      <c r="E642" s="18"/>
      <c r="F642" s="18"/>
      <c r="G642" s="18"/>
      <c r="H642" s="18"/>
    </row>
    <row r="643" spans="1:8" s="20" customFormat="1" x14ac:dyDescent="0.2">
      <c r="A643" s="18"/>
      <c r="B643" s="18"/>
      <c r="C643" s="18"/>
      <c r="D643" s="18"/>
      <c r="E643" s="18"/>
      <c r="F643" s="18"/>
      <c r="G643" s="18"/>
      <c r="H643" s="18"/>
    </row>
    <row r="644" spans="1:8" s="20" customFormat="1" x14ac:dyDescent="0.2">
      <c r="A644" s="18"/>
      <c r="B644" s="18"/>
      <c r="C644" s="18"/>
      <c r="D644" s="18"/>
      <c r="E644" s="18"/>
      <c r="F644" s="18"/>
      <c r="G644" s="18"/>
      <c r="H644" s="18"/>
    </row>
    <row r="645" spans="1:8" s="20" customFormat="1" x14ac:dyDescent="0.2">
      <c r="A645" s="18"/>
      <c r="B645" s="18"/>
      <c r="C645" s="18"/>
      <c r="D645" s="18"/>
      <c r="E645" s="18"/>
      <c r="F645" s="18"/>
      <c r="G645" s="18"/>
      <c r="H645" s="18"/>
    </row>
    <row r="646" spans="1:8" s="20" customFormat="1" x14ac:dyDescent="0.2">
      <c r="A646" s="18"/>
      <c r="B646" s="18"/>
      <c r="C646" s="18"/>
      <c r="D646" s="18"/>
      <c r="E646" s="18"/>
      <c r="F646" s="18"/>
      <c r="G646" s="18"/>
      <c r="H646" s="18"/>
    </row>
    <row r="647" spans="1:8" s="20" customFormat="1" x14ac:dyDescent="0.2">
      <c r="A647" s="18"/>
      <c r="B647" s="18"/>
      <c r="C647" s="18"/>
      <c r="D647" s="18"/>
      <c r="E647" s="18"/>
      <c r="F647" s="18"/>
      <c r="G647" s="18"/>
      <c r="H647" s="18"/>
    </row>
    <row r="648" spans="1:8" s="20" customFormat="1" x14ac:dyDescent="0.2">
      <c r="A648" s="18"/>
      <c r="B648" s="18"/>
      <c r="C648" s="18"/>
      <c r="D648" s="18"/>
      <c r="E648" s="18"/>
      <c r="F648" s="18"/>
      <c r="G648" s="18"/>
      <c r="H648" s="18"/>
    </row>
    <row r="649" spans="1:8" s="20" customFormat="1" x14ac:dyDescent="0.2">
      <c r="A649" s="18"/>
      <c r="B649" s="18"/>
      <c r="C649" s="18"/>
      <c r="D649" s="18"/>
      <c r="E649" s="18"/>
      <c r="F649" s="18"/>
      <c r="G649" s="18"/>
      <c r="H649" s="18"/>
    </row>
    <row r="650" spans="1:8" s="20" customFormat="1" x14ac:dyDescent="0.2">
      <c r="A650" s="18"/>
      <c r="B650" s="18"/>
      <c r="C650" s="18"/>
      <c r="D650" s="18"/>
      <c r="E650" s="18"/>
      <c r="F650" s="18"/>
      <c r="G650" s="18"/>
      <c r="H650" s="18"/>
    </row>
    <row r="651" spans="1:8" s="20" customFormat="1" x14ac:dyDescent="0.2">
      <c r="A651" s="18"/>
      <c r="B651" s="18"/>
      <c r="C651" s="18"/>
      <c r="D651" s="18"/>
      <c r="E651" s="18"/>
      <c r="F651" s="18"/>
      <c r="G651" s="18"/>
      <c r="H651" s="18"/>
    </row>
    <row r="652" spans="1:8" s="20" customFormat="1" x14ac:dyDescent="0.2">
      <c r="A652" s="18"/>
      <c r="B652" s="18"/>
      <c r="C652" s="18"/>
      <c r="D652" s="18"/>
      <c r="E652" s="18"/>
      <c r="F652" s="18"/>
      <c r="G652" s="18"/>
      <c r="H652" s="18"/>
    </row>
    <row r="653" spans="1:8" s="20" customFormat="1" x14ac:dyDescent="0.2">
      <c r="A653" s="18"/>
      <c r="B653" s="18"/>
      <c r="C653" s="18"/>
      <c r="D653" s="18"/>
      <c r="E653" s="18"/>
      <c r="F653" s="18"/>
      <c r="G653" s="18"/>
      <c r="H653" s="18"/>
    </row>
    <row r="654" spans="1:8" s="20" customFormat="1" x14ac:dyDescent="0.2">
      <c r="A654" s="18"/>
      <c r="B654" s="18"/>
      <c r="C654" s="18"/>
      <c r="D654" s="18"/>
      <c r="E654" s="18"/>
      <c r="F654" s="18"/>
      <c r="G654" s="18"/>
      <c r="H654" s="18"/>
    </row>
    <row r="655" spans="1:8" s="20" customFormat="1" x14ac:dyDescent="0.2">
      <c r="A655" s="18"/>
      <c r="B655" s="18"/>
      <c r="C655" s="18"/>
      <c r="D655" s="18"/>
      <c r="E655" s="18"/>
      <c r="F655" s="18"/>
      <c r="G655" s="18"/>
      <c r="H655" s="18"/>
    </row>
    <row r="656" spans="1:8" s="20" customFormat="1" x14ac:dyDescent="0.2">
      <c r="A656" s="18"/>
      <c r="B656" s="18"/>
      <c r="C656" s="18"/>
      <c r="D656" s="18"/>
      <c r="E656" s="18"/>
      <c r="F656" s="18"/>
      <c r="G656" s="18"/>
      <c r="H656" s="18"/>
    </row>
    <row r="657" spans="1:8" s="20" customFormat="1" x14ac:dyDescent="0.2">
      <c r="A657" s="18"/>
      <c r="B657" s="18"/>
      <c r="C657" s="18"/>
      <c r="D657" s="18"/>
      <c r="E657" s="18"/>
      <c r="F657" s="18"/>
      <c r="G657" s="18"/>
      <c r="H657" s="18"/>
    </row>
    <row r="658" spans="1:8" s="20" customFormat="1" x14ac:dyDescent="0.2">
      <c r="A658" s="18"/>
      <c r="B658" s="18"/>
      <c r="C658" s="18"/>
      <c r="D658" s="18"/>
      <c r="E658" s="18"/>
      <c r="F658" s="18"/>
      <c r="G658" s="18"/>
      <c r="H658" s="18"/>
    </row>
    <row r="659" spans="1:8" s="20" customFormat="1" x14ac:dyDescent="0.2">
      <c r="A659" s="18"/>
      <c r="B659" s="18"/>
      <c r="C659" s="18"/>
      <c r="D659" s="18"/>
      <c r="E659" s="18"/>
      <c r="F659" s="18"/>
      <c r="G659" s="18"/>
      <c r="H659" s="18"/>
    </row>
    <row r="660" spans="1:8" s="20" customFormat="1" x14ac:dyDescent="0.2">
      <c r="A660" s="18"/>
      <c r="B660" s="18"/>
      <c r="C660" s="18"/>
      <c r="D660" s="18"/>
      <c r="E660" s="18"/>
      <c r="F660" s="18"/>
      <c r="G660" s="18"/>
      <c r="H660" s="18"/>
    </row>
    <row r="661" spans="1:8" s="20" customFormat="1" x14ac:dyDescent="0.2">
      <c r="A661" s="18"/>
      <c r="B661" s="18"/>
      <c r="C661" s="18"/>
      <c r="D661" s="18"/>
      <c r="E661" s="18"/>
      <c r="F661" s="18"/>
      <c r="G661" s="18"/>
      <c r="H661" s="18"/>
    </row>
    <row r="662" spans="1:8" s="20" customFormat="1" x14ac:dyDescent="0.2">
      <c r="A662" s="18"/>
      <c r="B662" s="18"/>
      <c r="C662" s="18"/>
      <c r="D662" s="18"/>
      <c r="E662" s="18"/>
      <c r="F662" s="18"/>
      <c r="G662" s="18"/>
      <c r="H662" s="18"/>
    </row>
    <row r="663" spans="1:8" s="20" customFormat="1" x14ac:dyDescent="0.2">
      <c r="A663" s="18"/>
      <c r="B663" s="18"/>
      <c r="C663" s="18"/>
      <c r="D663" s="18"/>
      <c r="E663" s="18"/>
      <c r="F663" s="18"/>
      <c r="G663" s="18"/>
      <c r="H663" s="18"/>
    </row>
    <row r="664" spans="1:8" s="20" customFormat="1" x14ac:dyDescent="0.2">
      <c r="A664" s="18"/>
      <c r="B664" s="18"/>
      <c r="C664" s="18"/>
      <c r="D664" s="18"/>
      <c r="E664" s="18"/>
      <c r="F664" s="18"/>
      <c r="G664" s="18"/>
      <c r="H664" s="18"/>
    </row>
    <row r="665" spans="1:8" s="20" customFormat="1" x14ac:dyDescent="0.2">
      <c r="A665" s="18"/>
      <c r="B665" s="18"/>
      <c r="C665" s="18"/>
      <c r="D665" s="18"/>
      <c r="E665" s="18"/>
      <c r="F665" s="18"/>
      <c r="G665" s="18"/>
      <c r="H665" s="18"/>
    </row>
    <row r="666" spans="1:8" s="20" customFormat="1" x14ac:dyDescent="0.2">
      <c r="A666" s="18"/>
      <c r="B666" s="18"/>
      <c r="C666" s="18"/>
      <c r="D666" s="18"/>
      <c r="E666" s="18"/>
      <c r="F666" s="18"/>
      <c r="G666" s="18"/>
      <c r="H666" s="18"/>
    </row>
    <row r="667" spans="1:8" s="20" customFormat="1" x14ac:dyDescent="0.2">
      <c r="A667" s="18"/>
      <c r="B667" s="18"/>
      <c r="C667" s="18"/>
      <c r="D667" s="18"/>
      <c r="E667" s="18"/>
      <c r="F667" s="18"/>
      <c r="G667" s="18"/>
      <c r="H667" s="18"/>
    </row>
    <row r="668" spans="1:8" s="20" customFormat="1" x14ac:dyDescent="0.2">
      <c r="A668" s="18"/>
      <c r="B668" s="18"/>
      <c r="C668" s="18"/>
      <c r="D668" s="18"/>
      <c r="E668" s="18"/>
      <c r="F668" s="18"/>
      <c r="G668" s="18"/>
      <c r="H668" s="18"/>
    </row>
    <row r="669" spans="1:8" s="20" customFormat="1" x14ac:dyDescent="0.2">
      <c r="A669" s="18"/>
      <c r="B669" s="18"/>
      <c r="C669" s="18"/>
      <c r="D669" s="18"/>
      <c r="E669" s="18"/>
      <c r="F669" s="18"/>
      <c r="G669" s="18"/>
      <c r="H669" s="18"/>
    </row>
    <row r="670" spans="1:8" s="20" customFormat="1" x14ac:dyDescent="0.2">
      <c r="A670" s="18"/>
      <c r="B670" s="18"/>
      <c r="C670" s="18"/>
      <c r="D670" s="18"/>
      <c r="E670" s="18"/>
      <c r="F670" s="18"/>
      <c r="G670" s="18"/>
      <c r="H670" s="18"/>
    </row>
    <row r="671" spans="1:8" s="20" customFormat="1" x14ac:dyDescent="0.2">
      <c r="A671" s="18"/>
      <c r="B671" s="18"/>
      <c r="C671" s="18"/>
      <c r="D671" s="18"/>
      <c r="E671" s="18"/>
      <c r="F671" s="18"/>
      <c r="G671" s="18"/>
      <c r="H671" s="18"/>
    </row>
    <row r="672" spans="1:8" s="20" customFormat="1" x14ac:dyDescent="0.2">
      <c r="A672" s="18"/>
      <c r="B672" s="18"/>
      <c r="C672" s="18"/>
      <c r="D672" s="18"/>
      <c r="E672" s="18"/>
      <c r="F672" s="18"/>
      <c r="G672" s="18"/>
      <c r="H672" s="18"/>
    </row>
    <row r="673" spans="1:8" s="20" customFormat="1" x14ac:dyDescent="0.2">
      <c r="A673" s="18"/>
      <c r="B673" s="18"/>
      <c r="C673" s="18"/>
      <c r="D673" s="18"/>
      <c r="E673" s="18"/>
      <c r="F673" s="18"/>
      <c r="G673" s="18"/>
      <c r="H673" s="18"/>
    </row>
    <row r="674" spans="1:8" s="20" customFormat="1" x14ac:dyDescent="0.2">
      <c r="A674" s="18"/>
      <c r="B674" s="18"/>
      <c r="C674" s="18"/>
      <c r="D674" s="18"/>
      <c r="E674" s="18"/>
      <c r="F674" s="18"/>
      <c r="G674" s="18"/>
      <c r="H674" s="18"/>
    </row>
    <row r="675" spans="1:8" s="20" customFormat="1" x14ac:dyDescent="0.2">
      <c r="A675" s="18"/>
      <c r="B675" s="18"/>
      <c r="C675" s="18"/>
      <c r="D675" s="18"/>
      <c r="E675" s="18"/>
      <c r="F675" s="18"/>
      <c r="G675" s="18"/>
      <c r="H675" s="18"/>
    </row>
    <row r="676" spans="1:8" s="20" customFormat="1" x14ac:dyDescent="0.2">
      <c r="A676" s="18"/>
      <c r="B676" s="18"/>
      <c r="C676" s="18"/>
      <c r="D676" s="18"/>
      <c r="E676" s="18"/>
      <c r="F676" s="18"/>
      <c r="G676" s="18"/>
      <c r="H676" s="18"/>
    </row>
    <row r="677" spans="1:8" s="20" customFormat="1" x14ac:dyDescent="0.2">
      <c r="A677" s="18"/>
      <c r="B677" s="18"/>
      <c r="C677" s="18"/>
      <c r="D677" s="18"/>
      <c r="E677" s="18"/>
      <c r="F677" s="18"/>
      <c r="G677" s="18"/>
      <c r="H677" s="18"/>
    </row>
    <row r="678" spans="1:8" s="20" customFormat="1" x14ac:dyDescent="0.2">
      <c r="A678" s="18"/>
      <c r="B678" s="18"/>
      <c r="C678" s="18"/>
      <c r="D678" s="18"/>
      <c r="E678" s="18"/>
      <c r="F678" s="18"/>
      <c r="G678" s="18"/>
      <c r="H678" s="18"/>
    </row>
    <row r="679" spans="1:8" s="20" customFormat="1" x14ac:dyDescent="0.2">
      <c r="A679" s="18"/>
      <c r="B679" s="18"/>
      <c r="C679" s="18"/>
      <c r="D679" s="18"/>
      <c r="E679" s="18"/>
      <c r="F679" s="18"/>
      <c r="G679" s="18"/>
      <c r="H679" s="18"/>
    </row>
    <row r="680" spans="1:8" s="20" customFormat="1" x14ac:dyDescent="0.2">
      <c r="A680" s="18"/>
      <c r="B680" s="18"/>
      <c r="C680" s="18"/>
      <c r="D680" s="18"/>
      <c r="E680" s="18"/>
      <c r="F680" s="18"/>
      <c r="G680" s="18"/>
      <c r="H680" s="18"/>
    </row>
    <row r="681" spans="1:8" s="20" customFormat="1" x14ac:dyDescent="0.2">
      <c r="A681" s="18"/>
      <c r="B681" s="18"/>
      <c r="C681" s="18"/>
      <c r="D681" s="18"/>
      <c r="E681" s="18"/>
      <c r="F681" s="18"/>
      <c r="G681" s="18"/>
      <c r="H681" s="18"/>
    </row>
    <row r="682" spans="1:8" s="20" customFormat="1" x14ac:dyDescent="0.2">
      <c r="A682" s="18"/>
      <c r="B682" s="18"/>
      <c r="C682" s="18"/>
      <c r="D682" s="18"/>
      <c r="E682" s="18"/>
      <c r="F682" s="18"/>
      <c r="G682" s="18"/>
      <c r="H682" s="18"/>
    </row>
    <row r="683" spans="1:8" s="20" customFormat="1" x14ac:dyDescent="0.2">
      <c r="A683" s="18"/>
      <c r="B683" s="18"/>
      <c r="C683" s="18"/>
      <c r="D683" s="18"/>
      <c r="E683" s="18"/>
      <c r="F683" s="18"/>
      <c r="G683" s="18"/>
      <c r="H683" s="18"/>
    </row>
    <row r="684" spans="1:8" s="20" customFormat="1" x14ac:dyDescent="0.2">
      <c r="A684" s="18"/>
      <c r="B684" s="18"/>
      <c r="C684" s="18"/>
      <c r="D684" s="18"/>
      <c r="E684" s="18"/>
      <c r="F684" s="18"/>
      <c r="G684" s="18"/>
      <c r="H684" s="18"/>
    </row>
    <row r="685" spans="1:8" s="20" customFormat="1" x14ac:dyDescent="0.2">
      <c r="A685" s="18"/>
      <c r="B685" s="18"/>
      <c r="C685" s="18"/>
      <c r="D685" s="18"/>
      <c r="E685" s="18"/>
      <c r="F685" s="18"/>
      <c r="G685" s="18"/>
      <c r="H685" s="18"/>
    </row>
    <row r="686" spans="1:8" s="20" customFormat="1" x14ac:dyDescent="0.2">
      <c r="A686" s="18"/>
      <c r="B686" s="18"/>
      <c r="C686" s="18"/>
      <c r="D686" s="18"/>
      <c r="E686" s="18"/>
      <c r="F686" s="18"/>
      <c r="G686" s="18"/>
      <c r="H686" s="18"/>
    </row>
    <row r="687" spans="1:8" s="20" customFormat="1" x14ac:dyDescent="0.2">
      <c r="A687" s="18"/>
      <c r="B687" s="18"/>
      <c r="C687" s="18"/>
      <c r="D687" s="18"/>
      <c r="E687" s="18"/>
      <c r="F687" s="18"/>
      <c r="G687" s="18"/>
      <c r="H687" s="18"/>
    </row>
    <row r="688" spans="1:8" s="20" customFormat="1" x14ac:dyDescent="0.2">
      <c r="A688" s="18"/>
      <c r="B688" s="18"/>
      <c r="C688" s="18"/>
      <c r="D688" s="18"/>
      <c r="E688" s="18"/>
      <c r="F688" s="18"/>
      <c r="G688" s="18"/>
      <c r="H688" s="18"/>
    </row>
    <row r="689" spans="1:8" s="20" customFormat="1" x14ac:dyDescent="0.2">
      <c r="A689" s="18"/>
      <c r="B689" s="18"/>
      <c r="C689" s="18"/>
      <c r="D689" s="18"/>
      <c r="E689" s="18"/>
      <c r="F689" s="18"/>
      <c r="G689" s="18"/>
      <c r="H689" s="18"/>
    </row>
    <row r="690" spans="1:8" s="20" customFormat="1" x14ac:dyDescent="0.2">
      <c r="A690" s="18"/>
      <c r="B690" s="18"/>
      <c r="C690" s="18"/>
      <c r="D690" s="18"/>
      <c r="E690" s="18"/>
      <c r="F690" s="18"/>
      <c r="G690" s="18"/>
      <c r="H690" s="18"/>
    </row>
    <row r="691" spans="1:8" s="20" customFormat="1" x14ac:dyDescent="0.2">
      <c r="A691" s="18"/>
      <c r="B691" s="18"/>
      <c r="C691" s="18"/>
      <c r="D691" s="18"/>
      <c r="E691" s="18"/>
      <c r="F691" s="18"/>
      <c r="G691" s="18"/>
      <c r="H691" s="18"/>
    </row>
    <row r="692" spans="1:8" s="20" customFormat="1" x14ac:dyDescent="0.2">
      <c r="A692" s="18"/>
      <c r="B692" s="18"/>
      <c r="C692" s="18"/>
      <c r="D692" s="18"/>
      <c r="E692" s="18"/>
      <c r="F692" s="18"/>
      <c r="G692" s="18"/>
      <c r="H692" s="18"/>
    </row>
    <row r="693" spans="1:8" s="20" customFormat="1" x14ac:dyDescent="0.2">
      <c r="A693" s="18"/>
      <c r="B693" s="18"/>
      <c r="C693" s="18"/>
      <c r="D693" s="18"/>
      <c r="E693" s="18"/>
      <c r="F693" s="18"/>
      <c r="G693" s="18"/>
      <c r="H693" s="18"/>
    </row>
    <row r="694" spans="1:8" s="20" customFormat="1" x14ac:dyDescent="0.2">
      <c r="A694" s="18"/>
      <c r="B694" s="18"/>
      <c r="C694" s="18"/>
      <c r="D694" s="18"/>
      <c r="E694" s="18"/>
      <c r="F694" s="18"/>
      <c r="G694" s="18"/>
      <c r="H694" s="18"/>
    </row>
    <row r="695" spans="1:8" s="20" customFormat="1" x14ac:dyDescent="0.2">
      <c r="A695" s="18"/>
      <c r="B695" s="18"/>
      <c r="C695" s="18"/>
      <c r="D695" s="18"/>
      <c r="E695" s="18"/>
      <c r="F695" s="18"/>
      <c r="G695" s="18"/>
      <c r="H695" s="18"/>
    </row>
    <row r="696" spans="1:8" s="20" customFormat="1" x14ac:dyDescent="0.2">
      <c r="A696" s="18"/>
      <c r="B696" s="18"/>
      <c r="C696" s="18"/>
      <c r="D696" s="18"/>
      <c r="E696" s="18"/>
      <c r="F696" s="18"/>
      <c r="G696" s="18"/>
      <c r="H696" s="18"/>
    </row>
    <row r="697" spans="1:8" s="20" customFormat="1" x14ac:dyDescent="0.2">
      <c r="A697" s="18"/>
      <c r="B697" s="18"/>
      <c r="C697" s="18"/>
      <c r="D697" s="18"/>
      <c r="E697" s="18"/>
      <c r="F697" s="18"/>
      <c r="G697" s="18"/>
      <c r="H697" s="18"/>
    </row>
    <row r="698" spans="1:8" s="20" customFormat="1" x14ac:dyDescent="0.2">
      <c r="A698" s="18"/>
      <c r="B698" s="18"/>
      <c r="C698" s="18"/>
      <c r="D698" s="18"/>
      <c r="E698" s="18"/>
      <c r="F698" s="18"/>
      <c r="G698" s="18"/>
      <c r="H698" s="18"/>
    </row>
    <row r="699" spans="1:8" s="20" customFormat="1" x14ac:dyDescent="0.2">
      <c r="A699" s="18"/>
      <c r="B699" s="18"/>
      <c r="C699" s="18"/>
      <c r="D699" s="18"/>
      <c r="E699" s="18"/>
      <c r="F699" s="18"/>
      <c r="G699" s="18"/>
      <c r="H699" s="18"/>
    </row>
    <row r="700" spans="1:8" s="20" customFormat="1" x14ac:dyDescent="0.2">
      <c r="A700" s="18"/>
      <c r="B700" s="18"/>
      <c r="C700" s="18"/>
      <c r="D700" s="18"/>
      <c r="E700" s="18"/>
      <c r="F700" s="18"/>
      <c r="G700" s="18"/>
      <c r="H700" s="18"/>
    </row>
    <row r="701" spans="1:8" s="20" customFormat="1" x14ac:dyDescent="0.2">
      <c r="A701" s="18"/>
      <c r="B701" s="18"/>
      <c r="C701" s="18"/>
      <c r="D701" s="18"/>
      <c r="E701" s="18"/>
      <c r="F701" s="18"/>
      <c r="G701" s="18"/>
      <c r="H701" s="18"/>
    </row>
    <row r="702" spans="1:8" s="20" customFormat="1" x14ac:dyDescent="0.2">
      <c r="A702" s="18"/>
      <c r="B702" s="18"/>
      <c r="C702" s="18"/>
      <c r="D702" s="18"/>
      <c r="E702" s="18"/>
      <c r="F702" s="18"/>
      <c r="G702" s="18"/>
      <c r="H702" s="18"/>
    </row>
    <row r="703" spans="1:8" s="20" customFormat="1" x14ac:dyDescent="0.2">
      <c r="A703" s="18"/>
      <c r="B703" s="18"/>
      <c r="C703" s="18"/>
      <c r="D703" s="18"/>
      <c r="E703" s="18"/>
      <c r="F703" s="18"/>
      <c r="G703" s="18"/>
      <c r="H703" s="18"/>
    </row>
    <row r="704" spans="1:8" s="20" customFormat="1" x14ac:dyDescent="0.2">
      <c r="A704" s="18"/>
      <c r="B704" s="18"/>
      <c r="C704" s="18"/>
      <c r="D704" s="18"/>
      <c r="E704" s="18"/>
      <c r="F704" s="18"/>
      <c r="G704" s="18"/>
      <c r="H704" s="18"/>
    </row>
    <row r="705" spans="1:8" s="20" customFormat="1" x14ac:dyDescent="0.2">
      <c r="A705" s="18"/>
      <c r="B705" s="18"/>
      <c r="C705" s="18"/>
      <c r="D705" s="18"/>
      <c r="E705" s="18"/>
      <c r="F705" s="18"/>
      <c r="G705" s="18"/>
      <c r="H705" s="18"/>
    </row>
    <row r="706" spans="1:8" s="20" customFormat="1" x14ac:dyDescent="0.2">
      <c r="A706" s="18"/>
      <c r="B706" s="18"/>
      <c r="C706" s="18"/>
      <c r="D706" s="18"/>
      <c r="E706" s="18"/>
      <c r="F706" s="18"/>
      <c r="G706" s="18"/>
      <c r="H706" s="18"/>
    </row>
    <row r="707" spans="1:8" s="20" customFormat="1" x14ac:dyDescent="0.2">
      <c r="A707" s="18"/>
      <c r="B707" s="18"/>
      <c r="C707" s="18"/>
      <c r="D707" s="18"/>
      <c r="E707" s="18"/>
      <c r="F707" s="18"/>
      <c r="G707" s="18"/>
      <c r="H707" s="18"/>
    </row>
    <row r="708" spans="1:8" s="20" customFormat="1" x14ac:dyDescent="0.2">
      <c r="A708" s="18"/>
      <c r="B708" s="18"/>
      <c r="C708" s="18"/>
      <c r="D708" s="18"/>
      <c r="E708" s="18"/>
      <c r="F708" s="18"/>
      <c r="G708" s="18"/>
      <c r="H708" s="18"/>
    </row>
    <row r="709" spans="1:8" s="20" customFormat="1" x14ac:dyDescent="0.2">
      <c r="A709" s="18"/>
      <c r="B709" s="18"/>
      <c r="C709" s="18"/>
      <c r="D709" s="18"/>
      <c r="E709" s="18"/>
      <c r="F709" s="18"/>
      <c r="G709" s="18"/>
      <c r="H709" s="18"/>
    </row>
    <row r="710" spans="1:8" s="20" customFormat="1" x14ac:dyDescent="0.2">
      <c r="A710" s="18"/>
      <c r="B710" s="18"/>
      <c r="C710" s="18"/>
      <c r="D710" s="18"/>
      <c r="E710" s="18"/>
      <c r="F710" s="18"/>
      <c r="G710" s="18"/>
      <c r="H710" s="18"/>
    </row>
    <row r="711" spans="1:8" s="20" customFormat="1" x14ac:dyDescent="0.2">
      <c r="A711" s="18"/>
      <c r="B711" s="18"/>
      <c r="C711" s="18"/>
      <c r="D711" s="18"/>
      <c r="E711" s="18"/>
      <c r="F711" s="18"/>
      <c r="G711" s="18"/>
      <c r="H711" s="18"/>
    </row>
    <row r="712" spans="1:8" s="20" customFormat="1" x14ac:dyDescent="0.2">
      <c r="A712" s="18"/>
      <c r="B712" s="18"/>
      <c r="C712" s="18"/>
      <c r="D712" s="18"/>
      <c r="E712" s="18"/>
      <c r="F712" s="18"/>
      <c r="G712" s="18"/>
      <c r="H712" s="18"/>
    </row>
    <row r="713" spans="1:8" s="20" customFormat="1" x14ac:dyDescent="0.2">
      <c r="A713" s="18"/>
      <c r="B713" s="18"/>
      <c r="C713" s="18"/>
      <c r="D713" s="18"/>
      <c r="E713" s="18"/>
      <c r="F713" s="18"/>
      <c r="G713" s="18"/>
      <c r="H713" s="18"/>
    </row>
    <row r="714" spans="1:8" s="20" customFormat="1" x14ac:dyDescent="0.2">
      <c r="A714" s="18"/>
      <c r="B714" s="18"/>
      <c r="C714" s="18"/>
      <c r="D714" s="18"/>
      <c r="E714" s="18"/>
      <c r="F714" s="18"/>
      <c r="G714" s="18"/>
      <c r="H714" s="18"/>
    </row>
    <row r="715" spans="1:8" s="20" customFormat="1" x14ac:dyDescent="0.2">
      <c r="A715" s="18"/>
      <c r="B715" s="18"/>
      <c r="C715" s="18"/>
      <c r="D715" s="18"/>
      <c r="E715" s="18"/>
      <c r="F715" s="18"/>
      <c r="G715" s="18"/>
      <c r="H715" s="18"/>
    </row>
    <row r="716" spans="1:8" s="20" customFormat="1" x14ac:dyDescent="0.2">
      <c r="A716" s="18"/>
      <c r="B716" s="18"/>
      <c r="C716" s="18"/>
      <c r="D716" s="18"/>
      <c r="E716" s="18"/>
      <c r="F716" s="18"/>
      <c r="G716" s="18"/>
      <c r="H716" s="18"/>
    </row>
    <row r="717" spans="1:8" s="20" customFormat="1" x14ac:dyDescent="0.2">
      <c r="A717" s="18"/>
      <c r="B717" s="18"/>
      <c r="C717" s="18"/>
      <c r="D717" s="18"/>
      <c r="E717" s="18"/>
      <c r="F717" s="18"/>
      <c r="G717" s="18"/>
      <c r="H717" s="18"/>
    </row>
    <row r="718" spans="1:8" s="20" customFormat="1" x14ac:dyDescent="0.2">
      <c r="A718" s="18"/>
      <c r="B718" s="18"/>
      <c r="C718" s="18"/>
      <c r="D718" s="18"/>
      <c r="E718" s="18"/>
      <c r="F718" s="18"/>
      <c r="G718" s="18"/>
      <c r="H718" s="18"/>
    </row>
    <row r="719" spans="1:8" s="20" customFormat="1" x14ac:dyDescent="0.2">
      <c r="A719" s="18"/>
      <c r="B719" s="18"/>
      <c r="C719" s="18"/>
      <c r="D719" s="18"/>
      <c r="E719" s="18"/>
      <c r="F719" s="18"/>
      <c r="G719" s="18"/>
      <c r="H719" s="18"/>
    </row>
    <row r="720" spans="1:8" s="20" customFormat="1" x14ac:dyDescent="0.2">
      <c r="A720" s="18"/>
      <c r="B720" s="18"/>
      <c r="C720" s="18"/>
      <c r="D720" s="18"/>
      <c r="E720" s="18"/>
      <c r="F720" s="18"/>
      <c r="G720" s="18"/>
      <c r="H720" s="18"/>
    </row>
    <row r="721" spans="1:8" s="20" customFormat="1" x14ac:dyDescent="0.2">
      <c r="A721" s="18"/>
      <c r="B721" s="18"/>
      <c r="C721" s="18"/>
      <c r="D721" s="18"/>
      <c r="E721" s="18"/>
      <c r="F721" s="18"/>
      <c r="G721" s="18"/>
      <c r="H721" s="18"/>
    </row>
    <row r="722" spans="1:8" s="20" customFormat="1" x14ac:dyDescent="0.2">
      <c r="A722" s="18"/>
      <c r="B722" s="18"/>
      <c r="C722" s="18"/>
      <c r="D722" s="18"/>
      <c r="E722" s="18"/>
      <c r="F722" s="18"/>
      <c r="G722" s="18"/>
      <c r="H722" s="18"/>
    </row>
    <row r="723" spans="1:8" s="20" customFormat="1" x14ac:dyDescent="0.2">
      <c r="A723" s="18"/>
      <c r="B723" s="18"/>
      <c r="C723" s="18"/>
      <c r="D723" s="18"/>
      <c r="E723" s="18"/>
      <c r="F723" s="18"/>
      <c r="G723" s="18"/>
      <c r="H723" s="18"/>
    </row>
    <row r="724" spans="1:8" s="20" customFormat="1" x14ac:dyDescent="0.2">
      <c r="A724" s="18"/>
      <c r="B724" s="18"/>
      <c r="C724" s="18"/>
      <c r="D724" s="18"/>
      <c r="E724" s="18"/>
      <c r="F724" s="18"/>
      <c r="G724" s="18"/>
      <c r="H724" s="18"/>
    </row>
    <row r="725" spans="1:8" s="20" customFormat="1" x14ac:dyDescent="0.2">
      <c r="A725" s="18"/>
      <c r="B725" s="18"/>
      <c r="C725" s="18"/>
      <c r="D725" s="18"/>
      <c r="E725" s="18"/>
      <c r="F725" s="18"/>
      <c r="G725" s="18"/>
      <c r="H725" s="18"/>
    </row>
    <row r="726" spans="1:8" s="20" customFormat="1" x14ac:dyDescent="0.2">
      <c r="A726" s="18"/>
      <c r="B726" s="18"/>
      <c r="C726" s="18"/>
      <c r="D726" s="18"/>
      <c r="E726" s="18"/>
      <c r="F726" s="18"/>
      <c r="G726" s="18"/>
      <c r="H726" s="18"/>
    </row>
    <row r="727" spans="1:8" s="20" customFormat="1" x14ac:dyDescent="0.2">
      <c r="A727" s="18"/>
      <c r="B727" s="18"/>
      <c r="C727" s="18"/>
      <c r="D727" s="18"/>
      <c r="E727" s="18"/>
      <c r="F727" s="18"/>
      <c r="G727" s="18"/>
      <c r="H727" s="18"/>
    </row>
    <row r="728" spans="1:8" s="20" customFormat="1" x14ac:dyDescent="0.2">
      <c r="A728" s="18"/>
      <c r="B728" s="18"/>
      <c r="C728" s="18"/>
      <c r="D728" s="18"/>
      <c r="E728" s="18"/>
      <c r="F728" s="18"/>
      <c r="G728" s="18"/>
      <c r="H728" s="18"/>
    </row>
    <row r="729" spans="1:8" s="20" customFormat="1" x14ac:dyDescent="0.2">
      <c r="A729" s="18"/>
      <c r="B729" s="18"/>
      <c r="C729" s="18"/>
      <c r="D729" s="18"/>
      <c r="E729" s="18"/>
      <c r="F729" s="18"/>
      <c r="G729" s="18"/>
      <c r="H729" s="18"/>
    </row>
    <row r="730" spans="1:8" s="20" customFormat="1" x14ac:dyDescent="0.2">
      <c r="A730" s="18"/>
      <c r="B730" s="18"/>
      <c r="C730" s="18"/>
      <c r="D730" s="18"/>
      <c r="E730" s="18"/>
      <c r="F730" s="18"/>
      <c r="G730" s="18"/>
      <c r="H730" s="18"/>
    </row>
    <row r="731" spans="1:8" s="20" customFormat="1" x14ac:dyDescent="0.2">
      <c r="A731" s="18"/>
      <c r="B731" s="18"/>
      <c r="C731" s="18"/>
      <c r="D731" s="18"/>
      <c r="E731" s="18"/>
      <c r="F731" s="18"/>
      <c r="G731" s="18"/>
      <c r="H731" s="18"/>
    </row>
    <row r="732" spans="1:8" s="20" customFormat="1" x14ac:dyDescent="0.2">
      <c r="A732" s="18"/>
      <c r="B732" s="18"/>
      <c r="C732" s="18"/>
      <c r="D732" s="18"/>
      <c r="E732" s="18"/>
      <c r="F732" s="18"/>
      <c r="G732" s="18"/>
      <c r="H732" s="18"/>
    </row>
    <row r="733" spans="1:8" s="20" customFormat="1" x14ac:dyDescent="0.2">
      <c r="A733" s="18"/>
      <c r="B733" s="18"/>
      <c r="C733" s="18"/>
      <c r="D733" s="18"/>
      <c r="E733" s="18"/>
      <c r="F733" s="18"/>
      <c r="G733" s="18"/>
      <c r="H733" s="18"/>
    </row>
    <row r="734" spans="1:8" s="20" customFormat="1" x14ac:dyDescent="0.2">
      <c r="A734" s="18"/>
      <c r="B734" s="18"/>
      <c r="C734" s="18"/>
      <c r="D734" s="18"/>
      <c r="E734" s="18"/>
      <c r="F734" s="18"/>
      <c r="G734" s="18"/>
      <c r="H734" s="18"/>
    </row>
    <row r="735" spans="1:8" s="20" customFormat="1" x14ac:dyDescent="0.2">
      <c r="A735" s="18"/>
      <c r="B735" s="18"/>
      <c r="C735" s="18"/>
      <c r="D735" s="18"/>
      <c r="E735" s="18"/>
      <c r="F735" s="18"/>
      <c r="G735" s="18"/>
      <c r="H735" s="18"/>
    </row>
    <row r="736" spans="1:8" s="20" customFormat="1" x14ac:dyDescent="0.2">
      <c r="A736" s="18"/>
      <c r="B736" s="18"/>
      <c r="C736" s="18"/>
      <c r="D736" s="18"/>
      <c r="E736" s="18"/>
      <c r="F736" s="18"/>
      <c r="G736" s="18"/>
      <c r="H736" s="18"/>
    </row>
    <row r="737" spans="1:8" s="20" customFormat="1" x14ac:dyDescent="0.2">
      <c r="A737" s="18"/>
      <c r="B737" s="18"/>
      <c r="C737" s="18"/>
      <c r="D737" s="18"/>
      <c r="E737" s="18"/>
      <c r="F737" s="18"/>
      <c r="G737" s="18"/>
      <c r="H737" s="18"/>
    </row>
    <row r="738" spans="1:8" s="20" customFormat="1" x14ac:dyDescent="0.2">
      <c r="A738" s="18"/>
      <c r="B738" s="18"/>
      <c r="C738" s="18"/>
      <c r="D738" s="18"/>
      <c r="E738" s="18"/>
      <c r="F738" s="18"/>
      <c r="G738" s="18"/>
      <c r="H738" s="18"/>
    </row>
    <row r="739" spans="1:8" s="20" customFormat="1" x14ac:dyDescent="0.2">
      <c r="A739" s="18"/>
      <c r="B739" s="18"/>
      <c r="C739" s="18"/>
      <c r="D739" s="18"/>
      <c r="E739" s="18"/>
      <c r="F739" s="18"/>
      <c r="G739" s="18"/>
      <c r="H739" s="18"/>
    </row>
    <row r="740" spans="1:8" s="20" customFormat="1" x14ac:dyDescent="0.2">
      <c r="A740" s="18"/>
      <c r="B740" s="18"/>
      <c r="C740" s="18"/>
      <c r="D740" s="18"/>
      <c r="E740" s="18"/>
      <c r="F740" s="18"/>
      <c r="G740" s="18"/>
      <c r="H740" s="18"/>
    </row>
    <row r="741" spans="1:8" s="20" customFormat="1" x14ac:dyDescent="0.2">
      <c r="A741" s="18"/>
      <c r="B741" s="18"/>
      <c r="C741" s="18"/>
      <c r="D741" s="18"/>
      <c r="E741" s="18"/>
      <c r="F741" s="18"/>
      <c r="G741" s="18"/>
      <c r="H741" s="18"/>
    </row>
    <row r="742" spans="1:8" s="20" customFormat="1" x14ac:dyDescent="0.2">
      <c r="A742" s="18"/>
      <c r="B742" s="18"/>
      <c r="C742" s="18"/>
      <c r="D742" s="18"/>
      <c r="E742" s="18"/>
      <c r="F742" s="18"/>
      <c r="G742" s="18"/>
      <c r="H742" s="18"/>
    </row>
    <row r="743" spans="1:8" s="20" customFormat="1" x14ac:dyDescent="0.2">
      <c r="A743" s="18"/>
      <c r="B743" s="18"/>
      <c r="C743" s="18"/>
      <c r="D743" s="18"/>
      <c r="E743" s="18"/>
      <c r="F743" s="18"/>
      <c r="G743" s="18"/>
      <c r="H743" s="18"/>
    </row>
    <row r="744" spans="1:8" s="20" customFormat="1" x14ac:dyDescent="0.2">
      <c r="A744" s="18"/>
      <c r="B744" s="18"/>
      <c r="C744" s="18"/>
      <c r="D744" s="18"/>
      <c r="E744" s="18"/>
      <c r="F744" s="18"/>
      <c r="G744" s="18"/>
      <c r="H744" s="18"/>
    </row>
    <row r="745" spans="1:8" s="20" customFormat="1" x14ac:dyDescent="0.2">
      <c r="A745" s="18"/>
      <c r="B745" s="18"/>
      <c r="C745" s="18"/>
      <c r="D745" s="18"/>
      <c r="E745" s="18"/>
      <c r="F745" s="18"/>
      <c r="G745" s="18"/>
      <c r="H745" s="18"/>
    </row>
    <row r="746" spans="1:8" s="20" customFormat="1" x14ac:dyDescent="0.2">
      <c r="A746" s="18"/>
      <c r="B746" s="18"/>
      <c r="C746" s="18"/>
      <c r="D746" s="18"/>
      <c r="E746" s="18"/>
      <c r="F746" s="18"/>
      <c r="G746" s="18"/>
      <c r="H746" s="18"/>
    </row>
    <row r="747" spans="1:8" s="20" customFormat="1" x14ac:dyDescent="0.2">
      <c r="A747" s="18"/>
      <c r="B747" s="18"/>
      <c r="C747" s="18"/>
      <c r="D747" s="18"/>
      <c r="E747" s="18"/>
      <c r="F747" s="18"/>
      <c r="G747" s="18"/>
      <c r="H747" s="18"/>
    </row>
    <row r="748" spans="1:8" s="20" customFormat="1" x14ac:dyDescent="0.2">
      <c r="A748" s="18"/>
      <c r="B748" s="18"/>
      <c r="C748" s="18"/>
      <c r="D748" s="18"/>
      <c r="E748" s="18"/>
      <c r="F748" s="18"/>
      <c r="G748" s="18"/>
      <c r="H748" s="18"/>
    </row>
    <row r="749" spans="1:8" s="20" customFormat="1" x14ac:dyDescent="0.2">
      <c r="A749" s="18"/>
      <c r="B749" s="18"/>
      <c r="C749" s="18"/>
      <c r="D749" s="18"/>
      <c r="E749" s="18"/>
      <c r="F749" s="18"/>
      <c r="G749" s="18"/>
      <c r="H749" s="18"/>
    </row>
    <row r="750" spans="1:8" s="20" customFormat="1" x14ac:dyDescent="0.2">
      <c r="A750" s="18"/>
      <c r="B750" s="18"/>
      <c r="C750" s="18"/>
      <c r="D750" s="18"/>
      <c r="E750" s="18"/>
      <c r="F750" s="18"/>
      <c r="G750" s="18"/>
      <c r="H750" s="18"/>
    </row>
    <row r="751" spans="1:8" s="20" customFormat="1" x14ac:dyDescent="0.2">
      <c r="A751" s="18"/>
      <c r="B751" s="18"/>
      <c r="C751" s="18"/>
      <c r="D751" s="18"/>
      <c r="E751" s="18"/>
      <c r="F751" s="18"/>
      <c r="G751" s="18"/>
      <c r="H751" s="18"/>
    </row>
    <row r="752" spans="1:8" s="20" customFormat="1" x14ac:dyDescent="0.2">
      <c r="A752" s="18"/>
      <c r="B752" s="18"/>
      <c r="C752" s="18"/>
      <c r="D752" s="18"/>
      <c r="E752" s="18"/>
      <c r="F752" s="18"/>
      <c r="G752" s="18"/>
      <c r="H752" s="18"/>
    </row>
    <row r="753" spans="1:8" s="20" customFormat="1" x14ac:dyDescent="0.2">
      <c r="A753" s="18"/>
      <c r="B753" s="18"/>
      <c r="C753" s="18"/>
      <c r="D753" s="18"/>
      <c r="E753" s="18"/>
      <c r="F753" s="18"/>
      <c r="G753" s="18"/>
      <c r="H753" s="18"/>
    </row>
    <row r="754" spans="1:8" s="20" customFormat="1" x14ac:dyDescent="0.2">
      <c r="A754" s="18"/>
      <c r="B754" s="18"/>
      <c r="C754" s="18"/>
      <c r="D754" s="18"/>
      <c r="E754" s="18"/>
      <c r="F754" s="18"/>
      <c r="G754" s="18"/>
      <c r="H754" s="18"/>
    </row>
    <row r="755" spans="1:8" s="20" customFormat="1" x14ac:dyDescent="0.2">
      <c r="A755" s="18"/>
      <c r="B755" s="18"/>
      <c r="C755" s="18"/>
      <c r="D755" s="18"/>
      <c r="E755" s="18"/>
      <c r="F755" s="18"/>
      <c r="G755" s="18"/>
      <c r="H755" s="18"/>
    </row>
    <row r="756" spans="1:8" s="20" customFormat="1" x14ac:dyDescent="0.2">
      <c r="A756" s="18"/>
      <c r="B756" s="18"/>
      <c r="C756" s="18"/>
      <c r="D756" s="18"/>
      <c r="E756" s="18"/>
      <c r="F756" s="18"/>
      <c r="G756" s="18"/>
      <c r="H756" s="18"/>
    </row>
    <row r="757" spans="1:8" s="20" customFormat="1" x14ac:dyDescent="0.2">
      <c r="A757" s="18"/>
      <c r="B757" s="18"/>
      <c r="C757" s="18"/>
      <c r="D757" s="18"/>
      <c r="E757" s="18"/>
      <c r="F757" s="18"/>
      <c r="G757" s="18"/>
      <c r="H757" s="18"/>
    </row>
    <row r="758" spans="1:8" s="20" customFormat="1" x14ac:dyDescent="0.2">
      <c r="A758" s="18"/>
      <c r="B758" s="18"/>
      <c r="C758" s="18"/>
      <c r="D758" s="18"/>
      <c r="E758" s="18"/>
      <c r="F758" s="18"/>
      <c r="G758" s="18"/>
      <c r="H758" s="18"/>
    </row>
    <row r="759" spans="1:8" s="20" customFormat="1" x14ac:dyDescent="0.2">
      <c r="A759" s="18"/>
      <c r="B759" s="18"/>
      <c r="C759" s="18"/>
      <c r="D759" s="18"/>
      <c r="E759" s="18"/>
      <c r="F759" s="18"/>
      <c r="G759" s="18"/>
      <c r="H759" s="18"/>
    </row>
    <row r="760" spans="1:8" s="20" customFormat="1" x14ac:dyDescent="0.2"/>
    <row r="761" spans="1:8" s="20" customFormat="1" x14ac:dyDescent="0.2"/>
    <row r="762" spans="1:8" s="20" customFormat="1" x14ac:dyDescent="0.2"/>
    <row r="763" spans="1:8" s="20" customFormat="1" x14ac:dyDescent="0.2"/>
    <row r="764" spans="1:8" s="20" customFormat="1" x14ac:dyDescent="0.2"/>
    <row r="765" spans="1:8" s="20" customFormat="1" x14ac:dyDescent="0.2"/>
    <row r="766" spans="1:8" s="20" customFormat="1" x14ac:dyDescent="0.2"/>
    <row r="767" spans="1:8" s="20" customFormat="1" x14ac:dyDescent="0.2"/>
    <row r="768" spans="1:8" s="20" customFormat="1" x14ac:dyDescent="0.2"/>
    <row r="769" s="20" customFormat="1" x14ac:dyDescent="0.2"/>
    <row r="770" s="20" customFormat="1" x14ac:dyDescent="0.2"/>
    <row r="771" s="20" customFormat="1" x14ac:dyDescent="0.2"/>
    <row r="772" s="20" customFormat="1" x14ac:dyDescent="0.2"/>
    <row r="773" s="20" customFormat="1" x14ac:dyDescent="0.2"/>
    <row r="774" s="20" customFormat="1" x14ac:dyDescent="0.2"/>
    <row r="775" s="20" customFormat="1" x14ac:dyDescent="0.2"/>
    <row r="776" s="20" customFormat="1" x14ac:dyDescent="0.2"/>
    <row r="777" s="20" customFormat="1" x14ac:dyDescent="0.2"/>
    <row r="778" s="20" customFormat="1" x14ac:dyDescent="0.2"/>
    <row r="779" s="20" customFormat="1" x14ac:dyDescent="0.2"/>
    <row r="780" s="20" customFormat="1" x14ac:dyDescent="0.2"/>
    <row r="781" s="20" customFormat="1" x14ac:dyDescent="0.2"/>
    <row r="782" s="20" customFormat="1" x14ac:dyDescent="0.2"/>
    <row r="783" s="20" customFormat="1" x14ac:dyDescent="0.2"/>
    <row r="784" s="20" customFormat="1" x14ac:dyDescent="0.2"/>
    <row r="785" s="20" customFormat="1" x14ac:dyDescent="0.2"/>
    <row r="786" s="20" customFormat="1" x14ac:dyDescent="0.2"/>
    <row r="787" s="20" customFormat="1" x14ac:dyDescent="0.2"/>
    <row r="788" s="20" customFormat="1" x14ac:dyDescent="0.2"/>
    <row r="789" s="20" customFormat="1" x14ac:dyDescent="0.2"/>
    <row r="790" s="20" customFormat="1" x14ac:dyDescent="0.2"/>
    <row r="791" s="20" customFormat="1" x14ac:dyDescent="0.2"/>
    <row r="792" s="20" customFormat="1" x14ac:dyDescent="0.2"/>
    <row r="793" s="20" customFormat="1" x14ac:dyDescent="0.2"/>
    <row r="794" s="20" customFormat="1" x14ac:dyDescent="0.2"/>
    <row r="795" s="20" customFormat="1" x14ac:dyDescent="0.2"/>
    <row r="796" s="20" customFormat="1" x14ac:dyDescent="0.2"/>
    <row r="797" s="20" customFormat="1" x14ac:dyDescent="0.2"/>
    <row r="798" s="20" customFormat="1" x14ac:dyDescent="0.2"/>
    <row r="799" s="20" customFormat="1" x14ac:dyDescent="0.2"/>
    <row r="800" s="20" customFormat="1" x14ac:dyDescent="0.2"/>
    <row r="801" s="20" customFormat="1" x14ac:dyDescent="0.2"/>
    <row r="802" s="20" customFormat="1" x14ac:dyDescent="0.2"/>
    <row r="803" s="20" customFormat="1" x14ac:dyDescent="0.2"/>
    <row r="804" s="20" customFormat="1" x14ac:dyDescent="0.2"/>
    <row r="805" s="20" customFormat="1" x14ac:dyDescent="0.2"/>
    <row r="806" s="20" customFormat="1" x14ac:dyDescent="0.2"/>
    <row r="807" s="20" customFormat="1" x14ac:dyDescent="0.2"/>
    <row r="808" s="20" customFormat="1" x14ac:dyDescent="0.2"/>
    <row r="809" s="20" customFormat="1" x14ac:dyDescent="0.2"/>
    <row r="810" s="20" customFormat="1" x14ac:dyDescent="0.2"/>
    <row r="811" s="20" customFormat="1" x14ac:dyDescent="0.2"/>
    <row r="812" s="20" customFormat="1" x14ac:dyDescent="0.2"/>
    <row r="813" s="20" customFormat="1" x14ac:dyDescent="0.2"/>
    <row r="814" s="20" customFormat="1" x14ac:dyDescent="0.2"/>
    <row r="815" s="20" customFormat="1" x14ac:dyDescent="0.2"/>
    <row r="816" s="20" customFormat="1" x14ac:dyDescent="0.2"/>
    <row r="817" s="20" customFormat="1" x14ac:dyDescent="0.2"/>
    <row r="818" s="20" customFormat="1" x14ac:dyDescent="0.2"/>
    <row r="819" s="20" customFormat="1" x14ac:dyDescent="0.2"/>
    <row r="820" s="20" customFormat="1" x14ac:dyDescent="0.2"/>
    <row r="821" s="20" customFormat="1" x14ac:dyDescent="0.2"/>
    <row r="822" s="20" customFormat="1" x14ac:dyDescent="0.2"/>
    <row r="823" s="20" customFormat="1" x14ac:dyDescent="0.2"/>
    <row r="824" s="20" customFormat="1" x14ac:dyDescent="0.2"/>
    <row r="825" s="20" customFormat="1" x14ac:dyDescent="0.2"/>
    <row r="826" s="20" customFormat="1" x14ac:dyDescent="0.2"/>
    <row r="827" s="20" customFormat="1" x14ac:dyDescent="0.2"/>
    <row r="828" s="20" customFormat="1" x14ac:dyDescent="0.2"/>
    <row r="829" s="20" customFormat="1" x14ac:dyDescent="0.2"/>
    <row r="830" s="20" customFormat="1" x14ac:dyDescent="0.2"/>
    <row r="831" s="20" customFormat="1" x14ac:dyDescent="0.2"/>
    <row r="832" s="20" customFormat="1" x14ac:dyDescent="0.2"/>
    <row r="833" s="20" customFormat="1" x14ac:dyDescent="0.2"/>
    <row r="834" s="20" customFormat="1" x14ac:dyDescent="0.2"/>
    <row r="835" s="20" customFormat="1" x14ac:dyDescent="0.2"/>
    <row r="836" s="20" customFormat="1" x14ac:dyDescent="0.2"/>
    <row r="837" s="20" customFormat="1" x14ac:dyDescent="0.2"/>
    <row r="838" s="20" customFormat="1" x14ac:dyDescent="0.2"/>
    <row r="839" s="20" customFormat="1" x14ac:dyDescent="0.2"/>
    <row r="840" s="20" customFormat="1" x14ac:dyDescent="0.2"/>
    <row r="841" s="20" customFormat="1" x14ac:dyDescent="0.2"/>
    <row r="842" s="20" customFormat="1" x14ac:dyDescent="0.2"/>
    <row r="843" s="20" customFormat="1" x14ac:dyDescent="0.2"/>
    <row r="844" s="20" customFormat="1" x14ac:dyDescent="0.2"/>
    <row r="845" s="20" customFormat="1" x14ac:dyDescent="0.2"/>
    <row r="846" s="20" customFormat="1" x14ac:dyDescent="0.2"/>
    <row r="847" s="20" customFormat="1" x14ac:dyDescent="0.2"/>
    <row r="848" s="20" customFormat="1" x14ac:dyDescent="0.2"/>
    <row r="849" s="20" customFormat="1" x14ac:dyDescent="0.2"/>
    <row r="850" s="20" customFormat="1" x14ac:dyDescent="0.2"/>
    <row r="851" s="20" customFormat="1" x14ac:dyDescent="0.2"/>
    <row r="852" s="20" customFormat="1" x14ac:dyDescent="0.2"/>
    <row r="853" s="20" customFormat="1" x14ac:dyDescent="0.2"/>
    <row r="854" s="20" customFormat="1" x14ac:dyDescent="0.2"/>
    <row r="855" s="20" customFormat="1" x14ac:dyDescent="0.2"/>
    <row r="856" s="20" customFormat="1" x14ac:dyDescent="0.2"/>
    <row r="857" s="20" customFormat="1" x14ac:dyDescent="0.2"/>
    <row r="858" s="20" customFormat="1" x14ac:dyDescent="0.2"/>
    <row r="859" s="20" customFormat="1" x14ac:dyDescent="0.2"/>
    <row r="860" s="20" customFormat="1" x14ac:dyDescent="0.2"/>
    <row r="861" s="20" customFormat="1" x14ac:dyDescent="0.2"/>
    <row r="862" s="20" customFormat="1" x14ac:dyDescent="0.2"/>
    <row r="863" s="20" customFormat="1" x14ac:dyDescent="0.2"/>
    <row r="864" s="20" customFormat="1" x14ac:dyDescent="0.2"/>
    <row r="865" s="20" customFormat="1" x14ac:dyDescent="0.2"/>
    <row r="866" s="20" customFormat="1" x14ac:dyDescent="0.2"/>
    <row r="867" s="20" customFormat="1" x14ac:dyDescent="0.2"/>
    <row r="868" s="20" customFormat="1" x14ac:dyDescent="0.2"/>
    <row r="869" s="20" customFormat="1" x14ac:dyDescent="0.2"/>
    <row r="870" s="20" customFormat="1" x14ac:dyDescent="0.2"/>
    <row r="871" s="20" customFormat="1" x14ac:dyDescent="0.2"/>
    <row r="872" s="20" customFormat="1" x14ac:dyDescent="0.2"/>
    <row r="873" s="20" customFormat="1" x14ac:dyDescent="0.2"/>
    <row r="874" s="20" customFormat="1" x14ac:dyDescent="0.2"/>
    <row r="875" s="20" customFormat="1" x14ac:dyDescent="0.2"/>
    <row r="876" s="20" customFormat="1" x14ac:dyDescent="0.2"/>
    <row r="877" s="20" customFormat="1" x14ac:dyDescent="0.2"/>
    <row r="878" s="20" customFormat="1" x14ac:dyDescent="0.2"/>
    <row r="879" s="20" customFormat="1" x14ac:dyDescent="0.2"/>
    <row r="880" s="20" customFormat="1" x14ac:dyDescent="0.2"/>
    <row r="881" s="20" customFormat="1" x14ac:dyDescent="0.2"/>
    <row r="882" s="20" customFormat="1" x14ac:dyDescent="0.2"/>
    <row r="883" s="20" customFormat="1" x14ac:dyDescent="0.2"/>
    <row r="884" s="20" customFormat="1" x14ac:dyDescent="0.2"/>
    <row r="885" s="20" customFormat="1" x14ac:dyDescent="0.2"/>
    <row r="886" s="20" customFormat="1" x14ac:dyDescent="0.2"/>
    <row r="887" s="20" customFormat="1" x14ac:dyDescent="0.2"/>
    <row r="888" s="20" customFormat="1" x14ac:dyDescent="0.2"/>
    <row r="889" s="20" customFormat="1" x14ac:dyDescent="0.2"/>
    <row r="890" s="20" customFormat="1" x14ac:dyDescent="0.2"/>
    <row r="891" s="20" customFormat="1" x14ac:dyDescent="0.2"/>
    <row r="892" s="20" customFormat="1" x14ac:dyDescent="0.2"/>
    <row r="893" s="20" customFormat="1" x14ac:dyDescent="0.2"/>
    <row r="894" s="20" customFormat="1" x14ac:dyDescent="0.2"/>
    <row r="895" s="20" customFormat="1" x14ac:dyDescent="0.2"/>
    <row r="896" s="20" customFormat="1" x14ac:dyDescent="0.2"/>
    <row r="897" s="20" customFormat="1" x14ac:dyDescent="0.2"/>
    <row r="898" s="20" customFormat="1" x14ac:dyDescent="0.2"/>
    <row r="899" s="20" customFormat="1" x14ac:dyDescent="0.2"/>
    <row r="900" s="20" customFormat="1" x14ac:dyDescent="0.2"/>
    <row r="901" s="20" customFormat="1" x14ac:dyDescent="0.2"/>
    <row r="902" s="20" customFormat="1" x14ac:dyDescent="0.2"/>
    <row r="903" s="20" customFormat="1" x14ac:dyDescent="0.2"/>
    <row r="904" s="20" customFormat="1" x14ac:dyDescent="0.2"/>
    <row r="905" s="20" customFormat="1" x14ac:dyDescent="0.2"/>
    <row r="906" s="20" customFormat="1" x14ac:dyDescent="0.2"/>
    <row r="907" s="20" customFormat="1" x14ac:dyDescent="0.2"/>
    <row r="908" s="20" customFormat="1" x14ac:dyDescent="0.2"/>
    <row r="909" s="20" customFormat="1" x14ac:dyDescent="0.2"/>
    <row r="910" s="20" customFormat="1" x14ac:dyDescent="0.2"/>
    <row r="911" s="20" customFormat="1" x14ac:dyDescent="0.2"/>
    <row r="912" s="20" customFormat="1" x14ac:dyDescent="0.2"/>
    <row r="913" s="20" customFormat="1" x14ac:dyDescent="0.2"/>
    <row r="914" s="20" customFormat="1" x14ac:dyDescent="0.2"/>
    <row r="915" s="20" customFormat="1" x14ac:dyDescent="0.2"/>
    <row r="916" s="20" customFormat="1" x14ac:dyDescent="0.2"/>
    <row r="917" s="20" customFormat="1" x14ac:dyDescent="0.2"/>
    <row r="918" s="20" customFormat="1" x14ac:dyDescent="0.2"/>
    <row r="919" s="20" customFormat="1" x14ac:dyDescent="0.2"/>
    <row r="920" s="20" customFormat="1" x14ac:dyDescent="0.2"/>
    <row r="921" s="20" customFormat="1" x14ac:dyDescent="0.2"/>
    <row r="922" s="20" customFormat="1" x14ac:dyDescent="0.2"/>
    <row r="923" s="20" customFormat="1" x14ac:dyDescent="0.2"/>
    <row r="924" s="20" customFormat="1" x14ac:dyDescent="0.2"/>
    <row r="925" s="20" customFormat="1" x14ac:dyDescent="0.2"/>
    <row r="926" s="20" customFormat="1" x14ac:dyDescent="0.2"/>
    <row r="927" s="20" customFormat="1" x14ac:dyDescent="0.2"/>
    <row r="928" s="20" customFormat="1" x14ac:dyDescent="0.2"/>
    <row r="929" s="20" customFormat="1" x14ac:dyDescent="0.2"/>
    <row r="930" s="20" customFormat="1" x14ac:dyDescent="0.2"/>
    <row r="931" s="20" customFormat="1" x14ac:dyDescent="0.2"/>
    <row r="932" s="20" customFormat="1" x14ac:dyDescent="0.2"/>
    <row r="933" s="20" customFormat="1" x14ac:dyDescent="0.2"/>
    <row r="934" s="20" customFormat="1" x14ac:dyDescent="0.2"/>
    <row r="935" s="20" customFormat="1" x14ac:dyDescent="0.2"/>
    <row r="936" s="20" customFormat="1" x14ac:dyDescent="0.2"/>
    <row r="937" s="20" customFormat="1" x14ac:dyDescent="0.2"/>
    <row r="938" s="20" customFormat="1" x14ac:dyDescent="0.2"/>
    <row r="939" s="20" customFormat="1" x14ac:dyDescent="0.2"/>
    <row r="940" s="20" customFormat="1" x14ac:dyDescent="0.2"/>
    <row r="941" s="20" customFormat="1" x14ac:dyDescent="0.2"/>
    <row r="942" s="20" customFormat="1" x14ac:dyDescent="0.2"/>
    <row r="943" s="20" customFormat="1" x14ac:dyDescent="0.2"/>
    <row r="944" s="20" customFormat="1" x14ac:dyDescent="0.2"/>
    <row r="945" s="20" customFormat="1" x14ac:dyDescent="0.2"/>
    <row r="946" s="20" customFormat="1" x14ac:dyDescent="0.2"/>
    <row r="947" s="20" customFormat="1" x14ac:dyDescent="0.2"/>
    <row r="948" s="20" customFormat="1" x14ac:dyDescent="0.2"/>
    <row r="949" s="20" customFormat="1" x14ac:dyDescent="0.2"/>
    <row r="950" s="20" customFormat="1" x14ac:dyDescent="0.2"/>
    <row r="951" s="20" customFormat="1" x14ac:dyDescent="0.2"/>
    <row r="952" s="20" customFormat="1" x14ac:dyDescent="0.2"/>
    <row r="953" s="20" customFormat="1" x14ac:dyDescent="0.2"/>
    <row r="954" s="20" customFormat="1" x14ac:dyDescent="0.2"/>
    <row r="955" s="20" customFormat="1" x14ac:dyDescent="0.2"/>
    <row r="956" s="20" customFormat="1" x14ac:dyDescent="0.2"/>
    <row r="957" s="20" customFormat="1" x14ac:dyDescent="0.2"/>
    <row r="958" s="20" customFormat="1" x14ac:dyDescent="0.2"/>
    <row r="959" s="20" customFormat="1" x14ac:dyDescent="0.2"/>
    <row r="960" s="20" customFormat="1" x14ac:dyDescent="0.2"/>
    <row r="961" s="20" customFormat="1" x14ac:dyDescent="0.2"/>
    <row r="962" s="20" customFormat="1" x14ac:dyDescent="0.2"/>
    <row r="963" s="20" customFormat="1" x14ac:dyDescent="0.2"/>
    <row r="964" s="20" customFormat="1" x14ac:dyDescent="0.2"/>
    <row r="965" s="20" customFormat="1" x14ac:dyDescent="0.2"/>
    <row r="966" s="20" customFormat="1" x14ac:dyDescent="0.2"/>
    <row r="967" s="20" customFormat="1" x14ac:dyDescent="0.2"/>
    <row r="968" s="20" customFormat="1" x14ac:dyDescent="0.2"/>
    <row r="969" s="20" customFormat="1" x14ac:dyDescent="0.2"/>
    <row r="970" s="20" customFormat="1" x14ac:dyDescent="0.2"/>
    <row r="971" s="20" customFormat="1" x14ac:dyDescent="0.2"/>
    <row r="972" s="20" customFormat="1" x14ac:dyDescent="0.2"/>
    <row r="973" s="20" customFormat="1" x14ac:dyDescent="0.2"/>
    <row r="974" s="20" customFormat="1" x14ac:dyDescent="0.2"/>
    <row r="975" s="20" customFormat="1" x14ac:dyDescent="0.2"/>
    <row r="976" s="20" customFormat="1" x14ac:dyDescent="0.2"/>
    <row r="977" s="20" customFormat="1" x14ac:dyDescent="0.2"/>
    <row r="978" s="20" customFormat="1" x14ac:dyDescent="0.2"/>
    <row r="979" s="20" customFormat="1" x14ac:dyDescent="0.2"/>
    <row r="980" s="20" customFormat="1" x14ac:dyDescent="0.2"/>
    <row r="981" s="20" customFormat="1" x14ac:dyDescent="0.2"/>
    <row r="982" s="20" customFormat="1" x14ac:dyDescent="0.2"/>
    <row r="983" s="20" customFormat="1" x14ac:dyDescent="0.2"/>
    <row r="984" s="20" customFormat="1" x14ac:dyDescent="0.2"/>
    <row r="985" s="20" customFormat="1" x14ac:dyDescent="0.2"/>
    <row r="986" s="20" customFormat="1" x14ac:dyDescent="0.2"/>
    <row r="987" s="20" customFormat="1" x14ac:dyDescent="0.2"/>
    <row r="988" s="20" customFormat="1" x14ac:dyDescent="0.2"/>
    <row r="989" s="20" customFormat="1" x14ac:dyDescent="0.2"/>
    <row r="990" s="20" customFormat="1" x14ac:dyDescent="0.2"/>
    <row r="991" s="20" customFormat="1" x14ac:dyDescent="0.2"/>
    <row r="992" s="20" customFormat="1" x14ac:dyDescent="0.2"/>
    <row r="993" s="20" customFormat="1" x14ac:dyDescent="0.2"/>
    <row r="994" s="20" customFormat="1" x14ac:dyDescent="0.2"/>
    <row r="995" s="20" customFormat="1" x14ac:dyDescent="0.2"/>
    <row r="996" s="20" customFormat="1" x14ac:dyDescent="0.2"/>
    <row r="997" s="20" customFormat="1" x14ac:dyDescent="0.2"/>
    <row r="998" s="20" customFormat="1" x14ac:dyDescent="0.2"/>
    <row r="999" s="20" customFormat="1" x14ac:dyDescent="0.2"/>
    <row r="1000" s="20" customFormat="1" x14ac:dyDescent="0.2"/>
    <row r="1001" s="20" customFormat="1" x14ac:dyDescent="0.2"/>
    <row r="1002" s="20" customFormat="1" x14ac:dyDescent="0.2"/>
    <row r="1003" s="20" customFormat="1" x14ac:dyDescent="0.2"/>
    <row r="1004" s="20" customFormat="1" x14ac:dyDescent="0.2"/>
    <row r="1005" s="20" customFormat="1" x14ac:dyDescent="0.2"/>
    <row r="1006" s="20" customFormat="1" x14ac:dyDescent="0.2"/>
    <row r="1007" s="20" customFormat="1" x14ac:dyDescent="0.2"/>
    <row r="1008" s="20" customFormat="1" x14ac:dyDescent="0.2"/>
    <row r="1009" s="20" customFormat="1" x14ac:dyDescent="0.2"/>
    <row r="1010" s="20" customFormat="1" x14ac:dyDescent="0.2"/>
    <row r="1011" s="20" customFormat="1" x14ac:dyDescent="0.2"/>
    <row r="1012" s="20" customFormat="1" x14ac:dyDescent="0.2"/>
    <row r="1013" s="20" customFormat="1" x14ac:dyDescent="0.2"/>
    <row r="1014" s="20" customFormat="1" x14ac:dyDescent="0.2"/>
    <row r="1015" s="20" customFormat="1" x14ac:dyDescent="0.2"/>
    <row r="1016" s="20" customFormat="1" x14ac:dyDescent="0.2"/>
    <row r="1017" s="20" customFormat="1" x14ac:dyDescent="0.2"/>
    <row r="1018" s="20" customFormat="1" x14ac:dyDescent="0.2"/>
    <row r="1019" s="20" customFormat="1" x14ac:dyDescent="0.2"/>
    <row r="1020" s="20" customFormat="1" x14ac:dyDescent="0.2"/>
    <row r="1021" s="20" customFormat="1" x14ac:dyDescent="0.2"/>
    <row r="1022" s="20" customFormat="1" x14ac:dyDescent="0.2"/>
    <row r="1023" s="20" customFormat="1" x14ac:dyDescent="0.2"/>
    <row r="1024" s="20" customFormat="1" x14ac:dyDescent="0.2"/>
    <row r="1025" s="20" customFormat="1" x14ac:dyDescent="0.2"/>
    <row r="1026" s="20" customFormat="1" x14ac:dyDescent="0.2"/>
    <row r="1027" s="20" customFormat="1" x14ac:dyDescent="0.2"/>
    <row r="1028" s="20" customFormat="1" x14ac:dyDescent="0.2"/>
    <row r="1029" s="20" customFormat="1" x14ac:dyDescent="0.2"/>
    <row r="1030" s="20" customFormat="1" x14ac:dyDescent="0.2"/>
    <row r="1031" s="20" customFormat="1" x14ac:dyDescent="0.2"/>
    <row r="1032" s="20" customFormat="1" x14ac:dyDescent="0.2"/>
    <row r="1033" s="20" customFormat="1" x14ac:dyDescent="0.2"/>
    <row r="1034" s="20" customFormat="1" x14ac:dyDescent="0.2"/>
    <row r="1035" s="20" customFormat="1" x14ac:dyDescent="0.2"/>
    <row r="1036" s="20" customFormat="1" x14ac:dyDescent="0.2"/>
    <row r="1037" s="20" customFormat="1" x14ac:dyDescent="0.2"/>
    <row r="1038" s="20" customFormat="1" x14ac:dyDescent="0.2"/>
    <row r="1039" s="20" customFormat="1" x14ac:dyDescent="0.2"/>
    <row r="1040" s="20" customFormat="1" x14ac:dyDescent="0.2"/>
    <row r="1041" s="20" customFormat="1" x14ac:dyDescent="0.2"/>
    <row r="1042" s="20" customFormat="1" x14ac:dyDescent="0.2"/>
    <row r="1043" s="20" customFormat="1" x14ac:dyDescent="0.2"/>
    <row r="1044" s="20" customFormat="1" x14ac:dyDescent="0.2"/>
    <row r="1045" s="20" customFormat="1" x14ac:dyDescent="0.2"/>
    <row r="1046" s="20" customFormat="1" x14ac:dyDescent="0.2"/>
    <row r="1047" s="20" customFormat="1" x14ac:dyDescent="0.2"/>
    <row r="1048" s="20" customFormat="1" x14ac:dyDescent="0.2"/>
    <row r="1049" s="20" customFormat="1" x14ac:dyDescent="0.2"/>
    <row r="1050" s="20" customFormat="1" x14ac:dyDescent="0.2"/>
    <row r="1051" s="20" customFormat="1" x14ac:dyDescent="0.2"/>
    <row r="1052" s="20" customFormat="1" x14ac:dyDescent="0.2"/>
    <row r="1053" s="20" customFormat="1" x14ac:dyDescent="0.2"/>
    <row r="1054" s="20" customFormat="1" x14ac:dyDescent="0.2"/>
    <row r="1055" s="20" customFormat="1" x14ac:dyDescent="0.2"/>
    <row r="1056" s="20" customFormat="1" x14ac:dyDescent="0.2"/>
    <row r="1057" s="20" customFormat="1" x14ac:dyDescent="0.2"/>
    <row r="1058" s="20" customFormat="1" x14ac:dyDescent="0.2"/>
    <row r="1059" s="20" customFormat="1" x14ac:dyDescent="0.2"/>
    <row r="1060" s="20" customFormat="1" x14ac:dyDescent="0.2"/>
    <row r="1061" s="20" customFormat="1" x14ac:dyDescent="0.2"/>
    <row r="1062" s="20" customFormat="1" x14ac:dyDescent="0.2"/>
    <row r="1063" s="20" customFormat="1" x14ac:dyDescent="0.2"/>
    <row r="1064" s="20" customFormat="1" x14ac:dyDescent="0.2"/>
    <row r="1065" s="20" customFormat="1" x14ac:dyDescent="0.2"/>
    <row r="1066" s="20" customFormat="1" x14ac:dyDescent="0.2"/>
    <row r="1067" s="20" customFormat="1" x14ac:dyDescent="0.2"/>
    <row r="1068" s="20" customFormat="1" x14ac:dyDescent="0.2"/>
    <row r="1069" s="20" customFormat="1" x14ac:dyDescent="0.2"/>
    <row r="1070" s="20" customFormat="1" x14ac:dyDescent="0.2"/>
    <row r="1071" s="20" customFormat="1" x14ac:dyDescent="0.2"/>
    <row r="1072" s="20" customFormat="1" x14ac:dyDescent="0.2"/>
    <row r="1073" s="20" customFormat="1" x14ac:dyDescent="0.2"/>
    <row r="1074" s="20" customFormat="1" x14ac:dyDescent="0.2"/>
    <row r="1075" s="20" customFormat="1" x14ac:dyDescent="0.2"/>
    <row r="1076" s="20" customFormat="1" x14ac:dyDescent="0.2"/>
    <row r="1077" s="20" customFormat="1" x14ac:dyDescent="0.2"/>
    <row r="1078" s="20" customFormat="1" x14ac:dyDescent="0.2"/>
    <row r="1079" s="20" customFormat="1" x14ac:dyDescent="0.2"/>
    <row r="1080" s="20" customFormat="1" x14ac:dyDescent="0.2"/>
    <row r="1081" s="20" customFormat="1" x14ac:dyDescent="0.2"/>
    <row r="1082" s="20" customFormat="1" x14ac:dyDescent="0.2"/>
    <row r="1083" s="20" customFormat="1" x14ac:dyDescent="0.2"/>
    <row r="1084" s="20" customFormat="1" x14ac:dyDescent="0.2"/>
    <row r="1085" s="20" customFormat="1" x14ac:dyDescent="0.2"/>
    <row r="1086" s="20" customFormat="1" x14ac:dyDescent="0.2"/>
    <row r="1087" s="20" customFormat="1" x14ac:dyDescent="0.2"/>
    <row r="1088" s="20" customFormat="1" x14ac:dyDescent="0.2"/>
    <row r="1089" s="20" customFormat="1" x14ac:dyDescent="0.2"/>
    <row r="1090" s="20" customFormat="1" x14ac:dyDescent="0.2"/>
    <row r="1091" s="20" customFormat="1" x14ac:dyDescent="0.2"/>
    <row r="1092" s="20" customFormat="1" x14ac:dyDescent="0.2"/>
    <row r="1093" s="20" customFormat="1" x14ac:dyDescent="0.2"/>
    <row r="1094" s="20" customFormat="1" x14ac:dyDescent="0.2"/>
    <row r="1095" s="20" customFormat="1" x14ac:dyDescent="0.2"/>
    <row r="1096" s="20" customFormat="1" x14ac:dyDescent="0.2"/>
    <row r="1097" s="20" customFormat="1" x14ac:dyDescent="0.2"/>
    <row r="1098" s="20" customFormat="1" x14ac:dyDescent="0.2"/>
    <row r="1099" s="20" customFormat="1" x14ac:dyDescent="0.2"/>
    <row r="1100" s="20" customFormat="1" x14ac:dyDescent="0.2"/>
    <row r="1101" s="20" customFormat="1" x14ac:dyDescent="0.2"/>
    <row r="1102" s="20" customFormat="1" x14ac:dyDescent="0.2"/>
    <row r="1103" s="20" customFormat="1" x14ac:dyDescent="0.2"/>
    <row r="1104" s="20" customFormat="1" x14ac:dyDescent="0.2"/>
    <row r="1105" s="20" customFormat="1" x14ac:dyDescent="0.2"/>
    <row r="1106" s="20" customFormat="1" x14ac:dyDescent="0.2"/>
    <row r="1107" s="20" customFormat="1" x14ac:dyDescent="0.2"/>
    <row r="1108" s="20" customFormat="1" x14ac:dyDescent="0.2"/>
    <row r="1109" s="20" customFormat="1" x14ac:dyDescent="0.2"/>
    <row r="1110" s="20" customFormat="1" x14ac:dyDescent="0.2"/>
    <row r="1111" s="20" customFormat="1" x14ac:dyDescent="0.2"/>
    <row r="1112" s="20" customFormat="1" x14ac:dyDescent="0.2"/>
    <row r="1113" s="20" customFormat="1" x14ac:dyDescent="0.2"/>
    <row r="1114" s="20" customFormat="1" x14ac:dyDescent="0.2"/>
    <row r="1115" s="20" customFormat="1" x14ac:dyDescent="0.2"/>
    <row r="1116" s="20" customFormat="1" x14ac:dyDescent="0.2"/>
    <row r="1117" s="20" customFormat="1" x14ac:dyDescent="0.2"/>
    <row r="1118" s="20" customFormat="1" x14ac:dyDescent="0.2"/>
    <row r="1119" s="20" customFormat="1" x14ac:dyDescent="0.2"/>
    <row r="1120" s="20" customFormat="1" x14ac:dyDescent="0.2"/>
    <row r="1121" s="20" customFormat="1" x14ac:dyDescent="0.2"/>
    <row r="1122" s="20" customFormat="1" x14ac:dyDescent="0.2"/>
    <row r="1123" s="20" customFormat="1" x14ac:dyDescent="0.2"/>
    <row r="1124" s="20" customFormat="1" x14ac:dyDescent="0.2"/>
    <row r="1125" s="20" customFormat="1" x14ac:dyDescent="0.2"/>
    <row r="1126" s="20" customFormat="1" x14ac:dyDescent="0.2"/>
    <row r="1127" s="20" customFormat="1" x14ac:dyDescent="0.2"/>
    <row r="1128" s="20" customFormat="1" x14ac:dyDescent="0.2"/>
    <row r="1129" s="20" customFormat="1" x14ac:dyDescent="0.2"/>
    <row r="1130" s="20" customFormat="1" x14ac:dyDescent="0.2"/>
    <row r="1131" s="20" customFormat="1" x14ac:dyDescent="0.2"/>
    <row r="1132" s="20" customFormat="1" x14ac:dyDescent="0.2"/>
    <row r="1133" s="20" customFormat="1" x14ac:dyDescent="0.2"/>
    <row r="1134" s="20" customFormat="1" x14ac:dyDescent="0.2"/>
    <row r="1135" s="20" customFormat="1" x14ac:dyDescent="0.2"/>
    <row r="1136" s="20" customFormat="1" x14ac:dyDescent="0.2"/>
    <row r="1137" s="20" customFormat="1" x14ac:dyDescent="0.2"/>
    <row r="1138" s="20" customFormat="1" x14ac:dyDescent="0.2"/>
    <row r="1139" s="20" customFormat="1" x14ac:dyDescent="0.2"/>
    <row r="1140" s="20" customFormat="1" x14ac:dyDescent="0.2"/>
    <row r="1141" s="20" customFormat="1" x14ac:dyDescent="0.2"/>
    <row r="1142" s="20" customFormat="1" x14ac:dyDescent="0.2"/>
    <row r="1143" s="20" customFormat="1" x14ac:dyDescent="0.2"/>
    <row r="1144" s="20" customFormat="1" x14ac:dyDescent="0.2"/>
    <row r="1145" s="20" customFormat="1" x14ac:dyDescent="0.2"/>
    <row r="1146" s="20" customFormat="1" x14ac:dyDescent="0.2"/>
    <row r="1147" s="20" customFormat="1" x14ac:dyDescent="0.2"/>
    <row r="1148" s="20" customFormat="1" x14ac:dyDescent="0.2"/>
    <row r="1149" s="20" customFormat="1" x14ac:dyDescent="0.2"/>
    <row r="1150" s="20" customFormat="1" x14ac:dyDescent="0.2"/>
    <row r="1151" s="20" customFormat="1" x14ac:dyDescent="0.2"/>
    <row r="1152" s="20" customFormat="1" x14ac:dyDescent="0.2"/>
    <row r="1153" s="20" customFormat="1" x14ac:dyDescent="0.2"/>
    <row r="1154" s="20" customFormat="1" x14ac:dyDescent="0.2"/>
    <row r="1155" s="20" customFormat="1" x14ac:dyDescent="0.2"/>
    <row r="1156" s="20" customFormat="1" x14ac:dyDescent="0.2"/>
    <row r="1157" s="20" customFormat="1" x14ac:dyDescent="0.2"/>
    <row r="1158" s="20" customFormat="1" x14ac:dyDescent="0.2"/>
    <row r="1159" s="20" customFormat="1" x14ac:dyDescent="0.2"/>
    <row r="1160" s="20" customFormat="1" x14ac:dyDescent="0.2"/>
    <row r="1161" s="20" customFormat="1" x14ac:dyDescent="0.2"/>
    <row r="1162" s="20" customFormat="1" x14ac:dyDescent="0.2"/>
    <row r="1163" s="20" customFormat="1" x14ac:dyDescent="0.2"/>
    <row r="1164" s="20" customFormat="1" x14ac:dyDescent="0.2"/>
    <row r="1165" s="20" customFormat="1" x14ac:dyDescent="0.2"/>
    <row r="1166" s="20" customFormat="1" x14ac:dyDescent="0.2"/>
    <row r="1167" s="20" customFormat="1" x14ac:dyDescent="0.2"/>
    <row r="1168" s="20" customFormat="1" x14ac:dyDescent="0.2"/>
    <row r="1169" s="20" customFormat="1" x14ac:dyDescent="0.2"/>
    <row r="1170" s="20" customFormat="1" x14ac:dyDescent="0.2"/>
    <row r="1171" s="20" customFormat="1" x14ac:dyDescent="0.2"/>
    <row r="1172" s="20" customFormat="1" x14ac:dyDescent="0.2"/>
    <row r="1173" s="20" customFormat="1" x14ac:dyDescent="0.2"/>
    <row r="1174" s="20" customFormat="1" x14ac:dyDescent="0.2"/>
    <row r="1175" s="20" customFormat="1" x14ac:dyDescent="0.2"/>
    <row r="1176" s="20" customFormat="1" x14ac:dyDescent="0.2"/>
    <row r="1177" s="20" customFormat="1" x14ac:dyDescent="0.2"/>
    <row r="1178" s="20" customFormat="1" x14ac:dyDescent="0.2"/>
    <row r="1179" s="20" customFormat="1" x14ac:dyDescent="0.2"/>
    <row r="1180" s="20" customFormat="1" x14ac:dyDescent="0.2"/>
    <row r="1181" s="20" customFormat="1" x14ac:dyDescent="0.2"/>
    <row r="1182" s="20" customFormat="1" x14ac:dyDescent="0.2"/>
    <row r="1183" s="20" customFormat="1" x14ac:dyDescent="0.2"/>
    <row r="1184" s="20" customFormat="1" x14ac:dyDescent="0.2"/>
    <row r="1185" s="20" customFormat="1" x14ac:dyDescent="0.2"/>
    <row r="1186" s="20" customFormat="1" x14ac:dyDescent="0.2"/>
    <row r="1187" s="20" customFormat="1" x14ac:dyDescent="0.2"/>
    <row r="1188" s="20" customFormat="1" x14ac:dyDescent="0.2"/>
    <row r="1189" s="20" customFormat="1" x14ac:dyDescent="0.2"/>
    <row r="1190" s="20" customFormat="1" x14ac:dyDescent="0.2"/>
    <row r="1191" s="20" customFormat="1" x14ac:dyDescent="0.2"/>
    <row r="1192" s="20" customFormat="1" x14ac:dyDescent="0.2"/>
    <row r="1193" s="20" customFormat="1" x14ac:dyDescent="0.2"/>
    <row r="1194" s="20" customFormat="1" x14ac:dyDescent="0.2"/>
    <row r="1195" s="20" customFormat="1" x14ac:dyDescent="0.2"/>
    <row r="1196" s="20" customFormat="1" x14ac:dyDescent="0.2"/>
    <row r="1197" s="20" customFormat="1" x14ac:dyDescent="0.2"/>
    <row r="1198" s="20" customFormat="1" x14ac:dyDescent="0.2"/>
    <row r="1199" s="20" customFormat="1" x14ac:dyDescent="0.2"/>
    <row r="1200" s="20" customFormat="1" x14ac:dyDescent="0.2"/>
    <row r="1201" s="20" customFormat="1" x14ac:dyDescent="0.2"/>
    <row r="1202" s="20" customFormat="1" x14ac:dyDescent="0.2"/>
    <row r="1203" s="20" customFormat="1" x14ac:dyDescent="0.2"/>
    <row r="1204" s="20" customFormat="1" x14ac:dyDescent="0.2"/>
    <row r="1205" s="20" customFormat="1" x14ac:dyDescent="0.2"/>
    <row r="1206" s="20" customFormat="1" x14ac:dyDescent="0.2"/>
    <row r="1207" s="20" customFormat="1" x14ac:dyDescent="0.2"/>
    <row r="1208" s="20" customFormat="1" x14ac:dyDescent="0.2"/>
    <row r="1209" s="20" customFormat="1" x14ac:dyDescent="0.2"/>
    <row r="1210" s="20" customFormat="1" x14ac:dyDescent="0.2"/>
    <row r="1211" s="20" customFormat="1" x14ac:dyDescent="0.2"/>
    <row r="1212" s="20" customFormat="1" x14ac:dyDescent="0.2"/>
    <row r="1213" s="20" customFormat="1" x14ac:dyDescent="0.2"/>
    <row r="1214" s="20" customFormat="1" x14ac:dyDescent="0.2"/>
    <row r="1215" s="20" customFormat="1" x14ac:dyDescent="0.2"/>
    <row r="1216" s="20" customFormat="1" x14ac:dyDescent="0.2"/>
    <row r="1217" s="20" customFormat="1" x14ac:dyDescent="0.2"/>
    <row r="1218" s="20" customFormat="1" x14ac:dyDescent="0.2"/>
    <row r="1219" s="20" customFormat="1" x14ac:dyDescent="0.2"/>
    <row r="1220" s="20" customFormat="1" x14ac:dyDescent="0.2"/>
    <row r="1221" s="20" customFormat="1" x14ac:dyDescent="0.2"/>
    <row r="1222" s="20" customFormat="1" x14ac:dyDescent="0.2"/>
    <row r="1223" s="20" customFormat="1" x14ac:dyDescent="0.2"/>
    <row r="1224" s="20" customFormat="1" x14ac:dyDescent="0.2"/>
    <row r="1225" s="20" customFormat="1" x14ac:dyDescent="0.2"/>
    <row r="1226" s="20" customFormat="1" x14ac:dyDescent="0.2"/>
    <row r="1227" s="20" customFormat="1" x14ac:dyDescent="0.2"/>
    <row r="1228" s="20" customFormat="1" x14ac:dyDescent="0.2"/>
    <row r="1229" s="20" customFormat="1" x14ac:dyDescent="0.2"/>
    <row r="1230" s="20" customFormat="1" x14ac:dyDescent="0.2"/>
    <row r="1231" s="20" customFormat="1" x14ac:dyDescent="0.2"/>
    <row r="1232" s="20" customFormat="1" x14ac:dyDescent="0.2"/>
    <row r="1233" s="20" customFormat="1" x14ac:dyDescent="0.2"/>
    <row r="1234" s="20" customFormat="1" x14ac:dyDescent="0.2"/>
    <row r="1235" s="20" customFormat="1" x14ac:dyDescent="0.2"/>
    <row r="1236" s="20" customFormat="1" x14ac:dyDescent="0.2"/>
    <row r="1237" s="20" customFormat="1" x14ac:dyDescent="0.2"/>
    <row r="1238" s="20" customFormat="1" x14ac:dyDescent="0.2"/>
    <row r="1239" s="20" customFormat="1" x14ac:dyDescent="0.2"/>
    <row r="1240" s="20" customFormat="1" x14ac:dyDescent="0.2"/>
    <row r="1241" s="20" customFormat="1" x14ac:dyDescent="0.2"/>
    <row r="1242" s="20" customFormat="1" x14ac:dyDescent="0.2"/>
    <row r="1243" s="20" customFormat="1" x14ac:dyDescent="0.2"/>
    <row r="1244" s="20" customFormat="1" x14ac:dyDescent="0.2"/>
    <row r="1245" s="20" customFormat="1" x14ac:dyDescent="0.2"/>
    <row r="1246" s="20" customFormat="1" x14ac:dyDescent="0.2"/>
    <row r="1247" s="20" customFormat="1" x14ac:dyDescent="0.2"/>
    <row r="1248" s="20" customFormat="1" x14ac:dyDescent="0.2"/>
    <row r="1249" s="20" customFormat="1" x14ac:dyDescent="0.2"/>
    <row r="1250" s="20" customFormat="1" x14ac:dyDescent="0.2"/>
    <row r="1251" s="20" customFormat="1" x14ac:dyDescent="0.2"/>
    <row r="1252" s="20" customFormat="1" x14ac:dyDescent="0.2"/>
    <row r="1253" s="20" customFormat="1" x14ac:dyDescent="0.2"/>
    <row r="1254" s="20" customFormat="1" x14ac:dyDescent="0.2"/>
    <row r="1255" s="20" customFormat="1" x14ac:dyDescent="0.2"/>
    <row r="1256" s="20" customFormat="1" x14ac:dyDescent="0.2"/>
    <row r="1257" s="20" customFormat="1" x14ac:dyDescent="0.2"/>
    <row r="1258" s="20" customFormat="1" x14ac:dyDescent="0.2"/>
    <row r="1259" s="20" customFormat="1" x14ac:dyDescent="0.2"/>
    <row r="1260" s="20" customFormat="1" x14ac:dyDescent="0.2"/>
    <row r="1261" s="20" customFormat="1" x14ac:dyDescent="0.2"/>
    <row r="1262" s="20" customFormat="1" x14ac:dyDescent="0.2"/>
    <row r="1263" s="20" customFormat="1" x14ac:dyDescent="0.2"/>
    <row r="1264" s="20" customFormat="1" x14ac:dyDescent="0.2"/>
    <row r="1265" s="20" customFormat="1" x14ac:dyDescent="0.2"/>
    <row r="1266" s="20" customFormat="1" x14ac:dyDescent="0.2"/>
    <row r="1267" s="20" customFormat="1" x14ac:dyDescent="0.2"/>
    <row r="1268" s="20" customFormat="1" x14ac:dyDescent="0.2"/>
    <row r="1269" s="20" customFormat="1" x14ac:dyDescent="0.2"/>
    <row r="1270" s="20" customFormat="1" x14ac:dyDescent="0.2"/>
    <row r="1271" s="20" customFormat="1" x14ac:dyDescent="0.2"/>
    <row r="1272" s="20" customFormat="1" x14ac:dyDescent="0.2"/>
    <row r="1273" s="20" customFormat="1" x14ac:dyDescent="0.2"/>
    <row r="1274" s="20" customFormat="1" x14ac:dyDescent="0.2"/>
    <row r="1275" s="20" customFormat="1" x14ac:dyDescent="0.2"/>
    <row r="1276" s="20" customFormat="1" x14ac:dyDescent="0.2"/>
    <row r="1277" s="20" customFormat="1" x14ac:dyDescent="0.2"/>
    <row r="1278" s="20" customFormat="1" x14ac:dyDescent="0.2"/>
    <row r="1279" s="20" customFormat="1" x14ac:dyDescent="0.2"/>
    <row r="1280" s="20" customFormat="1" x14ac:dyDescent="0.2"/>
    <row r="1281" s="20" customFormat="1" x14ac:dyDescent="0.2"/>
    <row r="1282" s="20" customFormat="1" x14ac:dyDescent="0.2"/>
    <row r="1283" s="20" customFormat="1" x14ac:dyDescent="0.2"/>
    <row r="1284" s="20" customFormat="1" x14ac:dyDescent="0.2"/>
    <row r="1285" s="20" customFormat="1" x14ac:dyDescent="0.2"/>
    <row r="1286" s="20" customFormat="1" x14ac:dyDescent="0.2"/>
    <row r="1287" s="20" customFormat="1" x14ac:dyDescent="0.2"/>
    <row r="1288" s="20" customFormat="1" x14ac:dyDescent="0.2"/>
    <row r="1289" s="20" customFormat="1" x14ac:dyDescent="0.2"/>
    <row r="1290" s="20" customFormat="1" x14ac:dyDescent="0.2"/>
    <row r="1291" s="20" customFormat="1" x14ac:dyDescent="0.2"/>
    <row r="1292" s="20" customFormat="1" x14ac:dyDescent="0.2"/>
    <row r="1293" s="20" customFormat="1" x14ac:dyDescent="0.2"/>
    <row r="1294" s="20" customFormat="1" x14ac:dyDescent="0.2"/>
    <row r="1295" s="20" customFormat="1" x14ac:dyDescent="0.2"/>
    <row r="1296" s="20" customFormat="1" x14ac:dyDescent="0.2"/>
    <row r="1297" s="20" customFormat="1" x14ac:dyDescent="0.2"/>
    <row r="1298" s="20" customFormat="1" x14ac:dyDescent="0.2"/>
    <row r="1299" s="20" customFormat="1" x14ac:dyDescent="0.2"/>
    <row r="1300" s="20" customFormat="1" x14ac:dyDescent="0.2"/>
    <row r="1301" s="20" customFormat="1" x14ac:dyDescent="0.2"/>
    <row r="1302" s="20" customFormat="1" x14ac:dyDescent="0.2"/>
    <row r="1303" s="20" customFormat="1" x14ac:dyDescent="0.2"/>
    <row r="1304" s="20" customFormat="1" x14ac:dyDescent="0.2"/>
    <row r="1305" s="20" customFormat="1" x14ac:dyDescent="0.2"/>
    <row r="1306" s="20" customFormat="1" x14ac:dyDescent="0.2"/>
    <row r="1307" s="20" customFormat="1" x14ac:dyDescent="0.2"/>
    <row r="1308" s="20" customFormat="1" x14ac:dyDescent="0.2"/>
    <row r="1309" s="20" customFormat="1" x14ac:dyDescent="0.2"/>
    <row r="1310" s="20" customFormat="1" x14ac:dyDescent="0.2"/>
    <row r="1311" s="20" customFormat="1" x14ac:dyDescent="0.2"/>
    <row r="1312" s="20" customFormat="1" x14ac:dyDescent="0.2"/>
    <row r="1313" s="20" customFormat="1" x14ac:dyDescent="0.2"/>
    <row r="1314" s="20" customFormat="1" x14ac:dyDescent="0.2"/>
    <row r="1315" s="20" customFormat="1" x14ac:dyDescent="0.2"/>
    <row r="1316" s="20" customFormat="1" x14ac:dyDescent="0.2"/>
    <row r="1317" s="20" customFormat="1" x14ac:dyDescent="0.2"/>
    <row r="1318" s="20" customFormat="1" x14ac:dyDescent="0.2"/>
    <row r="1319" s="20" customFormat="1" x14ac:dyDescent="0.2"/>
    <row r="1320" s="20" customFormat="1" x14ac:dyDescent="0.2"/>
    <row r="1321" s="20" customFormat="1" x14ac:dyDescent="0.2"/>
    <row r="1322" s="20" customFormat="1" x14ac:dyDescent="0.2"/>
    <row r="1323" s="20" customFormat="1" x14ac:dyDescent="0.2"/>
    <row r="1324" s="20" customFormat="1" x14ac:dyDescent="0.2"/>
    <row r="1325" s="20" customFormat="1" x14ac:dyDescent="0.2"/>
    <row r="1326" s="20" customFormat="1" x14ac:dyDescent="0.2"/>
    <row r="1327" s="20" customFormat="1" x14ac:dyDescent="0.2"/>
    <row r="1328" s="20" customFormat="1" x14ac:dyDescent="0.2"/>
    <row r="1329" s="20" customFormat="1" x14ac:dyDescent="0.2"/>
    <row r="1330" s="20" customFormat="1" x14ac:dyDescent="0.2"/>
    <row r="1331" s="20" customFormat="1" x14ac:dyDescent="0.2"/>
    <row r="1332" s="20" customFormat="1" x14ac:dyDescent="0.2"/>
    <row r="1333" s="20" customFormat="1" x14ac:dyDescent="0.2"/>
    <row r="1334" s="20" customFormat="1" x14ac:dyDescent="0.2"/>
    <row r="1335" s="20" customFormat="1" x14ac:dyDescent="0.2"/>
    <row r="1336" s="20" customFormat="1" x14ac:dyDescent="0.2"/>
    <row r="1337" s="20" customFormat="1" x14ac:dyDescent="0.2"/>
    <row r="1338" s="20" customFormat="1" x14ac:dyDescent="0.2"/>
    <row r="1339" s="20" customFormat="1" x14ac:dyDescent="0.2"/>
    <row r="1340" s="20" customFormat="1" x14ac:dyDescent="0.2"/>
    <row r="1341" s="20" customFormat="1" x14ac:dyDescent="0.2"/>
    <row r="1342" s="20" customFormat="1" x14ac:dyDescent="0.2"/>
    <row r="1343" s="20" customFormat="1" x14ac:dyDescent="0.2"/>
    <row r="1344" s="20" customFormat="1" x14ac:dyDescent="0.2"/>
    <row r="1345" s="20" customFormat="1" x14ac:dyDescent="0.2"/>
    <row r="1346" s="20" customFormat="1" x14ac:dyDescent="0.2"/>
    <row r="1347" s="20" customFormat="1" x14ac:dyDescent="0.2"/>
    <row r="1348" s="20" customFormat="1" x14ac:dyDescent="0.2"/>
    <row r="1349" s="20" customFormat="1" x14ac:dyDescent="0.2"/>
    <row r="1350" s="20" customFormat="1" x14ac:dyDescent="0.2"/>
    <row r="1351" s="20" customFormat="1" x14ac:dyDescent="0.2"/>
    <row r="1352" s="20" customFormat="1" x14ac:dyDescent="0.2"/>
    <row r="1353" s="20" customFormat="1" x14ac:dyDescent="0.2"/>
    <row r="1354" s="20" customFormat="1" x14ac:dyDescent="0.2"/>
    <row r="1355" s="20" customFormat="1" x14ac:dyDescent="0.2"/>
    <row r="1356" s="20" customFormat="1" x14ac:dyDescent="0.2"/>
    <row r="1357" s="20" customFormat="1" x14ac:dyDescent="0.2"/>
    <row r="1358" s="20" customFormat="1" x14ac:dyDescent="0.2"/>
    <row r="1359" s="20" customFormat="1" x14ac:dyDescent="0.2"/>
    <row r="1360" s="20" customFormat="1" x14ac:dyDescent="0.2"/>
    <row r="1361" s="20" customFormat="1" x14ac:dyDescent="0.2"/>
    <row r="1362" s="20" customFormat="1" x14ac:dyDescent="0.2"/>
    <row r="1363" s="20" customFormat="1" x14ac:dyDescent="0.2"/>
    <row r="1364" s="20" customFormat="1" x14ac:dyDescent="0.2"/>
    <row r="1365" s="20" customFormat="1" x14ac:dyDescent="0.2"/>
    <row r="1366" s="20" customFormat="1" x14ac:dyDescent="0.2"/>
    <row r="1367" s="20" customFormat="1" x14ac:dyDescent="0.2"/>
    <row r="1368" s="20" customFormat="1" x14ac:dyDescent="0.2"/>
    <row r="1369" s="20" customFormat="1" x14ac:dyDescent="0.2"/>
    <row r="1370" s="20" customFormat="1" x14ac:dyDescent="0.2"/>
    <row r="1371" s="20" customFormat="1" x14ac:dyDescent="0.2"/>
    <row r="1372" s="20" customFormat="1" x14ac:dyDescent="0.2"/>
    <row r="1373" s="20" customFormat="1" x14ac:dyDescent="0.2"/>
    <row r="1374" s="20" customFormat="1" x14ac:dyDescent="0.2"/>
    <row r="1375" s="20" customFormat="1" x14ac:dyDescent="0.2"/>
    <row r="1376" s="20" customFormat="1" x14ac:dyDescent="0.2"/>
    <row r="1377" s="20" customFormat="1" x14ac:dyDescent="0.2"/>
    <row r="1378" s="20" customFormat="1" x14ac:dyDescent="0.2"/>
    <row r="1379" s="20" customFormat="1" x14ac:dyDescent="0.2"/>
    <row r="1380" s="20" customFormat="1" x14ac:dyDescent="0.2"/>
    <row r="1381" s="20" customFormat="1" x14ac:dyDescent="0.2"/>
    <row r="1382" s="20" customFormat="1" x14ac:dyDescent="0.2"/>
    <row r="1383" s="20" customFormat="1" x14ac:dyDescent="0.2"/>
    <row r="1384" s="20" customFormat="1" x14ac:dyDescent="0.2"/>
    <row r="1385" s="20" customFormat="1" x14ac:dyDescent="0.2"/>
    <row r="1386" s="20" customFormat="1" x14ac:dyDescent="0.2"/>
    <row r="1387" s="20" customFormat="1" x14ac:dyDescent="0.2"/>
    <row r="1388" s="20" customFormat="1" x14ac:dyDescent="0.2"/>
    <row r="1389" s="20" customFormat="1" x14ac:dyDescent="0.2"/>
    <row r="1390" s="20" customFormat="1" x14ac:dyDescent="0.2"/>
    <row r="1391" s="20" customFormat="1" x14ac:dyDescent="0.2"/>
    <row r="1392" s="20" customFormat="1" x14ac:dyDescent="0.2"/>
    <row r="1393" s="20" customFormat="1" x14ac:dyDescent="0.2"/>
    <row r="1394" s="20" customFormat="1" x14ac:dyDescent="0.2"/>
    <row r="1395" s="20" customFormat="1" x14ac:dyDescent="0.2"/>
    <row r="1396" s="20" customFormat="1" x14ac:dyDescent="0.2"/>
    <row r="1397" s="20" customFormat="1" x14ac:dyDescent="0.2"/>
    <row r="1398" s="20" customFormat="1" x14ac:dyDescent="0.2"/>
    <row r="1399" s="20" customFormat="1" x14ac:dyDescent="0.2"/>
    <row r="1400" s="20" customFormat="1" x14ac:dyDescent="0.2"/>
    <row r="1401" s="20" customFormat="1" x14ac:dyDescent="0.2"/>
    <row r="1402" s="20" customFormat="1" x14ac:dyDescent="0.2"/>
    <row r="1403" s="20" customFormat="1" x14ac:dyDescent="0.2"/>
    <row r="1404" s="20" customFormat="1" x14ac:dyDescent="0.2"/>
    <row r="1405" s="20" customFormat="1" x14ac:dyDescent="0.2"/>
    <row r="1406" s="20" customFormat="1" x14ac:dyDescent="0.2"/>
    <row r="1407" s="20" customFormat="1" x14ac:dyDescent="0.2"/>
    <row r="1408" s="20" customFormat="1" x14ac:dyDescent="0.2"/>
    <row r="1409" s="20" customFormat="1" x14ac:dyDescent="0.2"/>
    <row r="1410" s="20" customFormat="1" x14ac:dyDescent="0.2"/>
    <row r="1411" s="20" customFormat="1" x14ac:dyDescent="0.2"/>
    <row r="1412" s="20" customFormat="1" x14ac:dyDescent="0.2"/>
    <row r="1413" s="20" customFormat="1" x14ac:dyDescent="0.2"/>
    <row r="1414" s="20" customFormat="1" x14ac:dyDescent="0.2"/>
    <row r="1415" s="20" customFormat="1" x14ac:dyDescent="0.2"/>
    <row r="1416" s="20" customFormat="1" x14ac:dyDescent="0.2"/>
    <row r="1417" s="20" customFormat="1" x14ac:dyDescent="0.2"/>
    <row r="1418" s="20" customFormat="1" x14ac:dyDescent="0.2"/>
    <row r="1419" s="20" customFormat="1" x14ac:dyDescent="0.2"/>
    <row r="1420" s="20" customFormat="1" x14ac:dyDescent="0.2"/>
    <row r="1421" s="20" customFormat="1" x14ac:dyDescent="0.2"/>
    <row r="1422" s="20" customFormat="1" x14ac:dyDescent="0.2"/>
    <row r="1423" s="20" customFormat="1" x14ac:dyDescent="0.2"/>
    <row r="1424" s="20" customFormat="1" x14ac:dyDescent="0.2"/>
    <row r="1425" s="20" customFormat="1" x14ac:dyDescent="0.2"/>
    <row r="1426" s="20" customFormat="1" x14ac:dyDescent="0.2"/>
    <row r="1427" s="20" customFormat="1" x14ac:dyDescent="0.2"/>
    <row r="1428" s="20" customFormat="1" x14ac:dyDescent="0.2"/>
    <row r="1429" s="20" customFormat="1" x14ac:dyDescent="0.2"/>
    <row r="1430" s="20" customFormat="1" x14ac:dyDescent="0.2"/>
    <row r="1431" s="20" customFormat="1" x14ac:dyDescent="0.2"/>
    <row r="1432" s="20" customFormat="1" x14ac:dyDescent="0.2"/>
    <row r="1433" s="20" customFormat="1" x14ac:dyDescent="0.2"/>
    <row r="1434" s="20" customFormat="1" x14ac:dyDescent="0.2"/>
    <row r="1435" s="20" customFormat="1" x14ac:dyDescent="0.2"/>
    <row r="1436" s="20" customFormat="1" x14ac:dyDescent="0.2"/>
    <row r="1437" s="20" customFormat="1" x14ac:dyDescent="0.2"/>
    <row r="1438" s="20" customFormat="1" x14ac:dyDescent="0.2"/>
    <row r="1439" s="20" customFormat="1" x14ac:dyDescent="0.2"/>
    <row r="1440" s="20" customFormat="1" x14ac:dyDescent="0.2"/>
    <row r="1441" s="20" customFormat="1" x14ac:dyDescent="0.2"/>
    <row r="1442" s="20" customFormat="1" x14ac:dyDescent="0.2"/>
    <row r="1443" s="20" customFormat="1" x14ac:dyDescent="0.2"/>
    <row r="1444" s="20" customFormat="1" x14ac:dyDescent="0.2"/>
    <row r="1445" s="20" customFormat="1" x14ac:dyDescent="0.2"/>
    <row r="1446" s="20" customFormat="1" x14ac:dyDescent="0.2"/>
    <row r="1447" s="20" customFormat="1" x14ac:dyDescent="0.2"/>
    <row r="1448" s="20" customFormat="1" x14ac:dyDescent="0.2"/>
    <row r="1449" s="20" customFormat="1" x14ac:dyDescent="0.2"/>
    <row r="1450" s="20" customFormat="1" x14ac:dyDescent="0.2"/>
    <row r="1451" s="20" customFormat="1" x14ac:dyDescent="0.2"/>
    <row r="1452" s="20" customFormat="1" x14ac:dyDescent="0.2"/>
    <row r="1453" s="20" customFormat="1" x14ac:dyDescent="0.2"/>
    <row r="1454" s="20" customFormat="1" x14ac:dyDescent="0.2"/>
    <row r="1455" s="20" customFormat="1" x14ac:dyDescent="0.2"/>
    <row r="1456" s="20" customFormat="1" x14ac:dyDescent="0.2"/>
    <row r="1457" s="20" customFormat="1" x14ac:dyDescent="0.2"/>
    <row r="1458" s="20" customFormat="1" x14ac:dyDescent="0.2"/>
    <row r="1459" s="20" customFormat="1" x14ac:dyDescent="0.2"/>
    <row r="1460" s="20" customFormat="1" x14ac:dyDescent="0.2"/>
    <row r="1461" s="20" customFormat="1" x14ac:dyDescent="0.2"/>
    <row r="1462" s="20" customFormat="1" x14ac:dyDescent="0.2"/>
    <row r="1463" s="20" customFormat="1" x14ac:dyDescent="0.2"/>
    <row r="1464" s="20" customFormat="1" x14ac:dyDescent="0.2"/>
    <row r="1465" s="20" customFormat="1" x14ac:dyDescent="0.2"/>
    <row r="1466" s="20" customFormat="1" x14ac:dyDescent="0.2"/>
    <row r="1467" s="20" customFormat="1" x14ac:dyDescent="0.2"/>
    <row r="1468" s="20" customFormat="1" x14ac:dyDescent="0.2"/>
    <row r="1469" s="20" customFormat="1" x14ac:dyDescent="0.2"/>
    <row r="1470" s="20" customFormat="1" x14ac:dyDescent="0.2"/>
    <row r="1471" s="20" customFormat="1" x14ac:dyDescent="0.2"/>
    <row r="1472" s="20" customFormat="1" x14ac:dyDescent="0.2"/>
    <row r="1473" s="20" customFormat="1" x14ac:dyDescent="0.2"/>
    <row r="1474" s="20" customFormat="1" x14ac:dyDescent="0.2"/>
    <row r="1475" s="20" customFormat="1" x14ac:dyDescent="0.2"/>
    <row r="1476" s="20" customFormat="1" x14ac:dyDescent="0.2"/>
    <row r="1477" s="20" customFormat="1" x14ac:dyDescent="0.2"/>
    <row r="1478" s="20" customFormat="1" x14ac:dyDescent="0.2"/>
    <row r="1479" s="20" customFormat="1" x14ac:dyDescent="0.2"/>
    <row r="1480" s="20" customFormat="1" x14ac:dyDescent="0.2"/>
    <row r="1481" s="20" customFormat="1" x14ac:dyDescent="0.2"/>
    <row r="1482" s="20" customFormat="1" x14ac:dyDescent="0.2"/>
    <row r="1483" s="20" customFormat="1" x14ac:dyDescent="0.2"/>
    <row r="1484" s="20" customFormat="1" x14ac:dyDescent="0.2"/>
    <row r="1485" s="20" customFormat="1" x14ac:dyDescent="0.2"/>
    <row r="1486" s="20" customFormat="1" x14ac:dyDescent="0.2"/>
    <row r="1487" s="20" customFormat="1" x14ac:dyDescent="0.2"/>
    <row r="1488" s="20" customFormat="1" x14ac:dyDescent="0.2"/>
    <row r="1489" s="20" customFormat="1" x14ac:dyDescent="0.2"/>
    <row r="1490" s="20" customFormat="1" x14ac:dyDescent="0.2"/>
    <row r="1491" s="20" customFormat="1" x14ac:dyDescent="0.2"/>
    <row r="1492" s="20" customFormat="1" x14ac:dyDescent="0.2"/>
    <row r="1493" s="20" customFormat="1" x14ac:dyDescent="0.2"/>
    <row r="1494" s="20" customFormat="1" x14ac:dyDescent="0.2"/>
    <row r="1495" s="20" customFormat="1" x14ac:dyDescent="0.2"/>
    <row r="1496" s="20" customFormat="1" x14ac:dyDescent="0.2"/>
    <row r="1497" s="20" customFormat="1" x14ac:dyDescent="0.2"/>
    <row r="1498" s="20" customFormat="1" x14ac:dyDescent="0.2"/>
    <row r="1499" s="20" customFormat="1" x14ac:dyDescent="0.2"/>
    <row r="1500" s="20" customFormat="1" x14ac:dyDescent="0.2"/>
    <row r="1501" s="20" customFormat="1" x14ac:dyDescent="0.2"/>
    <row r="1502" s="20" customFormat="1" x14ac:dyDescent="0.2"/>
    <row r="1503" s="20" customFormat="1" x14ac:dyDescent="0.2"/>
    <row r="1504" s="20" customFormat="1" x14ac:dyDescent="0.2"/>
    <row r="1505" s="20" customFormat="1" x14ac:dyDescent="0.2"/>
    <row r="1506" s="20" customFormat="1" x14ac:dyDescent="0.2"/>
    <row r="1507" s="20" customFormat="1" x14ac:dyDescent="0.2"/>
    <row r="1508" s="20" customFormat="1" x14ac:dyDescent="0.2"/>
    <row r="1509" s="20" customFormat="1" x14ac:dyDescent="0.2"/>
    <row r="1510" s="20" customFormat="1" x14ac:dyDescent="0.2"/>
    <row r="1511" s="20" customFormat="1" x14ac:dyDescent="0.2"/>
    <row r="1512" s="20" customFormat="1" x14ac:dyDescent="0.2"/>
    <row r="1513" s="20" customFormat="1" x14ac:dyDescent="0.2"/>
    <row r="1514" s="20" customFormat="1" x14ac:dyDescent="0.2"/>
    <row r="1515" s="20" customFormat="1" x14ac:dyDescent="0.2"/>
    <row r="1516" s="20" customFormat="1" x14ac:dyDescent="0.2"/>
    <row r="1517" s="20" customFormat="1" x14ac:dyDescent="0.2"/>
    <row r="1518" s="20" customFormat="1" x14ac:dyDescent="0.2"/>
    <row r="1519" s="20" customFormat="1" x14ac:dyDescent="0.2"/>
    <row r="1520" s="20" customFormat="1" x14ac:dyDescent="0.2"/>
    <row r="1521" s="20" customFormat="1" x14ac:dyDescent="0.2"/>
    <row r="1522" s="20" customFormat="1" x14ac:dyDescent="0.2"/>
    <row r="1523" s="20" customFormat="1" x14ac:dyDescent="0.2"/>
    <row r="1524" s="20" customFormat="1" x14ac:dyDescent="0.2"/>
    <row r="1525" s="20" customFormat="1" x14ac:dyDescent="0.2"/>
    <row r="1526" s="20" customFormat="1" x14ac:dyDescent="0.2"/>
    <row r="1527" s="20" customFormat="1" x14ac:dyDescent="0.2"/>
    <row r="1528" s="20" customFormat="1" x14ac:dyDescent="0.2"/>
    <row r="1529" s="20" customFormat="1" x14ac:dyDescent="0.2"/>
    <row r="1530" s="20" customFormat="1" x14ac:dyDescent="0.2"/>
    <row r="1531" s="20" customFormat="1" x14ac:dyDescent="0.2"/>
    <row r="1532" s="20" customFormat="1" x14ac:dyDescent="0.2"/>
    <row r="1533" s="20" customFormat="1" x14ac:dyDescent="0.2"/>
    <row r="1534" s="20" customFormat="1" x14ac:dyDescent="0.2"/>
    <row r="1535" s="20" customFormat="1" x14ac:dyDescent="0.2"/>
    <row r="1536" s="20" customFormat="1" x14ac:dyDescent="0.2"/>
    <row r="1537" s="20" customFormat="1" x14ac:dyDescent="0.2"/>
    <row r="1538" s="20" customFormat="1" x14ac:dyDescent="0.2"/>
    <row r="1539" s="20" customFormat="1" x14ac:dyDescent="0.2"/>
    <row r="1540" s="20" customFormat="1" x14ac:dyDescent="0.2"/>
    <row r="1541" s="20" customFormat="1" x14ac:dyDescent="0.2"/>
    <row r="1542" s="20" customFormat="1" x14ac:dyDescent="0.2"/>
    <row r="1543" s="20" customFormat="1" x14ac:dyDescent="0.2"/>
    <row r="1544" s="20" customFormat="1" x14ac:dyDescent="0.2"/>
    <row r="1545" s="20" customFormat="1" x14ac:dyDescent="0.2"/>
    <row r="1546" s="20" customFormat="1" x14ac:dyDescent="0.2"/>
    <row r="1547" s="20" customFormat="1" x14ac:dyDescent="0.2"/>
    <row r="1548" s="20" customFormat="1" x14ac:dyDescent="0.2"/>
    <row r="1549" s="20" customFormat="1" x14ac:dyDescent="0.2"/>
    <row r="1550" s="20" customFormat="1" x14ac:dyDescent="0.2"/>
    <row r="1551" s="20" customFormat="1" x14ac:dyDescent="0.2"/>
    <row r="1552" s="20" customFormat="1" x14ac:dyDescent="0.2"/>
    <row r="1553" s="20" customFormat="1" x14ac:dyDescent="0.2"/>
    <row r="1554" s="20" customFormat="1" x14ac:dyDescent="0.2"/>
    <row r="1555" s="20" customFormat="1" x14ac:dyDescent="0.2"/>
    <row r="1556" s="20" customFormat="1" x14ac:dyDescent="0.2"/>
    <row r="1557" s="20" customFormat="1" x14ac:dyDescent="0.2"/>
    <row r="1558" s="20" customFormat="1" x14ac:dyDescent="0.2"/>
    <row r="1559" s="20" customFormat="1" x14ac:dyDescent="0.2"/>
    <row r="1560" s="20" customFormat="1" x14ac:dyDescent="0.2"/>
    <row r="1561" s="20" customFormat="1" x14ac:dyDescent="0.2"/>
    <row r="1562" s="20" customFormat="1" x14ac:dyDescent="0.2"/>
    <row r="1563" s="20" customFormat="1" x14ac:dyDescent="0.2"/>
    <row r="1564" s="20" customFormat="1" x14ac:dyDescent="0.2"/>
    <row r="1565" s="20" customFormat="1" x14ac:dyDescent="0.2"/>
    <row r="1566" s="20" customFormat="1" x14ac:dyDescent="0.2"/>
    <row r="1567" s="20" customFormat="1" x14ac:dyDescent="0.2"/>
    <row r="1568" s="20" customFormat="1" x14ac:dyDescent="0.2"/>
    <row r="1569" s="20" customFormat="1" x14ac:dyDescent="0.2"/>
    <row r="1570" s="20" customFormat="1" x14ac:dyDescent="0.2"/>
    <row r="1571" s="20" customFormat="1" x14ac:dyDescent="0.2"/>
    <row r="1572" s="20" customFormat="1" x14ac:dyDescent="0.2"/>
    <row r="1573" s="20" customFormat="1" x14ac:dyDescent="0.2"/>
    <row r="1574" s="20" customFormat="1" x14ac:dyDescent="0.2"/>
    <row r="1575" s="20" customFormat="1" x14ac:dyDescent="0.2"/>
    <row r="1576" s="20" customFormat="1" x14ac:dyDescent="0.2"/>
    <row r="1577" s="20" customFormat="1" x14ac:dyDescent="0.2"/>
    <row r="1578" s="20" customFormat="1" x14ac:dyDescent="0.2"/>
    <row r="1579" s="20" customFormat="1" x14ac:dyDescent="0.2"/>
    <row r="1580" s="20" customFormat="1" x14ac:dyDescent="0.2"/>
    <row r="1581" s="20" customFormat="1" x14ac:dyDescent="0.2"/>
    <row r="1582" s="20" customFormat="1" x14ac:dyDescent="0.2"/>
    <row r="1583" s="20" customFormat="1" x14ac:dyDescent="0.2"/>
    <row r="1584" s="20" customFormat="1" x14ac:dyDescent="0.2"/>
    <row r="1585" s="20" customFormat="1" x14ac:dyDescent="0.2"/>
    <row r="1586" s="20" customFormat="1" x14ac:dyDescent="0.2"/>
    <row r="1587" s="20" customFormat="1" x14ac:dyDescent="0.2"/>
    <row r="1588" s="20" customFormat="1" x14ac:dyDescent="0.2"/>
    <row r="1589" s="20" customFormat="1" x14ac:dyDescent="0.2"/>
    <row r="1590" s="20" customFormat="1" x14ac:dyDescent="0.2"/>
    <row r="1591" s="20" customFormat="1" x14ac:dyDescent="0.2"/>
    <row r="1592" s="20" customFormat="1" x14ac:dyDescent="0.2"/>
    <row r="1593" s="20" customFormat="1" x14ac:dyDescent="0.2"/>
    <row r="1594" s="20" customFormat="1" x14ac:dyDescent="0.2"/>
    <row r="1595" s="20" customFormat="1" x14ac:dyDescent="0.2"/>
    <row r="1596" s="20" customFormat="1" x14ac:dyDescent="0.2"/>
    <row r="1597" s="20" customFormat="1" x14ac:dyDescent="0.2"/>
    <row r="1598" s="20" customFormat="1" x14ac:dyDescent="0.2"/>
    <row r="1599" s="20" customFormat="1" x14ac:dyDescent="0.2"/>
    <row r="1600" s="20" customFormat="1" x14ac:dyDescent="0.2"/>
    <row r="1601" s="20" customFormat="1" x14ac:dyDescent="0.2"/>
    <row r="1602" s="20" customFormat="1" x14ac:dyDescent="0.2"/>
    <row r="1603" s="20" customFormat="1" x14ac:dyDescent="0.2"/>
    <row r="1604" s="20" customFormat="1" x14ac:dyDescent="0.2"/>
    <row r="1605" s="20" customFormat="1" x14ac:dyDescent="0.2"/>
    <row r="1606" s="20" customFormat="1" x14ac:dyDescent="0.2"/>
    <row r="1607" s="20" customFormat="1" x14ac:dyDescent="0.2"/>
    <row r="1608" s="20" customFormat="1" x14ac:dyDescent="0.2"/>
    <row r="1609" s="20" customFormat="1" x14ac:dyDescent="0.2"/>
    <row r="1610" s="20" customFormat="1" x14ac:dyDescent="0.2"/>
    <row r="1611" s="20" customFormat="1" x14ac:dyDescent="0.2"/>
    <row r="1612" s="20" customFormat="1" x14ac:dyDescent="0.2"/>
    <row r="1613" s="20" customFormat="1" x14ac:dyDescent="0.2"/>
    <row r="1614" s="20" customFormat="1" x14ac:dyDescent="0.2"/>
    <row r="1615" s="20" customFormat="1" x14ac:dyDescent="0.2"/>
    <row r="1616" s="20" customFormat="1" x14ac:dyDescent="0.2"/>
    <row r="1617" s="20" customFormat="1" x14ac:dyDescent="0.2"/>
    <row r="1618" s="20" customFormat="1" x14ac:dyDescent="0.2"/>
    <row r="1619" s="20" customFormat="1" x14ac:dyDescent="0.2"/>
    <row r="1620" s="20" customFormat="1" x14ac:dyDescent="0.2"/>
    <row r="1621" s="20" customFormat="1" x14ac:dyDescent="0.2"/>
    <row r="1622" s="20" customFormat="1" x14ac:dyDescent="0.2"/>
    <row r="1623" s="20" customFormat="1" x14ac:dyDescent="0.2"/>
    <row r="1624" s="20" customFormat="1" x14ac:dyDescent="0.2"/>
    <row r="1625" s="20" customFormat="1" x14ac:dyDescent="0.2"/>
    <row r="1626" s="20" customFormat="1" x14ac:dyDescent="0.2"/>
    <row r="1627" s="20" customFormat="1" x14ac:dyDescent="0.2"/>
    <row r="1628" s="20" customFormat="1" x14ac:dyDescent="0.2"/>
    <row r="1629" s="20" customFormat="1" x14ac:dyDescent="0.2"/>
    <row r="1630" s="20" customFormat="1" x14ac:dyDescent="0.2"/>
    <row r="1631" s="20" customFormat="1" x14ac:dyDescent="0.2"/>
    <row r="1632" s="20" customFormat="1" x14ac:dyDescent="0.2"/>
    <row r="1633" s="20" customFormat="1" x14ac:dyDescent="0.2"/>
    <row r="1634" s="20" customFormat="1" x14ac:dyDescent="0.2"/>
    <row r="1635" s="20" customFormat="1" x14ac:dyDescent="0.2"/>
    <row r="1636" s="20" customFormat="1" x14ac:dyDescent="0.2"/>
    <row r="1637" s="20" customFormat="1" x14ac:dyDescent="0.2"/>
    <row r="1638" s="20" customFormat="1" x14ac:dyDescent="0.2"/>
    <row r="1639" s="20" customFormat="1" x14ac:dyDescent="0.2"/>
    <row r="1640" s="20" customFormat="1" x14ac:dyDescent="0.2"/>
    <row r="1641" s="20" customFormat="1" x14ac:dyDescent="0.2"/>
    <row r="1642" s="20" customFormat="1" x14ac:dyDescent="0.2"/>
    <row r="1643" s="20" customFormat="1" x14ac:dyDescent="0.2"/>
    <row r="1644" s="20" customFormat="1" x14ac:dyDescent="0.2"/>
    <row r="1645" s="20" customFormat="1" x14ac:dyDescent="0.2"/>
    <row r="1646" s="20" customFormat="1" x14ac:dyDescent="0.2"/>
    <row r="1647" s="20" customFormat="1" x14ac:dyDescent="0.2"/>
    <row r="1648" s="20" customFormat="1" x14ac:dyDescent="0.2"/>
    <row r="1649" s="20" customFormat="1" x14ac:dyDescent="0.2"/>
    <row r="1650" s="20" customFormat="1" x14ac:dyDescent="0.2"/>
    <row r="1651" s="20" customFormat="1" x14ac:dyDescent="0.2"/>
    <row r="1652" s="20" customFormat="1" x14ac:dyDescent="0.2"/>
    <row r="1653" s="20" customFormat="1" x14ac:dyDescent="0.2"/>
    <row r="1654" s="20" customFormat="1" x14ac:dyDescent="0.2"/>
    <row r="1655" s="20" customFormat="1" x14ac:dyDescent="0.2"/>
    <row r="1656" s="20" customFormat="1" x14ac:dyDescent="0.2"/>
    <row r="1657" s="20" customFormat="1" x14ac:dyDescent="0.2"/>
    <row r="1658" s="20" customFormat="1" x14ac:dyDescent="0.2"/>
    <row r="1659" s="20" customFormat="1" x14ac:dyDescent="0.2"/>
    <row r="1660" s="20" customFormat="1" x14ac:dyDescent="0.2"/>
    <row r="1661" s="20" customFormat="1" x14ac:dyDescent="0.2"/>
    <row r="1662" s="20" customFormat="1" x14ac:dyDescent="0.2"/>
    <row r="1663" s="20" customFormat="1" x14ac:dyDescent="0.2"/>
    <row r="1664" s="20" customFormat="1" x14ac:dyDescent="0.2"/>
    <row r="1665" s="20" customFormat="1" x14ac:dyDescent="0.2"/>
    <row r="1666" s="20" customFormat="1" x14ac:dyDescent="0.2"/>
    <row r="1667" s="20" customFormat="1" x14ac:dyDescent="0.2"/>
    <row r="1668" s="20" customFormat="1" x14ac:dyDescent="0.2"/>
    <row r="1669" s="20" customFormat="1" x14ac:dyDescent="0.2"/>
    <row r="1670" s="20" customFormat="1" x14ac:dyDescent="0.2"/>
    <row r="1671" s="20" customFormat="1" x14ac:dyDescent="0.2"/>
    <row r="1672" s="20" customFormat="1" x14ac:dyDescent="0.2"/>
    <row r="1673" s="20" customFormat="1" x14ac:dyDescent="0.2"/>
    <row r="1674" s="20" customFormat="1" x14ac:dyDescent="0.2"/>
    <row r="1675" s="20" customFormat="1" x14ac:dyDescent="0.2"/>
    <row r="1676" s="20" customFormat="1" x14ac:dyDescent="0.2"/>
    <row r="1677" s="20" customFormat="1" x14ac:dyDescent="0.2"/>
    <row r="1678" s="20" customFormat="1" x14ac:dyDescent="0.2"/>
    <row r="1679" s="20" customFormat="1" x14ac:dyDescent="0.2"/>
    <row r="1680" s="20" customFormat="1" x14ac:dyDescent="0.2"/>
    <row r="1681" s="20" customFormat="1" x14ac:dyDescent="0.2"/>
    <row r="1682" s="20" customFormat="1" x14ac:dyDescent="0.2"/>
    <row r="1683" s="20" customFormat="1" x14ac:dyDescent="0.2"/>
    <row r="1684" s="20" customFormat="1" x14ac:dyDescent="0.2"/>
    <row r="1685" s="20" customFormat="1" x14ac:dyDescent="0.2"/>
    <row r="1686" s="20" customFormat="1" x14ac:dyDescent="0.2"/>
    <row r="1687" s="20" customFormat="1" x14ac:dyDescent="0.2"/>
    <row r="1688" s="20" customFormat="1" x14ac:dyDescent="0.2"/>
    <row r="1689" s="20" customFormat="1" x14ac:dyDescent="0.2"/>
    <row r="1690" s="20" customFormat="1" x14ac:dyDescent="0.2"/>
    <row r="1691" s="20" customFormat="1" x14ac:dyDescent="0.2"/>
    <row r="1692" s="20" customFormat="1" x14ac:dyDescent="0.2"/>
    <row r="1693" s="20" customFormat="1" x14ac:dyDescent="0.2"/>
    <row r="1694" s="20" customFormat="1" x14ac:dyDescent="0.2"/>
    <row r="1695" s="20" customFormat="1" x14ac:dyDescent="0.2"/>
    <row r="1696" s="20" customFormat="1" x14ac:dyDescent="0.2"/>
    <row r="1697" s="20" customFormat="1" x14ac:dyDescent="0.2"/>
    <row r="1698" s="20" customFormat="1" x14ac:dyDescent="0.2"/>
    <row r="1699" s="20" customFormat="1" x14ac:dyDescent="0.2"/>
    <row r="1700" s="20" customFormat="1" x14ac:dyDescent="0.2"/>
    <row r="1701" s="20" customFormat="1" x14ac:dyDescent="0.2"/>
    <row r="1702" s="20" customFormat="1" x14ac:dyDescent="0.2"/>
    <row r="1703" s="20" customFormat="1" x14ac:dyDescent="0.2"/>
    <row r="1704" s="20" customFormat="1" x14ac:dyDescent="0.2"/>
    <row r="1705" s="20" customFormat="1" x14ac:dyDescent="0.2"/>
    <row r="1706" s="20" customFormat="1" x14ac:dyDescent="0.2"/>
    <row r="1707" s="20" customFormat="1" x14ac:dyDescent="0.2"/>
    <row r="1708" s="20" customFormat="1" x14ac:dyDescent="0.2"/>
    <row r="1709" s="20" customFormat="1" x14ac:dyDescent="0.2"/>
    <row r="1710" s="20" customFormat="1" x14ac:dyDescent="0.2"/>
    <row r="1711" s="20" customFormat="1" x14ac:dyDescent="0.2"/>
    <row r="1712" s="20" customFormat="1" x14ac:dyDescent="0.2"/>
    <row r="1713" s="20" customFormat="1" x14ac:dyDescent="0.2"/>
    <row r="1714" s="20" customFormat="1" x14ac:dyDescent="0.2"/>
    <row r="1715" s="20" customFormat="1" x14ac:dyDescent="0.2"/>
    <row r="1716" s="20" customFormat="1" x14ac:dyDescent="0.2"/>
    <row r="1717" s="20" customFormat="1" x14ac:dyDescent="0.2"/>
    <row r="1718" s="20" customFormat="1" x14ac:dyDescent="0.2"/>
    <row r="1719" s="20" customFormat="1" x14ac:dyDescent="0.2"/>
    <row r="1720" s="20" customFormat="1" x14ac:dyDescent="0.2"/>
    <row r="1721" s="20" customFormat="1" x14ac:dyDescent="0.2"/>
    <row r="1722" s="20" customFormat="1" x14ac:dyDescent="0.2"/>
    <row r="1723" s="20" customFormat="1" x14ac:dyDescent="0.2"/>
    <row r="1724" s="20" customFormat="1" x14ac:dyDescent="0.2"/>
    <row r="1725" s="20" customFormat="1" x14ac:dyDescent="0.2"/>
    <row r="1726" s="20" customFormat="1" x14ac:dyDescent="0.2"/>
    <row r="1727" s="20" customFormat="1" x14ac:dyDescent="0.2"/>
    <row r="1728" s="20" customFormat="1" x14ac:dyDescent="0.2"/>
    <row r="1729" s="20" customFormat="1" x14ac:dyDescent="0.2"/>
    <row r="1730" s="20" customFormat="1" x14ac:dyDescent="0.2"/>
    <row r="1731" s="20" customFormat="1" x14ac:dyDescent="0.2"/>
    <row r="1732" s="20" customFormat="1" x14ac:dyDescent="0.2"/>
    <row r="1733" s="20" customFormat="1" x14ac:dyDescent="0.2"/>
    <row r="1734" s="20" customFormat="1" x14ac:dyDescent="0.2"/>
    <row r="1735" s="20" customFormat="1" x14ac:dyDescent="0.2"/>
    <row r="1736" s="20" customFormat="1" x14ac:dyDescent="0.2"/>
    <row r="1737" s="20" customFormat="1" x14ac:dyDescent="0.2"/>
    <row r="1738" s="20" customFormat="1" x14ac:dyDescent="0.2"/>
    <row r="1739" s="20" customFormat="1" x14ac:dyDescent="0.2"/>
    <row r="1740" s="20" customFormat="1" x14ac:dyDescent="0.2"/>
    <row r="1741" s="20" customFormat="1" x14ac:dyDescent="0.2"/>
    <row r="1742" s="20" customFormat="1" x14ac:dyDescent="0.2"/>
    <row r="1743" s="20" customFormat="1" x14ac:dyDescent="0.2"/>
    <row r="1744" s="20" customFormat="1" x14ac:dyDescent="0.2"/>
    <row r="1745" s="20" customFormat="1" x14ac:dyDescent="0.2"/>
    <row r="1746" s="20" customFormat="1" x14ac:dyDescent="0.2"/>
    <row r="1747" s="20" customFormat="1" x14ac:dyDescent="0.2"/>
    <row r="1748" s="20" customFormat="1" x14ac:dyDescent="0.2"/>
    <row r="1749" s="20" customFormat="1" x14ac:dyDescent="0.2"/>
    <row r="1750" s="20" customFormat="1" x14ac:dyDescent="0.2"/>
    <row r="1751" s="20" customFormat="1" x14ac:dyDescent="0.2"/>
    <row r="1752" s="20" customFormat="1" x14ac:dyDescent="0.2"/>
    <row r="1753" s="20" customFormat="1" x14ac:dyDescent="0.2"/>
    <row r="1754" s="20" customFormat="1" x14ac:dyDescent="0.2"/>
    <row r="1755" s="20" customFormat="1" x14ac:dyDescent="0.2"/>
    <row r="1756" s="20" customFormat="1" x14ac:dyDescent="0.2"/>
    <row r="1757" s="20" customFormat="1" x14ac:dyDescent="0.2"/>
    <row r="1758" s="20" customFormat="1" x14ac:dyDescent="0.2"/>
    <row r="1759" s="20" customFormat="1" x14ac:dyDescent="0.2"/>
    <row r="1760" s="20" customFormat="1" x14ac:dyDescent="0.2"/>
    <row r="1761" s="20" customFormat="1" x14ac:dyDescent="0.2"/>
    <row r="1762" s="20" customFormat="1" x14ac:dyDescent="0.2"/>
    <row r="1763" s="20" customFormat="1" x14ac:dyDescent="0.2"/>
    <row r="1764" s="20" customFormat="1" x14ac:dyDescent="0.2"/>
    <row r="1765" s="20" customFormat="1" x14ac:dyDescent="0.2"/>
    <row r="1766" s="20" customFormat="1" x14ac:dyDescent="0.2"/>
    <row r="1767" s="20" customFormat="1" x14ac:dyDescent="0.2"/>
    <row r="1768" s="20" customFormat="1" x14ac:dyDescent="0.2"/>
    <row r="1769" s="20" customFormat="1" x14ac:dyDescent="0.2"/>
    <row r="1770" s="20" customFormat="1" x14ac:dyDescent="0.2"/>
    <row r="1771" s="20" customFormat="1" x14ac:dyDescent="0.2"/>
    <row r="1772" s="20" customFormat="1" x14ac:dyDescent="0.2"/>
    <row r="1773" s="20" customFormat="1" x14ac:dyDescent="0.2"/>
    <row r="1774" s="20" customFormat="1" x14ac:dyDescent="0.2"/>
    <row r="1775" s="20" customFormat="1" x14ac:dyDescent="0.2"/>
    <row r="1776" s="20" customFormat="1" x14ac:dyDescent="0.2"/>
    <row r="1777" s="20" customFormat="1" x14ac:dyDescent="0.2"/>
    <row r="1778" s="20" customFormat="1" x14ac:dyDescent="0.2"/>
    <row r="1779" s="20" customFormat="1" x14ac:dyDescent="0.2"/>
    <row r="1780" s="20" customFormat="1" x14ac:dyDescent="0.2"/>
    <row r="1781" s="20" customFormat="1" x14ac:dyDescent="0.2"/>
    <row r="1782" s="20" customFormat="1" x14ac:dyDescent="0.2"/>
    <row r="1783" s="20" customFormat="1" x14ac:dyDescent="0.2"/>
    <row r="1784" s="20" customFormat="1" x14ac:dyDescent="0.2"/>
    <row r="1785" s="20" customFormat="1" x14ac:dyDescent="0.2"/>
    <row r="1786" s="20" customFormat="1" x14ac:dyDescent="0.2"/>
    <row r="1787" s="20" customFormat="1" x14ac:dyDescent="0.2"/>
    <row r="1788" s="20" customFormat="1" x14ac:dyDescent="0.2"/>
    <row r="1789" s="20" customFormat="1" x14ac:dyDescent="0.2"/>
    <row r="1790" s="20" customFormat="1" x14ac:dyDescent="0.2"/>
    <row r="1791" s="20" customFormat="1" x14ac:dyDescent="0.2"/>
    <row r="1792" s="20" customFormat="1" x14ac:dyDescent="0.2"/>
    <row r="1793" s="20" customFormat="1" x14ac:dyDescent="0.2"/>
    <row r="1794" s="20" customFormat="1" x14ac:dyDescent="0.2"/>
    <row r="1795" s="20" customFormat="1" x14ac:dyDescent="0.2"/>
    <row r="1796" s="20" customFormat="1" x14ac:dyDescent="0.2"/>
    <row r="1797" s="20" customFormat="1" x14ac:dyDescent="0.2"/>
    <row r="1798" s="20" customFormat="1" x14ac:dyDescent="0.2"/>
    <row r="1799" s="20" customFormat="1" x14ac:dyDescent="0.2"/>
    <row r="1800" s="20" customFormat="1" x14ac:dyDescent="0.2"/>
    <row r="1801" s="20" customFormat="1" x14ac:dyDescent="0.2"/>
    <row r="1802" s="20" customFormat="1" x14ac:dyDescent="0.2"/>
    <row r="1803" s="20" customFormat="1" x14ac:dyDescent="0.2"/>
    <row r="1804" s="20" customFormat="1" x14ac:dyDescent="0.2"/>
    <row r="1805" s="20" customFormat="1" x14ac:dyDescent="0.2"/>
    <row r="1806" s="20" customFormat="1" x14ac:dyDescent="0.2"/>
    <row r="1807" s="20" customFormat="1" x14ac:dyDescent="0.2"/>
    <row r="1808" s="20" customFormat="1" x14ac:dyDescent="0.2"/>
    <row r="1809" s="20" customFormat="1" x14ac:dyDescent="0.2"/>
    <row r="1810" s="20" customFormat="1" x14ac:dyDescent="0.2"/>
    <row r="1811" s="20" customFormat="1" x14ac:dyDescent="0.2"/>
    <row r="1812" s="20" customFormat="1" x14ac:dyDescent="0.2"/>
    <row r="1813" s="20" customFormat="1" x14ac:dyDescent="0.2"/>
    <row r="1814" s="20" customFormat="1" x14ac:dyDescent="0.2"/>
    <row r="1815" s="20" customFormat="1" x14ac:dyDescent="0.2"/>
    <row r="1816" s="20" customFormat="1" x14ac:dyDescent="0.2"/>
    <row r="1817" s="20" customFormat="1" x14ac:dyDescent="0.2"/>
    <row r="1818" s="20" customFormat="1" x14ac:dyDescent="0.2"/>
    <row r="1819" s="20" customFormat="1" x14ac:dyDescent="0.2"/>
    <row r="1820" s="20" customFormat="1" x14ac:dyDescent="0.2"/>
    <row r="1821" s="20" customFormat="1" x14ac:dyDescent="0.2"/>
    <row r="1822" s="20" customFormat="1" x14ac:dyDescent="0.2"/>
    <row r="1823" s="20" customFormat="1" x14ac:dyDescent="0.2"/>
    <row r="1824" s="20" customFormat="1" x14ac:dyDescent="0.2"/>
    <row r="1825" s="20" customFormat="1" x14ac:dyDescent="0.2"/>
    <row r="1826" s="20" customFormat="1" x14ac:dyDescent="0.2"/>
    <row r="1827" s="20" customFormat="1" x14ac:dyDescent="0.2"/>
    <row r="1828" s="20" customFormat="1" x14ac:dyDescent="0.2"/>
    <row r="1829" s="20" customFormat="1" x14ac:dyDescent="0.2"/>
    <row r="1830" s="20" customFormat="1" x14ac:dyDescent="0.2"/>
    <row r="1831" s="20" customFormat="1" x14ac:dyDescent="0.2"/>
    <row r="1832" s="20" customFormat="1" x14ac:dyDescent="0.2"/>
    <row r="1833" s="20" customFormat="1" x14ac:dyDescent="0.2"/>
    <row r="1834" s="20" customFormat="1" x14ac:dyDescent="0.2"/>
    <row r="1835" s="20" customFormat="1" x14ac:dyDescent="0.2"/>
    <row r="1836" s="20" customFormat="1" x14ac:dyDescent="0.2"/>
    <row r="1837" s="20" customFormat="1" x14ac:dyDescent="0.2"/>
    <row r="1838" s="20" customFormat="1" x14ac:dyDescent="0.2"/>
    <row r="1839" s="20" customFormat="1" x14ac:dyDescent="0.2"/>
    <row r="1840" s="20" customFormat="1" x14ac:dyDescent="0.2"/>
    <row r="1841" s="20" customFormat="1" x14ac:dyDescent="0.2"/>
    <row r="1842" s="20" customFormat="1" x14ac:dyDescent="0.2"/>
    <row r="1843" s="20" customFormat="1" x14ac:dyDescent="0.2"/>
    <row r="1844" s="20" customFormat="1" x14ac:dyDescent="0.2"/>
    <row r="1845" s="20" customFormat="1" x14ac:dyDescent="0.2"/>
    <row r="1846" s="20" customFormat="1" x14ac:dyDescent="0.2"/>
    <row r="1847" s="20" customFormat="1" x14ac:dyDescent="0.2"/>
    <row r="1848" s="20" customFormat="1" x14ac:dyDescent="0.2"/>
    <row r="1849" s="20" customFormat="1" x14ac:dyDescent="0.2"/>
    <row r="1850" s="20" customFormat="1" x14ac:dyDescent="0.2"/>
    <row r="1851" s="20" customFormat="1" x14ac:dyDescent="0.2"/>
    <row r="1852" s="20" customFormat="1" x14ac:dyDescent="0.2"/>
    <row r="1853" s="20" customFormat="1" x14ac:dyDescent="0.2"/>
    <row r="1854" s="20" customFormat="1" x14ac:dyDescent="0.2"/>
    <row r="1855" s="20" customFormat="1" x14ac:dyDescent="0.2"/>
    <row r="1856" s="20" customFormat="1" x14ac:dyDescent="0.2"/>
    <row r="1857" s="20" customFormat="1" x14ac:dyDescent="0.2"/>
    <row r="1858" s="20" customFormat="1" x14ac:dyDescent="0.2"/>
    <row r="1859" s="20" customFormat="1" x14ac:dyDescent="0.2"/>
    <row r="1860" s="20" customFormat="1" x14ac:dyDescent="0.2"/>
    <row r="1861" s="20" customFormat="1" x14ac:dyDescent="0.2"/>
    <row r="1862" s="20" customFormat="1" x14ac:dyDescent="0.2"/>
    <row r="1863" s="20" customFormat="1" x14ac:dyDescent="0.2"/>
    <row r="1864" s="20" customFormat="1" x14ac:dyDescent="0.2"/>
    <row r="1865" s="20" customFormat="1" x14ac:dyDescent="0.2"/>
    <row r="1866" s="20" customFormat="1" x14ac:dyDescent="0.2"/>
    <row r="1867" s="20" customFormat="1" x14ac:dyDescent="0.2"/>
    <row r="1868" s="20" customFormat="1" x14ac:dyDescent="0.2"/>
    <row r="1869" s="20" customFormat="1" x14ac:dyDescent="0.2"/>
    <row r="1870" s="20" customFormat="1" x14ac:dyDescent="0.2"/>
    <row r="1871" s="20" customFormat="1" x14ac:dyDescent="0.2"/>
    <row r="1872" s="20" customFormat="1" x14ac:dyDescent="0.2"/>
    <row r="1873" s="20" customFormat="1" x14ac:dyDescent="0.2"/>
    <row r="1874" s="20" customFormat="1" x14ac:dyDescent="0.2"/>
    <row r="1875" s="20" customFormat="1" x14ac:dyDescent="0.2"/>
    <row r="1876" s="20" customFormat="1" x14ac:dyDescent="0.2"/>
    <row r="1877" s="20" customFormat="1" x14ac:dyDescent="0.2"/>
    <row r="1878" s="20" customFormat="1" x14ac:dyDescent="0.2"/>
    <row r="1879" s="20" customFormat="1" x14ac:dyDescent="0.2"/>
    <row r="1880" s="20" customFormat="1" x14ac:dyDescent="0.2"/>
    <row r="1881" s="20" customFormat="1" x14ac:dyDescent="0.2"/>
    <row r="1882" s="20" customFormat="1" x14ac:dyDescent="0.2"/>
    <row r="1883" s="20" customFormat="1" x14ac:dyDescent="0.2"/>
    <row r="1884" s="20" customFormat="1" x14ac:dyDescent="0.2"/>
    <row r="1885" s="20" customFormat="1" x14ac:dyDescent="0.2"/>
    <row r="1886" s="20" customFormat="1" x14ac:dyDescent="0.2"/>
    <row r="1887" s="20" customFormat="1" x14ac:dyDescent="0.2"/>
    <row r="1888" s="20" customFormat="1" x14ac:dyDescent="0.2"/>
    <row r="1889" s="20" customFormat="1" x14ac:dyDescent="0.2"/>
    <row r="1890" s="20" customFormat="1" x14ac:dyDescent="0.2"/>
    <row r="1891" s="20" customFormat="1" x14ac:dyDescent="0.2"/>
    <row r="1892" s="20" customFormat="1" x14ac:dyDescent="0.2"/>
    <row r="1893" s="20" customFormat="1" x14ac:dyDescent="0.2"/>
    <row r="1894" s="20" customFormat="1" x14ac:dyDescent="0.2"/>
    <row r="1895" s="20" customFormat="1" x14ac:dyDescent="0.2"/>
    <row r="1896" s="20" customFormat="1" x14ac:dyDescent="0.2"/>
    <row r="1897" s="20" customFormat="1" x14ac:dyDescent="0.2"/>
    <row r="1898" s="20" customFormat="1" x14ac:dyDescent="0.2"/>
    <row r="1899" s="20" customFormat="1" x14ac:dyDescent="0.2"/>
    <row r="1900" s="20" customFormat="1" x14ac:dyDescent="0.2"/>
    <row r="1901" s="20" customFormat="1" x14ac:dyDescent="0.2"/>
    <row r="1902" s="20" customFormat="1" x14ac:dyDescent="0.2"/>
    <row r="1903" s="20" customFormat="1" x14ac:dyDescent="0.2"/>
    <row r="1904" s="20" customFormat="1" x14ac:dyDescent="0.2"/>
    <row r="1905" s="20" customFormat="1" x14ac:dyDescent="0.2"/>
    <row r="1906" s="20" customFormat="1" x14ac:dyDescent="0.2"/>
    <row r="1907" s="20" customFormat="1" x14ac:dyDescent="0.2"/>
    <row r="1908" s="20" customFormat="1" x14ac:dyDescent="0.2"/>
    <row r="1909" s="20" customFormat="1" x14ac:dyDescent="0.2"/>
    <row r="1910" s="20" customFormat="1" x14ac:dyDescent="0.2"/>
    <row r="1911" s="20" customFormat="1" x14ac:dyDescent="0.2"/>
    <row r="1912" s="20" customFormat="1" x14ac:dyDescent="0.2"/>
    <row r="1913" s="20" customFormat="1" x14ac:dyDescent="0.2"/>
    <row r="1914" s="20" customFormat="1" x14ac:dyDescent="0.2"/>
    <row r="1915" s="20" customFormat="1" x14ac:dyDescent="0.2"/>
    <row r="1916" s="20" customFormat="1" x14ac:dyDescent="0.2"/>
    <row r="1917" s="20" customFormat="1" x14ac:dyDescent="0.2"/>
    <row r="1918" s="20" customFormat="1" x14ac:dyDescent="0.2"/>
    <row r="1919" s="20" customFormat="1" x14ac:dyDescent="0.2"/>
    <row r="1920" s="20" customFormat="1" x14ac:dyDescent="0.2"/>
    <row r="1921" s="20" customFormat="1" x14ac:dyDescent="0.2"/>
    <row r="1922" s="20" customFormat="1" x14ac:dyDescent="0.2"/>
    <row r="1923" s="20" customFormat="1" x14ac:dyDescent="0.2"/>
    <row r="1924" s="20" customFormat="1" x14ac:dyDescent="0.2"/>
    <row r="1925" s="20" customFormat="1" x14ac:dyDescent="0.2"/>
    <row r="1926" s="20" customFormat="1" x14ac:dyDescent="0.2"/>
    <row r="1927" s="20" customFormat="1" x14ac:dyDescent="0.2"/>
    <row r="1928" s="20" customFormat="1" x14ac:dyDescent="0.2"/>
    <row r="1929" s="20" customFormat="1" x14ac:dyDescent="0.2"/>
    <row r="1930" s="20" customFormat="1" x14ac:dyDescent="0.2"/>
    <row r="1931" s="20" customFormat="1" x14ac:dyDescent="0.2"/>
    <row r="1932" s="20" customFormat="1" x14ac:dyDescent="0.2"/>
    <row r="1933" s="20" customFormat="1" x14ac:dyDescent="0.2"/>
    <row r="1934" s="20" customFormat="1" x14ac:dyDescent="0.2"/>
    <row r="1935" s="20" customFormat="1" x14ac:dyDescent="0.2"/>
    <row r="1936" s="20" customFormat="1" x14ac:dyDescent="0.2"/>
    <row r="1937" s="20" customFormat="1" x14ac:dyDescent="0.2"/>
    <row r="1938" s="20" customFormat="1" x14ac:dyDescent="0.2"/>
    <row r="1939" s="20" customFormat="1" x14ac:dyDescent="0.2"/>
    <row r="1940" s="20" customFormat="1" x14ac:dyDescent="0.2"/>
    <row r="1941" s="20" customFormat="1" x14ac:dyDescent="0.2"/>
    <row r="1942" s="20" customFormat="1" x14ac:dyDescent="0.2"/>
    <row r="1943" s="20" customFormat="1" x14ac:dyDescent="0.2"/>
    <row r="1944" s="20" customFormat="1" x14ac:dyDescent="0.2"/>
    <row r="1945" s="20" customFormat="1" x14ac:dyDescent="0.2"/>
    <row r="1946" s="20" customFormat="1" x14ac:dyDescent="0.2"/>
    <row r="1947" s="20" customFormat="1" x14ac:dyDescent="0.2"/>
    <row r="1948" s="20" customFormat="1" x14ac:dyDescent="0.2"/>
    <row r="1949" s="20" customFormat="1" x14ac:dyDescent="0.2"/>
    <row r="1950" s="20" customFormat="1" x14ac:dyDescent="0.2"/>
    <row r="1951" s="20" customFormat="1" x14ac:dyDescent="0.2"/>
    <row r="1952" s="20" customFormat="1" x14ac:dyDescent="0.2"/>
    <row r="1953" s="20" customFormat="1" x14ac:dyDescent="0.2"/>
    <row r="1954" s="20" customFormat="1" x14ac:dyDescent="0.2"/>
    <row r="1955" s="20" customFormat="1" x14ac:dyDescent="0.2"/>
    <row r="1956" s="20" customFormat="1" x14ac:dyDescent="0.2"/>
    <row r="1957" s="20" customFormat="1" x14ac:dyDescent="0.2"/>
    <row r="1958" s="20" customFormat="1" x14ac:dyDescent="0.2"/>
    <row r="1959" s="20" customFormat="1" x14ac:dyDescent="0.2"/>
    <row r="1960" s="20" customFormat="1" x14ac:dyDescent="0.2"/>
    <row r="1961" s="20" customFormat="1" x14ac:dyDescent="0.2"/>
    <row r="1962" s="20" customFormat="1" x14ac:dyDescent="0.2"/>
    <row r="1963" s="20" customFormat="1" x14ac:dyDescent="0.2"/>
    <row r="1964" s="20" customFormat="1" x14ac:dyDescent="0.2"/>
    <row r="1965" s="20" customFormat="1" x14ac:dyDescent="0.2"/>
    <row r="1966" s="20" customFormat="1" x14ac:dyDescent="0.2"/>
    <row r="1967" s="20" customFormat="1" x14ac:dyDescent="0.2"/>
    <row r="1968" s="20" customFormat="1" x14ac:dyDescent="0.2"/>
    <row r="1969" s="20" customFormat="1" x14ac:dyDescent="0.2"/>
    <row r="1970" s="20" customFormat="1" x14ac:dyDescent="0.2"/>
    <row r="1971" s="20" customFormat="1" x14ac:dyDescent="0.2"/>
    <row r="1972" s="20" customFormat="1" x14ac:dyDescent="0.2"/>
    <row r="1973" s="20" customFormat="1" x14ac:dyDescent="0.2"/>
    <row r="1974" s="20" customFormat="1" x14ac:dyDescent="0.2"/>
    <row r="1975" s="20" customFormat="1" x14ac:dyDescent="0.2"/>
    <row r="1976" s="20" customFormat="1" x14ac:dyDescent="0.2"/>
    <row r="1977" s="20" customFormat="1" x14ac:dyDescent="0.2"/>
    <row r="1978" s="20" customFormat="1" x14ac:dyDescent="0.2"/>
    <row r="1979" s="20" customFormat="1" x14ac:dyDescent="0.2"/>
    <row r="1980" s="20" customFormat="1" x14ac:dyDescent="0.2"/>
    <row r="1981" s="20" customFormat="1" x14ac:dyDescent="0.2"/>
    <row r="1982" s="20" customFormat="1" x14ac:dyDescent="0.2"/>
    <row r="1983" s="20" customFormat="1" x14ac:dyDescent="0.2"/>
    <row r="1984" s="20" customFormat="1" x14ac:dyDescent="0.2"/>
    <row r="1985" s="20" customFormat="1" x14ac:dyDescent="0.2"/>
    <row r="1986" s="20" customFormat="1" x14ac:dyDescent="0.2"/>
    <row r="1987" s="20" customFormat="1" x14ac:dyDescent="0.2"/>
    <row r="1988" s="20" customFormat="1" x14ac:dyDescent="0.2"/>
    <row r="1989" s="20" customFormat="1" x14ac:dyDescent="0.2"/>
    <row r="1990" s="20" customFormat="1" x14ac:dyDescent="0.2"/>
    <row r="1991" s="20" customFormat="1" x14ac:dyDescent="0.2"/>
    <row r="1992" s="20" customFormat="1" x14ac:dyDescent="0.2"/>
    <row r="1993" s="20" customFormat="1" x14ac:dyDescent="0.2"/>
    <row r="1994" s="20" customFormat="1" x14ac:dyDescent="0.2"/>
    <row r="1995" s="20" customFormat="1" x14ac:dyDescent="0.2"/>
    <row r="1996" s="20" customFormat="1" x14ac:dyDescent="0.2"/>
    <row r="1997" s="20" customFormat="1" x14ac:dyDescent="0.2"/>
    <row r="1998" s="20" customFormat="1" x14ac:dyDescent="0.2"/>
    <row r="1999" s="20" customFormat="1" x14ac:dyDescent="0.2"/>
    <row r="2000" s="20" customFormat="1" x14ac:dyDescent="0.2"/>
    <row r="2001" s="20" customFormat="1" x14ac:dyDescent="0.2"/>
    <row r="2002" s="20" customFormat="1" x14ac:dyDescent="0.2"/>
    <row r="2003" s="20" customFormat="1" x14ac:dyDescent="0.2"/>
    <row r="2004" s="20" customFormat="1" x14ac:dyDescent="0.2"/>
    <row r="2005" s="20" customFormat="1" x14ac:dyDescent="0.2"/>
    <row r="2006" s="20" customFormat="1" x14ac:dyDescent="0.2"/>
    <row r="2007" s="20" customFormat="1" x14ac:dyDescent="0.2"/>
    <row r="2008" s="20" customFormat="1" x14ac:dyDescent="0.2"/>
    <row r="2009" s="20" customFormat="1" x14ac:dyDescent="0.2"/>
    <row r="2010" s="20" customFormat="1" x14ac:dyDescent="0.2"/>
    <row r="2011" s="20" customFormat="1" x14ac:dyDescent="0.2"/>
    <row r="2012" s="20" customFormat="1" x14ac:dyDescent="0.2"/>
    <row r="2013" s="20" customFormat="1" x14ac:dyDescent="0.2"/>
    <row r="2014" s="20" customFormat="1" x14ac:dyDescent="0.2"/>
    <row r="2015" s="20" customFormat="1" x14ac:dyDescent="0.2"/>
    <row r="2016" s="20" customFormat="1" x14ac:dyDescent="0.2"/>
    <row r="2017" s="20" customFormat="1" x14ac:dyDescent="0.2"/>
    <row r="2018" s="20" customFormat="1" x14ac:dyDescent="0.2"/>
    <row r="2019" s="20" customFormat="1" x14ac:dyDescent="0.2"/>
    <row r="2020" s="20" customFormat="1" x14ac:dyDescent="0.2"/>
    <row r="2021" s="20" customFormat="1" x14ac:dyDescent="0.2"/>
    <row r="2022" s="20" customFormat="1" x14ac:dyDescent="0.2"/>
    <row r="2023" s="20" customFormat="1" x14ac:dyDescent="0.2"/>
    <row r="2024" s="20" customFormat="1" x14ac:dyDescent="0.2"/>
    <row r="2025" s="20" customFormat="1" x14ac:dyDescent="0.2"/>
    <row r="2026" s="20" customFormat="1" x14ac:dyDescent="0.2"/>
    <row r="2027" s="20" customFormat="1" x14ac:dyDescent="0.2"/>
    <row r="2028" s="20" customFormat="1" x14ac:dyDescent="0.2"/>
    <row r="2029" s="20" customFormat="1" x14ac:dyDescent="0.2"/>
    <row r="2030" s="20" customFormat="1" x14ac:dyDescent="0.2"/>
    <row r="2031" s="20" customFormat="1" x14ac:dyDescent="0.2"/>
    <row r="2032" s="20" customFormat="1" x14ac:dyDescent="0.2"/>
    <row r="2033" s="20" customFormat="1" x14ac:dyDescent="0.2"/>
    <row r="2034" s="20" customFormat="1" x14ac:dyDescent="0.2"/>
    <row r="2035" s="20" customFormat="1" x14ac:dyDescent="0.2"/>
    <row r="2036" s="20" customFormat="1" x14ac:dyDescent="0.2"/>
    <row r="2037" s="20" customFormat="1" x14ac:dyDescent="0.2"/>
    <row r="2038" s="20" customFormat="1" x14ac:dyDescent="0.2"/>
    <row r="2039" s="20" customFormat="1" x14ac:dyDescent="0.2"/>
    <row r="2040" s="20" customFormat="1" x14ac:dyDescent="0.2"/>
    <row r="2041" s="20" customFormat="1" x14ac:dyDescent="0.2"/>
    <row r="2042" s="20" customFormat="1" x14ac:dyDescent="0.2"/>
    <row r="2043" s="20" customFormat="1" x14ac:dyDescent="0.2"/>
    <row r="2044" s="20" customFormat="1" x14ac:dyDescent="0.2"/>
    <row r="2045" s="20" customFormat="1" x14ac:dyDescent="0.2"/>
    <row r="2046" s="20" customFormat="1" x14ac:dyDescent="0.2"/>
    <row r="2047" s="20" customFormat="1" x14ac:dyDescent="0.2"/>
    <row r="2048" s="20" customFormat="1" x14ac:dyDescent="0.2"/>
    <row r="2049" s="20" customFormat="1" x14ac:dyDescent="0.2"/>
    <row r="2050" s="20" customFormat="1" x14ac:dyDescent="0.2"/>
    <row r="2051" s="20" customFormat="1" x14ac:dyDescent="0.2"/>
    <row r="2052" s="20" customFormat="1" x14ac:dyDescent="0.2"/>
    <row r="2053" s="20" customFormat="1" x14ac:dyDescent="0.2"/>
    <row r="2054" s="20" customFormat="1" x14ac:dyDescent="0.2"/>
    <row r="2055" s="20" customFormat="1" x14ac:dyDescent="0.2"/>
    <row r="2056" s="20" customFormat="1" x14ac:dyDescent="0.2"/>
    <row r="2057" s="20" customFormat="1" x14ac:dyDescent="0.2"/>
    <row r="2058" s="20" customFormat="1" x14ac:dyDescent="0.2"/>
    <row r="2059" s="20" customFormat="1" x14ac:dyDescent="0.2"/>
    <row r="2060" s="20" customFormat="1" x14ac:dyDescent="0.2"/>
    <row r="2061" s="20" customFormat="1" x14ac:dyDescent="0.2"/>
    <row r="2062" s="20" customFormat="1" x14ac:dyDescent="0.2"/>
    <row r="2063" s="20" customFormat="1" x14ac:dyDescent="0.2"/>
    <row r="2064" s="20" customFormat="1" x14ac:dyDescent="0.2"/>
    <row r="2065" s="20" customFormat="1" x14ac:dyDescent="0.2"/>
    <row r="2066" s="20" customFormat="1" x14ac:dyDescent="0.2"/>
    <row r="2067" s="20" customFormat="1" x14ac:dyDescent="0.2"/>
    <row r="2068" s="20" customFormat="1" x14ac:dyDescent="0.2"/>
    <row r="2069" s="20" customFormat="1" x14ac:dyDescent="0.2"/>
    <row r="2070" s="20" customFormat="1" x14ac:dyDescent="0.2"/>
    <row r="2071" s="20" customFormat="1" x14ac:dyDescent="0.2"/>
    <row r="2072" s="20" customFormat="1" x14ac:dyDescent="0.2"/>
    <row r="2073" s="20" customFormat="1" x14ac:dyDescent="0.2"/>
    <row r="2074" s="20" customFormat="1" x14ac:dyDescent="0.2"/>
    <row r="2075" s="20" customFormat="1" x14ac:dyDescent="0.2"/>
    <row r="2076" s="20" customFormat="1" x14ac:dyDescent="0.2"/>
    <row r="2077" s="20" customFormat="1" x14ac:dyDescent="0.2"/>
    <row r="2078" s="20" customFormat="1" x14ac:dyDescent="0.2"/>
    <row r="2079" s="20" customFormat="1" x14ac:dyDescent="0.2"/>
    <row r="2080" s="20" customFormat="1" x14ac:dyDescent="0.2"/>
    <row r="2081" s="20" customFormat="1" x14ac:dyDescent="0.2"/>
    <row r="2082" s="20" customFormat="1" x14ac:dyDescent="0.2"/>
    <row r="2083" s="20" customFormat="1" x14ac:dyDescent="0.2"/>
    <row r="2084" s="20" customFormat="1" x14ac:dyDescent="0.2"/>
    <row r="2085" s="20" customFormat="1" x14ac:dyDescent="0.2"/>
    <row r="2086" s="20" customFormat="1" x14ac:dyDescent="0.2"/>
    <row r="2087" s="20" customFormat="1" x14ac:dyDescent="0.2"/>
    <row r="2088" s="20" customFormat="1" x14ac:dyDescent="0.2"/>
    <row r="2089" s="20" customFormat="1" x14ac:dyDescent="0.2"/>
    <row r="2090" s="20" customFormat="1" x14ac:dyDescent="0.2"/>
    <row r="2091" s="20" customFormat="1" x14ac:dyDescent="0.2"/>
    <row r="2092" s="20" customFormat="1" x14ac:dyDescent="0.2"/>
    <row r="2093" s="20" customFormat="1" x14ac:dyDescent="0.2"/>
    <row r="2094" s="20" customFormat="1" x14ac:dyDescent="0.2"/>
    <row r="2095" s="20" customFormat="1" x14ac:dyDescent="0.2"/>
    <row r="2096" s="20" customFormat="1" x14ac:dyDescent="0.2"/>
    <row r="2097" s="20" customFormat="1" x14ac:dyDescent="0.2"/>
    <row r="2098" s="20" customFormat="1" x14ac:dyDescent="0.2"/>
    <row r="2099" s="20" customFormat="1" x14ac:dyDescent="0.2"/>
    <row r="2100" s="20" customFormat="1" x14ac:dyDescent="0.2"/>
    <row r="2101" s="20" customFormat="1" x14ac:dyDescent="0.2"/>
    <row r="2102" s="20" customFormat="1" x14ac:dyDescent="0.2"/>
    <row r="2103" s="20" customFormat="1" x14ac:dyDescent="0.2"/>
    <row r="2104" s="20" customFormat="1" x14ac:dyDescent="0.2"/>
    <row r="2105" s="20" customFormat="1" x14ac:dyDescent="0.2"/>
    <row r="2106" s="20" customFormat="1" x14ac:dyDescent="0.2"/>
    <row r="2107" s="20" customFormat="1" x14ac:dyDescent="0.2"/>
    <row r="2108" s="20" customFormat="1" x14ac:dyDescent="0.2"/>
    <row r="2109" s="20" customFormat="1" x14ac:dyDescent="0.2"/>
    <row r="2110" s="20" customFormat="1" x14ac:dyDescent="0.2"/>
    <row r="2111" s="20" customFormat="1" x14ac:dyDescent="0.2"/>
    <row r="2112" s="20" customFormat="1" x14ac:dyDescent="0.2"/>
    <row r="2113" s="20" customFormat="1" x14ac:dyDescent="0.2"/>
    <row r="2114" s="20" customFormat="1" x14ac:dyDescent="0.2"/>
    <row r="2115" s="20" customFormat="1" x14ac:dyDescent="0.2"/>
    <row r="2116" s="20" customFormat="1" x14ac:dyDescent="0.2"/>
    <row r="2117" s="20" customFormat="1" x14ac:dyDescent="0.2"/>
    <row r="2118" s="20" customFormat="1" x14ac:dyDescent="0.2"/>
    <row r="2119" s="20" customFormat="1" x14ac:dyDescent="0.2"/>
    <row r="2120" s="20" customFormat="1" x14ac:dyDescent="0.2"/>
    <row r="2121" s="20" customFormat="1" x14ac:dyDescent="0.2"/>
    <row r="2122" s="20" customFormat="1" x14ac:dyDescent="0.2"/>
    <row r="2123" s="20" customFormat="1" x14ac:dyDescent="0.2"/>
    <row r="2124" s="20" customFormat="1" x14ac:dyDescent="0.2"/>
    <row r="2125" s="20" customFormat="1" x14ac:dyDescent="0.2"/>
    <row r="2126" s="20" customFormat="1" x14ac:dyDescent="0.2"/>
    <row r="2127" s="20" customFormat="1" x14ac:dyDescent="0.2"/>
    <row r="2128" s="20" customFormat="1" x14ac:dyDescent="0.2"/>
    <row r="2129" s="20" customFormat="1" x14ac:dyDescent="0.2"/>
    <row r="2130" s="20" customFormat="1" x14ac:dyDescent="0.2"/>
    <row r="2131" s="20" customFormat="1" x14ac:dyDescent="0.2"/>
    <row r="2132" s="20" customFormat="1" x14ac:dyDescent="0.2"/>
    <row r="2133" s="20" customFormat="1" x14ac:dyDescent="0.2"/>
    <row r="2134" s="20" customFormat="1" x14ac:dyDescent="0.2"/>
    <row r="2135" s="20" customFormat="1" x14ac:dyDescent="0.2"/>
    <row r="2136" s="20" customFormat="1" x14ac:dyDescent="0.2"/>
    <row r="2137" s="20" customFormat="1" x14ac:dyDescent="0.2"/>
    <row r="2138" s="20" customFormat="1" x14ac:dyDescent="0.2"/>
    <row r="2139" s="20" customFormat="1" x14ac:dyDescent="0.2"/>
    <row r="2140" s="20" customFormat="1" x14ac:dyDescent="0.2"/>
    <row r="2141" s="20" customFormat="1" x14ac:dyDescent="0.2"/>
    <row r="2142" s="20" customFormat="1" x14ac:dyDescent="0.2"/>
    <row r="2143" s="20" customFormat="1" x14ac:dyDescent="0.2"/>
    <row r="2144" s="20" customFormat="1" x14ac:dyDescent="0.2"/>
    <row r="2145" s="20" customFormat="1" x14ac:dyDescent="0.2"/>
    <row r="2146" s="20" customFormat="1" x14ac:dyDescent="0.2"/>
    <row r="2147" s="20" customFormat="1" x14ac:dyDescent="0.2"/>
    <row r="2148" s="20" customFormat="1" x14ac:dyDescent="0.2"/>
    <row r="2149" s="20" customFormat="1" x14ac:dyDescent="0.2"/>
    <row r="2150" s="20" customFormat="1" x14ac:dyDescent="0.2"/>
    <row r="2151" s="20" customFormat="1" x14ac:dyDescent="0.2"/>
    <row r="2152" s="20" customFormat="1" x14ac:dyDescent="0.2"/>
    <row r="2153" s="20" customFormat="1" x14ac:dyDescent="0.2"/>
    <row r="2154" s="20" customFormat="1" x14ac:dyDescent="0.2"/>
    <row r="2155" s="20" customFormat="1" x14ac:dyDescent="0.2"/>
    <row r="2156" s="20" customFormat="1" x14ac:dyDescent="0.2"/>
    <row r="2157" s="20" customFormat="1" x14ac:dyDescent="0.2"/>
    <row r="2158" s="20" customFormat="1" x14ac:dyDescent="0.2"/>
    <row r="2159" s="20" customFormat="1" x14ac:dyDescent="0.2"/>
    <row r="2160" s="20" customFormat="1" x14ac:dyDescent="0.2"/>
    <row r="2161" s="20" customFormat="1" x14ac:dyDescent="0.2"/>
    <row r="2162" s="20" customFormat="1" x14ac:dyDescent="0.2"/>
    <row r="2163" s="20" customFormat="1" x14ac:dyDescent="0.2"/>
    <row r="2164" s="20" customFormat="1" x14ac:dyDescent="0.2"/>
    <row r="2165" s="20" customFormat="1" x14ac:dyDescent="0.2"/>
    <row r="2166" s="20" customFormat="1" x14ac:dyDescent="0.2"/>
    <row r="2167" s="20" customFormat="1" x14ac:dyDescent="0.2"/>
    <row r="2168" s="20" customFormat="1" x14ac:dyDescent="0.2"/>
    <row r="2169" s="20" customFormat="1" x14ac:dyDescent="0.2"/>
    <row r="2170" s="20" customFormat="1" x14ac:dyDescent="0.2"/>
    <row r="2171" s="20" customFormat="1" x14ac:dyDescent="0.2"/>
    <row r="2172" s="20" customFormat="1" x14ac:dyDescent="0.2"/>
    <row r="2173" s="20" customFormat="1" x14ac:dyDescent="0.2"/>
    <row r="2174" s="20" customFormat="1" x14ac:dyDescent="0.2"/>
    <row r="2175" s="20" customFormat="1" x14ac:dyDescent="0.2"/>
    <row r="2176" s="20" customFormat="1" x14ac:dyDescent="0.2"/>
    <row r="2177" s="20" customFormat="1" x14ac:dyDescent="0.2"/>
    <row r="2178" s="20" customFormat="1" x14ac:dyDescent="0.2"/>
    <row r="2179" s="20" customFormat="1" x14ac:dyDescent="0.2"/>
    <row r="2180" s="20" customFormat="1" x14ac:dyDescent="0.2"/>
    <row r="2181" s="20" customFormat="1" x14ac:dyDescent="0.2"/>
    <row r="2182" s="20" customFormat="1" x14ac:dyDescent="0.2"/>
    <row r="2183" s="20" customFormat="1" x14ac:dyDescent="0.2"/>
    <row r="2184" s="20" customFormat="1" x14ac:dyDescent="0.2"/>
    <row r="2185" s="20" customFormat="1" x14ac:dyDescent="0.2"/>
    <row r="2186" s="20" customFormat="1" x14ac:dyDescent="0.2"/>
    <row r="2187" s="20" customFormat="1" x14ac:dyDescent="0.2"/>
    <row r="2188" s="20" customFormat="1" x14ac:dyDescent="0.2"/>
    <row r="2189" s="20" customFormat="1" x14ac:dyDescent="0.2"/>
    <row r="2190" s="20" customFormat="1" x14ac:dyDescent="0.2"/>
    <row r="2191" s="20" customFormat="1" x14ac:dyDescent="0.2"/>
    <row r="2192" s="20" customFormat="1" x14ac:dyDescent="0.2"/>
    <row r="2193" s="20" customFormat="1" x14ac:dyDescent="0.2"/>
    <row r="2194" s="20" customFormat="1" x14ac:dyDescent="0.2"/>
    <row r="2195" s="20" customFormat="1" x14ac:dyDescent="0.2"/>
    <row r="2196" s="20" customFormat="1" x14ac:dyDescent="0.2"/>
    <row r="2197" s="20" customFormat="1" x14ac:dyDescent="0.2"/>
    <row r="2198" s="20" customFormat="1" x14ac:dyDescent="0.2"/>
    <row r="2199" s="20" customFormat="1" x14ac:dyDescent="0.2"/>
    <row r="2200" s="20" customFormat="1" x14ac:dyDescent="0.2"/>
    <row r="2201" s="20" customFormat="1" x14ac:dyDescent="0.2"/>
    <row r="2202" s="20" customFormat="1" x14ac:dyDescent="0.2"/>
    <row r="2203" s="20" customFormat="1" x14ac:dyDescent="0.2"/>
    <row r="2204" s="20" customFormat="1" x14ac:dyDescent="0.2"/>
    <row r="2205" s="20" customFormat="1" x14ac:dyDescent="0.2"/>
    <row r="2206" s="20" customFormat="1" x14ac:dyDescent="0.2"/>
    <row r="2207" s="20" customFormat="1" x14ac:dyDescent="0.2"/>
    <row r="2208" s="20" customFormat="1" x14ac:dyDescent="0.2"/>
    <row r="2209" s="20" customFormat="1" x14ac:dyDescent="0.2"/>
    <row r="2210" s="20" customFormat="1" x14ac:dyDescent="0.2"/>
    <row r="2211" s="20" customFormat="1" x14ac:dyDescent="0.2"/>
    <row r="2212" s="20" customFormat="1" x14ac:dyDescent="0.2"/>
    <row r="2213" s="20" customFormat="1" x14ac:dyDescent="0.2"/>
    <row r="2214" s="20" customFormat="1" x14ac:dyDescent="0.2"/>
    <row r="2215" s="20" customFormat="1" x14ac:dyDescent="0.2"/>
    <row r="2216" s="20" customFormat="1" x14ac:dyDescent="0.2"/>
    <row r="2217" s="20" customFormat="1" x14ac:dyDescent="0.2"/>
    <row r="2218" s="20" customFormat="1" x14ac:dyDescent="0.2"/>
    <row r="2219" s="20" customFormat="1" x14ac:dyDescent="0.2"/>
    <row r="2220" s="20" customFormat="1" x14ac:dyDescent="0.2"/>
    <row r="2221" s="20" customFormat="1" x14ac:dyDescent="0.2"/>
    <row r="2222" s="20" customFormat="1" x14ac:dyDescent="0.2"/>
    <row r="2223" s="20" customFormat="1" x14ac:dyDescent="0.2"/>
    <row r="2224" s="20" customFormat="1" x14ac:dyDescent="0.2"/>
    <row r="2225" s="20" customFormat="1" x14ac:dyDescent="0.2"/>
    <row r="2226" s="20" customFormat="1" x14ac:dyDescent="0.2"/>
    <row r="2227" s="20" customFormat="1" x14ac:dyDescent="0.2"/>
    <row r="2228" s="20" customFormat="1" x14ac:dyDescent="0.2"/>
    <row r="2229" s="20" customFormat="1" x14ac:dyDescent="0.2"/>
    <row r="2230" s="20" customFormat="1" x14ac:dyDescent="0.2"/>
    <row r="2231" s="20" customFormat="1" x14ac:dyDescent="0.2"/>
    <row r="2232" s="20" customFormat="1" x14ac:dyDescent="0.2"/>
    <row r="2233" s="20" customFormat="1" x14ac:dyDescent="0.2"/>
    <row r="2234" s="20" customFormat="1" x14ac:dyDescent="0.2"/>
    <row r="2235" s="20" customFormat="1" x14ac:dyDescent="0.2"/>
    <row r="2236" s="20" customFormat="1" x14ac:dyDescent="0.2"/>
    <row r="2237" s="20" customFormat="1" x14ac:dyDescent="0.2"/>
    <row r="2238" s="20" customFormat="1" x14ac:dyDescent="0.2"/>
    <row r="2239" s="20" customFormat="1" x14ac:dyDescent="0.2"/>
    <row r="2240" s="20" customFormat="1" x14ac:dyDescent="0.2"/>
    <row r="2241" s="20" customFormat="1" x14ac:dyDescent="0.2"/>
    <row r="2242" s="20" customFormat="1" x14ac:dyDescent="0.2"/>
    <row r="2243" s="20" customFormat="1" x14ac:dyDescent="0.2"/>
    <row r="2244" s="20" customFormat="1" x14ac:dyDescent="0.2"/>
    <row r="2245" s="20" customFormat="1" x14ac:dyDescent="0.2"/>
    <row r="2246" s="20" customFormat="1" x14ac:dyDescent="0.2"/>
    <row r="2247" s="20" customFormat="1" x14ac:dyDescent="0.2"/>
    <row r="2248" s="20" customFormat="1" x14ac:dyDescent="0.2"/>
    <row r="2249" s="20" customFormat="1" x14ac:dyDescent="0.2"/>
    <row r="2250" s="20" customFormat="1" x14ac:dyDescent="0.2"/>
    <row r="2251" s="20" customFormat="1" x14ac:dyDescent="0.2"/>
    <row r="2252" s="20" customFormat="1" x14ac:dyDescent="0.2"/>
    <row r="2253" s="20" customFormat="1" x14ac:dyDescent="0.2"/>
    <row r="2254" s="20" customFormat="1" x14ac:dyDescent="0.2"/>
    <row r="2255" s="20" customFormat="1" x14ac:dyDescent="0.2"/>
    <row r="2256" s="20" customFormat="1" x14ac:dyDescent="0.2"/>
    <row r="2257" s="20" customFormat="1" x14ac:dyDescent="0.2"/>
    <row r="2258" s="20" customFormat="1" x14ac:dyDescent="0.2"/>
    <row r="2259" s="20" customFormat="1" x14ac:dyDescent="0.2"/>
    <row r="2260" s="20" customFormat="1" x14ac:dyDescent="0.2"/>
    <row r="2261" s="20" customFormat="1" x14ac:dyDescent="0.2"/>
    <row r="2262" s="20" customFormat="1" x14ac:dyDescent="0.2"/>
    <row r="2263" s="20" customFormat="1" x14ac:dyDescent="0.2"/>
    <row r="2264" s="20" customFormat="1" x14ac:dyDescent="0.2"/>
    <row r="2265" s="20" customFormat="1" x14ac:dyDescent="0.2"/>
    <row r="2266" s="20" customFormat="1" x14ac:dyDescent="0.2"/>
    <row r="2267" s="20" customFormat="1" x14ac:dyDescent="0.2"/>
    <row r="2268" s="20" customFormat="1" x14ac:dyDescent="0.2"/>
    <row r="2269" s="20" customFormat="1" x14ac:dyDescent="0.2"/>
    <row r="2270" s="20" customFormat="1" x14ac:dyDescent="0.2"/>
    <row r="2271" s="20" customFormat="1" x14ac:dyDescent="0.2"/>
    <row r="2272" s="20" customFormat="1" x14ac:dyDescent="0.2"/>
    <row r="2273" s="20" customFormat="1" x14ac:dyDescent="0.2"/>
    <row r="2274" s="20" customFormat="1" x14ac:dyDescent="0.2"/>
    <row r="2275" s="20" customFormat="1" x14ac:dyDescent="0.2"/>
    <row r="2276" s="20" customFormat="1" x14ac:dyDescent="0.2"/>
    <row r="2277" s="20" customFormat="1" x14ac:dyDescent="0.2"/>
    <row r="2278" s="20" customFormat="1" x14ac:dyDescent="0.2"/>
    <row r="2279" s="20" customFormat="1" x14ac:dyDescent="0.2"/>
    <row r="2280" s="20" customFormat="1" x14ac:dyDescent="0.2"/>
    <row r="2281" s="20" customFormat="1" x14ac:dyDescent="0.2"/>
    <row r="2282" s="20" customFormat="1" x14ac:dyDescent="0.2"/>
    <row r="2283" s="20" customFormat="1" x14ac:dyDescent="0.2"/>
    <row r="2284" s="20" customFormat="1" x14ac:dyDescent="0.2"/>
    <row r="2285" s="20" customFormat="1" x14ac:dyDescent="0.2"/>
    <row r="2286" s="20" customFormat="1" x14ac:dyDescent="0.2"/>
    <row r="2287" s="20" customFormat="1" x14ac:dyDescent="0.2"/>
    <row r="2288" s="20" customFormat="1" x14ac:dyDescent="0.2"/>
    <row r="2289" s="20" customFormat="1" x14ac:dyDescent="0.2"/>
    <row r="2290" s="20" customFormat="1" x14ac:dyDescent="0.2"/>
    <row r="2291" s="20" customFormat="1" x14ac:dyDescent="0.2"/>
    <row r="2292" s="20" customFormat="1" x14ac:dyDescent="0.2"/>
    <row r="2293" s="20" customFormat="1" x14ac:dyDescent="0.2"/>
    <row r="2294" s="20" customFormat="1" x14ac:dyDescent="0.2"/>
    <row r="2295" s="20" customFormat="1" x14ac:dyDescent="0.2"/>
    <row r="2296" s="20" customFormat="1" x14ac:dyDescent="0.2"/>
    <row r="2297" s="20" customFormat="1" x14ac:dyDescent="0.2"/>
    <row r="2298" s="20" customFormat="1" x14ac:dyDescent="0.2"/>
    <row r="2299" s="20" customFormat="1" x14ac:dyDescent="0.2"/>
    <row r="2300" s="20" customFormat="1" x14ac:dyDescent="0.2"/>
    <row r="2301" s="20" customFormat="1" x14ac:dyDescent="0.2"/>
    <row r="2302" s="20" customFormat="1" x14ac:dyDescent="0.2"/>
    <row r="2303" s="20" customFormat="1" x14ac:dyDescent="0.2"/>
    <row r="2304" s="20" customFormat="1" x14ac:dyDescent="0.2"/>
    <row r="2305" s="20" customFormat="1" x14ac:dyDescent="0.2"/>
    <row r="2306" s="20" customFormat="1" x14ac:dyDescent="0.2"/>
    <row r="2307" s="20" customFormat="1" x14ac:dyDescent="0.2"/>
    <row r="2308" s="20" customFormat="1" x14ac:dyDescent="0.2"/>
    <row r="2309" s="20" customFormat="1" x14ac:dyDescent="0.2"/>
    <row r="2310" s="20" customFormat="1" x14ac:dyDescent="0.2"/>
    <row r="2311" s="20" customFormat="1" x14ac:dyDescent="0.2"/>
    <row r="2312" s="20" customFormat="1" x14ac:dyDescent="0.2"/>
    <row r="2313" s="20" customFormat="1" x14ac:dyDescent="0.2"/>
    <row r="2314" s="20" customFormat="1" x14ac:dyDescent="0.2"/>
    <row r="2315" s="20" customFormat="1" x14ac:dyDescent="0.2"/>
    <row r="2316" s="20" customFormat="1" x14ac:dyDescent="0.2"/>
    <row r="2317" s="20" customFormat="1" x14ac:dyDescent="0.2"/>
    <row r="2318" s="20" customFormat="1" x14ac:dyDescent="0.2"/>
    <row r="2319" s="20" customFormat="1" x14ac:dyDescent="0.2"/>
    <row r="2320" s="20" customFormat="1" x14ac:dyDescent="0.2"/>
    <row r="2321" s="20" customFormat="1" x14ac:dyDescent="0.2"/>
    <row r="2322" s="20" customFormat="1" x14ac:dyDescent="0.2"/>
    <row r="2323" s="20" customFormat="1" x14ac:dyDescent="0.2"/>
    <row r="2324" s="20" customFormat="1" x14ac:dyDescent="0.2"/>
    <row r="2325" s="20" customFormat="1" x14ac:dyDescent="0.2"/>
    <row r="2326" s="20" customFormat="1" x14ac:dyDescent="0.2"/>
    <row r="2327" s="20" customFormat="1" x14ac:dyDescent="0.2"/>
    <row r="2328" s="20" customFormat="1" x14ac:dyDescent="0.2"/>
    <row r="2329" s="20" customFormat="1" x14ac:dyDescent="0.2"/>
    <row r="2330" s="20" customFormat="1" x14ac:dyDescent="0.2"/>
    <row r="2331" s="20" customFormat="1" x14ac:dyDescent="0.2"/>
    <row r="2332" s="20" customFormat="1" x14ac:dyDescent="0.2"/>
    <row r="2333" s="20" customFormat="1" x14ac:dyDescent="0.2"/>
    <row r="2334" s="20" customFormat="1" x14ac:dyDescent="0.2"/>
    <row r="2335" s="20" customFormat="1" x14ac:dyDescent="0.2"/>
    <row r="2336" s="20" customFormat="1" x14ac:dyDescent="0.2"/>
    <row r="2337" s="20" customFormat="1" x14ac:dyDescent="0.2"/>
    <row r="2338" s="20" customFormat="1" x14ac:dyDescent="0.2"/>
    <row r="2339" s="20" customFormat="1" x14ac:dyDescent="0.2"/>
    <row r="2340" s="20" customFormat="1" x14ac:dyDescent="0.2"/>
    <row r="2341" s="20" customFormat="1" x14ac:dyDescent="0.2"/>
    <row r="2342" s="20" customFormat="1" x14ac:dyDescent="0.2"/>
    <row r="2343" s="20" customFormat="1" x14ac:dyDescent="0.2"/>
    <row r="2344" s="20" customFormat="1" x14ac:dyDescent="0.2"/>
    <row r="2345" s="20" customFormat="1" x14ac:dyDescent="0.2"/>
    <row r="2346" s="20" customFormat="1" x14ac:dyDescent="0.2"/>
    <row r="2347" s="20" customFormat="1" x14ac:dyDescent="0.2"/>
    <row r="2348" s="20" customFormat="1" x14ac:dyDescent="0.2"/>
    <row r="2349" s="20" customFormat="1" x14ac:dyDescent="0.2"/>
    <row r="2350" s="20" customFormat="1" x14ac:dyDescent="0.2"/>
    <row r="2351" s="20" customFormat="1" x14ac:dyDescent="0.2"/>
    <row r="2352" s="20" customFormat="1" x14ac:dyDescent="0.2"/>
    <row r="2353" s="20" customFormat="1" x14ac:dyDescent="0.2"/>
    <row r="2354" s="20" customFormat="1" x14ac:dyDescent="0.2"/>
    <row r="2355" s="20" customFormat="1" x14ac:dyDescent="0.2"/>
    <row r="2356" s="20" customFormat="1" x14ac:dyDescent="0.2"/>
    <row r="2357" s="20" customFormat="1" x14ac:dyDescent="0.2"/>
    <row r="2358" s="20" customFormat="1" x14ac:dyDescent="0.2"/>
    <row r="2359" s="20" customFormat="1" x14ac:dyDescent="0.2"/>
    <row r="2360" s="20" customFormat="1" x14ac:dyDescent="0.2"/>
    <row r="2361" s="20" customFormat="1" x14ac:dyDescent="0.2"/>
    <row r="2362" s="20" customFormat="1" x14ac:dyDescent="0.2"/>
    <row r="2363" s="20" customFormat="1" x14ac:dyDescent="0.2"/>
    <row r="2364" s="20" customFormat="1" x14ac:dyDescent="0.2"/>
    <row r="2365" s="20" customFormat="1" x14ac:dyDescent="0.2"/>
    <row r="2366" s="20" customFormat="1" x14ac:dyDescent="0.2"/>
    <row r="2367" s="20" customFormat="1" x14ac:dyDescent="0.2"/>
    <row r="2368" s="20" customFormat="1" x14ac:dyDescent="0.2"/>
    <row r="2369" s="20" customFormat="1" x14ac:dyDescent="0.2"/>
    <row r="2370" s="20" customFormat="1" x14ac:dyDescent="0.2"/>
    <row r="2371" s="20" customFormat="1" x14ac:dyDescent="0.2"/>
    <row r="2372" s="20" customFormat="1" x14ac:dyDescent="0.2"/>
    <row r="2373" s="20" customFormat="1" x14ac:dyDescent="0.2"/>
    <row r="2374" s="20" customFormat="1" x14ac:dyDescent="0.2"/>
    <row r="2375" s="20" customFormat="1" x14ac:dyDescent="0.2"/>
    <row r="2376" s="20" customFormat="1" x14ac:dyDescent="0.2"/>
    <row r="2377" s="20" customFormat="1" x14ac:dyDescent="0.2"/>
    <row r="2378" s="20" customFormat="1" x14ac:dyDescent="0.2"/>
    <row r="2379" s="20" customFormat="1" x14ac:dyDescent="0.2"/>
    <row r="2380" s="20" customFormat="1" x14ac:dyDescent="0.2"/>
    <row r="2381" s="20" customFormat="1" x14ac:dyDescent="0.2"/>
    <row r="2382" s="20" customFormat="1" x14ac:dyDescent="0.2"/>
    <row r="2383" s="20" customFormat="1" x14ac:dyDescent="0.2"/>
    <row r="2384" s="20" customFormat="1" x14ac:dyDescent="0.2"/>
    <row r="2385" s="20" customFormat="1" x14ac:dyDescent="0.2"/>
    <row r="2386" s="20" customFormat="1" x14ac:dyDescent="0.2"/>
    <row r="2387" s="20" customFormat="1" x14ac:dyDescent="0.2"/>
    <row r="2388" s="20" customFormat="1" x14ac:dyDescent="0.2"/>
    <row r="2389" s="20" customFormat="1" x14ac:dyDescent="0.2"/>
    <row r="2390" s="20" customFormat="1" x14ac:dyDescent="0.2"/>
    <row r="2391" s="20" customFormat="1" x14ac:dyDescent="0.2"/>
    <row r="2392" s="20" customFormat="1" x14ac:dyDescent="0.2"/>
    <row r="2393" s="20" customFormat="1" x14ac:dyDescent="0.2"/>
    <row r="2394" s="20" customFormat="1" x14ac:dyDescent="0.2"/>
    <row r="2395" s="20" customFormat="1" x14ac:dyDescent="0.2"/>
    <row r="2396" s="20" customFormat="1" x14ac:dyDescent="0.2"/>
    <row r="2397" s="20" customFormat="1" x14ac:dyDescent="0.2"/>
    <row r="2398" s="20" customFormat="1" x14ac:dyDescent="0.2"/>
    <row r="2399" s="20" customFormat="1" x14ac:dyDescent="0.2"/>
    <row r="2400" s="20" customFormat="1" x14ac:dyDescent="0.2"/>
    <row r="2401" s="20" customFormat="1" x14ac:dyDescent="0.2"/>
    <row r="2402" s="20" customFormat="1" x14ac:dyDescent="0.2"/>
    <row r="2403" s="20" customFormat="1" x14ac:dyDescent="0.2"/>
    <row r="2404" s="20" customFormat="1" x14ac:dyDescent="0.2"/>
    <row r="2405" s="20" customFormat="1" x14ac:dyDescent="0.2"/>
    <row r="2406" s="20" customFormat="1" x14ac:dyDescent="0.2"/>
    <row r="2407" s="20" customFormat="1" x14ac:dyDescent="0.2"/>
    <row r="2408" s="20" customFormat="1" x14ac:dyDescent="0.2"/>
    <row r="2409" s="20" customFormat="1" x14ac:dyDescent="0.2"/>
    <row r="2410" s="20" customFormat="1" x14ac:dyDescent="0.2"/>
    <row r="2411" s="20" customFormat="1" x14ac:dyDescent="0.2"/>
    <row r="2412" s="20" customFormat="1" x14ac:dyDescent="0.2"/>
    <row r="2413" s="20" customFormat="1" x14ac:dyDescent="0.2"/>
    <row r="2414" s="20" customFormat="1" x14ac:dyDescent="0.2"/>
    <row r="2415" s="20" customFormat="1" x14ac:dyDescent="0.2"/>
    <row r="2416" s="20" customFormat="1" x14ac:dyDescent="0.2"/>
    <row r="2417" s="20" customFormat="1" x14ac:dyDescent="0.2"/>
    <row r="2418" s="20" customFormat="1" x14ac:dyDescent="0.2"/>
    <row r="2419" s="20" customFormat="1" x14ac:dyDescent="0.2"/>
    <row r="2420" s="20" customFormat="1" x14ac:dyDescent="0.2"/>
    <row r="2421" s="20" customFormat="1" x14ac:dyDescent="0.2"/>
    <row r="2422" s="20" customFormat="1" x14ac:dyDescent="0.2"/>
    <row r="2423" s="20" customFormat="1" x14ac:dyDescent="0.2"/>
    <row r="2424" s="20" customFormat="1" x14ac:dyDescent="0.2"/>
    <row r="2425" s="20" customFormat="1" x14ac:dyDescent="0.2"/>
    <row r="2426" s="20" customFormat="1" x14ac:dyDescent="0.2"/>
    <row r="2427" s="20" customFormat="1" x14ac:dyDescent="0.2"/>
    <row r="2428" s="20" customFormat="1" x14ac:dyDescent="0.2"/>
    <row r="2429" s="20" customFormat="1" x14ac:dyDescent="0.2"/>
    <row r="2430" s="20" customFormat="1" x14ac:dyDescent="0.2"/>
    <row r="2431" s="20" customFormat="1" x14ac:dyDescent="0.2"/>
    <row r="2432" s="20" customFormat="1" x14ac:dyDescent="0.2"/>
    <row r="2433" s="20" customFormat="1" x14ac:dyDescent="0.2"/>
    <row r="2434" s="20" customFormat="1" x14ac:dyDescent="0.2"/>
    <row r="2435" s="20" customFormat="1" x14ac:dyDescent="0.2"/>
    <row r="2436" s="20" customFormat="1" x14ac:dyDescent="0.2"/>
    <row r="2437" s="20" customFormat="1" x14ac:dyDescent="0.2"/>
    <row r="2438" s="20" customFormat="1" x14ac:dyDescent="0.2"/>
    <row r="2439" s="20" customFormat="1" x14ac:dyDescent="0.2"/>
    <row r="2440" s="20" customFormat="1" x14ac:dyDescent="0.2"/>
    <row r="2441" s="20" customFormat="1" x14ac:dyDescent="0.2"/>
    <row r="2442" s="20" customFormat="1" x14ac:dyDescent="0.2"/>
    <row r="2443" s="20" customFormat="1" x14ac:dyDescent="0.2"/>
    <row r="2444" s="20" customFormat="1" x14ac:dyDescent="0.2"/>
    <row r="2445" s="20" customFormat="1" x14ac:dyDescent="0.2"/>
    <row r="2446" s="20" customFormat="1" x14ac:dyDescent="0.2"/>
    <row r="2447" s="20" customFormat="1" x14ac:dyDescent="0.2"/>
    <row r="2448" s="20" customFormat="1" x14ac:dyDescent="0.2"/>
    <row r="2449" s="20" customFormat="1" x14ac:dyDescent="0.2"/>
    <row r="2450" s="20" customFormat="1" x14ac:dyDescent="0.2"/>
    <row r="2451" s="20" customFormat="1" x14ac:dyDescent="0.2"/>
    <row r="2452" s="20" customFormat="1" x14ac:dyDescent="0.2"/>
    <row r="2453" s="20" customFormat="1" x14ac:dyDescent="0.2"/>
    <row r="2454" s="20" customFormat="1" x14ac:dyDescent="0.2"/>
    <row r="2455" s="20" customFormat="1" x14ac:dyDescent="0.2"/>
    <row r="2456" s="20" customFormat="1" x14ac:dyDescent="0.2"/>
    <row r="2457" s="20" customFormat="1" x14ac:dyDescent="0.2"/>
    <row r="2458" s="20" customFormat="1" x14ac:dyDescent="0.2"/>
    <row r="2459" s="20" customFormat="1" x14ac:dyDescent="0.2"/>
    <row r="2460" s="20" customFormat="1" x14ac:dyDescent="0.2"/>
    <row r="2461" s="20" customFormat="1" x14ac:dyDescent="0.2"/>
    <row r="2462" s="20" customFormat="1" x14ac:dyDescent="0.2"/>
    <row r="2463" s="20" customFormat="1" x14ac:dyDescent="0.2"/>
    <row r="2464" s="20" customFormat="1" x14ac:dyDescent="0.2"/>
    <row r="2465" s="20" customFormat="1" x14ac:dyDescent="0.2"/>
    <row r="2466" s="20" customFormat="1" x14ac:dyDescent="0.2"/>
    <row r="2467" s="20" customFormat="1" x14ac:dyDescent="0.2"/>
    <row r="2468" s="20" customFormat="1" x14ac:dyDescent="0.2"/>
    <row r="2469" s="20" customFormat="1" x14ac:dyDescent="0.2"/>
    <row r="2470" s="20" customFormat="1" x14ac:dyDescent="0.2"/>
    <row r="2471" s="20" customFormat="1" x14ac:dyDescent="0.2"/>
    <row r="2472" s="20" customFormat="1" x14ac:dyDescent="0.2"/>
    <row r="2473" s="20" customFormat="1" x14ac:dyDescent="0.2"/>
    <row r="2474" s="20" customFormat="1" x14ac:dyDescent="0.2"/>
    <row r="2475" s="20" customFormat="1" x14ac:dyDescent="0.2"/>
    <row r="2476" s="20" customFormat="1" x14ac:dyDescent="0.2"/>
    <row r="2477" s="20" customFormat="1" x14ac:dyDescent="0.2"/>
    <row r="2478" s="20" customFormat="1" x14ac:dyDescent="0.2"/>
    <row r="2479" s="20" customFormat="1" x14ac:dyDescent="0.2"/>
    <row r="2480" s="20" customFormat="1" x14ac:dyDescent="0.2"/>
    <row r="2481" s="20" customFormat="1" x14ac:dyDescent="0.2"/>
    <row r="2482" s="20" customFormat="1" x14ac:dyDescent="0.2"/>
    <row r="2483" s="20" customFormat="1" x14ac:dyDescent="0.2"/>
    <row r="2484" s="20" customFormat="1" x14ac:dyDescent="0.2"/>
    <row r="2485" s="20" customFormat="1" x14ac:dyDescent="0.2"/>
    <row r="2486" s="20" customFormat="1" x14ac:dyDescent="0.2"/>
    <row r="2487" s="20" customFormat="1" x14ac:dyDescent="0.2"/>
    <row r="2488" s="20" customFormat="1" x14ac:dyDescent="0.2"/>
    <row r="2489" s="20" customFormat="1" x14ac:dyDescent="0.2"/>
    <row r="2490" s="20" customFormat="1" x14ac:dyDescent="0.2"/>
    <row r="2491" s="20" customFormat="1" x14ac:dyDescent="0.2"/>
    <row r="2492" s="20" customFormat="1" x14ac:dyDescent="0.2"/>
    <row r="2493" s="20" customFormat="1" x14ac:dyDescent="0.2"/>
    <row r="2494" s="20" customFormat="1" x14ac:dyDescent="0.2"/>
    <row r="2495" s="20" customFormat="1" x14ac:dyDescent="0.2"/>
    <row r="2496" s="20" customFormat="1" x14ac:dyDescent="0.2"/>
    <row r="2497" s="20" customFormat="1" x14ac:dyDescent="0.2"/>
    <row r="2498" s="20" customFormat="1" x14ac:dyDescent="0.2"/>
    <row r="2499" s="20" customFormat="1" x14ac:dyDescent="0.2"/>
    <row r="2500" s="20" customFormat="1" x14ac:dyDescent="0.2"/>
    <row r="2501" s="20" customFormat="1" x14ac:dyDescent="0.2"/>
    <row r="2502" s="20" customFormat="1" x14ac:dyDescent="0.2"/>
    <row r="2503" s="20" customFormat="1" x14ac:dyDescent="0.2"/>
    <row r="2504" s="20" customFormat="1" x14ac:dyDescent="0.2"/>
    <row r="2505" s="20" customFormat="1" x14ac:dyDescent="0.2"/>
    <row r="2506" s="20" customFormat="1" x14ac:dyDescent="0.2"/>
    <row r="2507" s="20" customFormat="1" x14ac:dyDescent="0.2"/>
    <row r="2508" s="20" customFormat="1" x14ac:dyDescent="0.2"/>
    <row r="2509" s="20" customFormat="1" x14ac:dyDescent="0.2"/>
    <row r="2510" s="20" customFormat="1" x14ac:dyDescent="0.2"/>
    <row r="2511" s="20" customFormat="1" x14ac:dyDescent="0.2"/>
    <row r="2512" s="20" customFormat="1" x14ac:dyDescent="0.2"/>
    <row r="2513" s="20" customFormat="1" x14ac:dyDescent="0.2"/>
    <row r="2514" s="20" customFormat="1" x14ac:dyDescent="0.2"/>
    <row r="2515" s="20" customFormat="1" x14ac:dyDescent="0.2"/>
    <row r="2516" s="20" customFormat="1" x14ac:dyDescent="0.2"/>
    <row r="2517" s="20" customFormat="1" x14ac:dyDescent="0.2"/>
    <row r="2518" s="20" customFormat="1" x14ac:dyDescent="0.2"/>
    <row r="2519" s="20" customFormat="1" x14ac:dyDescent="0.2"/>
    <row r="2520" s="20" customFormat="1" x14ac:dyDescent="0.2"/>
    <row r="2521" s="20" customFormat="1" x14ac:dyDescent="0.2"/>
    <row r="2522" s="20" customFormat="1" x14ac:dyDescent="0.2"/>
    <row r="2523" s="20" customFormat="1" x14ac:dyDescent="0.2"/>
    <row r="2524" s="20" customFormat="1" x14ac:dyDescent="0.2"/>
    <row r="2525" s="20" customFormat="1" x14ac:dyDescent="0.2"/>
    <row r="2526" s="20" customFormat="1" x14ac:dyDescent="0.2"/>
    <row r="2527" s="20" customFormat="1" x14ac:dyDescent="0.2"/>
    <row r="2528" s="20" customFormat="1" x14ac:dyDescent="0.2"/>
    <row r="2529" s="20" customFormat="1" x14ac:dyDescent="0.2"/>
    <row r="2530" s="20" customFormat="1" x14ac:dyDescent="0.2"/>
    <row r="2531" s="20" customFormat="1" x14ac:dyDescent="0.2"/>
    <row r="2532" s="20" customFormat="1" x14ac:dyDescent="0.2"/>
    <row r="2533" s="20" customFormat="1" x14ac:dyDescent="0.2"/>
    <row r="2534" s="20" customFormat="1" x14ac:dyDescent="0.2"/>
    <row r="2535" s="20" customFormat="1" x14ac:dyDescent="0.2"/>
    <row r="2536" s="20" customFormat="1" x14ac:dyDescent="0.2"/>
    <row r="2537" s="20" customFormat="1" x14ac:dyDescent="0.2"/>
    <row r="2538" s="20" customFormat="1" x14ac:dyDescent="0.2"/>
    <row r="2539" s="20" customFormat="1" x14ac:dyDescent="0.2"/>
    <row r="2540" s="20" customFormat="1" x14ac:dyDescent="0.2"/>
    <row r="2541" s="20" customFormat="1" x14ac:dyDescent="0.2"/>
    <row r="2542" s="20" customFormat="1" x14ac:dyDescent="0.2"/>
    <row r="2543" s="20" customFormat="1" x14ac:dyDescent="0.2"/>
    <row r="2544" s="20" customFormat="1" x14ac:dyDescent="0.2"/>
    <row r="2545" s="20" customFormat="1" x14ac:dyDescent="0.2"/>
    <row r="2546" s="20" customFormat="1" x14ac:dyDescent="0.2"/>
    <row r="2547" s="20" customFormat="1" x14ac:dyDescent="0.2"/>
    <row r="2548" s="20" customFormat="1" x14ac:dyDescent="0.2"/>
    <row r="2549" s="20" customFormat="1" x14ac:dyDescent="0.2"/>
    <row r="2550" s="20" customFormat="1" x14ac:dyDescent="0.2"/>
    <row r="2551" s="20" customFormat="1" x14ac:dyDescent="0.2"/>
    <row r="2552" s="20" customFormat="1" x14ac:dyDescent="0.2"/>
    <row r="2553" s="20" customFormat="1" x14ac:dyDescent="0.2"/>
    <row r="2554" s="20" customFormat="1" x14ac:dyDescent="0.2"/>
    <row r="2555" s="20" customFormat="1" x14ac:dyDescent="0.2"/>
    <row r="2556" s="20" customFormat="1" x14ac:dyDescent="0.2"/>
    <row r="2557" s="20" customFormat="1" x14ac:dyDescent="0.2"/>
    <row r="2558" s="20" customFormat="1" x14ac:dyDescent="0.2"/>
    <row r="2559" s="20" customFormat="1" x14ac:dyDescent="0.2"/>
    <row r="2560" s="20" customFormat="1" x14ac:dyDescent="0.2"/>
    <row r="2561" s="20" customFormat="1" x14ac:dyDescent="0.2"/>
    <row r="2562" s="20" customFormat="1" x14ac:dyDescent="0.2"/>
    <row r="2563" s="20" customFormat="1" x14ac:dyDescent="0.2"/>
    <row r="2564" s="20" customFormat="1" x14ac:dyDescent="0.2"/>
    <row r="2565" s="20" customFormat="1" x14ac:dyDescent="0.2"/>
    <row r="2566" s="20" customFormat="1" x14ac:dyDescent="0.2"/>
    <row r="2567" s="20" customFormat="1" x14ac:dyDescent="0.2"/>
    <row r="2568" s="20" customFormat="1" x14ac:dyDescent="0.2"/>
    <row r="2569" s="20" customFormat="1" x14ac:dyDescent="0.2"/>
    <row r="2570" s="20" customFormat="1" x14ac:dyDescent="0.2"/>
    <row r="2571" s="20" customFormat="1" x14ac:dyDescent="0.2"/>
    <row r="2572" s="20" customFormat="1" x14ac:dyDescent="0.2"/>
    <row r="2573" s="20" customFormat="1" x14ac:dyDescent="0.2"/>
    <row r="2574" s="20" customFormat="1" x14ac:dyDescent="0.2"/>
    <row r="2575" s="20" customFormat="1" x14ac:dyDescent="0.2"/>
    <row r="2576" s="20" customFormat="1" x14ac:dyDescent="0.2"/>
    <row r="2577" s="20" customFormat="1" x14ac:dyDescent="0.2"/>
    <row r="2578" s="20" customFormat="1" x14ac:dyDescent="0.2"/>
    <row r="2579" s="20" customFormat="1" x14ac:dyDescent="0.2"/>
    <row r="2580" s="20" customFormat="1" x14ac:dyDescent="0.2"/>
    <row r="2581" s="20" customFormat="1" x14ac:dyDescent="0.2"/>
    <row r="2582" s="20" customFormat="1" x14ac:dyDescent="0.2"/>
    <row r="2583" s="20" customFormat="1" x14ac:dyDescent="0.2"/>
    <row r="2584" s="20" customFormat="1" x14ac:dyDescent="0.2"/>
    <row r="2585" s="20" customFormat="1" x14ac:dyDescent="0.2"/>
    <row r="2586" s="20" customFormat="1" x14ac:dyDescent="0.2"/>
    <row r="2587" s="20" customFormat="1" x14ac:dyDescent="0.2"/>
    <row r="2588" s="20" customFormat="1" x14ac:dyDescent="0.2"/>
    <row r="2589" s="20" customFormat="1" x14ac:dyDescent="0.2"/>
    <row r="2590" s="20" customFormat="1" x14ac:dyDescent="0.2"/>
    <row r="2591" s="20" customFormat="1" x14ac:dyDescent="0.2"/>
    <row r="2592" s="20" customFormat="1" x14ac:dyDescent="0.2"/>
    <row r="2593" s="20" customFormat="1" x14ac:dyDescent="0.2"/>
    <row r="2594" s="20" customFormat="1" x14ac:dyDescent="0.2"/>
    <row r="2595" s="20" customFormat="1" x14ac:dyDescent="0.2"/>
    <row r="2596" s="20" customFormat="1" x14ac:dyDescent="0.2"/>
    <row r="2597" s="20" customFormat="1" x14ac:dyDescent="0.2"/>
    <row r="2598" s="20" customFormat="1" x14ac:dyDescent="0.2"/>
    <row r="2599" s="20" customFormat="1" x14ac:dyDescent="0.2"/>
    <row r="2600" s="20" customFormat="1" x14ac:dyDescent="0.2"/>
    <row r="2601" s="20" customFormat="1" x14ac:dyDescent="0.2"/>
    <row r="2602" s="20" customFormat="1" x14ac:dyDescent="0.2"/>
    <row r="2603" s="20" customFormat="1" x14ac:dyDescent="0.2"/>
    <row r="2604" s="20" customFormat="1" x14ac:dyDescent="0.2"/>
    <row r="2605" s="20" customFormat="1" x14ac:dyDescent="0.2"/>
    <row r="2606" s="20" customFormat="1" x14ac:dyDescent="0.2"/>
    <row r="2607" s="20" customFormat="1" x14ac:dyDescent="0.2"/>
    <row r="2608" s="20" customFormat="1" x14ac:dyDescent="0.2"/>
    <row r="2609" s="20" customFormat="1" x14ac:dyDescent="0.2"/>
    <row r="2610" s="20" customFormat="1" x14ac:dyDescent="0.2"/>
    <row r="2611" s="20" customFormat="1" x14ac:dyDescent="0.2"/>
    <row r="2612" s="20" customFormat="1" x14ac:dyDescent="0.2"/>
    <row r="2613" s="20" customFormat="1" x14ac:dyDescent="0.2"/>
    <row r="2614" s="20" customFormat="1" x14ac:dyDescent="0.2"/>
    <row r="2615" s="20" customFormat="1" x14ac:dyDescent="0.2"/>
    <row r="2616" s="20" customFormat="1" x14ac:dyDescent="0.2"/>
    <row r="2617" s="20" customFormat="1" x14ac:dyDescent="0.2"/>
    <row r="2618" s="20" customFormat="1" x14ac:dyDescent="0.2"/>
    <row r="2619" s="20" customFormat="1" x14ac:dyDescent="0.2"/>
    <row r="2620" s="20" customFormat="1" x14ac:dyDescent="0.2"/>
    <row r="2621" s="20" customFormat="1" x14ac:dyDescent="0.2"/>
    <row r="2622" s="20" customFormat="1" x14ac:dyDescent="0.2"/>
    <row r="2623" s="20" customFormat="1" x14ac:dyDescent="0.2"/>
    <row r="2624" s="20" customFormat="1" x14ac:dyDescent="0.2"/>
    <row r="2625" s="20" customFormat="1" x14ac:dyDescent="0.2"/>
    <row r="2626" s="20" customFormat="1" x14ac:dyDescent="0.2"/>
    <row r="2627" s="20" customFormat="1" x14ac:dyDescent="0.2"/>
    <row r="2628" s="20" customFormat="1" x14ac:dyDescent="0.2"/>
    <row r="2629" s="20" customFormat="1" x14ac:dyDescent="0.2"/>
    <row r="2630" s="20" customFormat="1" x14ac:dyDescent="0.2"/>
    <row r="2631" s="20" customFormat="1" x14ac:dyDescent="0.2"/>
    <row r="2632" s="20" customFormat="1" x14ac:dyDescent="0.2"/>
    <row r="2633" s="20" customFormat="1" x14ac:dyDescent="0.2"/>
    <row r="2634" s="20" customFormat="1" x14ac:dyDescent="0.2"/>
    <row r="2635" s="20" customFormat="1" x14ac:dyDescent="0.2"/>
    <row r="2636" s="20" customFormat="1" x14ac:dyDescent="0.2"/>
    <row r="2637" s="20" customFormat="1" x14ac:dyDescent="0.2"/>
    <row r="2638" s="20" customFormat="1" x14ac:dyDescent="0.2"/>
    <row r="2639" s="20" customFormat="1" x14ac:dyDescent="0.2"/>
    <row r="2640" s="20" customFormat="1" x14ac:dyDescent="0.2"/>
    <row r="2641" s="20" customFormat="1" x14ac:dyDescent="0.2"/>
    <row r="2642" s="20" customFormat="1" x14ac:dyDescent="0.2"/>
    <row r="2643" s="20" customFormat="1" x14ac:dyDescent="0.2"/>
    <row r="2644" s="20" customFormat="1" x14ac:dyDescent="0.2"/>
    <row r="2645" s="20" customFormat="1" x14ac:dyDescent="0.2"/>
    <row r="2646" s="20" customFormat="1" x14ac:dyDescent="0.2"/>
    <row r="2647" s="20" customFormat="1" x14ac:dyDescent="0.2"/>
    <row r="2648" s="20" customFormat="1" x14ac:dyDescent="0.2"/>
    <row r="2649" s="20" customFormat="1" x14ac:dyDescent="0.2"/>
    <row r="2650" s="20" customFormat="1" x14ac:dyDescent="0.2"/>
    <row r="2651" s="20" customFormat="1" x14ac:dyDescent="0.2"/>
    <row r="2652" s="20" customFormat="1" x14ac:dyDescent="0.2"/>
    <row r="2653" s="20" customFormat="1" x14ac:dyDescent="0.2"/>
    <row r="2654" s="20" customFormat="1" x14ac:dyDescent="0.2"/>
    <row r="2655" s="20" customFormat="1" x14ac:dyDescent="0.2"/>
    <row r="2656" s="20" customFormat="1" x14ac:dyDescent="0.2"/>
    <row r="2657" s="20" customFormat="1" x14ac:dyDescent="0.2"/>
    <row r="2658" s="20" customFormat="1" x14ac:dyDescent="0.2"/>
    <row r="2659" s="20" customFormat="1" x14ac:dyDescent="0.2"/>
    <row r="2660" s="20" customFormat="1" x14ac:dyDescent="0.2"/>
    <row r="2661" s="20" customFormat="1" x14ac:dyDescent="0.2"/>
    <row r="2662" s="20" customFormat="1" x14ac:dyDescent="0.2"/>
    <row r="2663" s="20" customFormat="1" x14ac:dyDescent="0.2"/>
    <row r="2664" s="20" customFormat="1" x14ac:dyDescent="0.2"/>
    <row r="2665" s="20" customFormat="1" x14ac:dyDescent="0.2"/>
    <row r="2666" s="20" customFormat="1" x14ac:dyDescent="0.2"/>
    <row r="2667" s="20" customFormat="1" x14ac:dyDescent="0.2"/>
    <row r="2668" s="20" customFormat="1" x14ac:dyDescent="0.2"/>
    <row r="2669" s="20" customFormat="1" x14ac:dyDescent="0.2"/>
    <row r="2670" s="20" customFormat="1" x14ac:dyDescent="0.2"/>
    <row r="2671" s="20" customFormat="1" x14ac:dyDescent="0.2"/>
    <row r="2672" s="20" customFormat="1" x14ac:dyDescent="0.2"/>
    <row r="2673" s="20" customFormat="1" x14ac:dyDescent="0.2"/>
    <row r="2674" s="20" customFormat="1" x14ac:dyDescent="0.2"/>
    <row r="2675" s="20" customFormat="1" x14ac:dyDescent="0.2"/>
    <row r="2676" s="20" customFormat="1" x14ac:dyDescent="0.2"/>
    <row r="2677" s="20" customFormat="1" x14ac:dyDescent="0.2"/>
    <row r="2678" s="20" customFormat="1" x14ac:dyDescent="0.2"/>
    <row r="2679" s="20" customFormat="1" x14ac:dyDescent="0.2"/>
    <row r="2680" s="20" customFormat="1" x14ac:dyDescent="0.2"/>
    <row r="2681" s="20" customFormat="1" x14ac:dyDescent="0.2"/>
    <row r="2682" s="20" customFormat="1" x14ac:dyDescent="0.2"/>
    <row r="2683" s="20" customFormat="1" x14ac:dyDescent="0.2"/>
    <row r="2684" s="20" customFormat="1" x14ac:dyDescent="0.2"/>
    <row r="2685" s="20" customFormat="1" x14ac:dyDescent="0.2"/>
    <row r="2686" s="20" customFormat="1" x14ac:dyDescent="0.2"/>
    <row r="2687" s="20" customFormat="1" x14ac:dyDescent="0.2"/>
    <row r="2688" s="20" customFormat="1" x14ac:dyDescent="0.2"/>
    <row r="2689" s="20" customFormat="1" x14ac:dyDescent="0.2"/>
    <row r="2690" s="20" customFormat="1" x14ac:dyDescent="0.2"/>
    <row r="2691" s="20" customFormat="1" x14ac:dyDescent="0.2"/>
    <row r="2692" s="20" customFormat="1" x14ac:dyDescent="0.2"/>
    <row r="2693" s="20" customFormat="1" x14ac:dyDescent="0.2"/>
    <row r="2694" s="20" customFormat="1" x14ac:dyDescent="0.2"/>
    <row r="2695" s="20" customFormat="1" x14ac:dyDescent="0.2"/>
    <row r="2696" s="20" customFormat="1" x14ac:dyDescent="0.2"/>
    <row r="2697" s="20" customFormat="1" x14ac:dyDescent="0.2"/>
    <row r="2698" s="20" customFormat="1" x14ac:dyDescent="0.2"/>
    <row r="2699" s="20" customFormat="1" x14ac:dyDescent="0.2"/>
    <row r="2700" s="20" customFormat="1" x14ac:dyDescent="0.2"/>
    <row r="2701" s="20" customFormat="1" x14ac:dyDescent="0.2"/>
    <row r="2702" s="20" customFormat="1" x14ac:dyDescent="0.2"/>
    <row r="2703" s="20" customFormat="1" x14ac:dyDescent="0.2"/>
    <row r="2704" s="20" customFormat="1" x14ac:dyDescent="0.2"/>
    <row r="2705" s="20" customFormat="1" x14ac:dyDescent="0.2"/>
    <row r="2706" s="20" customFormat="1" x14ac:dyDescent="0.2"/>
    <row r="2707" s="20" customFormat="1" x14ac:dyDescent="0.2"/>
    <row r="2708" s="20" customFormat="1" x14ac:dyDescent="0.2"/>
    <row r="2709" s="20" customFormat="1" x14ac:dyDescent="0.2"/>
    <row r="2710" s="20" customFormat="1" x14ac:dyDescent="0.2"/>
    <row r="2711" s="20" customFormat="1" x14ac:dyDescent="0.2"/>
    <row r="2712" s="20" customFormat="1" x14ac:dyDescent="0.2"/>
    <row r="2713" s="20" customFormat="1" x14ac:dyDescent="0.2"/>
    <row r="2714" s="20" customFormat="1" x14ac:dyDescent="0.2"/>
    <row r="2715" s="20" customFormat="1" x14ac:dyDescent="0.2"/>
    <row r="2716" s="20" customFormat="1" x14ac:dyDescent="0.2"/>
    <row r="2717" s="20" customFormat="1" x14ac:dyDescent="0.2"/>
    <row r="2718" s="20" customFormat="1" x14ac:dyDescent="0.2"/>
    <row r="2719" s="20" customFormat="1" x14ac:dyDescent="0.2"/>
    <row r="2720" s="20" customFormat="1" x14ac:dyDescent="0.2"/>
    <row r="2721" s="20" customFormat="1" x14ac:dyDescent="0.2"/>
    <row r="2722" s="20" customFormat="1" x14ac:dyDescent="0.2"/>
    <row r="2723" s="20" customFormat="1" x14ac:dyDescent="0.2"/>
    <row r="2724" s="20" customFormat="1" x14ac:dyDescent="0.2"/>
    <row r="2725" s="20" customFormat="1" x14ac:dyDescent="0.2"/>
    <row r="2726" s="20" customFormat="1" x14ac:dyDescent="0.2"/>
    <row r="2727" s="20" customFormat="1" x14ac:dyDescent="0.2"/>
    <row r="2728" s="20" customFormat="1" x14ac:dyDescent="0.2"/>
    <row r="2729" s="20" customFormat="1" x14ac:dyDescent="0.2"/>
    <row r="2730" s="20" customFormat="1" x14ac:dyDescent="0.2"/>
    <row r="2731" s="20" customFormat="1" x14ac:dyDescent="0.2"/>
    <row r="2732" s="20" customFormat="1" x14ac:dyDescent="0.2"/>
    <row r="2733" s="20" customFormat="1" x14ac:dyDescent="0.2"/>
    <row r="2734" s="20" customFormat="1" x14ac:dyDescent="0.2"/>
    <row r="2735" s="20" customFormat="1" x14ac:dyDescent="0.2"/>
    <row r="2736" s="20" customFormat="1" x14ac:dyDescent="0.2"/>
    <row r="2737" s="20" customFormat="1" x14ac:dyDescent="0.2"/>
    <row r="2738" s="20" customFormat="1" x14ac:dyDescent="0.2"/>
    <row r="2739" s="20" customFormat="1" x14ac:dyDescent="0.2"/>
    <row r="2740" s="20" customFormat="1" x14ac:dyDescent="0.2"/>
    <row r="2741" s="20" customFormat="1" x14ac:dyDescent="0.2"/>
    <row r="2742" s="20" customFormat="1" x14ac:dyDescent="0.2"/>
    <row r="2743" s="20" customFormat="1" x14ac:dyDescent="0.2"/>
    <row r="2744" s="20" customFormat="1" x14ac:dyDescent="0.2"/>
    <row r="2745" s="20" customFormat="1" x14ac:dyDescent="0.2"/>
    <row r="2746" s="20" customFormat="1" x14ac:dyDescent="0.2"/>
    <row r="2747" s="20" customFormat="1" x14ac:dyDescent="0.2"/>
    <row r="2748" s="20" customFormat="1" x14ac:dyDescent="0.2"/>
    <row r="2749" s="20" customFormat="1" x14ac:dyDescent="0.2"/>
    <row r="2750" s="20" customFormat="1" x14ac:dyDescent="0.2"/>
    <row r="2751" s="20" customFormat="1" x14ac:dyDescent="0.2"/>
    <row r="2752" s="20" customFormat="1" x14ac:dyDescent="0.2"/>
    <row r="2753" s="20" customFormat="1" x14ac:dyDescent="0.2"/>
    <row r="2754" s="20" customFormat="1" x14ac:dyDescent="0.2"/>
    <row r="2755" s="20" customFormat="1" x14ac:dyDescent="0.2"/>
    <row r="2756" s="20" customFormat="1" x14ac:dyDescent="0.2"/>
    <row r="2757" s="20" customFormat="1" x14ac:dyDescent="0.2"/>
    <row r="2758" s="20" customFormat="1" x14ac:dyDescent="0.2"/>
    <row r="2759" s="20" customFormat="1" x14ac:dyDescent="0.2"/>
    <row r="2760" s="20" customFormat="1" x14ac:dyDescent="0.2"/>
    <row r="2761" s="20" customFormat="1" x14ac:dyDescent="0.2"/>
    <row r="2762" s="20" customFormat="1" x14ac:dyDescent="0.2"/>
    <row r="2763" s="20" customFormat="1" x14ac:dyDescent="0.2"/>
    <row r="2764" s="20" customFormat="1" x14ac:dyDescent="0.2"/>
    <row r="2765" s="20" customFormat="1" x14ac:dyDescent="0.2"/>
    <row r="2766" s="20" customFormat="1" x14ac:dyDescent="0.2"/>
    <row r="2767" s="20" customFormat="1" x14ac:dyDescent="0.2"/>
    <row r="2768" s="20" customFormat="1" x14ac:dyDescent="0.2"/>
    <row r="2769" s="20" customFormat="1" x14ac:dyDescent="0.2"/>
    <row r="2770" s="20" customFormat="1" x14ac:dyDescent="0.2"/>
    <row r="2771" s="20" customFormat="1" x14ac:dyDescent="0.2"/>
    <row r="2772" s="20" customFormat="1" x14ac:dyDescent="0.2"/>
    <row r="2773" s="20" customFormat="1" x14ac:dyDescent="0.2"/>
    <row r="2774" s="20" customFormat="1" x14ac:dyDescent="0.2"/>
    <row r="2775" s="20" customFormat="1" x14ac:dyDescent="0.2"/>
    <row r="2776" s="20" customFormat="1" x14ac:dyDescent="0.2"/>
    <row r="2777" s="20" customFormat="1" x14ac:dyDescent="0.2"/>
    <row r="2778" s="20" customFormat="1" x14ac:dyDescent="0.2"/>
    <row r="2779" s="20" customFormat="1" x14ac:dyDescent="0.2"/>
    <row r="2780" s="20" customFormat="1" x14ac:dyDescent="0.2"/>
    <row r="2781" s="20" customFormat="1" x14ac:dyDescent="0.2"/>
    <row r="2782" s="20" customFormat="1" x14ac:dyDescent="0.2"/>
    <row r="2783" s="20" customFormat="1" x14ac:dyDescent="0.2"/>
    <row r="2784" s="20" customFormat="1" x14ac:dyDescent="0.2"/>
    <row r="2785" s="20" customFormat="1" x14ac:dyDescent="0.2"/>
    <row r="2786" s="20" customFormat="1" x14ac:dyDescent="0.2"/>
    <row r="2787" s="20" customFormat="1" x14ac:dyDescent="0.2"/>
    <row r="2788" s="20" customFormat="1" x14ac:dyDescent="0.2"/>
    <row r="2789" s="20" customFormat="1" x14ac:dyDescent="0.2"/>
    <row r="2790" s="20" customFormat="1" x14ac:dyDescent="0.2"/>
    <row r="2791" s="20" customFormat="1" x14ac:dyDescent="0.2"/>
    <row r="2792" s="20" customFormat="1" x14ac:dyDescent="0.2"/>
    <row r="2793" s="20" customFormat="1" x14ac:dyDescent="0.2"/>
    <row r="2794" s="20" customFormat="1" x14ac:dyDescent="0.2"/>
    <row r="2795" s="20" customFormat="1" x14ac:dyDescent="0.2"/>
    <row r="2796" s="20" customFormat="1" x14ac:dyDescent="0.2"/>
    <row r="2797" s="20" customFormat="1" x14ac:dyDescent="0.2"/>
    <row r="2798" s="20" customFormat="1" x14ac:dyDescent="0.2"/>
    <row r="2799" s="20" customFormat="1" x14ac:dyDescent="0.2"/>
    <row r="2800" s="20" customFormat="1" x14ac:dyDescent="0.2"/>
    <row r="2801" s="20" customFormat="1" x14ac:dyDescent="0.2"/>
    <row r="2802" s="20" customFormat="1" x14ac:dyDescent="0.2"/>
    <row r="2803" s="20" customFormat="1" x14ac:dyDescent="0.2"/>
    <row r="2804" s="20" customFormat="1" x14ac:dyDescent="0.2"/>
    <row r="2805" s="20" customFormat="1" x14ac:dyDescent="0.2"/>
    <row r="2806" s="20" customFormat="1" x14ac:dyDescent="0.2"/>
    <row r="2807" s="20" customFormat="1" x14ac:dyDescent="0.2"/>
    <row r="2808" s="20" customFormat="1" x14ac:dyDescent="0.2"/>
    <row r="2809" s="20" customFormat="1" x14ac:dyDescent="0.2"/>
    <row r="2810" s="20" customFormat="1" x14ac:dyDescent="0.2"/>
    <row r="2811" s="20" customFormat="1" x14ac:dyDescent="0.2"/>
    <row r="2812" s="20" customFormat="1" x14ac:dyDescent="0.2"/>
    <row r="2813" s="20" customFormat="1" x14ac:dyDescent="0.2"/>
    <row r="2814" s="20" customFormat="1" x14ac:dyDescent="0.2"/>
    <row r="2815" s="20" customFormat="1" x14ac:dyDescent="0.2"/>
    <row r="2816" s="20" customFormat="1" x14ac:dyDescent="0.2"/>
    <row r="2817" s="20" customFormat="1" x14ac:dyDescent="0.2"/>
    <row r="2818" s="20" customFormat="1" x14ac:dyDescent="0.2"/>
    <row r="2819" s="20" customFormat="1" x14ac:dyDescent="0.2"/>
    <row r="2820" s="20" customFormat="1" x14ac:dyDescent="0.2"/>
    <row r="2821" s="20" customFormat="1" x14ac:dyDescent="0.2"/>
    <row r="2822" s="20" customFormat="1" x14ac:dyDescent="0.2"/>
    <row r="2823" s="20" customFormat="1" x14ac:dyDescent="0.2"/>
    <row r="2824" s="20" customFormat="1" x14ac:dyDescent="0.2"/>
    <row r="2825" s="20" customFormat="1" x14ac:dyDescent="0.2"/>
    <row r="2826" s="20" customFormat="1" x14ac:dyDescent="0.2"/>
    <row r="2827" s="20" customFormat="1" x14ac:dyDescent="0.2"/>
    <row r="2828" s="20" customFormat="1" x14ac:dyDescent="0.2"/>
    <row r="2829" s="20" customFormat="1" x14ac:dyDescent="0.2"/>
    <row r="2830" s="20" customFormat="1" x14ac:dyDescent="0.2"/>
    <row r="2831" s="20" customFormat="1" x14ac:dyDescent="0.2"/>
    <row r="2832" s="20" customFormat="1" x14ac:dyDescent="0.2"/>
    <row r="2833" s="20" customFormat="1" x14ac:dyDescent="0.2"/>
    <row r="2834" s="20" customFormat="1" x14ac:dyDescent="0.2"/>
    <row r="2835" s="20" customFormat="1" x14ac:dyDescent="0.2"/>
    <row r="2836" s="20" customFormat="1" x14ac:dyDescent="0.2"/>
    <row r="2837" s="20" customFormat="1" x14ac:dyDescent="0.2"/>
    <row r="2838" s="20" customFormat="1" x14ac:dyDescent="0.2"/>
    <row r="2839" s="20" customFormat="1" x14ac:dyDescent="0.2"/>
    <row r="2840" s="20" customFormat="1" x14ac:dyDescent="0.2"/>
    <row r="2841" s="20" customFormat="1" x14ac:dyDescent="0.2"/>
    <row r="2842" s="20" customFormat="1" x14ac:dyDescent="0.2"/>
    <row r="2843" s="20" customFormat="1" x14ac:dyDescent="0.2"/>
    <row r="2844" s="20" customFormat="1" x14ac:dyDescent="0.2"/>
    <row r="2845" s="20" customFormat="1" x14ac:dyDescent="0.2"/>
    <row r="2846" s="20" customFormat="1" x14ac:dyDescent="0.2"/>
    <row r="2847" s="20" customFormat="1" x14ac:dyDescent="0.2"/>
    <row r="2848" s="20" customFormat="1" x14ac:dyDescent="0.2"/>
    <row r="2849" s="20" customFormat="1" x14ac:dyDescent="0.2"/>
    <row r="2850" s="20" customFormat="1" x14ac:dyDescent="0.2"/>
    <row r="2851" s="20" customFormat="1" x14ac:dyDescent="0.2"/>
    <row r="2852" s="20" customFormat="1" x14ac:dyDescent="0.2"/>
    <row r="2853" s="20" customFormat="1" x14ac:dyDescent="0.2"/>
    <row r="2854" s="20" customFormat="1" x14ac:dyDescent="0.2"/>
    <row r="2855" s="20" customFormat="1" x14ac:dyDescent="0.2"/>
    <row r="2856" s="20" customFormat="1" x14ac:dyDescent="0.2"/>
    <row r="2857" s="20" customFormat="1" x14ac:dyDescent="0.2"/>
    <row r="2858" s="20" customFormat="1" x14ac:dyDescent="0.2"/>
    <row r="2859" s="20" customFormat="1" x14ac:dyDescent="0.2"/>
    <row r="2860" s="20" customFormat="1" x14ac:dyDescent="0.2"/>
    <row r="2861" s="20" customFormat="1" x14ac:dyDescent="0.2"/>
    <row r="2862" s="20" customFormat="1" x14ac:dyDescent="0.2"/>
    <row r="2863" s="20" customFormat="1" x14ac:dyDescent="0.2"/>
    <row r="2864" s="20" customFormat="1" x14ac:dyDescent="0.2"/>
    <row r="2865" s="20" customFormat="1" x14ac:dyDescent="0.2"/>
    <row r="2866" s="20" customFormat="1" x14ac:dyDescent="0.2"/>
    <row r="2867" s="20" customFormat="1" x14ac:dyDescent="0.2"/>
    <row r="2868" s="20" customFormat="1" x14ac:dyDescent="0.2"/>
    <row r="2869" s="20" customFormat="1" x14ac:dyDescent="0.2"/>
    <row r="2870" s="20" customFormat="1" x14ac:dyDescent="0.2"/>
    <row r="2871" s="20" customFormat="1" x14ac:dyDescent="0.2"/>
    <row r="2872" s="20" customFormat="1" x14ac:dyDescent="0.2"/>
    <row r="2873" s="20" customFormat="1" x14ac:dyDescent="0.2"/>
    <row r="2874" s="20" customFormat="1" x14ac:dyDescent="0.2"/>
    <row r="2875" s="20" customFormat="1" x14ac:dyDescent="0.2"/>
    <row r="2876" s="20" customFormat="1" x14ac:dyDescent="0.2"/>
    <row r="2877" s="20" customFormat="1" x14ac:dyDescent="0.2"/>
    <row r="2878" s="20" customFormat="1" x14ac:dyDescent="0.2"/>
    <row r="2879" s="20" customFormat="1" x14ac:dyDescent="0.2"/>
    <row r="2880" s="20" customFormat="1" x14ac:dyDescent="0.2"/>
    <row r="2881" s="20" customFormat="1" x14ac:dyDescent="0.2"/>
    <row r="2882" s="20" customFormat="1" x14ac:dyDescent="0.2"/>
    <row r="2883" s="20" customFormat="1" x14ac:dyDescent="0.2"/>
    <row r="2884" s="20" customFormat="1" x14ac:dyDescent="0.2"/>
    <row r="2885" s="20" customFormat="1" x14ac:dyDescent="0.2"/>
    <row r="2886" s="20" customFormat="1" x14ac:dyDescent="0.2"/>
    <row r="2887" s="20" customFormat="1" x14ac:dyDescent="0.2"/>
    <row r="2888" s="20" customFormat="1" x14ac:dyDescent="0.2"/>
    <row r="2889" s="20" customFormat="1" x14ac:dyDescent="0.2"/>
    <row r="2890" s="20" customFormat="1" x14ac:dyDescent="0.2"/>
    <row r="2891" s="20" customFormat="1" x14ac:dyDescent="0.2"/>
    <row r="2892" s="20" customFormat="1" x14ac:dyDescent="0.2"/>
    <row r="2893" s="20" customFormat="1" x14ac:dyDescent="0.2"/>
    <row r="2894" s="20" customFormat="1" x14ac:dyDescent="0.2"/>
    <row r="2895" s="20" customFormat="1" x14ac:dyDescent="0.2"/>
    <row r="2896" s="20" customFormat="1" x14ac:dyDescent="0.2"/>
    <row r="2897" s="20" customFormat="1" x14ac:dyDescent="0.2"/>
    <row r="2898" s="20" customFormat="1" x14ac:dyDescent="0.2"/>
    <row r="2899" s="20" customFormat="1" x14ac:dyDescent="0.2"/>
    <row r="2900" s="20" customFormat="1" x14ac:dyDescent="0.2"/>
    <row r="2901" s="20" customFormat="1" x14ac:dyDescent="0.2"/>
    <row r="2902" s="20" customFormat="1" x14ac:dyDescent="0.2"/>
    <row r="2903" s="20" customFormat="1" x14ac:dyDescent="0.2"/>
    <row r="2904" s="20" customFormat="1" x14ac:dyDescent="0.2"/>
    <row r="2905" s="20" customFormat="1" x14ac:dyDescent="0.2"/>
    <row r="2906" s="20" customFormat="1" x14ac:dyDescent="0.2"/>
    <row r="2907" s="20" customFormat="1" x14ac:dyDescent="0.2"/>
    <row r="2908" s="20" customFormat="1" x14ac:dyDescent="0.2"/>
    <row r="2909" s="20" customFormat="1" x14ac:dyDescent="0.2"/>
    <row r="2910" s="20" customFormat="1" x14ac:dyDescent="0.2"/>
    <row r="2911" s="20" customFormat="1" x14ac:dyDescent="0.2"/>
    <row r="2912" s="20" customFormat="1" x14ac:dyDescent="0.2"/>
    <row r="2913" s="20" customFormat="1" x14ac:dyDescent="0.2"/>
    <row r="2914" s="20" customFormat="1" x14ac:dyDescent="0.2"/>
    <row r="2915" s="20" customFormat="1" x14ac:dyDescent="0.2"/>
    <row r="2916" s="20" customFormat="1" x14ac:dyDescent="0.2"/>
    <row r="2917" s="20" customFormat="1" x14ac:dyDescent="0.2"/>
    <row r="2918" s="20" customFormat="1" x14ac:dyDescent="0.2"/>
    <row r="2919" s="20" customFormat="1" x14ac:dyDescent="0.2"/>
    <row r="2920" s="20" customFormat="1" x14ac:dyDescent="0.2"/>
    <row r="2921" s="20" customFormat="1" x14ac:dyDescent="0.2"/>
    <row r="2922" s="20" customFormat="1" x14ac:dyDescent="0.2"/>
    <row r="2923" s="20" customFormat="1" x14ac:dyDescent="0.2"/>
    <row r="2924" s="20" customFormat="1" x14ac:dyDescent="0.2"/>
    <row r="2925" s="20" customFormat="1" x14ac:dyDescent="0.2"/>
    <row r="2926" s="20" customFormat="1" x14ac:dyDescent="0.2"/>
    <row r="2927" s="20" customFormat="1" x14ac:dyDescent="0.2"/>
    <row r="2928" s="20" customFormat="1" x14ac:dyDescent="0.2"/>
    <row r="2929" s="20" customFormat="1" x14ac:dyDescent="0.2"/>
    <row r="2930" s="20" customFormat="1" x14ac:dyDescent="0.2"/>
    <row r="2931" s="20" customFormat="1" x14ac:dyDescent="0.2"/>
    <row r="2932" s="20" customFormat="1" x14ac:dyDescent="0.2"/>
    <row r="2933" s="20" customFormat="1" x14ac:dyDescent="0.2"/>
    <row r="2934" s="20" customFormat="1" x14ac:dyDescent="0.2"/>
    <row r="2935" s="20" customFormat="1" x14ac:dyDescent="0.2"/>
    <row r="2936" s="20" customFormat="1" x14ac:dyDescent="0.2"/>
    <row r="2937" s="20" customFormat="1" x14ac:dyDescent="0.2"/>
    <row r="2938" s="20" customFormat="1" x14ac:dyDescent="0.2"/>
    <row r="2939" s="20" customFormat="1" x14ac:dyDescent="0.2"/>
    <row r="2940" s="20" customFormat="1" x14ac:dyDescent="0.2"/>
    <row r="2941" s="20" customFormat="1" x14ac:dyDescent="0.2"/>
    <row r="2942" s="20" customFormat="1" x14ac:dyDescent="0.2"/>
    <row r="2943" s="20" customFormat="1" x14ac:dyDescent="0.2"/>
    <row r="2944" s="20" customFormat="1" x14ac:dyDescent="0.2"/>
    <row r="2945" s="20" customFormat="1" x14ac:dyDescent="0.2"/>
    <row r="2946" s="20" customFormat="1" x14ac:dyDescent="0.2"/>
    <row r="2947" s="20" customFormat="1" x14ac:dyDescent="0.2"/>
    <row r="2948" s="20" customFormat="1" x14ac:dyDescent="0.2"/>
    <row r="2949" s="20" customFormat="1" x14ac:dyDescent="0.2"/>
    <row r="2950" s="20" customFormat="1" x14ac:dyDescent="0.2"/>
    <row r="2951" s="20" customFormat="1" x14ac:dyDescent="0.2"/>
    <row r="2952" s="20" customFormat="1" x14ac:dyDescent="0.2"/>
    <row r="2953" s="20" customFormat="1" x14ac:dyDescent="0.2"/>
    <row r="2954" s="20" customFormat="1" x14ac:dyDescent="0.2"/>
    <row r="2955" s="20" customFormat="1" x14ac:dyDescent="0.2"/>
    <row r="2956" s="20" customFormat="1" x14ac:dyDescent="0.2"/>
    <row r="2957" s="20" customFormat="1" x14ac:dyDescent="0.2"/>
    <row r="2958" s="20" customFormat="1" x14ac:dyDescent="0.2"/>
    <row r="2959" s="20" customFormat="1" x14ac:dyDescent="0.2"/>
    <row r="2960" s="20" customFormat="1" x14ac:dyDescent="0.2"/>
    <row r="2961" s="20" customFormat="1" x14ac:dyDescent="0.2"/>
    <row r="2962" s="20" customFormat="1" x14ac:dyDescent="0.2"/>
    <row r="2963" s="20" customFormat="1" x14ac:dyDescent="0.2"/>
    <row r="2964" s="20" customFormat="1" x14ac:dyDescent="0.2"/>
    <row r="2965" s="20" customFormat="1" x14ac:dyDescent="0.2"/>
    <row r="2966" s="20" customFormat="1" x14ac:dyDescent="0.2"/>
    <row r="2967" s="20" customFormat="1" x14ac:dyDescent="0.2"/>
    <row r="2968" s="20" customFormat="1" x14ac:dyDescent="0.2"/>
    <row r="2969" s="20" customFormat="1" x14ac:dyDescent="0.2"/>
    <row r="2970" s="20" customFormat="1" x14ac:dyDescent="0.2"/>
    <row r="2971" s="20" customFormat="1" x14ac:dyDescent="0.2"/>
    <row r="2972" s="20" customFormat="1" x14ac:dyDescent="0.2"/>
    <row r="2973" s="20" customFormat="1" x14ac:dyDescent="0.2"/>
    <row r="2974" s="20" customFormat="1" x14ac:dyDescent="0.2"/>
    <row r="2975" s="20" customFormat="1" x14ac:dyDescent="0.2"/>
    <row r="2976" s="20" customFormat="1" x14ac:dyDescent="0.2"/>
    <row r="2977" s="20" customFormat="1" x14ac:dyDescent="0.2"/>
    <row r="2978" s="20" customFormat="1" x14ac:dyDescent="0.2"/>
    <row r="2979" s="20" customFormat="1" x14ac:dyDescent="0.2"/>
    <row r="2980" s="20" customFormat="1" x14ac:dyDescent="0.2"/>
    <row r="2981" s="20" customFormat="1" x14ac:dyDescent="0.2"/>
    <row r="2982" s="20" customFormat="1" x14ac:dyDescent="0.2"/>
    <row r="2983" s="20" customFormat="1" x14ac:dyDescent="0.2"/>
    <row r="2984" s="20" customFormat="1" x14ac:dyDescent="0.2"/>
    <row r="2985" s="20" customFormat="1" x14ac:dyDescent="0.2"/>
    <row r="2986" s="20" customFormat="1" x14ac:dyDescent="0.2"/>
    <row r="2987" s="20" customFormat="1" x14ac:dyDescent="0.2"/>
    <row r="2988" s="20" customFormat="1" x14ac:dyDescent="0.2"/>
    <row r="2989" s="20" customFormat="1" x14ac:dyDescent="0.2"/>
    <row r="2990" s="20" customFormat="1" x14ac:dyDescent="0.2"/>
    <row r="2991" s="20" customFormat="1" x14ac:dyDescent="0.2"/>
    <row r="2992" s="20" customFormat="1" x14ac:dyDescent="0.2"/>
    <row r="2993" s="20" customFormat="1" x14ac:dyDescent="0.2"/>
    <row r="2994" s="20" customFormat="1" x14ac:dyDescent="0.2"/>
    <row r="2995" s="20" customFormat="1" x14ac:dyDescent="0.2"/>
    <row r="2996" s="20" customFormat="1" x14ac:dyDescent="0.2"/>
    <row r="2997" s="20" customFormat="1" x14ac:dyDescent="0.2"/>
    <row r="2998" s="20" customFormat="1" x14ac:dyDescent="0.2"/>
    <row r="2999" s="20" customFormat="1" x14ac:dyDescent="0.2"/>
    <row r="3000" s="20" customFormat="1" x14ac:dyDescent="0.2"/>
    <row r="3001" s="20" customFormat="1" x14ac:dyDescent="0.2"/>
    <row r="3002" s="20" customFormat="1" x14ac:dyDescent="0.2"/>
    <row r="3003" s="20" customFormat="1" x14ac:dyDescent="0.2"/>
    <row r="3004" s="20" customFormat="1" x14ac:dyDescent="0.2"/>
    <row r="3005" s="20" customFormat="1" x14ac:dyDescent="0.2"/>
    <row r="3006" s="20" customFormat="1" x14ac:dyDescent="0.2"/>
    <row r="3007" s="20" customFormat="1" x14ac:dyDescent="0.2"/>
    <row r="3008" s="20" customFormat="1" x14ac:dyDescent="0.2"/>
    <row r="3009" s="20" customFormat="1" x14ac:dyDescent="0.2"/>
    <row r="3010" s="20" customFormat="1" x14ac:dyDescent="0.2"/>
    <row r="3011" s="20" customFormat="1" x14ac:dyDescent="0.2"/>
    <row r="3012" s="20" customFormat="1" x14ac:dyDescent="0.2"/>
    <row r="3013" s="20" customFormat="1" x14ac:dyDescent="0.2"/>
    <row r="3014" s="20" customFormat="1" x14ac:dyDescent="0.2"/>
    <row r="3015" s="20" customFormat="1" x14ac:dyDescent="0.2"/>
    <row r="3016" s="20" customFormat="1" x14ac:dyDescent="0.2"/>
    <row r="3017" s="20" customFormat="1" x14ac:dyDescent="0.2"/>
    <row r="3018" s="20" customFormat="1" x14ac:dyDescent="0.2"/>
    <row r="3019" s="20" customFormat="1" x14ac:dyDescent="0.2"/>
    <row r="3020" s="20" customFormat="1" x14ac:dyDescent="0.2"/>
    <row r="3021" s="20" customFormat="1" x14ac:dyDescent="0.2"/>
    <row r="3022" s="20" customFormat="1" x14ac:dyDescent="0.2"/>
    <row r="3023" s="20" customFormat="1" x14ac:dyDescent="0.2"/>
    <row r="3024" s="20" customFormat="1" x14ac:dyDescent="0.2"/>
    <row r="3025" s="20" customFormat="1" x14ac:dyDescent="0.2"/>
    <row r="3026" s="20" customFormat="1" x14ac:dyDescent="0.2"/>
    <row r="3027" s="20" customFormat="1" x14ac:dyDescent="0.2"/>
    <row r="3028" s="20" customFormat="1" x14ac:dyDescent="0.2"/>
    <row r="3029" s="20" customFormat="1" x14ac:dyDescent="0.2"/>
    <row r="3030" s="20" customFormat="1" x14ac:dyDescent="0.2"/>
    <row r="3031" s="20" customFormat="1" x14ac:dyDescent="0.2"/>
    <row r="3032" s="20" customFormat="1" x14ac:dyDescent="0.2"/>
    <row r="3033" s="20" customFormat="1" x14ac:dyDescent="0.2"/>
    <row r="3034" s="20" customFormat="1" x14ac:dyDescent="0.2"/>
    <row r="3035" s="20" customFormat="1" x14ac:dyDescent="0.2"/>
    <row r="3036" s="20" customFormat="1" x14ac:dyDescent="0.2"/>
    <row r="3037" s="20" customFormat="1" x14ac:dyDescent="0.2"/>
    <row r="3038" s="20" customFormat="1" x14ac:dyDescent="0.2"/>
    <row r="3039" s="20" customFormat="1" x14ac:dyDescent="0.2"/>
    <row r="3040" s="20" customFormat="1" x14ac:dyDescent="0.2"/>
    <row r="3041" s="20" customFormat="1" x14ac:dyDescent="0.2"/>
    <row r="3042" s="20" customFormat="1" x14ac:dyDescent="0.2"/>
    <row r="3043" s="20" customFormat="1" x14ac:dyDescent="0.2"/>
    <row r="3044" s="20" customFormat="1" x14ac:dyDescent="0.2"/>
    <row r="3045" s="20" customFormat="1" x14ac:dyDescent="0.2"/>
    <row r="3046" s="20" customFormat="1" x14ac:dyDescent="0.2"/>
    <row r="3047" s="20" customFormat="1" x14ac:dyDescent="0.2"/>
    <row r="3048" s="20" customFormat="1" x14ac:dyDescent="0.2"/>
    <row r="3049" s="20" customFormat="1" x14ac:dyDescent="0.2"/>
    <row r="3050" s="20" customFormat="1" x14ac:dyDescent="0.2"/>
    <row r="3051" s="20" customFormat="1" x14ac:dyDescent="0.2"/>
    <row r="3052" s="20" customFormat="1" x14ac:dyDescent="0.2"/>
    <row r="3053" s="20" customFormat="1" x14ac:dyDescent="0.2"/>
    <row r="3054" s="20" customFormat="1" x14ac:dyDescent="0.2"/>
    <row r="3055" s="20" customFormat="1" x14ac:dyDescent="0.2"/>
    <row r="3056" s="20" customFormat="1" x14ac:dyDescent="0.2"/>
    <row r="3057" s="20" customFormat="1" x14ac:dyDescent="0.2"/>
    <row r="3058" s="20" customFormat="1" x14ac:dyDescent="0.2"/>
    <row r="3059" s="20" customFormat="1" x14ac:dyDescent="0.2"/>
    <row r="3060" s="20" customFormat="1" x14ac:dyDescent="0.2"/>
    <row r="3061" s="20" customFormat="1" x14ac:dyDescent="0.2"/>
    <row r="3062" s="20" customFormat="1" x14ac:dyDescent="0.2"/>
    <row r="3063" s="20" customFormat="1" x14ac:dyDescent="0.2"/>
    <row r="3064" s="20" customFormat="1" x14ac:dyDescent="0.2"/>
    <row r="3065" s="20" customFormat="1" x14ac:dyDescent="0.2"/>
    <row r="3066" s="20" customFormat="1" x14ac:dyDescent="0.2"/>
    <row r="3067" s="20" customFormat="1" x14ac:dyDescent="0.2"/>
    <row r="3068" s="20" customFormat="1" x14ac:dyDescent="0.2"/>
    <row r="3069" s="20" customFormat="1" x14ac:dyDescent="0.2"/>
    <row r="3070" s="20" customFormat="1" x14ac:dyDescent="0.2"/>
    <row r="3071" s="20" customFormat="1" x14ac:dyDescent="0.2"/>
    <row r="3072" s="20" customFormat="1" x14ac:dyDescent="0.2"/>
    <row r="3073" s="20" customFormat="1" x14ac:dyDescent="0.2"/>
    <row r="3074" s="20" customFormat="1" x14ac:dyDescent="0.2"/>
    <row r="3075" s="20" customFormat="1" x14ac:dyDescent="0.2"/>
    <row r="3076" s="20" customFormat="1" x14ac:dyDescent="0.2"/>
    <row r="3077" s="20" customFormat="1" x14ac:dyDescent="0.2"/>
    <row r="3078" s="20" customFormat="1" x14ac:dyDescent="0.2"/>
    <row r="3079" s="20" customFormat="1" x14ac:dyDescent="0.2"/>
    <row r="3080" s="20" customFormat="1" x14ac:dyDescent="0.2"/>
    <row r="3081" s="20" customFormat="1" x14ac:dyDescent="0.2"/>
    <row r="3082" s="20" customFormat="1" x14ac:dyDescent="0.2"/>
    <row r="3083" s="20" customFormat="1" x14ac:dyDescent="0.2"/>
    <row r="3084" s="20" customFormat="1" x14ac:dyDescent="0.2"/>
    <row r="3085" s="20" customFormat="1" x14ac:dyDescent="0.2"/>
    <row r="3086" s="20" customFormat="1" x14ac:dyDescent="0.2"/>
    <row r="3087" s="20" customFormat="1" x14ac:dyDescent="0.2"/>
    <row r="3088" s="20" customFormat="1" x14ac:dyDescent="0.2"/>
    <row r="3089" s="20" customFormat="1" x14ac:dyDescent="0.2"/>
    <row r="3090" s="20" customFormat="1" x14ac:dyDescent="0.2"/>
    <row r="3091" s="20" customFormat="1" x14ac:dyDescent="0.2"/>
    <row r="3092" s="20" customFormat="1" x14ac:dyDescent="0.2"/>
    <row r="3093" s="20" customFormat="1" x14ac:dyDescent="0.2"/>
    <row r="3094" s="20" customFormat="1" x14ac:dyDescent="0.2"/>
    <row r="3095" s="20" customFormat="1" x14ac:dyDescent="0.2"/>
    <row r="3096" s="20" customFormat="1" x14ac:dyDescent="0.2"/>
    <row r="3097" s="20" customFormat="1" x14ac:dyDescent="0.2"/>
    <row r="3098" s="20" customFormat="1" x14ac:dyDescent="0.2"/>
    <row r="3099" s="20" customFormat="1" x14ac:dyDescent="0.2"/>
    <row r="3100" s="20" customFormat="1" x14ac:dyDescent="0.2"/>
    <row r="3101" s="20" customFormat="1" x14ac:dyDescent="0.2"/>
    <row r="3102" s="20" customFormat="1" x14ac:dyDescent="0.2"/>
    <row r="3103" s="20" customFormat="1" x14ac:dyDescent="0.2"/>
    <row r="3104" s="20" customFormat="1" x14ac:dyDescent="0.2"/>
    <row r="3105" s="20" customFormat="1" x14ac:dyDescent="0.2"/>
    <row r="3106" s="20" customFormat="1" x14ac:dyDescent="0.2"/>
    <row r="3107" s="20" customFormat="1" x14ac:dyDescent="0.2"/>
    <row r="3108" s="20" customFormat="1" x14ac:dyDescent="0.2"/>
    <row r="3109" s="20" customFormat="1" x14ac:dyDescent="0.2"/>
    <row r="3110" s="20" customFormat="1" x14ac:dyDescent="0.2"/>
    <row r="3111" s="20" customFormat="1" x14ac:dyDescent="0.2"/>
    <row r="3112" s="20" customFormat="1" x14ac:dyDescent="0.2"/>
    <row r="3113" s="20" customFormat="1" x14ac:dyDescent="0.2"/>
    <row r="3114" s="20" customFormat="1" x14ac:dyDescent="0.2"/>
    <row r="3115" s="20" customFormat="1" x14ac:dyDescent="0.2"/>
    <row r="3116" s="20" customFormat="1" x14ac:dyDescent="0.2"/>
    <row r="3117" s="20" customFormat="1" x14ac:dyDescent="0.2"/>
    <row r="3118" s="20" customFormat="1" x14ac:dyDescent="0.2"/>
    <row r="3119" s="20" customFormat="1" x14ac:dyDescent="0.2"/>
    <row r="3120" s="20" customFormat="1" x14ac:dyDescent="0.2"/>
    <row r="3121" s="20" customFormat="1" x14ac:dyDescent="0.2"/>
    <row r="3122" s="20" customFormat="1" x14ac:dyDescent="0.2"/>
    <row r="3123" s="20" customFormat="1" x14ac:dyDescent="0.2"/>
    <row r="3124" s="20" customFormat="1" x14ac:dyDescent="0.2"/>
    <row r="3125" s="20" customFormat="1" x14ac:dyDescent="0.2"/>
    <row r="3126" s="20" customFormat="1" x14ac:dyDescent="0.2"/>
    <row r="3127" s="20" customFormat="1" x14ac:dyDescent="0.2"/>
    <row r="3128" s="20" customFormat="1" x14ac:dyDescent="0.2"/>
    <row r="3129" s="20" customFormat="1" x14ac:dyDescent="0.2"/>
    <row r="3130" s="20" customFormat="1" x14ac:dyDescent="0.2"/>
    <row r="3131" s="20" customFormat="1" x14ac:dyDescent="0.2"/>
    <row r="3132" s="20" customFormat="1" x14ac:dyDescent="0.2"/>
    <row r="3133" s="20" customFormat="1" x14ac:dyDescent="0.2"/>
    <row r="3134" s="20" customFormat="1" x14ac:dyDescent="0.2"/>
    <row r="3135" s="20" customFormat="1" x14ac:dyDescent="0.2"/>
    <row r="3136" s="20" customFormat="1" x14ac:dyDescent="0.2"/>
    <row r="3137" s="20" customFormat="1" x14ac:dyDescent="0.2"/>
    <row r="3138" s="20" customFormat="1" x14ac:dyDescent="0.2"/>
    <row r="3139" s="20" customFormat="1" x14ac:dyDescent="0.2"/>
    <row r="3140" s="20" customFormat="1" x14ac:dyDescent="0.2"/>
    <row r="3141" s="20" customFormat="1" x14ac:dyDescent="0.2"/>
    <row r="3142" s="20" customFormat="1" x14ac:dyDescent="0.2"/>
    <row r="3143" s="20" customFormat="1" x14ac:dyDescent="0.2"/>
    <row r="3144" s="20" customFormat="1" x14ac:dyDescent="0.2"/>
    <row r="3145" s="20" customFormat="1" x14ac:dyDescent="0.2"/>
    <row r="3146" s="20" customFormat="1" x14ac:dyDescent="0.2"/>
    <row r="3147" s="20" customFormat="1" x14ac:dyDescent="0.2"/>
    <row r="3148" s="20" customFormat="1" x14ac:dyDescent="0.2"/>
    <row r="3149" s="20" customFormat="1" x14ac:dyDescent="0.2"/>
    <row r="3150" s="20" customFormat="1" x14ac:dyDescent="0.2"/>
    <row r="3151" s="20" customFormat="1" x14ac:dyDescent="0.2"/>
    <row r="3152" s="20" customFormat="1" x14ac:dyDescent="0.2"/>
    <row r="3153" s="20" customFormat="1" x14ac:dyDescent="0.2"/>
    <row r="3154" s="20" customFormat="1" x14ac:dyDescent="0.2"/>
    <row r="3155" s="20" customFormat="1" x14ac:dyDescent="0.2"/>
    <row r="3156" s="20" customFormat="1" x14ac:dyDescent="0.2"/>
    <row r="3157" s="20" customFormat="1" x14ac:dyDescent="0.2"/>
    <row r="3158" s="20" customFormat="1" x14ac:dyDescent="0.2"/>
    <row r="3159" s="20" customFormat="1" x14ac:dyDescent="0.2"/>
    <row r="3160" s="20" customFormat="1" x14ac:dyDescent="0.2"/>
    <row r="3161" s="20" customFormat="1" x14ac:dyDescent="0.2"/>
    <row r="3162" s="20" customFormat="1" x14ac:dyDescent="0.2"/>
    <row r="3163" s="20" customFormat="1" x14ac:dyDescent="0.2"/>
    <row r="3164" s="20" customFormat="1" x14ac:dyDescent="0.2"/>
    <row r="3165" s="20" customFormat="1" x14ac:dyDescent="0.2"/>
    <row r="3166" s="20" customFormat="1" x14ac:dyDescent="0.2"/>
    <row r="3167" s="20" customFormat="1" x14ac:dyDescent="0.2"/>
    <row r="3168" s="20" customFormat="1" x14ac:dyDescent="0.2"/>
    <row r="3169" s="20" customFormat="1" x14ac:dyDescent="0.2"/>
    <row r="3170" s="20" customFormat="1" x14ac:dyDescent="0.2"/>
    <row r="3171" s="20" customFormat="1" x14ac:dyDescent="0.2"/>
    <row r="3172" s="20" customFormat="1" x14ac:dyDescent="0.2"/>
    <row r="3173" s="20" customFormat="1" x14ac:dyDescent="0.2"/>
    <row r="3174" s="20" customFormat="1" x14ac:dyDescent="0.2"/>
    <row r="3175" s="20" customFormat="1" x14ac:dyDescent="0.2"/>
    <row r="3176" s="20" customFormat="1" x14ac:dyDescent="0.2"/>
    <row r="3177" s="20" customFormat="1" x14ac:dyDescent="0.2"/>
    <row r="3178" s="20" customFormat="1" x14ac:dyDescent="0.2"/>
    <row r="3179" s="20" customFormat="1" x14ac:dyDescent="0.2"/>
    <row r="3180" s="20" customFormat="1" x14ac:dyDescent="0.2"/>
    <row r="3181" s="20" customFormat="1" x14ac:dyDescent="0.2"/>
    <row r="3182" s="20" customFormat="1" x14ac:dyDescent="0.2"/>
    <row r="3183" s="20" customFormat="1" x14ac:dyDescent="0.2"/>
    <row r="3184" s="20" customFormat="1" x14ac:dyDescent="0.2"/>
    <row r="3185" s="20" customFormat="1" x14ac:dyDescent="0.2"/>
    <row r="3186" s="20" customFormat="1" x14ac:dyDescent="0.2"/>
    <row r="3187" s="20" customFormat="1" x14ac:dyDescent="0.2"/>
    <row r="3188" s="20" customFormat="1" x14ac:dyDescent="0.2"/>
    <row r="3189" s="20" customFormat="1" x14ac:dyDescent="0.2"/>
    <row r="3190" s="20" customFormat="1" x14ac:dyDescent="0.2"/>
    <row r="3191" s="20" customFormat="1" x14ac:dyDescent="0.2"/>
    <row r="3192" s="20" customFormat="1" x14ac:dyDescent="0.2"/>
    <row r="3193" s="20" customFormat="1" x14ac:dyDescent="0.2"/>
    <row r="3194" s="20" customFormat="1" x14ac:dyDescent="0.2"/>
    <row r="3195" s="20" customFormat="1" x14ac:dyDescent="0.2"/>
    <row r="3196" s="20" customFormat="1" x14ac:dyDescent="0.2"/>
    <row r="3197" s="20" customFormat="1" x14ac:dyDescent="0.2"/>
    <row r="3198" s="20" customFormat="1" x14ac:dyDescent="0.2"/>
    <row r="3199" s="20" customFormat="1" x14ac:dyDescent="0.2"/>
    <row r="3200" s="20" customFormat="1" x14ac:dyDescent="0.2"/>
    <row r="3201" s="20" customFormat="1" x14ac:dyDescent="0.2"/>
    <row r="3202" s="20" customFormat="1" x14ac:dyDescent="0.2"/>
    <row r="3203" s="20" customFormat="1" x14ac:dyDescent="0.2"/>
    <row r="3204" s="20" customFormat="1" x14ac:dyDescent="0.2"/>
    <row r="3205" s="20" customFormat="1" x14ac:dyDescent="0.2"/>
    <row r="3206" s="20" customFormat="1" x14ac:dyDescent="0.2"/>
    <row r="3207" s="20" customFormat="1" x14ac:dyDescent="0.2"/>
    <row r="3208" s="20" customFormat="1" x14ac:dyDescent="0.2"/>
    <row r="3209" s="20" customFormat="1" x14ac:dyDescent="0.2"/>
    <row r="3210" s="20" customFormat="1" x14ac:dyDescent="0.2"/>
    <row r="3211" s="20" customFormat="1" x14ac:dyDescent="0.2"/>
    <row r="3212" s="20" customFormat="1" x14ac:dyDescent="0.2"/>
    <row r="3213" s="20" customFormat="1" x14ac:dyDescent="0.2"/>
    <row r="3214" s="20" customFormat="1" x14ac:dyDescent="0.2"/>
    <row r="3215" s="20" customFormat="1" x14ac:dyDescent="0.2"/>
    <row r="3216" s="20" customFormat="1" x14ac:dyDescent="0.2"/>
    <row r="3217" s="20" customFormat="1" x14ac:dyDescent="0.2"/>
    <row r="3218" s="20" customFormat="1" x14ac:dyDescent="0.2"/>
    <row r="3219" s="20" customFormat="1" x14ac:dyDescent="0.2"/>
    <row r="3220" s="20" customFormat="1" x14ac:dyDescent="0.2"/>
    <row r="3221" s="20" customFormat="1" x14ac:dyDescent="0.2"/>
    <row r="3222" s="20" customFormat="1" x14ac:dyDescent="0.2"/>
    <row r="3223" s="20" customFormat="1" x14ac:dyDescent="0.2"/>
    <row r="3224" s="20" customFormat="1" x14ac:dyDescent="0.2"/>
    <row r="3225" s="20" customFormat="1" x14ac:dyDescent="0.2"/>
    <row r="3226" s="20" customFormat="1" x14ac:dyDescent="0.2"/>
    <row r="3227" s="20" customFormat="1" x14ac:dyDescent="0.2"/>
    <row r="3228" s="20" customFormat="1" x14ac:dyDescent="0.2"/>
    <row r="3229" s="20" customFormat="1" x14ac:dyDescent="0.2"/>
    <row r="3230" s="20" customFormat="1" x14ac:dyDescent="0.2"/>
    <row r="3231" s="20" customFormat="1" x14ac:dyDescent="0.2"/>
    <row r="3232" s="20" customFormat="1" x14ac:dyDescent="0.2"/>
    <row r="3233" s="20" customFormat="1" x14ac:dyDescent="0.2"/>
    <row r="3234" s="20" customFormat="1" x14ac:dyDescent="0.2"/>
    <row r="3235" s="20" customFormat="1" x14ac:dyDescent="0.2"/>
    <row r="3236" s="20" customFormat="1" x14ac:dyDescent="0.2"/>
    <row r="3237" s="20" customFormat="1" x14ac:dyDescent="0.2"/>
    <row r="3238" s="20" customFormat="1" x14ac:dyDescent="0.2"/>
    <row r="3239" s="20" customFormat="1" x14ac:dyDescent="0.2"/>
    <row r="3240" s="20" customFormat="1" x14ac:dyDescent="0.2"/>
    <row r="3241" s="20" customFormat="1" x14ac:dyDescent="0.2"/>
    <row r="3242" s="20" customFormat="1" x14ac:dyDescent="0.2"/>
    <row r="3243" s="20" customFormat="1" x14ac:dyDescent="0.2"/>
    <row r="3244" s="20" customFormat="1" x14ac:dyDescent="0.2"/>
    <row r="3245" s="20" customFormat="1" x14ac:dyDescent="0.2"/>
    <row r="3246" s="20" customFormat="1" x14ac:dyDescent="0.2"/>
    <row r="3247" s="20" customFormat="1" x14ac:dyDescent="0.2"/>
    <row r="3248" s="20" customFormat="1" x14ac:dyDescent="0.2"/>
    <row r="3249" s="20" customFormat="1" x14ac:dyDescent="0.2"/>
    <row r="3250" s="20" customFormat="1" x14ac:dyDescent="0.2"/>
    <row r="3251" s="20" customFormat="1" x14ac:dyDescent="0.2"/>
    <row r="3252" s="20" customFormat="1" x14ac:dyDescent="0.2"/>
    <row r="3253" s="20" customFormat="1" x14ac:dyDescent="0.2"/>
    <row r="3254" s="20" customFormat="1" x14ac:dyDescent="0.2"/>
    <row r="3255" s="20" customFormat="1" x14ac:dyDescent="0.2"/>
    <row r="3256" s="20" customFormat="1" x14ac:dyDescent="0.2"/>
    <row r="3257" s="20" customFormat="1" x14ac:dyDescent="0.2"/>
    <row r="3258" s="20" customFormat="1" x14ac:dyDescent="0.2"/>
    <row r="3259" s="20" customFormat="1" x14ac:dyDescent="0.2"/>
    <row r="3260" s="20" customFormat="1" x14ac:dyDescent="0.2"/>
    <row r="3261" s="20" customFormat="1" x14ac:dyDescent="0.2"/>
    <row r="3262" s="20" customFormat="1" x14ac:dyDescent="0.2"/>
    <row r="3263" s="20" customFormat="1" x14ac:dyDescent="0.2"/>
    <row r="3264" s="20" customFormat="1" x14ac:dyDescent="0.2"/>
    <row r="3265" s="20" customFormat="1" x14ac:dyDescent="0.2"/>
    <row r="3266" s="20" customFormat="1" x14ac:dyDescent="0.2"/>
    <row r="3267" s="20" customFormat="1" x14ac:dyDescent="0.2"/>
    <row r="3268" s="20" customFormat="1" x14ac:dyDescent="0.2"/>
    <row r="3269" s="20" customFormat="1" x14ac:dyDescent="0.2"/>
    <row r="3270" s="20" customFormat="1" x14ac:dyDescent="0.2"/>
    <row r="3271" s="20" customFormat="1" x14ac:dyDescent="0.2"/>
    <row r="3272" s="20" customFormat="1" x14ac:dyDescent="0.2"/>
    <row r="3273" s="20" customFormat="1" x14ac:dyDescent="0.2"/>
    <row r="3274" s="20" customFormat="1" x14ac:dyDescent="0.2"/>
    <row r="3275" s="20" customFormat="1" x14ac:dyDescent="0.2"/>
    <row r="3276" s="20" customFormat="1" x14ac:dyDescent="0.2"/>
    <row r="3277" s="20" customFormat="1" x14ac:dyDescent="0.2"/>
    <row r="3278" s="20" customFormat="1" x14ac:dyDescent="0.2"/>
    <row r="3279" s="20" customFormat="1" x14ac:dyDescent="0.2"/>
    <row r="3280" s="20" customFormat="1" x14ac:dyDescent="0.2"/>
    <row r="3281" s="20" customFormat="1" x14ac:dyDescent="0.2"/>
    <row r="3282" s="20" customFormat="1" x14ac:dyDescent="0.2"/>
    <row r="3283" s="20" customFormat="1" x14ac:dyDescent="0.2"/>
    <row r="3284" s="20" customFormat="1" x14ac:dyDescent="0.2"/>
    <row r="3285" s="20" customFormat="1" x14ac:dyDescent="0.2"/>
    <row r="3286" s="20" customFormat="1" x14ac:dyDescent="0.2"/>
    <row r="3287" s="20" customFormat="1" x14ac:dyDescent="0.2"/>
    <row r="3288" s="20" customFormat="1" x14ac:dyDescent="0.2"/>
    <row r="3289" s="20" customFormat="1" x14ac:dyDescent="0.2"/>
    <row r="3290" s="20" customFormat="1" x14ac:dyDescent="0.2"/>
    <row r="3291" s="20" customFormat="1" x14ac:dyDescent="0.2"/>
    <row r="3292" s="20" customFormat="1" x14ac:dyDescent="0.2"/>
    <row r="3293" s="20" customFormat="1" x14ac:dyDescent="0.2"/>
    <row r="3294" s="20" customFormat="1" x14ac:dyDescent="0.2"/>
    <row r="3295" s="20" customFormat="1" x14ac:dyDescent="0.2"/>
    <row r="3296" s="20" customFormat="1" x14ac:dyDescent="0.2"/>
    <row r="3297" s="20" customFormat="1" x14ac:dyDescent="0.2"/>
    <row r="3298" s="20" customFormat="1" x14ac:dyDescent="0.2"/>
    <row r="3299" s="20" customFormat="1" x14ac:dyDescent="0.2"/>
    <row r="3300" s="20" customFormat="1" x14ac:dyDescent="0.2"/>
    <row r="3301" s="20" customFormat="1" x14ac:dyDescent="0.2"/>
    <row r="3302" s="20" customFormat="1" x14ac:dyDescent="0.2"/>
    <row r="3303" s="20" customFormat="1" x14ac:dyDescent="0.2"/>
    <row r="3304" s="20" customFormat="1" x14ac:dyDescent="0.2"/>
    <row r="3305" s="20" customFormat="1" x14ac:dyDescent="0.2"/>
    <row r="3306" s="20" customFormat="1" x14ac:dyDescent="0.2"/>
    <row r="3307" s="20" customFormat="1" x14ac:dyDescent="0.2"/>
    <row r="3308" s="20" customFormat="1" x14ac:dyDescent="0.2"/>
    <row r="3309" s="20" customFormat="1" x14ac:dyDescent="0.2"/>
    <row r="3310" s="20" customFormat="1" x14ac:dyDescent="0.2"/>
    <row r="3311" s="20" customFormat="1" x14ac:dyDescent="0.2"/>
    <row r="3312" s="20" customFormat="1" x14ac:dyDescent="0.2"/>
    <row r="3313" s="20" customFormat="1" x14ac:dyDescent="0.2"/>
    <row r="3314" s="20" customFormat="1" x14ac:dyDescent="0.2"/>
    <row r="3315" s="20" customFormat="1" x14ac:dyDescent="0.2"/>
    <row r="3316" s="20" customFormat="1" x14ac:dyDescent="0.2"/>
    <row r="3317" s="20" customFormat="1" x14ac:dyDescent="0.2"/>
    <row r="3318" s="20" customFormat="1" x14ac:dyDescent="0.2"/>
    <row r="3319" s="20" customFormat="1" x14ac:dyDescent="0.2"/>
    <row r="3320" s="20" customFormat="1" x14ac:dyDescent="0.2"/>
    <row r="3321" s="20" customFormat="1" x14ac:dyDescent="0.2"/>
    <row r="3322" s="20" customFormat="1" x14ac:dyDescent="0.2"/>
    <row r="3323" s="20" customFormat="1" x14ac:dyDescent="0.2"/>
    <row r="3324" s="20" customFormat="1" x14ac:dyDescent="0.2"/>
    <row r="3325" s="20" customFormat="1" x14ac:dyDescent="0.2"/>
    <row r="3326" s="20" customFormat="1" x14ac:dyDescent="0.2"/>
    <row r="3327" s="20" customFormat="1" x14ac:dyDescent="0.2"/>
    <row r="3328" s="20" customFormat="1" x14ac:dyDescent="0.2"/>
    <row r="3329" s="20" customFormat="1" x14ac:dyDescent="0.2"/>
    <row r="3330" s="20" customFormat="1" x14ac:dyDescent="0.2"/>
    <row r="3331" s="20" customFormat="1" x14ac:dyDescent="0.2"/>
    <row r="3332" s="20" customFormat="1" x14ac:dyDescent="0.2"/>
    <row r="3333" s="20" customFormat="1" x14ac:dyDescent="0.2"/>
    <row r="3334" s="20" customFormat="1" x14ac:dyDescent="0.2"/>
    <row r="3335" s="20" customFormat="1" x14ac:dyDescent="0.2"/>
    <row r="3336" s="20" customFormat="1" x14ac:dyDescent="0.2"/>
    <row r="3337" s="20" customFormat="1" x14ac:dyDescent="0.2"/>
    <row r="3338" s="20" customFormat="1" x14ac:dyDescent="0.2"/>
    <row r="3339" s="20" customFormat="1" x14ac:dyDescent="0.2"/>
    <row r="3340" s="20" customFormat="1" x14ac:dyDescent="0.2"/>
    <row r="3341" s="20" customFormat="1" x14ac:dyDescent="0.2"/>
    <row r="3342" s="20" customFormat="1" x14ac:dyDescent="0.2"/>
    <row r="3343" s="20" customFormat="1" x14ac:dyDescent="0.2"/>
    <row r="3344" s="20" customFormat="1" x14ac:dyDescent="0.2"/>
    <row r="3345" s="20" customFormat="1" x14ac:dyDescent="0.2"/>
    <row r="3346" s="20" customFormat="1" x14ac:dyDescent="0.2"/>
    <row r="3347" s="20" customFormat="1" x14ac:dyDescent="0.2"/>
    <row r="3348" s="20" customFormat="1" x14ac:dyDescent="0.2"/>
    <row r="3349" s="20" customFormat="1" x14ac:dyDescent="0.2"/>
    <row r="3350" s="20" customFormat="1" x14ac:dyDescent="0.2"/>
    <row r="3351" s="20" customFormat="1" x14ac:dyDescent="0.2"/>
    <row r="3352" s="20" customFormat="1" x14ac:dyDescent="0.2"/>
    <row r="3353" s="20" customFormat="1" x14ac:dyDescent="0.2"/>
    <row r="3354" s="20" customFormat="1" x14ac:dyDescent="0.2"/>
    <row r="3355" s="20" customFormat="1" x14ac:dyDescent="0.2"/>
    <row r="3356" s="20" customFormat="1" x14ac:dyDescent="0.2"/>
    <row r="3357" s="20" customFormat="1" x14ac:dyDescent="0.2"/>
    <row r="3358" s="20" customFormat="1" x14ac:dyDescent="0.2"/>
    <row r="3359" s="20" customFormat="1" x14ac:dyDescent="0.2"/>
    <row r="3360" s="20" customFormat="1" x14ac:dyDescent="0.2"/>
    <row r="3361" s="20" customFormat="1" x14ac:dyDescent="0.2"/>
    <row r="3362" s="20" customFormat="1" x14ac:dyDescent="0.2"/>
    <row r="3363" s="20" customFormat="1" x14ac:dyDescent="0.2"/>
    <row r="3364" s="20" customFormat="1" x14ac:dyDescent="0.2"/>
    <row r="3365" s="20" customFormat="1" x14ac:dyDescent="0.2"/>
    <row r="3366" s="20" customFormat="1" x14ac:dyDescent="0.2"/>
    <row r="3367" s="20" customFormat="1" x14ac:dyDescent="0.2"/>
    <row r="3368" s="20" customFormat="1" x14ac:dyDescent="0.2"/>
    <row r="3369" s="20" customFormat="1" x14ac:dyDescent="0.2"/>
    <row r="3370" s="20" customFormat="1" x14ac:dyDescent="0.2"/>
    <row r="3371" s="20" customFormat="1" x14ac:dyDescent="0.2"/>
    <row r="3372" s="20" customFormat="1" x14ac:dyDescent="0.2"/>
    <row r="3373" s="20" customFormat="1" x14ac:dyDescent="0.2"/>
    <row r="3374" s="20" customFormat="1" x14ac:dyDescent="0.2"/>
    <row r="3375" s="20" customFormat="1" x14ac:dyDescent="0.2"/>
    <row r="3376" s="20" customFormat="1" x14ac:dyDescent="0.2"/>
    <row r="3377" s="20" customFormat="1" x14ac:dyDescent="0.2"/>
    <row r="3378" s="20" customFormat="1" x14ac:dyDescent="0.2"/>
    <row r="3379" s="20" customFormat="1" x14ac:dyDescent="0.2"/>
    <row r="3380" s="20" customFormat="1" x14ac:dyDescent="0.2"/>
    <row r="3381" s="20" customFormat="1" x14ac:dyDescent="0.2"/>
    <row r="3382" s="20" customFormat="1" x14ac:dyDescent="0.2"/>
    <row r="3383" s="20" customFormat="1" x14ac:dyDescent="0.2"/>
    <row r="3384" s="20" customFormat="1" x14ac:dyDescent="0.2"/>
    <row r="3385" s="20" customFormat="1" x14ac:dyDescent="0.2"/>
    <row r="3386" s="20" customFormat="1" x14ac:dyDescent="0.2"/>
    <row r="3387" s="20" customFormat="1" x14ac:dyDescent="0.2"/>
    <row r="3388" s="20" customFormat="1" x14ac:dyDescent="0.2"/>
    <row r="3389" s="20" customFormat="1" x14ac:dyDescent="0.2"/>
    <row r="3390" s="20" customFormat="1" x14ac:dyDescent="0.2"/>
    <row r="3391" s="20" customFormat="1" x14ac:dyDescent="0.2"/>
    <row r="3392" s="20" customFormat="1" x14ac:dyDescent="0.2"/>
    <row r="3393" s="20" customFormat="1" x14ac:dyDescent="0.2"/>
    <row r="3394" s="20" customFormat="1" x14ac:dyDescent="0.2"/>
    <row r="3395" s="20" customFormat="1" x14ac:dyDescent="0.2"/>
    <row r="3396" s="20" customFormat="1" x14ac:dyDescent="0.2"/>
    <row r="3397" s="20" customFormat="1" x14ac:dyDescent="0.2"/>
    <row r="3398" s="20" customFormat="1" x14ac:dyDescent="0.2"/>
    <row r="3399" s="20" customFormat="1" x14ac:dyDescent="0.2"/>
    <row r="3400" s="20" customFormat="1" x14ac:dyDescent="0.2"/>
    <row r="3401" s="20" customFormat="1" x14ac:dyDescent="0.2"/>
    <row r="3402" s="20" customFormat="1" x14ac:dyDescent="0.2"/>
    <row r="3403" s="20" customFormat="1" x14ac:dyDescent="0.2"/>
    <row r="3404" s="20" customFormat="1" x14ac:dyDescent="0.2"/>
    <row r="3405" s="20" customFormat="1" x14ac:dyDescent="0.2"/>
    <row r="3406" s="20" customFormat="1" x14ac:dyDescent="0.2"/>
    <row r="3407" s="20" customFormat="1" x14ac:dyDescent="0.2"/>
    <row r="3408" s="20" customFormat="1" x14ac:dyDescent="0.2"/>
    <row r="3409" s="20" customFormat="1" x14ac:dyDescent="0.2"/>
    <row r="3410" s="20" customFormat="1" x14ac:dyDescent="0.2"/>
    <row r="3411" s="20" customFormat="1" x14ac:dyDescent="0.2"/>
    <row r="3412" s="20" customFormat="1" x14ac:dyDescent="0.2"/>
    <row r="3413" s="20" customFormat="1" x14ac:dyDescent="0.2"/>
    <row r="3414" s="20" customFormat="1" x14ac:dyDescent="0.2"/>
    <row r="3415" s="20" customFormat="1" x14ac:dyDescent="0.2"/>
    <row r="3416" s="20" customFormat="1" x14ac:dyDescent="0.2"/>
    <row r="3417" s="20" customFormat="1" x14ac:dyDescent="0.2"/>
    <row r="3418" s="20" customFormat="1" x14ac:dyDescent="0.2"/>
    <row r="3419" s="20" customFormat="1" x14ac:dyDescent="0.2"/>
    <row r="3420" s="20" customFormat="1" x14ac:dyDescent="0.2"/>
    <row r="3421" s="20" customFormat="1" x14ac:dyDescent="0.2"/>
    <row r="3422" s="20" customFormat="1" x14ac:dyDescent="0.2"/>
    <row r="3423" s="20" customFormat="1" x14ac:dyDescent="0.2"/>
    <row r="3424" s="20" customFormat="1" x14ac:dyDescent="0.2"/>
    <row r="3425" s="20" customFormat="1" x14ac:dyDescent="0.2"/>
    <row r="3426" s="20" customFormat="1" x14ac:dyDescent="0.2"/>
    <row r="3427" s="20" customFormat="1" x14ac:dyDescent="0.2"/>
    <row r="3428" s="20" customFormat="1" x14ac:dyDescent="0.2"/>
    <row r="3429" s="20" customFormat="1" x14ac:dyDescent="0.2"/>
    <row r="3430" s="20" customFormat="1" x14ac:dyDescent="0.2"/>
    <row r="3431" s="20" customFormat="1" x14ac:dyDescent="0.2"/>
    <row r="3432" s="20" customFormat="1" x14ac:dyDescent="0.2"/>
    <row r="3433" s="20" customFormat="1" x14ac:dyDescent="0.2"/>
    <row r="3434" s="20" customFormat="1" x14ac:dyDescent="0.2"/>
    <row r="3435" s="20" customFormat="1" x14ac:dyDescent="0.2"/>
    <row r="3436" s="20" customFormat="1" x14ac:dyDescent="0.2"/>
    <row r="3437" s="20" customFormat="1" x14ac:dyDescent="0.2"/>
    <row r="3438" s="20" customFormat="1" x14ac:dyDescent="0.2"/>
    <row r="3439" s="20" customFormat="1" x14ac:dyDescent="0.2"/>
    <row r="3440" s="20" customFormat="1" x14ac:dyDescent="0.2"/>
    <row r="3441" s="20" customFormat="1" x14ac:dyDescent="0.2"/>
    <row r="3442" s="20" customFormat="1" x14ac:dyDescent="0.2"/>
    <row r="3443" s="20" customFormat="1" x14ac:dyDescent="0.2"/>
    <row r="3444" s="20" customFormat="1" x14ac:dyDescent="0.2"/>
    <row r="3445" s="20" customFormat="1" x14ac:dyDescent="0.2"/>
    <row r="3446" s="20" customFormat="1" x14ac:dyDescent="0.2"/>
    <row r="3447" s="20" customFormat="1" x14ac:dyDescent="0.2"/>
    <row r="3448" s="20" customFormat="1" x14ac:dyDescent="0.2"/>
    <row r="3449" s="20" customFormat="1" x14ac:dyDescent="0.2"/>
    <row r="3450" s="20" customFormat="1" x14ac:dyDescent="0.2"/>
    <row r="3451" s="20" customFormat="1" x14ac:dyDescent="0.2"/>
    <row r="3452" s="20" customFormat="1" x14ac:dyDescent="0.2"/>
    <row r="3453" s="20" customFormat="1" x14ac:dyDescent="0.2"/>
    <row r="3454" s="20" customFormat="1" x14ac:dyDescent="0.2"/>
    <row r="3455" s="20" customFormat="1" x14ac:dyDescent="0.2"/>
    <row r="3456" s="20" customFormat="1" x14ac:dyDescent="0.2"/>
    <row r="3457" s="20" customFormat="1" x14ac:dyDescent="0.2"/>
    <row r="3458" s="20" customFormat="1" x14ac:dyDescent="0.2"/>
    <row r="3459" s="20" customFormat="1" x14ac:dyDescent="0.2"/>
    <row r="3460" s="20" customFormat="1" x14ac:dyDescent="0.2"/>
    <row r="3461" s="20" customFormat="1" x14ac:dyDescent="0.2"/>
    <row r="3462" s="20" customFormat="1" x14ac:dyDescent="0.2"/>
    <row r="3463" s="20" customFormat="1" x14ac:dyDescent="0.2"/>
    <row r="3464" s="20" customFormat="1" x14ac:dyDescent="0.2"/>
    <row r="3465" s="20" customFormat="1" x14ac:dyDescent="0.2"/>
    <row r="3466" s="20" customFormat="1" x14ac:dyDescent="0.2"/>
    <row r="3467" s="20" customFormat="1" x14ac:dyDescent="0.2"/>
    <row r="3468" s="20" customFormat="1" x14ac:dyDescent="0.2"/>
    <row r="3469" s="20" customFormat="1" x14ac:dyDescent="0.2"/>
    <row r="3470" s="20" customFormat="1" x14ac:dyDescent="0.2"/>
    <row r="3471" s="20" customFormat="1" x14ac:dyDescent="0.2"/>
    <row r="3472" s="20" customFormat="1" x14ac:dyDescent="0.2"/>
    <row r="3473" s="20" customFormat="1" x14ac:dyDescent="0.2"/>
    <row r="3474" s="20" customFormat="1" x14ac:dyDescent="0.2"/>
    <row r="3475" s="20" customFormat="1" x14ac:dyDescent="0.2"/>
    <row r="3476" s="20" customFormat="1" x14ac:dyDescent="0.2"/>
    <row r="3477" s="20" customFormat="1" x14ac:dyDescent="0.2"/>
    <row r="3478" s="20" customFormat="1" x14ac:dyDescent="0.2"/>
    <row r="3479" s="20" customFormat="1" x14ac:dyDescent="0.2"/>
    <row r="3480" s="20" customFormat="1" x14ac:dyDescent="0.2"/>
    <row r="3481" s="20" customFormat="1" x14ac:dyDescent="0.2"/>
    <row r="3482" s="20" customFormat="1" x14ac:dyDescent="0.2"/>
    <row r="3483" s="20" customFormat="1" x14ac:dyDescent="0.2"/>
    <row r="3484" s="20" customFormat="1" x14ac:dyDescent="0.2"/>
    <row r="3485" s="20" customFormat="1" x14ac:dyDescent="0.2"/>
    <row r="3486" s="20" customFormat="1" x14ac:dyDescent="0.2"/>
    <row r="3487" s="20" customFormat="1" x14ac:dyDescent="0.2"/>
    <row r="3488" s="20" customFormat="1" x14ac:dyDescent="0.2"/>
    <row r="3489" s="20" customFormat="1" x14ac:dyDescent="0.2"/>
    <row r="3490" s="20" customFormat="1" x14ac:dyDescent="0.2"/>
    <row r="3491" s="20" customFormat="1" x14ac:dyDescent="0.2"/>
    <row r="3492" s="20" customFormat="1" x14ac:dyDescent="0.2"/>
    <row r="3493" s="20" customFormat="1" x14ac:dyDescent="0.2"/>
    <row r="3494" s="20" customFormat="1" x14ac:dyDescent="0.2"/>
    <row r="3495" s="20" customFormat="1" x14ac:dyDescent="0.2"/>
    <row r="3496" s="20" customFormat="1" x14ac:dyDescent="0.2"/>
    <row r="3497" s="20" customFormat="1" x14ac:dyDescent="0.2"/>
    <row r="3498" s="20" customFormat="1" x14ac:dyDescent="0.2"/>
    <row r="3499" s="20" customFormat="1" x14ac:dyDescent="0.2"/>
    <row r="3500" s="20" customFormat="1" x14ac:dyDescent="0.2"/>
    <row r="3501" s="20" customFormat="1" x14ac:dyDescent="0.2"/>
    <row r="3502" s="20" customFormat="1" x14ac:dyDescent="0.2"/>
    <row r="3503" s="20" customFormat="1" x14ac:dyDescent="0.2"/>
    <row r="3504" s="20" customFormat="1" x14ac:dyDescent="0.2"/>
    <row r="3505" s="20" customFormat="1" x14ac:dyDescent="0.2"/>
    <row r="3506" s="20" customFormat="1" x14ac:dyDescent="0.2"/>
    <row r="3507" s="20" customFormat="1" x14ac:dyDescent="0.2"/>
    <row r="3508" s="20" customFormat="1" x14ac:dyDescent="0.2"/>
    <row r="3509" s="20" customFormat="1" x14ac:dyDescent="0.2"/>
    <row r="3510" s="20" customFormat="1" x14ac:dyDescent="0.2"/>
    <row r="3511" s="20" customFormat="1" x14ac:dyDescent="0.2"/>
    <row r="3512" s="20" customFormat="1" x14ac:dyDescent="0.2"/>
    <row r="3513" s="20" customFormat="1" x14ac:dyDescent="0.2"/>
    <row r="3514" s="20" customFormat="1" x14ac:dyDescent="0.2"/>
    <row r="3515" s="20" customFormat="1" x14ac:dyDescent="0.2"/>
    <row r="3516" s="20" customFormat="1" x14ac:dyDescent="0.2"/>
    <row r="3517" s="20" customFormat="1" x14ac:dyDescent="0.2"/>
    <row r="3518" s="20" customFormat="1" x14ac:dyDescent="0.2"/>
    <row r="3519" s="20" customFormat="1" x14ac:dyDescent="0.2"/>
    <row r="3520" s="20" customFormat="1" x14ac:dyDescent="0.2"/>
    <row r="3521" s="20" customFormat="1" x14ac:dyDescent="0.2"/>
    <row r="3522" s="20" customFormat="1" x14ac:dyDescent="0.2"/>
    <row r="3523" s="20" customFormat="1" x14ac:dyDescent="0.2"/>
    <row r="3524" s="20" customFormat="1" x14ac:dyDescent="0.2"/>
    <row r="3525" s="20" customFormat="1" x14ac:dyDescent="0.2"/>
    <row r="3526" s="20" customFormat="1" x14ac:dyDescent="0.2"/>
    <row r="3527" s="20" customFormat="1" x14ac:dyDescent="0.2"/>
    <row r="3528" s="20" customFormat="1" x14ac:dyDescent="0.2"/>
    <row r="3529" s="20" customFormat="1" x14ac:dyDescent="0.2"/>
    <row r="3530" s="20" customFormat="1" x14ac:dyDescent="0.2"/>
    <row r="3531" s="20" customFormat="1" x14ac:dyDescent="0.2"/>
    <row r="3532" s="20" customFormat="1" x14ac:dyDescent="0.2"/>
    <row r="3533" s="20" customFormat="1" x14ac:dyDescent="0.2"/>
    <row r="3534" s="20" customFormat="1" x14ac:dyDescent="0.2"/>
    <row r="3535" s="20" customFormat="1" x14ac:dyDescent="0.2"/>
    <row r="3536" s="20" customFormat="1" x14ac:dyDescent="0.2"/>
    <row r="3537" s="20" customFormat="1" x14ac:dyDescent="0.2"/>
    <row r="3538" s="20" customFormat="1" x14ac:dyDescent="0.2"/>
    <row r="3539" s="20" customFormat="1" x14ac:dyDescent="0.2"/>
    <row r="3540" s="20" customFormat="1" x14ac:dyDescent="0.2"/>
    <row r="3541" s="20" customFormat="1" x14ac:dyDescent="0.2"/>
    <row r="3542" s="20" customFormat="1" x14ac:dyDescent="0.2"/>
    <row r="3543" s="20" customFormat="1" x14ac:dyDescent="0.2"/>
    <row r="3544" s="20" customFormat="1" x14ac:dyDescent="0.2"/>
    <row r="3545" s="20" customFormat="1" x14ac:dyDescent="0.2"/>
    <row r="3546" s="20" customFormat="1" x14ac:dyDescent="0.2"/>
    <row r="3547" s="20" customFormat="1" x14ac:dyDescent="0.2"/>
    <row r="3548" s="20" customFormat="1" x14ac:dyDescent="0.2"/>
    <row r="3549" s="20" customFormat="1" x14ac:dyDescent="0.2"/>
    <row r="3550" s="20" customFormat="1" x14ac:dyDescent="0.2"/>
    <row r="3551" s="20" customFormat="1" x14ac:dyDescent="0.2"/>
    <row r="3552" s="20" customFormat="1" x14ac:dyDescent="0.2"/>
    <row r="3553" s="20" customFormat="1" x14ac:dyDescent="0.2"/>
    <row r="3554" s="20" customFormat="1" x14ac:dyDescent="0.2"/>
    <row r="3555" s="20" customFormat="1" x14ac:dyDescent="0.2"/>
    <row r="3556" s="20" customFormat="1" x14ac:dyDescent="0.2"/>
    <row r="3557" s="20" customFormat="1" x14ac:dyDescent="0.2"/>
    <row r="3558" s="20" customFormat="1" x14ac:dyDescent="0.2"/>
    <row r="3559" s="20" customFormat="1" x14ac:dyDescent="0.2"/>
    <row r="3560" s="20" customFormat="1" x14ac:dyDescent="0.2"/>
    <row r="3561" s="20" customFormat="1" x14ac:dyDescent="0.2"/>
    <row r="3562" s="20" customFormat="1" x14ac:dyDescent="0.2"/>
    <row r="3563" s="20" customFormat="1" x14ac:dyDescent="0.2"/>
    <row r="3564" s="20" customFormat="1" x14ac:dyDescent="0.2"/>
    <row r="3565" s="20" customFormat="1" x14ac:dyDescent="0.2"/>
    <row r="3566" s="20" customFormat="1" x14ac:dyDescent="0.2"/>
    <row r="3567" s="20" customFormat="1" x14ac:dyDescent="0.2"/>
    <row r="3568" s="20" customFormat="1" x14ac:dyDescent="0.2"/>
    <row r="3569" s="20" customFormat="1" x14ac:dyDescent="0.2"/>
    <row r="3570" s="20" customFormat="1" x14ac:dyDescent="0.2"/>
    <row r="3571" s="20" customFormat="1" x14ac:dyDescent="0.2"/>
    <row r="3572" s="20" customFormat="1" x14ac:dyDescent="0.2"/>
    <row r="3573" s="20" customFormat="1" x14ac:dyDescent="0.2"/>
    <row r="3574" s="20" customFormat="1" x14ac:dyDescent="0.2"/>
    <row r="3575" s="20" customFormat="1" x14ac:dyDescent="0.2"/>
    <row r="3576" s="20" customFormat="1" x14ac:dyDescent="0.2"/>
    <row r="3577" s="20" customFormat="1" x14ac:dyDescent="0.2"/>
    <row r="3578" s="20" customFormat="1" x14ac:dyDescent="0.2"/>
    <row r="3579" s="20" customFormat="1" x14ac:dyDescent="0.2"/>
    <row r="3580" s="20" customFormat="1" x14ac:dyDescent="0.2"/>
    <row r="3581" s="20" customFormat="1" x14ac:dyDescent="0.2"/>
    <row r="3582" s="20" customFormat="1" x14ac:dyDescent="0.2"/>
    <row r="3583" s="20" customFormat="1" x14ac:dyDescent="0.2"/>
    <row r="3584" s="20" customFormat="1" x14ac:dyDescent="0.2"/>
    <row r="3585" s="20" customFormat="1" x14ac:dyDescent="0.2"/>
    <row r="3586" s="20" customFormat="1" x14ac:dyDescent="0.2"/>
    <row r="3587" s="20" customFormat="1" x14ac:dyDescent="0.2"/>
    <row r="3588" s="20" customFormat="1" x14ac:dyDescent="0.2"/>
    <row r="3589" s="20" customFormat="1" x14ac:dyDescent="0.2"/>
    <row r="3590" s="20" customFormat="1" x14ac:dyDescent="0.2"/>
    <row r="3591" s="20" customFormat="1" x14ac:dyDescent="0.2"/>
    <row r="3592" s="20" customFormat="1" x14ac:dyDescent="0.2"/>
    <row r="3593" s="20" customFormat="1" x14ac:dyDescent="0.2"/>
    <row r="3594" s="20" customFormat="1" x14ac:dyDescent="0.2"/>
    <row r="3595" s="20" customFormat="1" x14ac:dyDescent="0.2"/>
    <row r="3596" s="20" customFormat="1" x14ac:dyDescent="0.2"/>
    <row r="3597" s="20" customFormat="1" x14ac:dyDescent="0.2"/>
    <row r="3598" s="20" customFormat="1" x14ac:dyDescent="0.2"/>
    <row r="3599" s="20" customFormat="1" x14ac:dyDescent="0.2"/>
    <row r="3600" s="20" customFormat="1" x14ac:dyDescent="0.2"/>
    <row r="3601" s="20" customFormat="1" x14ac:dyDescent="0.2"/>
    <row r="3602" s="20" customFormat="1" x14ac:dyDescent="0.2"/>
    <row r="3603" s="20" customFormat="1" x14ac:dyDescent="0.2"/>
    <row r="3604" s="20" customFormat="1" x14ac:dyDescent="0.2"/>
    <row r="3605" s="20" customFormat="1" x14ac:dyDescent="0.2"/>
    <row r="3606" s="20" customFormat="1" x14ac:dyDescent="0.2"/>
    <row r="3607" s="20" customFormat="1" x14ac:dyDescent="0.2"/>
    <row r="3608" s="20" customFormat="1" x14ac:dyDescent="0.2"/>
    <row r="3609" s="20" customFormat="1" x14ac:dyDescent="0.2"/>
    <row r="3610" s="20" customFormat="1" x14ac:dyDescent="0.2"/>
    <row r="3611" s="20" customFormat="1" x14ac:dyDescent="0.2"/>
    <row r="3612" s="20" customFormat="1" x14ac:dyDescent="0.2"/>
    <row r="3613" s="20" customFormat="1" x14ac:dyDescent="0.2"/>
    <row r="3614" s="20" customFormat="1" x14ac:dyDescent="0.2"/>
    <row r="3615" s="20" customFormat="1" x14ac:dyDescent="0.2"/>
    <row r="3616" s="20" customFormat="1" x14ac:dyDescent="0.2"/>
    <row r="3617" s="20" customFormat="1" x14ac:dyDescent="0.2"/>
    <row r="3618" s="20" customFormat="1" x14ac:dyDescent="0.2"/>
    <row r="3619" s="20" customFormat="1" x14ac:dyDescent="0.2"/>
    <row r="3620" s="20" customFormat="1" x14ac:dyDescent="0.2"/>
    <row r="3621" s="20" customFormat="1" x14ac:dyDescent="0.2"/>
    <row r="3622" s="20" customFormat="1" x14ac:dyDescent="0.2"/>
    <row r="3623" s="20" customFormat="1" x14ac:dyDescent="0.2"/>
    <row r="3624" s="20" customFormat="1" x14ac:dyDescent="0.2"/>
    <row r="3625" s="20" customFormat="1" x14ac:dyDescent="0.2"/>
    <row r="3626" s="20" customFormat="1" x14ac:dyDescent="0.2"/>
    <row r="3627" s="20" customFormat="1" x14ac:dyDescent="0.2"/>
    <row r="3628" s="20" customFormat="1" x14ac:dyDescent="0.2"/>
    <row r="3629" s="20" customFormat="1" x14ac:dyDescent="0.2"/>
    <row r="3630" s="20" customFormat="1" x14ac:dyDescent="0.2"/>
    <row r="3631" s="20" customFormat="1" x14ac:dyDescent="0.2"/>
    <row r="3632" s="20" customFormat="1" x14ac:dyDescent="0.2"/>
    <row r="3633" s="20" customFormat="1" x14ac:dyDescent="0.2"/>
    <row r="3634" s="20" customFormat="1" x14ac:dyDescent="0.2"/>
    <row r="3635" s="20" customFormat="1" x14ac:dyDescent="0.2"/>
    <row r="3636" s="20" customFormat="1" x14ac:dyDescent="0.2"/>
    <row r="3637" s="20" customFormat="1" x14ac:dyDescent="0.2"/>
    <row r="3638" s="20" customFormat="1" x14ac:dyDescent="0.2"/>
    <row r="3639" s="20" customFormat="1" x14ac:dyDescent="0.2"/>
    <row r="3640" s="20" customFormat="1" x14ac:dyDescent="0.2"/>
    <row r="3641" s="20" customFormat="1" x14ac:dyDescent="0.2"/>
    <row r="3642" s="20" customFormat="1" x14ac:dyDescent="0.2"/>
    <row r="3643" s="20" customFormat="1" x14ac:dyDescent="0.2"/>
    <row r="3644" s="20" customFormat="1" x14ac:dyDescent="0.2"/>
    <row r="3645" s="20" customFormat="1" x14ac:dyDescent="0.2"/>
    <row r="3646" s="20" customFormat="1" x14ac:dyDescent="0.2"/>
    <row r="3647" s="20" customFormat="1" x14ac:dyDescent="0.2"/>
    <row r="3648" s="20" customFormat="1" x14ac:dyDescent="0.2"/>
    <row r="3649" s="20" customFormat="1" x14ac:dyDescent="0.2"/>
    <row r="3650" s="20" customFormat="1" x14ac:dyDescent="0.2"/>
    <row r="3651" s="20" customFormat="1" x14ac:dyDescent="0.2"/>
    <row r="3652" s="20" customFormat="1" x14ac:dyDescent="0.2"/>
    <row r="3653" s="20" customFormat="1" x14ac:dyDescent="0.2"/>
    <row r="3654" s="20" customFormat="1" x14ac:dyDescent="0.2"/>
    <row r="3655" s="20" customFormat="1" x14ac:dyDescent="0.2"/>
    <row r="3656" s="20" customFormat="1" x14ac:dyDescent="0.2"/>
    <row r="3657" s="20" customFormat="1" x14ac:dyDescent="0.2"/>
    <row r="3658" s="20" customFormat="1" x14ac:dyDescent="0.2"/>
    <row r="3659" s="20" customFormat="1" x14ac:dyDescent="0.2"/>
    <row r="3660" s="20" customFormat="1" x14ac:dyDescent="0.2"/>
    <row r="3661" s="20" customFormat="1" x14ac:dyDescent="0.2"/>
    <row r="3662" s="20" customFormat="1" x14ac:dyDescent="0.2"/>
    <row r="3663" s="20" customFormat="1" x14ac:dyDescent="0.2"/>
    <row r="3664" s="20" customFormat="1" x14ac:dyDescent="0.2"/>
    <row r="3665" s="20" customFormat="1" x14ac:dyDescent="0.2"/>
    <row r="3666" s="20" customFormat="1" x14ac:dyDescent="0.2"/>
    <row r="3667" s="20" customFormat="1" x14ac:dyDescent="0.2"/>
    <row r="3668" s="20" customFormat="1" x14ac:dyDescent="0.2"/>
    <row r="3669" s="20" customFormat="1" x14ac:dyDescent="0.2"/>
    <row r="3670" s="20" customFormat="1" x14ac:dyDescent="0.2"/>
    <row r="3671" s="20" customFormat="1" x14ac:dyDescent="0.2"/>
    <row r="3672" s="20" customFormat="1" x14ac:dyDescent="0.2"/>
    <row r="3673" s="20" customFormat="1" x14ac:dyDescent="0.2"/>
    <row r="3674" s="20" customFormat="1" x14ac:dyDescent="0.2"/>
    <row r="3675" s="20" customFormat="1" x14ac:dyDescent="0.2"/>
    <row r="3676" s="20" customFormat="1" x14ac:dyDescent="0.2"/>
    <row r="3677" s="20" customFormat="1" x14ac:dyDescent="0.2"/>
    <row r="3678" s="20" customFormat="1" x14ac:dyDescent="0.2"/>
    <row r="3679" s="20" customFormat="1" x14ac:dyDescent="0.2"/>
    <row r="3680" s="20" customFormat="1" x14ac:dyDescent="0.2"/>
    <row r="3681" s="20" customFormat="1" x14ac:dyDescent="0.2"/>
    <row r="3682" s="20" customFormat="1" x14ac:dyDescent="0.2"/>
    <row r="3683" s="20" customFormat="1" x14ac:dyDescent="0.2"/>
    <row r="3684" s="20" customFormat="1" x14ac:dyDescent="0.2"/>
    <row r="3685" s="20" customFormat="1" x14ac:dyDescent="0.2"/>
    <row r="3686" s="20" customFormat="1" x14ac:dyDescent="0.2"/>
    <row r="3687" s="20" customFormat="1" x14ac:dyDescent="0.2"/>
    <row r="3688" s="20" customFormat="1" x14ac:dyDescent="0.2"/>
    <row r="3689" s="20" customFormat="1" x14ac:dyDescent="0.2"/>
    <row r="3690" s="20" customFormat="1" x14ac:dyDescent="0.2"/>
    <row r="3691" s="20" customFormat="1" x14ac:dyDescent="0.2"/>
    <row r="3692" s="20" customFormat="1" x14ac:dyDescent="0.2"/>
    <row r="3693" s="20" customFormat="1" x14ac:dyDescent="0.2"/>
    <row r="3694" s="20" customFormat="1" x14ac:dyDescent="0.2"/>
    <row r="3695" s="20" customFormat="1" x14ac:dyDescent="0.2"/>
    <row r="3696" s="20" customFormat="1" x14ac:dyDescent="0.2"/>
    <row r="3697" s="20" customFormat="1" x14ac:dyDescent="0.2"/>
    <row r="3698" s="20" customFormat="1" x14ac:dyDescent="0.2"/>
    <row r="3699" s="20" customFormat="1" x14ac:dyDescent="0.2"/>
    <row r="3700" s="20" customFormat="1" x14ac:dyDescent="0.2"/>
    <row r="3701" s="20" customFormat="1" x14ac:dyDescent="0.2"/>
    <row r="3702" s="20" customFormat="1" x14ac:dyDescent="0.2"/>
    <row r="3703" s="20" customFormat="1" x14ac:dyDescent="0.2"/>
    <row r="3704" s="20" customFormat="1" x14ac:dyDescent="0.2"/>
    <row r="3705" s="20" customFormat="1" x14ac:dyDescent="0.2"/>
    <row r="3706" s="20" customFormat="1" x14ac:dyDescent="0.2"/>
    <row r="3707" s="20" customFormat="1" x14ac:dyDescent="0.2"/>
    <row r="3708" s="20" customFormat="1" x14ac:dyDescent="0.2"/>
    <row r="3709" s="20" customFormat="1" x14ac:dyDescent="0.2"/>
    <row r="3710" s="20" customFormat="1" x14ac:dyDescent="0.2"/>
    <row r="3711" s="20" customFormat="1" x14ac:dyDescent="0.2"/>
    <row r="3712" s="20" customFormat="1" x14ac:dyDescent="0.2"/>
    <row r="3713" s="20" customFormat="1" x14ac:dyDescent="0.2"/>
    <row r="3714" s="20" customFormat="1" x14ac:dyDescent="0.2"/>
    <row r="3715" s="20" customFormat="1" x14ac:dyDescent="0.2"/>
    <row r="3716" s="20" customFormat="1" x14ac:dyDescent="0.2"/>
    <row r="3717" s="20" customFormat="1" x14ac:dyDescent="0.2"/>
    <row r="3718" s="20" customFormat="1" x14ac:dyDescent="0.2"/>
    <row r="3719" s="20" customFormat="1" x14ac:dyDescent="0.2"/>
    <row r="3720" s="20" customFormat="1" x14ac:dyDescent="0.2"/>
    <row r="3721" s="20" customFormat="1" x14ac:dyDescent="0.2"/>
    <row r="3722" s="20" customFormat="1" x14ac:dyDescent="0.2"/>
    <row r="3723" s="20" customFormat="1" x14ac:dyDescent="0.2"/>
    <row r="3724" s="20" customFormat="1" x14ac:dyDescent="0.2"/>
    <row r="3725" s="20" customFormat="1" x14ac:dyDescent="0.2"/>
    <row r="3726" s="20" customFormat="1" x14ac:dyDescent="0.2"/>
    <row r="3727" s="20" customFormat="1" x14ac:dyDescent="0.2"/>
    <row r="3728" s="20" customFormat="1" x14ac:dyDescent="0.2"/>
    <row r="3729" s="20" customFormat="1" x14ac:dyDescent="0.2"/>
    <row r="3730" s="20" customFormat="1" x14ac:dyDescent="0.2"/>
    <row r="3731" s="20" customFormat="1" x14ac:dyDescent="0.2"/>
    <row r="3732" s="20" customFormat="1" x14ac:dyDescent="0.2"/>
    <row r="3733" s="20" customFormat="1" x14ac:dyDescent="0.2"/>
    <row r="3734" s="20" customFormat="1" x14ac:dyDescent="0.2"/>
    <row r="3735" s="20" customFormat="1" x14ac:dyDescent="0.2"/>
    <row r="3736" s="20" customFormat="1" x14ac:dyDescent="0.2"/>
    <row r="3737" s="20" customFormat="1" x14ac:dyDescent="0.2"/>
    <row r="3738" s="20" customFormat="1" x14ac:dyDescent="0.2"/>
    <row r="3739" s="20" customFormat="1" x14ac:dyDescent="0.2"/>
    <row r="3740" s="20" customFormat="1" x14ac:dyDescent="0.2"/>
    <row r="3741" s="20" customFormat="1" x14ac:dyDescent="0.2"/>
    <row r="3742" s="20" customFormat="1" x14ac:dyDescent="0.2"/>
    <row r="3743" s="20" customFormat="1" x14ac:dyDescent="0.2"/>
    <row r="3744" s="20" customFormat="1" x14ac:dyDescent="0.2"/>
    <row r="3745" s="20" customFormat="1" x14ac:dyDescent="0.2"/>
    <row r="3746" s="20" customFormat="1" x14ac:dyDescent="0.2"/>
    <row r="3747" s="20" customFormat="1" x14ac:dyDescent="0.2"/>
    <row r="3748" s="20" customFormat="1" x14ac:dyDescent="0.2"/>
    <row r="3749" s="20" customFormat="1" x14ac:dyDescent="0.2"/>
    <row r="3750" s="20" customFormat="1" x14ac:dyDescent="0.2"/>
    <row r="3751" s="20" customFormat="1" x14ac:dyDescent="0.2"/>
    <row r="3752" s="20" customFormat="1" x14ac:dyDescent="0.2"/>
    <row r="3753" s="20" customFormat="1" x14ac:dyDescent="0.2"/>
    <row r="3754" s="20" customFormat="1" x14ac:dyDescent="0.2"/>
    <row r="3755" s="20" customFormat="1" x14ac:dyDescent="0.2"/>
    <row r="3756" s="20" customFormat="1" x14ac:dyDescent="0.2"/>
    <row r="3757" s="20" customFormat="1" x14ac:dyDescent="0.2"/>
    <row r="3758" s="20" customFormat="1" x14ac:dyDescent="0.2"/>
    <row r="3759" s="20" customFormat="1" x14ac:dyDescent="0.2"/>
    <row r="3760" s="20" customFormat="1" x14ac:dyDescent="0.2"/>
    <row r="3761" s="20" customFormat="1" x14ac:dyDescent="0.2"/>
    <row r="3762" s="20" customFormat="1" x14ac:dyDescent="0.2"/>
    <row r="3763" s="20" customFormat="1" x14ac:dyDescent="0.2"/>
    <row r="3764" s="20" customFormat="1" x14ac:dyDescent="0.2"/>
    <row r="3765" s="20" customFormat="1" x14ac:dyDescent="0.2"/>
    <row r="3766" s="20" customFormat="1" x14ac:dyDescent="0.2"/>
    <row r="3767" s="20" customFormat="1" x14ac:dyDescent="0.2"/>
    <row r="3768" s="20" customFormat="1" x14ac:dyDescent="0.2"/>
    <row r="3769" s="20" customFormat="1" x14ac:dyDescent="0.2"/>
    <row r="3770" s="20" customFormat="1" x14ac:dyDescent="0.2"/>
    <row r="3771" s="20" customFormat="1" x14ac:dyDescent="0.2"/>
    <row r="3772" s="20" customFormat="1" x14ac:dyDescent="0.2"/>
    <row r="3773" s="20" customFormat="1" x14ac:dyDescent="0.2"/>
    <row r="3774" s="20" customFormat="1" x14ac:dyDescent="0.2"/>
    <row r="3775" s="20" customFormat="1" x14ac:dyDescent="0.2"/>
    <row r="3776" s="20" customFormat="1" x14ac:dyDescent="0.2"/>
    <row r="3777" s="20" customFormat="1" x14ac:dyDescent="0.2"/>
    <row r="3778" s="20" customFormat="1" x14ac:dyDescent="0.2"/>
    <row r="3779" s="20" customFormat="1" x14ac:dyDescent="0.2"/>
    <row r="3780" s="20" customFormat="1" x14ac:dyDescent="0.2"/>
    <row r="3781" s="20" customFormat="1" x14ac:dyDescent="0.2"/>
    <row r="3782" s="20" customFormat="1" x14ac:dyDescent="0.2"/>
    <row r="3783" s="20" customFormat="1" x14ac:dyDescent="0.2"/>
    <row r="3784" s="20" customFormat="1" x14ac:dyDescent="0.2"/>
    <row r="3785" s="20" customFormat="1" x14ac:dyDescent="0.2"/>
    <row r="3786" s="20" customFormat="1" x14ac:dyDescent="0.2"/>
    <row r="3787" s="20" customFormat="1" x14ac:dyDescent="0.2"/>
    <row r="3788" s="20" customFormat="1" x14ac:dyDescent="0.2"/>
    <row r="3789" s="20" customFormat="1" x14ac:dyDescent="0.2"/>
    <row r="3790" s="20" customFormat="1" x14ac:dyDescent="0.2"/>
    <row r="3791" s="20" customFormat="1" x14ac:dyDescent="0.2"/>
    <row r="3792" s="20" customFormat="1" x14ac:dyDescent="0.2"/>
    <row r="3793" s="20" customFormat="1" x14ac:dyDescent="0.2"/>
    <row r="3794" s="20" customFormat="1" x14ac:dyDescent="0.2"/>
    <row r="3795" s="20" customFormat="1" x14ac:dyDescent="0.2"/>
    <row r="3796" s="20" customFormat="1" x14ac:dyDescent="0.2"/>
    <row r="3797" s="20" customFormat="1" x14ac:dyDescent="0.2"/>
    <row r="3798" s="20" customFormat="1" x14ac:dyDescent="0.2"/>
    <row r="3799" s="20" customFormat="1" x14ac:dyDescent="0.2"/>
    <row r="3800" s="20" customFormat="1" x14ac:dyDescent="0.2"/>
    <row r="3801" s="20" customFormat="1" x14ac:dyDescent="0.2"/>
    <row r="3802" s="20" customFormat="1" x14ac:dyDescent="0.2"/>
    <row r="3803" s="20" customFormat="1" x14ac:dyDescent="0.2"/>
    <row r="3804" s="20" customFormat="1" x14ac:dyDescent="0.2"/>
    <row r="3805" s="20" customFormat="1" x14ac:dyDescent="0.2"/>
    <row r="3806" s="20" customFormat="1" x14ac:dyDescent="0.2"/>
    <row r="3807" s="20" customFormat="1" x14ac:dyDescent="0.2"/>
    <row r="3808" s="20" customFormat="1" x14ac:dyDescent="0.2"/>
    <row r="3809" s="20" customFormat="1" x14ac:dyDescent="0.2"/>
    <row r="3810" s="20" customFormat="1" x14ac:dyDescent="0.2"/>
    <row r="3811" s="20" customFormat="1" x14ac:dyDescent="0.2"/>
    <row r="3812" s="20" customFormat="1" x14ac:dyDescent="0.2"/>
    <row r="3813" s="20" customFormat="1" x14ac:dyDescent="0.2"/>
    <row r="3814" s="20" customFormat="1" x14ac:dyDescent="0.2"/>
    <row r="3815" s="20" customFormat="1" x14ac:dyDescent="0.2"/>
    <row r="3816" s="20" customFormat="1" x14ac:dyDescent="0.2"/>
    <row r="3817" s="20" customFormat="1" x14ac:dyDescent="0.2"/>
    <row r="3818" s="20" customFormat="1" x14ac:dyDescent="0.2"/>
    <row r="3819" s="20" customFormat="1" x14ac:dyDescent="0.2"/>
    <row r="3820" s="20" customFormat="1" x14ac:dyDescent="0.2"/>
    <row r="3821" s="20" customFormat="1" x14ac:dyDescent="0.2"/>
    <row r="3822" s="20" customFormat="1" x14ac:dyDescent="0.2"/>
    <row r="3823" s="20" customFormat="1" x14ac:dyDescent="0.2"/>
    <row r="3824" s="20" customFormat="1" x14ac:dyDescent="0.2"/>
    <row r="3825" s="20" customFormat="1" x14ac:dyDescent="0.2"/>
    <row r="3826" s="20" customFormat="1" x14ac:dyDescent="0.2"/>
    <row r="3827" s="20" customFormat="1" x14ac:dyDescent="0.2"/>
    <row r="3828" s="20" customFormat="1" x14ac:dyDescent="0.2"/>
    <row r="3829" s="20" customFormat="1" x14ac:dyDescent="0.2"/>
    <row r="3830" s="20" customFormat="1" x14ac:dyDescent="0.2"/>
    <row r="3831" s="20" customFormat="1" x14ac:dyDescent="0.2"/>
    <row r="3832" s="20" customFormat="1" x14ac:dyDescent="0.2"/>
    <row r="3833" s="20" customFormat="1" x14ac:dyDescent="0.2"/>
    <row r="3834" s="20" customFormat="1" x14ac:dyDescent="0.2"/>
    <row r="3835" s="20" customFormat="1" x14ac:dyDescent="0.2"/>
    <row r="3836" s="20" customFormat="1" x14ac:dyDescent="0.2"/>
    <row r="3837" s="20" customFormat="1" x14ac:dyDescent="0.2"/>
    <row r="3838" s="20" customFormat="1" x14ac:dyDescent="0.2"/>
    <row r="3839" s="20" customFormat="1" x14ac:dyDescent="0.2"/>
    <row r="3840" s="20" customFormat="1" x14ac:dyDescent="0.2"/>
    <row r="3841" s="20" customFormat="1" x14ac:dyDescent="0.2"/>
    <row r="3842" s="20" customFormat="1" x14ac:dyDescent="0.2"/>
    <row r="3843" s="20" customFormat="1" x14ac:dyDescent="0.2"/>
    <row r="3844" s="20" customFormat="1" x14ac:dyDescent="0.2"/>
    <row r="3845" s="20" customFormat="1" x14ac:dyDescent="0.2"/>
    <row r="3846" s="20" customFormat="1" x14ac:dyDescent="0.2"/>
    <row r="3847" s="20" customFormat="1" x14ac:dyDescent="0.2"/>
    <row r="3848" s="20" customFormat="1" x14ac:dyDescent="0.2"/>
    <row r="3849" s="20" customFormat="1" x14ac:dyDescent="0.2"/>
    <row r="3850" s="20" customFormat="1" x14ac:dyDescent="0.2"/>
    <row r="3851" s="20" customFormat="1" x14ac:dyDescent="0.2"/>
    <row r="3852" s="20" customFormat="1" x14ac:dyDescent="0.2"/>
    <row r="3853" s="20" customFormat="1" x14ac:dyDescent="0.2"/>
    <row r="3854" s="20" customFormat="1" x14ac:dyDescent="0.2"/>
    <row r="3855" s="20" customFormat="1" x14ac:dyDescent="0.2"/>
    <row r="3856" s="20" customFormat="1" x14ac:dyDescent="0.2"/>
    <row r="3857" s="20" customFormat="1" x14ac:dyDescent="0.2"/>
    <row r="3858" s="20" customFormat="1" x14ac:dyDescent="0.2"/>
    <row r="3859" s="20" customFormat="1" x14ac:dyDescent="0.2"/>
    <row r="3860" s="20" customFormat="1" x14ac:dyDescent="0.2"/>
    <row r="3861" s="20" customFormat="1" x14ac:dyDescent="0.2"/>
    <row r="3862" s="20" customFormat="1" x14ac:dyDescent="0.2"/>
    <row r="3863" s="20" customFormat="1" x14ac:dyDescent="0.2"/>
    <row r="3864" s="20" customFormat="1" x14ac:dyDescent="0.2"/>
    <row r="3865" s="20" customFormat="1" x14ac:dyDescent="0.2"/>
    <row r="3866" s="20" customFormat="1" x14ac:dyDescent="0.2"/>
    <row r="3867" s="20" customFormat="1" x14ac:dyDescent="0.2"/>
    <row r="3868" s="20" customFormat="1" x14ac:dyDescent="0.2"/>
    <row r="3869" s="20" customFormat="1" x14ac:dyDescent="0.2"/>
    <row r="3870" s="20" customFormat="1" x14ac:dyDescent="0.2"/>
    <row r="3871" s="20" customFormat="1" x14ac:dyDescent="0.2"/>
    <row r="3872" s="20" customFormat="1" x14ac:dyDescent="0.2"/>
    <row r="3873" s="20" customFormat="1" x14ac:dyDescent="0.2"/>
    <row r="3874" s="20" customFormat="1" x14ac:dyDescent="0.2"/>
    <row r="3875" s="20" customFormat="1" x14ac:dyDescent="0.2"/>
    <row r="3876" s="20" customFormat="1" x14ac:dyDescent="0.2"/>
    <row r="3877" s="20" customFormat="1" x14ac:dyDescent="0.2"/>
    <row r="3878" s="20" customFormat="1" x14ac:dyDescent="0.2"/>
    <row r="3879" s="20" customFormat="1" x14ac:dyDescent="0.2"/>
    <row r="3880" s="20" customFormat="1" x14ac:dyDescent="0.2"/>
    <row r="3881" s="20" customFormat="1" x14ac:dyDescent="0.2"/>
    <row r="3882" s="20" customFormat="1" x14ac:dyDescent="0.2"/>
    <row r="3883" s="20" customFormat="1" x14ac:dyDescent="0.2"/>
    <row r="3884" s="20" customFormat="1" x14ac:dyDescent="0.2"/>
    <row r="3885" s="20" customFormat="1" x14ac:dyDescent="0.2"/>
    <row r="3886" s="20" customFormat="1" x14ac:dyDescent="0.2"/>
    <row r="3887" s="20" customFormat="1" x14ac:dyDescent="0.2"/>
    <row r="3888" s="20" customFormat="1" x14ac:dyDescent="0.2"/>
    <row r="3889" s="20" customFormat="1" x14ac:dyDescent="0.2"/>
    <row r="3890" s="20" customFormat="1" x14ac:dyDescent="0.2"/>
    <row r="3891" s="20" customFormat="1" x14ac:dyDescent="0.2"/>
    <row r="3892" s="20" customFormat="1" x14ac:dyDescent="0.2"/>
    <row r="3893" s="20" customFormat="1" x14ac:dyDescent="0.2"/>
    <row r="3894" s="20" customFormat="1" x14ac:dyDescent="0.2"/>
    <row r="3895" s="20" customFormat="1" x14ac:dyDescent="0.2"/>
    <row r="3896" s="20" customFormat="1" x14ac:dyDescent="0.2"/>
    <row r="3897" s="20" customFormat="1" x14ac:dyDescent="0.2"/>
    <row r="3898" s="20" customFormat="1" x14ac:dyDescent="0.2"/>
    <row r="3899" s="20" customFormat="1" x14ac:dyDescent="0.2"/>
    <row r="3900" s="20" customFormat="1" x14ac:dyDescent="0.2"/>
    <row r="3901" s="20" customFormat="1" x14ac:dyDescent="0.2"/>
    <row r="3902" s="20" customFormat="1" x14ac:dyDescent="0.2"/>
    <row r="3903" s="20" customFormat="1" x14ac:dyDescent="0.2"/>
    <row r="3904" s="20" customFormat="1" x14ac:dyDescent="0.2"/>
    <row r="3905" s="20" customFormat="1" x14ac:dyDescent="0.2"/>
    <row r="3906" s="20" customFormat="1" x14ac:dyDescent="0.2"/>
    <row r="3907" s="20" customFormat="1" x14ac:dyDescent="0.2"/>
    <row r="3908" s="20" customFormat="1" x14ac:dyDescent="0.2"/>
    <row r="3909" s="20" customFormat="1" x14ac:dyDescent="0.2"/>
    <row r="3910" s="20" customFormat="1" x14ac:dyDescent="0.2"/>
    <row r="3911" s="20" customFormat="1" x14ac:dyDescent="0.2"/>
    <row r="3912" s="20" customFormat="1" x14ac:dyDescent="0.2"/>
    <row r="3913" s="20" customFormat="1" x14ac:dyDescent="0.2"/>
    <row r="3914" s="20" customFormat="1" x14ac:dyDescent="0.2"/>
    <row r="3915" s="20" customFormat="1" x14ac:dyDescent="0.2"/>
    <row r="3916" s="20" customFormat="1" x14ac:dyDescent="0.2"/>
    <row r="3917" s="20" customFormat="1" x14ac:dyDescent="0.2"/>
    <row r="3918" s="20" customFormat="1" x14ac:dyDescent="0.2"/>
    <row r="3919" s="20" customFormat="1" x14ac:dyDescent="0.2"/>
    <row r="3920" s="20" customFormat="1" x14ac:dyDescent="0.2"/>
    <row r="3921" s="20" customFormat="1" x14ac:dyDescent="0.2"/>
    <row r="3922" s="20" customFormat="1" x14ac:dyDescent="0.2"/>
    <row r="3923" s="20" customFormat="1" x14ac:dyDescent="0.2"/>
    <row r="3924" s="20" customFormat="1" x14ac:dyDescent="0.2"/>
    <row r="3925" s="20" customFormat="1" x14ac:dyDescent="0.2"/>
    <row r="3926" s="20" customFormat="1" x14ac:dyDescent="0.2"/>
    <row r="3927" s="20" customFormat="1" x14ac:dyDescent="0.2"/>
    <row r="3928" s="20" customFormat="1" x14ac:dyDescent="0.2"/>
    <row r="3929" s="20" customFormat="1" x14ac:dyDescent="0.2"/>
    <row r="3930" s="20" customFormat="1" x14ac:dyDescent="0.2"/>
    <row r="3931" s="20" customFormat="1" x14ac:dyDescent="0.2"/>
    <row r="3932" s="20" customFormat="1" x14ac:dyDescent="0.2"/>
    <row r="3933" s="20" customFormat="1" x14ac:dyDescent="0.2"/>
    <row r="3934" s="20" customFormat="1" x14ac:dyDescent="0.2"/>
    <row r="3935" s="20" customFormat="1" x14ac:dyDescent="0.2"/>
    <row r="3936" s="20" customFormat="1" x14ac:dyDescent="0.2"/>
    <row r="3937" s="20" customFormat="1" x14ac:dyDescent="0.2"/>
    <row r="3938" s="20" customFormat="1" x14ac:dyDescent="0.2"/>
    <row r="3939" s="20" customFormat="1" x14ac:dyDescent="0.2"/>
    <row r="3940" s="20" customFormat="1" x14ac:dyDescent="0.2"/>
    <row r="3941" s="20" customFormat="1" x14ac:dyDescent="0.2"/>
    <row r="3942" s="20" customFormat="1" x14ac:dyDescent="0.2"/>
    <row r="3943" s="20" customFormat="1" x14ac:dyDescent="0.2"/>
    <row r="3944" s="20" customFormat="1" x14ac:dyDescent="0.2"/>
    <row r="3945" s="20" customFormat="1" x14ac:dyDescent="0.2"/>
    <row r="3946" s="20" customFormat="1" x14ac:dyDescent="0.2"/>
    <row r="3947" s="20" customFormat="1" x14ac:dyDescent="0.2"/>
    <row r="3948" s="20" customFormat="1" x14ac:dyDescent="0.2"/>
    <row r="3949" s="20" customFormat="1" x14ac:dyDescent="0.2"/>
    <row r="3950" s="20" customFormat="1" x14ac:dyDescent="0.2"/>
    <row r="3951" s="20" customFormat="1" x14ac:dyDescent="0.2"/>
    <row r="3952" s="20" customFormat="1" x14ac:dyDescent="0.2"/>
    <row r="3953" s="20" customFormat="1" x14ac:dyDescent="0.2"/>
    <row r="3954" s="20" customFormat="1" x14ac:dyDescent="0.2"/>
    <row r="3955" s="20" customFormat="1" x14ac:dyDescent="0.2"/>
    <row r="3956" s="20" customFormat="1" x14ac:dyDescent="0.2"/>
    <row r="3957" s="20" customFormat="1" x14ac:dyDescent="0.2"/>
    <row r="3958" s="20" customFormat="1" x14ac:dyDescent="0.2"/>
    <row r="3959" s="20" customFormat="1" x14ac:dyDescent="0.2"/>
    <row r="3960" s="20" customFormat="1" x14ac:dyDescent="0.2"/>
    <row r="3961" s="20" customFormat="1" x14ac:dyDescent="0.2"/>
    <row r="3962" s="20" customFormat="1" x14ac:dyDescent="0.2"/>
    <row r="3963" s="20" customFormat="1" x14ac:dyDescent="0.2"/>
    <row r="3964" s="20" customFormat="1" x14ac:dyDescent="0.2"/>
    <row r="3965" s="20" customFormat="1" x14ac:dyDescent="0.2"/>
    <row r="3966" s="20" customFormat="1" x14ac:dyDescent="0.2"/>
    <row r="3967" s="20" customFormat="1" x14ac:dyDescent="0.2"/>
    <row r="3968" s="20" customFormat="1" x14ac:dyDescent="0.2"/>
    <row r="3969" s="20" customFormat="1" x14ac:dyDescent="0.2"/>
    <row r="3970" s="20" customFormat="1" x14ac:dyDescent="0.2"/>
    <row r="3971" s="20" customFormat="1" x14ac:dyDescent="0.2"/>
    <row r="3972" s="20" customFormat="1" x14ac:dyDescent="0.2"/>
    <row r="3973" s="20" customFormat="1" x14ac:dyDescent="0.2"/>
    <row r="3974" s="20" customFormat="1" x14ac:dyDescent="0.2"/>
    <row r="3975" s="20" customFormat="1" x14ac:dyDescent="0.2"/>
    <row r="3976" s="20" customFormat="1" x14ac:dyDescent="0.2"/>
    <row r="3977" s="20" customFormat="1" x14ac:dyDescent="0.2"/>
    <row r="3978" s="20" customFormat="1" x14ac:dyDescent="0.2"/>
    <row r="3979" s="20" customFormat="1" x14ac:dyDescent="0.2"/>
    <row r="3980" s="20" customFormat="1" x14ac:dyDescent="0.2"/>
    <row r="3981" s="20" customFormat="1" x14ac:dyDescent="0.2"/>
    <row r="3982" s="20" customFormat="1" x14ac:dyDescent="0.2"/>
    <row r="3983" s="20" customFormat="1" x14ac:dyDescent="0.2"/>
    <row r="3984" s="20" customFormat="1" x14ac:dyDescent="0.2"/>
    <row r="3985" s="20" customFormat="1" x14ac:dyDescent="0.2"/>
    <row r="3986" s="20" customFormat="1" x14ac:dyDescent="0.2"/>
    <row r="3987" s="20" customFormat="1" x14ac:dyDescent="0.2"/>
    <row r="3988" s="20" customFormat="1" x14ac:dyDescent="0.2"/>
    <row r="3989" s="20" customFormat="1" x14ac:dyDescent="0.2"/>
    <row r="3990" s="20" customFormat="1" x14ac:dyDescent="0.2"/>
    <row r="3991" s="20" customFormat="1" x14ac:dyDescent="0.2"/>
    <row r="3992" s="20" customFormat="1" x14ac:dyDescent="0.2"/>
    <row r="3993" s="20" customFormat="1" x14ac:dyDescent="0.2"/>
    <row r="3994" s="20" customFormat="1" x14ac:dyDescent="0.2"/>
    <row r="3995" s="20" customFormat="1" x14ac:dyDescent="0.2"/>
    <row r="3996" s="20" customFormat="1" x14ac:dyDescent="0.2"/>
    <row r="3997" s="20" customFormat="1" x14ac:dyDescent="0.2"/>
    <row r="3998" s="20" customFormat="1" x14ac:dyDescent="0.2"/>
    <row r="3999" s="20" customFormat="1" x14ac:dyDescent="0.2"/>
    <row r="4000" s="20" customFormat="1" x14ac:dyDescent="0.2"/>
    <row r="4001" s="20" customFormat="1" x14ac:dyDescent="0.2"/>
    <row r="4002" s="20" customFormat="1" x14ac:dyDescent="0.2"/>
    <row r="4003" s="20" customFormat="1" x14ac:dyDescent="0.2"/>
    <row r="4004" s="20" customFormat="1" x14ac:dyDescent="0.2"/>
    <row r="4005" s="20" customFormat="1" x14ac:dyDescent="0.2"/>
    <row r="4006" s="20" customFormat="1" x14ac:dyDescent="0.2"/>
    <row r="4007" s="20" customFormat="1" x14ac:dyDescent="0.2"/>
    <row r="4008" s="20" customFormat="1" x14ac:dyDescent="0.2"/>
    <row r="4009" s="20" customFormat="1" x14ac:dyDescent="0.2"/>
    <row r="4010" s="20" customFormat="1" x14ac:dyDescent="0.2"/>
    <row r="4011" s="20" customFormat="1" x14ac:dyDescent="0.2"/>
    <row r="4012" s="20" customFormat="1" x14ac:dyDescent="0.2"/>
    <row r="4013" s="20" customFormat="1" x14ac:dyDescent="0.2"/>
    <row r="4014" s="20" customFormat="1" x14ac:dyDescent="0.2"/>
    <row r="4015" s="20" customFormat="1" x14ac:dyDescent="0.2"/>
    <row r="4016" s="20" customFormat="1" x14ac:dyDescent="0.2"/>
    <row r="4017" s="20" customFormat="1" x14ac:dyDescent="0.2"/>
    <row r="4018" s="20" customFormat="1" x14ac:dyDescent="0.2"/>
    <row r="4019" s="20" customFormat="1" x14ac:dyDescent="0.2"/>
    <row r="4020" s="20" customFormat="1" x14ac:dyDescent="0.2"/>
    <row r="4021" s="20" customFormat="1" x14ac:dyDescent="0.2"/>
    <row r="4022" s="20" customFormat="1" x14ac:dyDescent="0.2"/>
    <row r="4023" s="20" customFormat="1" x14ac:dyDescent="0.2"/>
    <row r="4024" s="20" customFormat="1" x14ac:dyDescent="0.2"/>
    <row r="4025" s="20" customFormat="1" x14ac:dyDescent="0.2"/>
    <row r="4026" s="20" customFormat="1" x14ac:dyDescent="0.2"/>
    <row r="4027" s="20" customFormat="1" x14ac:dyDescent="0.2"/>
    <row r="4028" s="20" customFormat="1" x14ac:dyDescent="0.2"/>
    <row r="4029" s="20" customFormat="1" x14ac:dyDescent="0.2"/>
    <row r="4030" s="20" customFormat="1" x14ac:dyDescent="0.2"/>
    <row r="4031" s="20" customFormat="1" x14ac:dyDescent="0.2"/>
    <row r="4032" s="20" customFormat="1" x14ac:dyDescent="0.2"/>
    <row r="4033" s="20" customFormat="1" x14ac:dyDescent="0.2"/>
    <row r="4034" s="20" customFormat="1" x14ac:dyDescent="0.2"/>
    <row r="4035" s="20" customFormat="1" x14ac:dyDescent="0.2"/>
    <row r="4036" s="20" customFormat="1" x14ac:dyDescent="0.2"/>
    <row r="4037" s="20" customFormat="1" x14ac:dyDescent="0.2"/>
    <row r="4038" s="20" customFormat="1" x14ac:dyDescent="0.2"/>
    <row r="4039" s="20" customFormat="1" x14ac:dyDescent="0.2"/>
    <row r="4040" s="20" customFormat="1" x14ac:dyDescent="0.2"/>
    <row r="4041" s="20" customFormat="1" x14ac:dyDescent="0.2"/>
    <row r="4042" s="20" customFormat="1" x14ac:dyDescent="0.2"/>
    <row r="4043" s="20" customFormat="1" x14ac:dyDescent="0.2"/>
    <row r="4044" s="20" customFormat="1" x14ac:dyDescent="0.2"/>
    <row r="4045" s="20" customFormat="1" x14ac:dyDescent="0.2"/>
    <row r="4046" s="20" customFormat="1" x14ac:dyDescent="0.2"/>
    <row r="4047" s="20" customFormat="1" x14ac:dyDescent="0.2"/>
    <row r="4048" s="20" customFormat="1" x14ac:dyDescent="0.2"/>
    <row r="4049" s="20" customFormat="1" x14ac:dyDescent="0.2"/>
    <row r="4050" s="20" customFormat="1" x14ac:dyDescent="0.2"/>
    <row r="4051" s="20" customFormat="1" x14ac:dyDescent="0.2"/>
    <row r="4052" s="20" customFormat="1" x14ac:dyDescent="0.2"/>
    <row r="4053" s="20" customFormat="1" x14ac:dyDescent="0.2"/>
    <row r="4054" s="20" customFormat="1" x14ac:dyDescent="0.2"/>
    <row r="4055" s="20" customFormat="1" x14ac:dyDescent="0.2"/>
    <row r="4056" s="20" customFormat="1" x14ac:dyDescent="0.2"/>
    <row r="4057" s="20" customFormat="1" x14ac:dyDescent="0.2"/>
    <row r="4058" s="20" customFormat="1" x14ac:dyDescent="0.2"/>
    <row r="4059" s="20" customFormat="1" x14ac:dyDescent="0.2"/>
    <row r="4060" s="20" customFormat="1" x14ac:dyDescent="0.2"/>
    <row r="4061" s="20" customFormat="1" x14ac:dyDescent="0.2"/>
    <row r="4062" s="20" customFormat="1" x14ac:dyDescent="0.2"/>
    <row r="4063" s="20" customFormat="1" x14ac:dyDescent="0.2"/>
    <row r="4064" s="20" customFormat="1" x14ac:dyDescent="0.2"/>
    <row r="4065" s="20" customFormat="1" x14ac:dyDescent="0.2"/>
    <row r="4066" s="20" customFormat="1" x14ac:dyDescent="0.2"/>
    <row r="4067" s="20" customFormat="1" x14ac:dyDescent="0.2"/>
    <row r="4068" s="20" customFormat="1" x14ac:dyDescent="0.2"/>
    <row r="4069" s="20" customFormat="1" x14ac:dyDescent="0.2"/>
    <row r="4070" s="20" customFormat="1" x14ac:dyDescent="0.2"/>
    <row r="4071" s="20" customFormat="1" x14ac:dyDescent="0.2"/>
    <row r="4072" s="20" customFormat="1" x14ac:dyDescent="0.2"/>
    <row r="4073" s="20" customFormat="1" x14ac:dyDescent="0.2"/>
    <row r="4074" s="20" customFormat="1" x14ac:dyDescent="0.2"/>
    <row r="4075" s="20" customFormat="1" x14ac:dyDescent="0.2"/>
    <row r="4076" s="20" customFormat="1" x14ac:dyDescent="0.2"/>
    <row r="4077" s="20" customFormat="1" x14ac:dyDescent="0.2"/>
    <row r="4078" s="20" customFormat="1" x14ac:dyDescent="0.2"/>
    <row r="4079" s="20" customFormat="1" x14ac:dyDescent="0.2"/>
    <row r="4080" s="20" customFormat="1" x14ac:dyDescent="0.2"/>
    <row r="4081" s="20" customFormat="1" x14ac:dyDescent="0.2"/>
    <row r="4082" s="20" customFormat="1" x14ac:dyDescent="0.2"/>
    <row r="4083" s="20" customFormat="1" x14ac:dyDescent="0.2"/>
    <row r="4084" s="20" customFormat="1" x14ac:dyDescent="0.2"/>
    <row r="4085" s="20" customFormat="1" x14ac:dyDescent="0.2"/>
    <row r="4086" s="20" customFormat="1" x14ac:dyDescent="0.2"/>
    <row r="4087" s="20" customFormat="1" x14ac:dyDescent="0.2"/>
    <row r="4088" s="20" customFormat="1" x14ac:dyDescent="0.2"/>
    <row r="4089" s="20" customFormat="1" x14ac:dyDescent="0.2"/>
    <row r="4090" s="20" customFormat="1" x14ac:dyDescent="0.2"/>
    <row r="4091" s="20" customFormat="1" x14ac:dyDescent="0.2"/>
    <row r="4092" s="20" customFormat="1" x14ac:dyDescent="0.2"/>
    <row r="4093" s="20" customFormat="1" x14ac:dyDescent="0.2"/>
    <row r="4094" s="20" customFormat="1" x14ac:dyDescent="0.2"/>
    <row r="4095" s="20" customFormat="1" x14ac:dyDescent="0.2"/>
    <row r="4096" s="20" customFormat="1" x14ac:dyDescent="0.2"/>
    <row r="4097" s="20" customFormat="1" x14ac:dyDescent="0.2"/>
    <row r="4098" s="20" customFormat="1" x14ac:dyDescent="0.2"/>
    <row r="4099" s="20" customFormat="1" x14ac:dyDescent="0.2"/>
    <row r="4100" s="20" customFormat="1" x14ac:dyDescent="0.2"/>
    <row r="4101" s="20" customFormat="1" x14ac:dyDescent="0.2"/>
    <row r="4102" s="20" customFormat="1" x14ac:dyDescent="0.2"/>
    <row r="4103" s="20" customFormat="1" x14ac:dyDescent="0.2"/>
    <row r="4104" s="20" customFormat="1" x14ac:dyDescent="0.2"/>
    <row r="4105" s="20" customFormat="1" x14ac:dyDescent="0.2"/>
    <row r="4106" s="20" customFormat="1" x14ac:dyDescent="0.2"/>
    <row r="4107" s="20" customFormat="1" x14ac:dyDescent="0.2"/>
    <row r="4108" s="20" customFormat="1" x14ac:dyDescent="0.2"/>
    <row r="4109" s="20" customFormat="1" x14ac:dyDescent="0.2"/>
    <row r="4110" s="20" customFormat="1" x14ac:dyDescent="0.2"/>
    <row r="4111" s="20" customFormat="1" x14ac:dyDescent="0.2"/>
    <row r="4112" s="20" customFormat="1" x14ac:dyDescent="0.2"/>
    <row r="4113" s="20" customFormat="1" x14ac:dyDescent="0.2"/>
    <row r="4114" s="20" customFormat="1" x14ac:dyDescent="0.2"/>
    <row r="4115" s="20" customFormat="1" x14ac:dyDescent="0.2"/>
    <row r="4116" s="20" customFormat="1" x14ac:dyDescent="0.2"/>
    <row r="4117" s="20" customFormat="1" x14ac:dyDescent="0.2"/>
    <row r="4118" s="20" customFormat="1" x14ac:dyDescent="0.2"/>
    <row r="4119" s="20" customFormat="1" x14ac:dyDescent="0.2"/>
    <row r="4120" s="20" customFormat="1" x14ac:dyDescent="0.2"/>
    <row r="4121" s="20" customFormat="1" x14ac:dyDescent="0.2"/>
    <row r="4122" s="20" customFormat="1" x14ac:dyDescent="0.2"/>
    <row r="4123" s="20" customFormat="1" x14ac:dyDescent="0.2"/>
    <row r="4124" s="20" customFormat="1" x14ac:dyDescent="0.2"/>
    <row r="4125" s="20" customFormat="1" x14ac:dyDescent="0.2"/>
    <row r="4126" s="20" customFormat="1" x14ac:dyDescent="0.2"/>
    <row r="4127" s="20" customFormat="1" x14ac:dyDescent="0.2"/>
    <row r="4128" s="20" customFormat="1" x14ac:dyDescent="0.2"/>
    <row r="4129" s="20" customFormat="1" x14ac:dyDescent="0.2"/>
    <row r="4130" s="20" customFormat="1" x14ac:dyDescent="0.2"/>
    <row r="4131" s="20" customFormat="1" x14ac:dyDescent="0.2"/>
    <row r="4132" s="20" customFormat="1" x14ac:dyDescent="0.2"/>
    <row r="4133" s="20" customFormat="1" x14ac:dyDescent="0.2"/>
    <row r="4134" s="20" customFormat="1" x14ac:dyDescent="0.2"/>
    <row r="4135" s="20" customFormat="1" x14ac:dyDescent="0.2"/>
    <row r="4136" s="20" customFormat="1" x14ac:dyDescent="0.2"/>
    <row r="4137" s="20" customFormat="1" x14ac:dyDescent="0.2"/>
    <row r="4138" s="20" customFormat="1" x14ac:dyDescent="0.2"/>
    <row r="4139" s="20" customFormat="1" x14ac:dyDescent="0.2"/>
    <row r="4140" s="20" customFormat="1" x14ac:dyDescent="0.2"/>
    <row r="4141" s="20" customFormat="1" x14ac:dyDescent="0.2"/>
    <row r="4142" s="20" customFormat="1" x14ac:dyDescent="0.2"/>
    <row r="4143" s="20" customFormat="1" x14ac:dyDescent="0.2"/>
    <row r="4144" s="20" customFormat="1" x14ac:dyDescent="0.2"/>
    <row r="4145" s="20" customFormat="1" x14ac:dyDescent="0.2"/>
    <row r="4146" s="20" customFormat="1" x14ac:dyDescent="0.2"/>
    <row r="4147" s="20" customFormat="1" x14ac:dyDescent="0.2"/>
    <row r="4148" s="20" customFormat="1" x14ac:dyDescent="0.2"/>
    <row r="4149" s="20" customFormat="1" x14ac:dyDescent="0.2"/>
    <row r="4150" s="20" customFormat="1" x14ac:dyDescent="0.2"/>
    <row r="4151" s="20" customFormat="1" x14ac:dyDescent="0.2"/>
    <row r="4152" s="20" customFormat="1" x14ac:dyDescent="0.2"/>
    <row r="4153" s="20" customFormat="1" x14ac:dyDescent="0.2"/>
    <row r="4154" s="20" customFormat="1" x14ac:dyDescent="0.2"/>
    <row r="4155" s="20" customFormat="1" x14ac:dyDescent="0.2"/>
    <row r="4156" s="20" customFormat="1" x14ac:dyDescent="0.2"/>
    <row r="4157" s="20" customFormat="1" x14ac:dyDescent="0.2"/>
    <row r="4158" s="20" customFormat="1" x14ac:dyDescent="0.2"/>
    <row r="4159" s="20" customFormat="1" x14ac:dyDescent="0.2"/>
    <row r="4160" s="20" customFormat="1" x14ac:dyDescent="0.2"/>
    <row r="4161" s="20" customFormat="1" x14ac:dyDescent="0.2"/>
    <row r="4162" s="20" customFormat="1" x14ac:dyDescent="0.2"/>
    <row r="4163" s="20" customFormat="1" x14ac:dyDescent="0.2"/>
    <row r="4164" s="20" customFormat="1" x14ac:dyDescent="0.2"/>
    <row r="4165" s="20" customFormat="1" x14ac:dyDescent="0.2"/>
    <row r="4166" s="20" customFormat="1" x14ac:dyDescent="0.2"/>
    <row r="4167" s="20" customFormat="1" x14ac:dyDescent="0.2"/>
    <row r="4168" s="20" customFormat="1" x14ac:dyDescent="0.2"/>
    <row r="4169" s="20" customFormat="1" x14ac:dyDescent="0.2"/>
    <row r="4170" s="20" customFormat="1" x14ac:dyDescent="0.2"/>
    <row r="4171" s="20" customFormat="1" x14ac:dyDescent="0.2"/>
    <row r="4172" s="20" customFormat="1" x14ac:dyDescent="0.2"/>
    <row r="4173" s="20" customFormat="1" x14ac:dyDescent="0.2"/>
    <row r="4174" s="20" customFormat="1" x14ac:dyDescent="0.2"/>
    <row r="4175" s="20" customFormat="1" x14ac:dyDescent="0.2"/>
    <row r="4176" s="20" customFormat="1" x14ac:dyDescent="0.2"/>
    <row r="4177" s="20" customFormat="1" x14ac:dyDescent="0.2"/>
    <row r="4178" s="20" customFormat="1" x14ac:dyDescent="0.2"/>
    <row r="4179" s="20" customFormat="1" x14ac:dyDescent="0.2"/>
    <row r="4180" s="20" customFormat="1" x14ac:dyDescent="0.2"/>
    <row r="4181" s="20" customFormat="1" x14ac:dyDescent="0.2"/>
    <row r="4182" s="20" customFormat="1" x14ac:dyDescent="0.2"/>
    <row r="4183" s="20" customFormat="1" x14ac:dyDescent="0.2"/>
    <row r="4184" s="20" customFormat="1" x14ac:dyDescent="0.2"/>
    <row r="4185" s="20" customFormat="1" x14ac:dyDescent="0.2"/>
    <row r="4186" s="20" customFormat="1" x14ac:dyDescent="0.2"/>
    <row r="4187" s="20" customFormat="1" x14ac:dyDescent="0.2"/>
    <row r="4188" s="20" customFormat="1" x14ac:dyDescent="0.2"/>
    <row r="4189" s="20" customFormat="1" x14ac:dyDescent="0.2"/>
    <row r="4190" s="20" customFormat="1" x14ac:dyDescent="0.2"/>
    <row r="4191" s="20" customFormat="1" x14ac:dyDescent="0.2"/>
    <row r="4192" s="20" customFormat="1" x14ac:dyDescent="0.2"/>
    <row r="4193" s="20" customFormat="1" x14ac:dyDescent="0.2"/>
    <row r="4194" s="20" customFormat="1" x14ac:dyDescent="0.2"/>
    <row r="4195" s="20" customFormat="1" x14ac:dyDescent="0.2"/>
    <row r="4196" s="20" customFormat="1" x14ac:dyDescent="0.2"/>
    <row r="4197" s="20" customFormat="1" x14ac:dyDescent="0.2"/>
    <row r="4198" s="20" customFormat="1" x14ac:dyDescent="0.2"/>
    <row r="4199" s="20" customFormat="1" x14ac:dyDescent="0.2"/>
    <row r="4200" s="20" customFormat="1" x14ac:dyDescent="0.2"/>
    <row r="4201" s="20" customFormat="1" x14ac:dyDescent="0.2"/>
    <row r="4202" s="20" customFormat="1" x14ac:dyDescent="0.2"/>
    <row r="4203" s="20" customFormat="1" x14ac:dyDescent="0.2"/>
    <row r="4204" s="20" customFormat="1" x14ac:dyDescent="0.2"/>
    <row r="4205" s="20" customFormat="1" x14ac:dyDescent="0.2"/>
    <row r="4206" s="20" customFormat="1" x14ac:dyDescent="0.2"/>
    <row r="4207" s="20" customFormat="1" x14ac:dyDescent="0.2"/>
    <row r="4208" s="20" customFormat="1" x14ac:dyDescent="0.2"/>
    <row r="4209" s="20" customFormat="1" x14ac:dyDescent="0.2"/>
    <row r="4210" s="20" customFormat="1" x14ac:dyDescent="0.2"/>
    <row r="4211" s="20" customFormat="1" x14ac:dyDescent="0.2"/>
    <row r="4212" s="20" customFormat="1" x14ac:dyDescent="0.2"/>
    <row r="4213" s="20" customFormat="1" x14ac:dyDescent="0.2"/>
    <row r="4214" s="20" customFormat="1" x14ac:dyDescent="0.2"/>
    <row r="4215" s="20" customFormat="1" x14ac:dyDescent="0.2"/>
    <row r="4216" s="20" customFormat="1" x14ac:dyDescent="0.2"/>
    <row r="4217" s="20" customFormat="1" x14ac:dyDescent="0.2"/>
    <row r="4218" s="20" customFormat="1" x14ac:dyDescent="0.2"/>
    <row r="4219" s="20" customFormat="1" x14ac:dyDescent="0.2"/>
    <row r="4220" s="20" customFormat="1" x14ac:dyDescent="0.2"/>
    <row r="4221" s="20" customFormat="1" x14ac:dyDescent="0.2"/>
    <row r="4222" s="20" customFormat="1" x14ac:dyDescent="0.2"/>
    <row r="4223" s="20" customFormat="1" x14ac:dyDescent="0.2"/>
    <row r="4224" s="20" customFormat="1" x14ac:dyDescent="0.2"/>
    <row r="4225" s="20" customFormat="1" x14ac:dyDescent="0.2"/>
    <row r="4226" s="20" customFormat="1" x14ac:dyDescent="0.2"/>
    <row r="4227" s="20" customFormat="1" x14ac:dyDescent="0.2"/>
    <row r="4228" s="20" customFormat="1" x14ac:dyDescent="0.2"/>
    <row r="4229" s="20" customFormat="1" x14ac:dyDescent="0.2"/>
    <row r="4230" s="20" customFormat="1" x14ac:dyDescent="0.2"/>
    <row r="4231" s="20" customFormat="1" x14ac:dyDescent="0.2"/>
    <row r="4232" s="20" customFormat="1" x14ac:dyDescent="0.2"/>
    <row r="4233" s="20" customFormat="1" x14ac:dyDescent="0.2"/>
    <row r="4234" s="20" customFormat="1" x14ac:dyDescent="0.2"/>
    <row r="4235" s="20" customFormat="1" x14ac:dyDescent="0.2"/>
    <row r="4236" s="20" customFormat="1" x14ac:dyDescent="0.2"/>
    <row r="4237" s="20" customFormat="1" x14ac:dyDescent="0.2"/>
    <row r="4238" s="20" customFormat="1" x14ac:dyDescent="0.2"/>
    <row r="4239" s="20" customFormat="1" x14ac:dyDescent="0.2"/>
    <row r="4240" s="20" customFormat="1" x14ac:dyDescent="0.2"/>
    <row r="4241" s="20" customFormat="1" x14ac:dyDescent="0.2"/>
    <row r="4242" s="20" customFormat="1" x14ac:dyDescent="0.2"/>
    <row r="4243" s="20" customFormat="1" x14ac:dyDescent="0.2"/>
    <row r="4244" s="20" customFormat="1" x14ac:dyDescent="0.2"/>
    <row r="4245" s="20" customFormat="1" x14ac:dyDescent="0.2"/>
    <row r="4246" s="20" customFormat="1" x14ac:dyDescent="0.2"/>
    <row r="4247" s="20" customFormat="1" x14ac:dyDescent="0.2"/>
    <row r="4248" s="20" customFormat="1" x14ac:dyDescent="0.2"/>
    <row r="4249" s="20" customFormat="1" x14ac:dyDescent="0.2"/>
    <row r="4250" s="20" customFormat="1" x14ac:dyDescent="0.2"/>
    <row r="4251" s="20" customFormat="1" x14ac:dyDescent="0.2"/>
    <row r="4252" s="20" customFormat="1" x14ac:dyDescent="0.2"/>
    <row r="4253" s="20" customFormat="1" x14ac:dyDescent="0.2"/>
    <row r="4254" s="20" customFormat="1" x14ac:dyDescent="0.2"/>
    <row r="4255" s="20" customFormat="1" x14ac:dyDescent="0.2"/>
    <row r="4256" s="20" customFormat="1" x14ac:dyDescent="0.2"/>
    <row r="4257" s="20" customFormat="1" x14ac:dyDescent="0.2"/>
    <row r="4258" s="20" customFormat="1" x14ac:dyDescent="0.2"/>
    <row r="4259" s="20" customFormat="1" x14ac:dyDescent="0.2"/>
    <row r="4260" s="20" customFormat="1" x14ac:dyDescent="0.2"/>
    <row r="4261" s="20" customFormat="1" x14ac:dyDescent="0.2"/>
    <row r="4262" s="20" customFormat="1" x14ac:dyDescent="0.2"/>
    <row r="4263" s="20" customFormat="1" x14ac:dyDescent="0.2"/>
    <row r="4264" s="20" customFormat="1" x14ac:dyDescent="0.2"/>
    <row r="4265" s="20" customFormat="1" x14ac:dyDescent="0.2"/>
    <row r="4266" s="20" customFormat="1" x14ac:dyDescent="0.2"/>
    <row r="4267" s="20" customFormat="1" x14ac:dyDescent="0.2"/>
    <row r="4268" s="20" customFormat="1" x14ac:dyDescent="0.2"/>
    <row r="4269" s="20" customFormat="1" x14ac:dyDescent="0.2"/>
    <row r="4270" s="20" customFormat="1" x14ac:dyDescent="0.2"/>
    <row r="4271" s="20" customFormat="1" x14ac:dyDescent="0.2"/>
    <row r="4272" s="20" customFormat="1" x14ac:dyDescent="0.2"/>
    <row r="4273" s="20" customFormat="1" x14ac:dyDescent="0.2"/>
    <row r="4274" s="20" customFormat="1" x14ac:dyDescent="0.2"/>
    <row r="4275" s="20" customFormat="1" x14ac:dyDescent="0.2"/>
    <row r="4276" s="20" customFormat="1" x14ac:dyDescent="0.2"/>
    <row r="4277" s="20" customFormat="1" x14ac:dyDescent="0.2"/>
    <row r="4278" s="20" customFormat="1" x14ac:dyDescent="0.2"/>
    <row r="4279" s="20" customFormat="1" x14ac:dyDescent="0.2"/>
    <row r="4280" s="20" customFormat="1" x14ac:dyDescent="0.2"/>
    <row r="4281" s="20" customFormat="1" x14ac:dyDescent="0.2"/>
    <row r="4282" s="20" customFormat="1" x14ac:dyDescent="0.2"/>
    <row r="4283" s="20" customFormat="1" x14ac:dyDescent="0.2"/>
    <row r="4284" s="20" customFormat="1" x14ac:dyDescent="0.2"/>
    <row r="4285" s="20" customFormat="1" x14ac:dyDescent="0.2"/>
    <row r="4286" s="20" customFormat="1" x14ac:dyDescent="0.2"/>
    <row r="4287" s="20" customFormat="1" x14ac:dyDescent="0.2"/>
    <row r="4288" s="20" customFormat="1" x14ac:dyDescent="0.2"/>
    <row r="4289" s="20" customFormat="1" x14ac:dyDescent="0.2"/>
    <row r="4290" s="20" customFormat="1" x14ac:dyDescent="0.2"/>
    <row r="4291" s="20" customFormat="1" x14ac:dyDescent="0.2"/>
    <row r="4292" s="20" customFormat="1" x14ac:dyDescent="0.2"/>
    <row r="4293" s="20" customFormat="1" x14ac:dyDescent="0.2"/>
    <row r="4294" s="20" customFormat="1" x14ac:dyDescent="0.2"/>
    <row r="4295" s="20" customFormat="1" x14ac:dyDescent="0.2"/>
    <row r="4296" s="20" customFormat="1" x14ac:dyDescent="0.2"/>
    <row r="4297" s="20" customFormat="1" x14ac:dyDescent="0.2"/>
    <row r="4298" s="20" customFormat="1" x14ac:dyDescent="0.2"/>
    <row r="4299" s="20" customFormat="1" x14ac:dyDescent="0.2"/>
    <row r="4300" s="20" customFormat="1" x14ac:dyDescent="0.2"/>
    <row r="4301" s="20" customFormat="1" x14ac:dyDescent="0.2"/>
    <row r="4302" s="20" customFormat="1" x14ac:dyDescent="0.2"/>
    <row r="4303" s="20" customFormat="1" x14ac:dyDescent="0.2"/>
    <row r="4304" s="20" customFormat="1" x14ac:dyDescent="0.2"/>
    <row r="4305" s="20" customFormat="1" x14ac:dyDescent="0.2"/>
    <row r="4306" s="20" customFormat="1" x14ac:dyDescent="0.2"/>
    <row r="4307" s="20" customFormat="1" x14ac:dyDescent="0.2"/>
    <row r="4308" s="20" customFormat="1" x14ac:dyDescent="0.2"/>
    <row r="4309" s="20" customFormat="1" x14ac:dyDescent="0.2"/>
    <row r="4310" s="20" customFormat="1" x14ac:dyDescent="0.2"/>
    <row r="4311" s="20" customFormat="1" x14ac:dyDescent="0.2"/>
    <row r="4312" s="20" customFormat="1" x14ac:dyDescent="0.2"/>
    <row r="4313" s="20" customFormat="1" x14ac:dyDescent="0.2"/>
    <row r="4314" s="20" customFormat="1" x14ac:dyDescent="0.2"/>
    <row r="4315" s="20" customFormat="1" x14ac:dyDescent="0.2"/>
    <row r="4316" s="20" customFormat="1" x14ac:dyDescent="0.2"/>
    <row r="4317" s="20" customFormat="1" x14ac:dyDescent="0.2"/>
    <row r="4318" s="20" customFormat="1" x14ac:dyDescent="0.2"/>
    <row r="4319" s="20" customFormat="1" x14ac:dyDescent="0.2"/>
    <row r="4320" s="20" customFormat="1" x14ac:dyDescent="0.2"/>
    <row r="4321" s="20" customFormat="1" x14ac:dyDescent="0.2"/>
    <row r="4322" s="20" customFormat="1" x14ac:dyDescent="0.2"/>
    <row r="4323" s="20" customFormat="1" x14ac:dyDescent="0.2"/>
    <row r="4324" s="20" customFormat="1" x14ac:dyDescent="0.2"/>
    <row r="4325" s="20" customFormat="1" x14ac:dyDescent="0.2"/>
    <row r="4326" s="20" customFormat="1" x14ac:dyDescent="0.2"/>
    <row r="4327" s="20" customFormat="1" x14ac:dyDescent="0.2"/>
    <row r="4328" s="20" customFormat="1" x14ac:dyDescent="0.2"/>
    <row r="4329" s="20" customFormat="1" x14ac:dyDescent="0.2"/>
    <row r="4330" s="20" customFormat="1" x14ac:dyDescent="0.2"/>
    <row r="4331" s="20" customFormat="1" x14ac:dyDescent="0.2"/>
    <row r="4332" s="20" customFormat="1" x14ac:dyDescent="0.2"/>
    <row r="4333" s="20" customFormat="1" x14ac:dyDescent="0.2"/>
    <row r="4334" s="20" customFormat="1" x14ac:dyDescent="0.2"/>
    <row r="4335" s="20" customFormat="1" x14ac:dyDescent="0.2"/>
    <row r="4336" s="20" customFormat="1" x14ac:dyDescent="0.2"/>
    <row r="4337" s="20" customFormat="1" x14ac:dyDescent="0.2"/>
    <row r="4338" s="20" customFormat="1" x14ac:dyDescent="0.2"/>
    <row r="4339" s="20" customFormat="1" x14ac:dyDescent="0.2"/>
    <row r="4340" s="20" customFormat="1" x14ac:dyDescent="0.2"/>
    <row r="4341" s="20" customFormat="1" x14ac:dyDescent="0.2"/>
    <row r="4342" s="20" customFormat="1" x14ac:dyDescent="0.2"/>
    <row r="4343" s="20" customFormat="1" x14ac:dyDescent="0.2"/>
    <row r="4344" s="20" customFormat="1" x14ac:dyDescent="0.2"/>
    <row r="4345" s="20" customFormat="1" x14ac:dyDescent="0.2"/>
    <row r="4346" s="20" customFormat="1" x14ac:dyDescent="0.2"/>
    <row r="4347" s="20" customFormat="1" x14ac:dyDescent="0.2"/>
    <row r="4348" s="20" customFormat="1" x14ac:dyDescent="0.2"/>
    <row r="4349" s="20" customFormat="1" x14ac:dyDescent="0.2"/>
    <row r="4350" s="20" customFormat="1" x14ac:dyDescent="0.2"/>
    <row r="4351" s="20" customFormat="1" x14ac:dyDescent="0.2"/>
    <row r="4352" s="20" customFormat="1" x14ac:dyDescent="0.2"/>
    <row r="4353" s="20" customFormat="1" x14ac:dyDescent="0.2"/>
    <row r="4354" s="20" customFormat="1" x14ac:dyDescent="0.2"/>
    <row r="4355" s="20" customFormat="1" x14ac:dyDescent="0.2"/>
    <row r="4356" s="20" customFormat="1" x14ac:dyDescent="0.2"/>
    <row r="4357" s="20" customFormat="1" x14ac:dyDescent="0.2"/>
    <row r="4358" s="20" customFormat="1" x14ac:dyDescent="0.2"/>
    <row r="4359" s="20" customFormat="1" x14ac:dyDescent="0.2"/>
    <row r="4360" s="20" customFormat="1" x14ac:dyDescent="0.2"/>
    <row r="4361" s="20" customFormat="1" x14ac:dyDescent="0.2"/>
    <row r="4362" s="20" customFormat="1" x14ac:dyDescent="0.2"/>
    <row r="4363" s="20" customFormat="1" x14ac:dyDescent="0.2"/>
    <row r="4364" s="20" customFormat="1" x14ac:dyDescent="0.2"/>
    <row r="4365" s="20" customFormat="1" x14ac:dyDescent="0.2"/>
    <row r="4366" s="20" customFormat="1" x14ac:dyDescent="0.2"/>
    <row r="4367" s="20" customFormat="1" x14ac:dyDescent="0.2"/>
    <row r="4368" s="20" customFormat="1" x14ac:dyDescent="0.2"/>
    <row r="4369" s="20" customFormat="1" x14ac:dyDescent="0.2"/>
    <row r="4370" s="20" customFormat="1" x14ac:dyDescent="0.2"/>
    <row r="4371" s="20" customFormat="1" x14ac:dyDescent="0.2"/>
    <row r="4372" s="20" customFormat="1" x14ac:dyDescent="0.2"/>
    <row r="4373" s="20" customFormat="1" x14ac:dyDescent="0.2"/>
    <row r="4374" s="20" customFormat="1" x14ac:dyDescent="0.2"/>
    <row r="4375" s="20" customFormat="1" x14ac:dyDescent="0.2"/>
    <row r="4376" s="20" customFormat="1" x14ac:dyDescent="0.2"/>
    <row r="4377" s="20" customFormat="1" x14ac:dyDescent="0.2"/>
    <row r="4378" s="20" customFormat="1" x14ac:dyDescent="0.2"/>
    <row r="4379" s="20" customFormat="1" x14ac:dyDescent="0.2"/>
    <row r="4380" s="20" customFormat="1" x14ac:dyDescent="0.2"/>
    <row r="4381" s="20" customFormat="1" x14ac:dyDescent="0.2"/>
    <row r="4382" s="20" customFormat="1" x14ac:dyDescent="0.2"/>
    <row r="4383" s="20" customFormat="1" x14ac:dyDescent="0.2"/>
    <row r="4384" s="20" customFormat="1" x14ac:dyDescent="0.2"/>
    <row r="4385" s="20" customFormat="1" x14ac:dyDescent="0.2"/>
    <row r="4386" s="20" customFormat="1" x14ac:dyDescent="0.2"/>
    <row r="4387" s="20" customFormat="1" x14ac:dyDescent="0.2"/>
    <row r="4388" s="20" customFormat="1" x14ac:dyDescent="0.2"/>
    <row r="4389" s="20" customFormat="1" x14ac:dyDescent="0.2"/>
    <row r="4390" s="20" customFormat="1" x14ac:dyDescent="0.2"/>
    <row r="4391" s="20" customFormat="1" x14ac:dyDescent="0.2"/>
    <row r="4392" s="20" customFormat="1" x14ac:dyDescent="0.2"/>
    <row r="4393" s="20" customFormat="1" x14ac:dyDescent="0.2"/>
    <row r="4394" s="20" customFormat="1" x14ac:dyDescent="0.2"/>
    <row r="4395" s="20" customFormat="1" x14ac:dyDescent="0.2"/>
    <row r="4396" s="20" customFormat="1" x14ac:dyDescent="0.2"/>
    <row r="4397" s="20" customFormat="1" x14ac:dyDescent="0.2"/>
    <row r="4398" s="20" customFormat="1" x14ac:dyDescent="0.2"/>
    <row r="4399" s="20" customFormat="1" x14ac:dyDescent="0.2"/>
    <row r="4400" s="20" customFormat="1" x14ac:dyDescent="0.2"/>
    <row r="4401" s="20" customFormat="1" x14ac:dyDescent="0.2"/>
    <row r="4402" s="20" customFormat="1" x14ac:dyDescent="0.2"/>
    <row r="4403" s="20" customFormat="1" x14ac:dyDescent="0.2"/>
    <row r="4404" s="20" customFormat="1" x14ac:dyDescent="0.2"/>
    <row r="4405" s="20" customFormat="1" x14ac:dyDescent="0.2"/>
    <row r="4406" s="20" customFormat="1" x14ac:dyDescent="0.2"/>
    <row r="4407" s="20" customFormat="1" x14ac:dyDescent="0.2"/>
    <row r="4408" s="20" customFormat="1" x14ac:dyDescent="0.2"/>
    <row r="4409" s="20" customFormat="1" x14ac:dyDescent="0.2"/>
    <row r="4410" s="20" customFormat="1" x14ac:dyDescent="0.2"/>
    <row r="4411" s="20" customFormat="1" x14ac:dyDescent="0.2"/>
    <row r="4412" s="20" customFormat="1" x14ac:dyDescent="0.2"/>
    <row r="4413" s="20" customFormat="1" x14ac:dyDescent="0.2"/>
    <row r="4414" s="20" customFormat="1" x14ac:dyDescent="0.2"/>
    <row r="4415" s="20" customFormat="1" x14ac:dyDescent="0.2"/>
    <row r="4416" s="20" customFormat="1" x14ac:dyDescent="0.2"/>
    <row r="4417" s="20" customFormat="1" x14ac:dyDescent="0.2"/>
    <row r="4418" s="20" customFormat="1" x14ac:dyDescent="0.2"/>
    <row r="4419" s="20" customFormat="1" x14ac:dyDescent="0.2"/>
    <row r="4420" s="20" customFormat="1" x14ac:dyDescent="0.2"/>
    <row r="4421" s="20" customFormat="1" x14ac:dyDescent="0.2"/>
    <row r="4422" s="20" customFormat="1" x14ac:dyDescent="0.2"/>
    <row r="4423" s="20" customFormat="1" x14ac:dyDescent="0.2"/>
    <row r="4424" s="20" customFormat="1" x14ac:dyDescent="0.2"/>
    <row r="4425" s="20" customFormat="1" x14ac:dyDescent="0.2"/>
    <row r="4426" s="20" customFormat="1" x14ac:dyDescent="0.2"/>
    <row r="4427" s="20" customFormat="1" x14ac:dyDescent="0.2"/>
    <row r="4428" s="20" customFormat="1" x14ac:dyDescent="0.2"/>
    <row r="4429" s="20" customFormat="1" x14ac:dyDescent="0.2"/>
    <row r="4430" s="20" customFormat="1" x14ac:dyDescent="0.2"/>
    <row r="4431" s="20" customFormat="1" x14ac:dyDescent="0.2"/>
    <row r="4432" s="20" customFormat="1" x14ac:dyDescent="0.2"/>
    <row r="4433" s="20" customFormat="1" x14ac:dyDescent="0.2"/>
    <row r="4434" s="20" customFormat="1" x14ac:dyDescent="0.2"/>
    <row r="4435" s="20" customFormat="1" x14ac:dyDescent="0.2"/>
    <row r="4436" s="20" customFormat="1" x14ac:dyDescent="0.2"/>
    <row r="4437" s="20" customFormat="1" x14ac:dyDescent="0.2"/>
    <row r="4438" s="20" customFormat="1" x14ac:dyDescent="0.2"/>
    <row r="4439" s="20" customFormat="1" x14ac:dyDescent="0.2"/>
    <row r="4440" s="20" customFormat="1" x14ac:dyDescent="0.2"/>
    <row r="4441" s="20" customFormat="1" x14ac:dyDescent="0.2"/>
    <row r="4442" s="20" customFormat="1" x14ac:dyDescent="0.2"/>
    <row r="4443" s="20" customFormat="1" x14ac:dyDescent="0.2"/>
    <row r="4444" s="20" customFormat="1" x14ac:dyDescent="0.2"/>
    <row r="4445" s="20" customFormat="1" x14ac:dyDescent="0.2"/>
    <row r="4446" s="20" customFormat="1" x14ac:dyDescent="0.2"/>
    <row r="4447" s="20" customFormat="1" x14ac:dyDescent="0.2"/>
    <row r="4448" s="20" customFormat="1" x14ac:dyDescent="0.2"/>
    <row r="4449" s="20" customFormat="1" x14ac:dyDescent="0.2"/>
    <row r="4450" s="20" customFormat="1" x14ac:dyDescent="0.2"/>
    <row r="4451" s="20" customFormat="1" x14ac:dyDescent="0.2"/>
    <row r="4452" s="20" customFormat="1" x14ac:dyDescent="0.2"/>
    <row r="4453" s="20" customFormat="1" x14ac:dyDescent="0.2"/>
    <row r="4454" s="20" customFormat="1" x14ac:dyDescent="0.2"/>
    <row r="4455" s="20" customFormat="1" x14ac:dyDescent="0.2"/>
    <row r="4456" s="20" customFormat="1" x14ac:dyDescent="0.2"/>
    <row r="4457" s="20" customFormat="1" x14ac:dyDescent="0.2"/>
    <row r="4458" s="20" customFormat="1" x14ac:dyDescent="0.2"/>
    <row r="4459" s="20" customFormat="1" x14ac:dyDescent="0.2"/>
    <row r="4460" s="20" customFormat="1" x14ac:dyDescent="0.2"/>
    <row r="4461" s="20" customFormat="1" x14ac:dyDescent="0.2"/>
    <row r="4462" s="20" customFormat="1" x14ac:dyDescent="0.2"/>
    <row r="4463" s="20" customFormat="1" x14ac:dyDescent="0.2"/>
    <row r="4464" s="20" customFormat="1" x14ac:dyDescent="0.2"/>
    <row r="4465" s="20" customFormat="1" x14ac:dyDescent="0.2"/>
    <row r="4466" s="20" customFormat="1" x14ac:dyDescent="0.2"/>
    <row r="4467" s="20" customFormat="1" x14ac:dyDescent="0.2"/>
    <row r="4468" s="20" customFormat="1" x14ac:dyDescent="0.2"/>
    <row r="4469" s="20" customFormat="1" x14ac:dyDescent="0.2"/>
    <row r="4470" s="20" customFormat="1" x14ac:dyDescent="0.2"/>
    <row r="4471" s="20" customFormat="1" x14ac:dyDescent="0.2"/>
    <row r="4472" s="20" customFormat="1" x14ac:dyDescent="0.2"/>
    <row r="4473" s="20" customFormat="1" x14ac:dyDescent="0.2"/>
    <row r="4474" s="20" customFormat="1" x14ac:dyDescent="0.2"/>
    <row r="4475" s="20" customFormat="1" x14ac:dyDescent="0.2"/>
    <row r="4476" s="20" customFormat="1" x14ac:dyDescent="0.2"/>
    <row r="4477" s="20" customFormat="1" x14ac:dyDescent="0.2"/>
    <row r="4478" s="20" customFormat="1" x14ac:dyDescent="0.2"/>
    <row r="4479" s="20" customFormat="1" x14ac:dyDescent="0.2"/>
    <row r="4480" s="20" customFormat="1" x14ac:dyDescent="0.2"/>
    <row r="4481" s="20" customFormat="1" x14ac:dyDescent="0.2"/>
    <row r="4482" s="20" customFormat="1" x14ac:dyDescent="0.2"/>
    <row r="4483" s="20" customFormat="1" x14ac:dyDescent="0.2"/>
    <row r="4484" s="20" customFormat="1" x14ac:dyDescent="0.2"/>
    <row r="4485" s="20" customFormat="1" x14ac:dyDescent="0.2"/>
    <row r="4486" s="20" customFormat="1" x14ac:dyDescent="0.2"/>
    <row r="4487" s="20" customFormat="1" x14ac:dyDescent="0.2"/>
    <row r="4488" s="20" customFormat="1" x14ac:dyDescent="0.2"/>
    <row r="4489" s="20" customFormat="1" x14ac:dyDescent="0.2"/>
    <row r="4490" s="20" customFormat="1" x14ac:dyDescent="0.2"/>
    <row r="4491" s="20" customFormat="1" x14ac:dyDescent="0.2"/>
    <row r="4492" s="20" customFormat="1" x14ac:dyDescent="0.2"/>
    <row r="4493" s="20" customFormat="1" x14ac:dyDescent="0.2"/>
    <row r="4494" s="20" customFormat="1" x14ac:dyDescent="0.2"/>
    <row r="4495" s="20" customFormat="1" x14ac:dyDescent="0.2"/>
    <row r="4496" s="20" customFormat="1" x14ac:dyDescent="0.2"/>
    <row r="4497" s="20" customFormat="1" x14ac:dyDescent="0.2"/>
    <row r="4498" s="20" customFormat="1" x14ac:dyDescent="0.2"/>
    <row r="4499" s="20" customFormat="1" x14ac:dyDescent="0.2"/>
    <row r="4500" s="20" customFormat="1" x14ac:dyDescent="0.2"/>
    <row r="4501" s="20" customFormat="1" x14ac:dyDescent="0.2"/>
    <row r="4502" s="20" customFormat="1" x14ac:dyDescent="0.2"/>
    <row r="4503" s="20" customFormat="1" x14ac:dyDescent="0.2"/>
    <row r="4504" s="20" customFormat="1" x14ac:dyDescent="0.2"/>
    <row r="4505" s="20" customFormat="1" x14ac:dyDescent="0.2"/>
    <row r="4506" s="20" customFormat="1" x14ac:dyDescent="0.2"/>
    <row r="4507" s="20" customFormat="1" x14ac:dyDescent="0.2"/>
    <row r="4508" s="20" customFormat="1" x14ac:dyDescent="0.2"/>
    <row r="4509" s="20" customFormat="1" x14ac:dyDescent="0.2"/>
    <row r="4510" s="20" customFormat="1" x14ac:dyDescent="0.2"/>
    <row r="4511" s="20" customFormat="1" x14ac:dyDescent="0.2"/>
    <row r="4512" s="20" customFormat="1" x14ac:dyDescent="0.2"/>
    <row r="4513" s="20" customFormat="1" x14ac:dyDescent="0.2"/>
    <row r="4514" s="20" customFormat="1" x14ac:dyDescent="0.2"/>
    <row r="4515" s="20" customFormat="1" x14ac:dyDescent="0.2"/>
    <row r="4516" s="20" customFormat="1" x14ac:dyDescent="0.2"/>
    <row r="4517" s="20" customFormat="1" x14ac:dyDescent="0.2"/>
    <row r="4518" s="20" customFormat="1" x14ac:dyDescent="0.2"/>
    <row r="4519" s="20" customFormat="1" x14ac:dyDescent="0.2"/>
    <row r="4520" s="20" customFormat="1" x14ac:dyDescent="0.2"/>
    <row r="4521" s="20" customFormat="1" x14ac:dyDescent="0.2"/>
    <row r="4522" s="20" customFormat="1" x14ac:dyDescent="0.2"/>
    <row r="4523" s="20" customFormat="1" x14ac:dyDescent="0.2"/>
    <row r="4524" s="20" customFormat="1" x14ac:dyDescent="0.2"/>
    <row r="4525" s="20" customFormat="1" x14ac:dyDescent="0.2"/>
    <row r="4526" s="20" customFormat="1" x14ac:dyDescent="0.2"/>
    <row r="4527" s="20" customFormat="1" x14ac:dyDescent="0.2"/>
    <row r="4528" s="20" customFormat="1" x14ac:dyDescent="0.2"/>
    <row r="4529" s="20" customFormat="1" x14ac:dyDescent="0.2"/>
    <row r="4530" s="20" customFormat="1" x14ac:dyDescent="0.2"/>
    <row r="4531" s="20" customFormat="1" x14ac:dyDescent="0.2"/>
    <row r="4532" s="20" customFormat="1" x14ac:dyDescent="0.2"/>
    <row r="4533" s="20" customFormat="1" x14ac:dyDescent="0.2"/>
    <row r="4534" s="20" customFormat="1" x14ac:dyDescent="0.2"/>
    <row r="4535" s="20" customFormat="1" x14ac:dyDescent="0.2"/>
    <row r="4536" s="20" customFormat="1" x14ac:dyDescent="0.2"/>
    <row r="4537" s="20" customFormat="1" x14ac:dyDescent="0.2"/>
    <row r="4538" s="20" customFormat="1" x14ac:dyDescent="0.2"/>
    <row r="4539" s="20" customFormat="1" x14ac:dyDescent="0.2"/>
    <row r="4540" s="20" customFormat="1" x14ac:dyDescent="0.2"/>
    <row r="4541" s="20" customFormat="1" x14ac:dyDescent="0.2"/>
    <row r="4542" s="20" customFormat="1" x14ac:dyDescent="0.2"/>
    <row r="4543" s="20" customFormat="1" x14ac:dyDescent="0.2"/>
    <row r="4544" s="20" customFormat="1" x14ac:dyDescent="0.2"/>
    <row r="4545" s="20" customFormat="1" x14ac:dyDescent="0.2"/>
    <row r="4546" s="20" customFormat="1" x14ac:dyDescent="0.2"/>
    <row r="4547" s="20" customFormat="1" x14ac:dyDescent="0.2"/>
    <row r="4548" s="20" customFormat="1" x14ac:dyDescent="0.2"/>
    <row r="4549" s="20" customFormat="1" x14ac:dyDescent="0.2"/>
    <row r="4550" s="20" customFormat="1" x14ac:dyDescent="0.2"/>
    <row r="4551" s="20" customFormat="1" x14ac:dyDescent="0.2"/>
    <row r="4552" s="20" customFormat="1" x14ac:dyDescent="0.2"/>
    <row r="4553" s="20" customFormat="1" x14ac:dyDescent="0.2"/>
    <row r="4554" s="20" customFormat="1" x14ac:dyDescent="0.2"/>
    <row r="4555" s="20" customFormat="1" x14ac:dyDescent="0.2"/>
    <row r="4556" s="20" customFormat="1" x14ac:dyDescent="0.2"/>
    <row r="4557" s="20" customFormat="1" x14ac:dyDescent="0.2"/>
    <row r="4558" s="20" customFormat="1" x14ac:dyDescent="0.2"/>
    <row r="4559" s="20" customFormat="1" x14ac:dyDescent="0.2"/>
    <row r="4560" s="20" customFormat="1" x14ac:dyDescent="0.2"/>
    <row r="4561" s="20" customFormat="1" x14ac:dyDescent="0.2"/>
    <row r="4562" s="20" customFormat="1" x14ac:dyDescent="0.2"/>
    <row r="4563" s="20" customFormat="1" x14ac:dyDescent="0.2"/>
    <row r="4564" s="20" customFormat="1" x14ac:dyDescent="0.2"/>
    <row r="4565" s="20" customFormat="1" x14ac:dyDescent="0.2"/>
    <row r="4566" s="20" customFormat="1" x14ac:dyDescent="0.2"/>
    <row r="4567" s="20" customFormat="1" x14ac:dyDescent="0.2"/>
    <row r="4568" s="20" customFormat="1" x14ac:dyDescent="0.2"/>
    <row r="4569" s="20" customFormat="1" x14ac:dyDescent="0.2"/>
    <row r="4570" s="20" customFormat="1" x14ac:dyDescent="0.2"/>
    <row r="4571" s="20" customFormat="1" x14ac:dyDescent="0.2"/>
    <row r="4572" s="20" customFormat="1" x14ac:dyDescent="0.2"/>
    <row r="4573" s="20" customFormat="1" x14ac:dyDescent="0.2"/>
    <row r="4574" s="20" customFormat="1" x14ac:dyDescent="0.2"/>
    <row r="4575" s="20" customFormat="1" x14ac:dyDescent="0.2"/>
    <row r="4576" s="20" customFormat="1" x14ac:dyDescent="0.2"/>
    <row r="4577" s="20" customFormat="1" x14ac:dyDescent="0.2"/>
    <row r="4578" s="20" customFormat="1" x14ac:dyDescent="0.2"/>
    <row r="4579" s="20" customFormat="1" x14ac:dyDescent="0.2"/>
    <row r="4580" s="20" customFormat="1" x14ac:dyDescent="0.2"/>
    <row r="4581" s="20" customFormat="1" x14ac:dyDescent="0.2"/>
    <row r="4582" s="20" customFormat="1" x14ac:dyDescent="0.2"/>
    <row r="4583" s="20" customFormat="1" x14ac:dyDescent="0.2"/>
    <row r="4584" s="20" customFormat="1" x14ac:dyDescent="0.2"/>
    <row r="4585" s="20" customFormat="1" x14ac:dyDescent="0.2"/>
    <row r="4586" s="20" customFormat="1" x14ac:dyDescent="0.2"/>
    <row r="4587" s="20" customFormat="1" x14ac:dyDescent="0.2"/>
    <row r="4588" s="20" customFormat="1" x14ac:dyDescent="0.2"/>
    <row r="4589" s="20" customFormat="1" x14ac:dyDescent="0.2"/>
    <row r="4590" s="20" customFormat="1" x14ac:dyDescent="0.2"/>
    <row r="4591" s="20" customFormat="1" x14ac:dyDescent="0.2"/>
    <row r="4592" s="20" customFormat="1" x14ac:dyDescent="0.2"/>
    <row r="4593" s="20" customFormat="1" x14ac:dyDescent="0.2"/>
    <row r="4594" s="20" customFormat="1" x14ac:dyDescent="0.2"/>
    <row r="4595" s="20" customFormat="1" x14ac:dyDescent="0.2"/>
    <row r="4596" s="20" customFormat="1" x14ac:dyDescent="0.2"/>
    <row r="4597" s="20" customFormat="1" x14ac:dyDescent="0.2"/>
    <row r="4598" s="20" customFormat="1" x14ac:dyDescent="0.2"/>
    <row r="4599" s="20" customFormat="1" x14ac:dyDescent="0.2"/>
    <row r="4600" s="20" customFormat="1" x14ac:dyDescent="0.2"/>
    <row r="4601" s="20" customFormat="1" x14ac:dyDescent="0.2"/>
    <row r="4602" s="20" customFormat="1" x14ac:dyDescent="0.2"/>
    <row r="4603" s="20" customFormat="1" x14ac:dyDescent="0.2"/>
    <row r="4604" s="20" customFormat="1" x14ac:dyDescent="0.2"/>
    <row r="4605" s="20" customFormat="1" x14ac:dyDescent="0.2"/>
    <row r="4606" s="20" customFormat="1" x14ac:dyDescent="0.2"/>
    <row r="4607" s="20" customFormat="1" x14ac:dyDescent="0.2"/>
    <row r="4608" s="20" customFormat="1" x14ac:dyDescent="0.2"/>
    <row r="4609" s="20" customFormat="1" x14ac:dyDescent="0.2"/>
    <row r="4610" s="20" customFormat="1" x14ac:dyDescent="0.2"/>
    <row r="4611" s="20" customFormat="1" x14ac:dyDescent="0.2"/>
    <row r="4612" s="20" customFormat="1" x14ac:dyDescent="0.2"/>
    <row r="4613" s="20" customFormat="1" x14ac:dyDescent="0.2"/>
    <row r="4614" s="20" customFormat="1" x14ac:dyDescent="0.2"/>
    <row r="4615" s="20" customFormat="1" x14ac:dyDescent="0.2"/>
    <row r="4616" s="20" customFormat="1" x14ac:dyDescent="0.2"/>
    <row r="4617" s="20" customFormat="1" x14ac:dyDescent="0.2"/>
    <row r="4618" s="20" customFormat="1" x14ac:dyDescent="0.2"/>
    <row r="4619" s="20" customFormat="1" x14ac:dyDescent="0.2"/>
    <row r="4620" s="20" customFormat="1" x14ac:dyDescent="0.2"/>
    <row r="4621" s="20" customFormat="1" x14ac:dyDescent="0.2"/>
    <row r="4622" s="20" customFormat="1" x14ac:dyDescent="0.2"/>
    <row r="4623" s="20" customFormat="1" x14ac:dyDescent="0.2"/>
    <row r="4624" s="20" customFormat="1" x14ac:dyDescent="0.2"/>
    <row r="4625" s="20" customFormat="1" x14ac:dyDescent="0.2"/>
    <row r="4626" s="20" customFormat="1" x14ac:dyDescent="0.2"/>
    <row r="4627" s="20" customFormat="1" x14ac:dyDescent="0.2"/>
    <row r="4628" s="20" customFormat="1" x14ac:dyDescent="0.2"/>
    <row r="4629" s="20" customFormat="1" x14ac:dyDescent="0.2"/>
    <row r="4630" s="20" customFormat="1" x14ac:dyDescent="0.2"/>
    <row r="4631" s="20" customFormat="1" x14ac:dyDescent="0.2"/>
    <row r="4632" s="20" customFormat="1" x14ac:dyDescent="0.2"/>
    <row r="4633" s="20" customFormat="1" x14ac:dyDescent="0.2"/>
    <row r="4634" s="20" customFormat="1" x14ac:dyDescent="0.2"/>
    <row r="4635" s="20" customFormat="1" x14ac:dyDescent="0.2"/>
    <row r="4636" s="20" customFormat="1" x14ac:dyDescent="0.2"/>
    <row r="4637" s="20" customFormat="1" x14ac:dyDescent="0.2"/>
    <row r="4638" s="20" customFormat="1" x14ac:dyDescent="0.2"/>
    <row r="4639" s="20" customFormat="1" x14ac:dyDescent="0.2"/>
    <row r="4640" s="20" customFormat="1" x14ac:dyDescent="0.2"/>
    <row r="4641" s="20" customFormat="1" x14ac:dyDescent="0.2"/>
    <row r="4642" s="20" customFormat="1" x14ac:dyDescent="0.2"/>
    <row r="4643" s="20" customFormat="1" x14ac:dyDescent="0.2"/>
    <row r="4644" s="20" customFormat="1" x14ac:dyDescent="0.2"/>
    <row r="4645" s="20" customFormat="1" x14ac:dyDescent="0.2"/>
    <row r="4646" s="20" customFormat="1" x14ac:dyDescent="0.2"/>
    <row r="4647" s="20" customFormat="1" x14ac:dyDescent="0.2"/>
    <row r="4648" s="20" customFormat="1" x14ac:dyDescent="0.2"/>
    <row r="4649" s="20" customFormat="1" x14ac:dyDescent="0.2"/>
    <row r="4650" s="20" customFormat="1" x14ac:dyDescent="0.2"/>
    <row r="4651" s="20" customFormat="1" x14ac:dyDescent="0.2"/>
    <row r="4652" s="20" customFormat="1" x14ac:dyDescent="0.2"/>
    <row r="4653" s="20" customFormat="1" x14ac:dyDescent="0.2"/>
    <row r="4654" s="20" customFormat="1" x14ac:dyDescent="0.2"/>
    <row r="4655" s="20" customFormat="1" x14ac:dyDescent="0.2"/>
    <row r="4656" s="20" customFormat="1" x14ac:dyDescent="0.2"/>
    <row r="4657" s="20" customFormat="1" x14ac:dyDescent="0.2"/>
    <row r="4658" s="20" customFormat="1" x14ac:dyDescent="0.2"/>
    <row r="4659" s="20" customFormat="1" x14ac:dyDescent="0.2"/>
    <row r="4660" s="20" customFormat="1" x14ac:dyDescent="0.2"/>
    <row r="4661" s="20" customFormat="1" x14ac:dyDescent="0.2"/>
    <row r="4662" s="20" customFormat="1" x14ac:dyDescent="0.2"/>
    <row r="4663" s="20" customFormat="1" x14ac:dyDescent="0.2"/>
    <row r="4664" s="20" customFormat="1" x14ac:dyDescent="0.2"/>
    <row r="4665" s="20" customFormat="1" x14ac:dyDescent="0.2"/>
    <row r="4666" s="20" customFormat="1" x14ac:dyDescent="0.2"/>
    <row r="4667" s="20" customFormat="1" x14ac:dyDescent="0.2"/>
    <row r="4668" s="20" customFormat="1" x14ac:dyDescent="0.2"/>
    <row r="4669" s="20" customFormat="1" x14ac:dyDescent="0.2"/>
    <row r="4670" s="20" customFormat="1" x14ac:dyDescent="0.2"/>
    <row r="4671" s="20" customFormat="1" x14ac:dyDescent="0.2"/>
    <row r="4672" s="20" customFormat="1" x14ac:dyDescent="0.2"/>
    <row r="4673" s="20" customFormat="1" x14ac:dyDescent="0.2"/>
    <row r="4674" s="20" customFormat="1" x14ac:dyDescent="0.2"/>
    <row r="4675" s="20" customFormat="1" x14ac:dyDescent="0.2"/>
    <row r="4676" s="20" customFormat="1" x14ac:dyDescent="0.2"/>
    <row r="4677" s="20" customFormat="1" x14ac:dyDescent="0.2"/>
    <row r="4678" s="20" customFormat="1" x14ac:dyDescent="0.2"/>
    <row r="4679" s="20" customFormat="1" x14ac:dyDescent="0.2"/>
    <row r="4680" s="20" customFormat="1" x14ac:dyDescent="0.2"/>
    <row r="4681" s="20" customFormat="1" x14ac:dyDescent="0.2"/>
    <row r="4682" s="20" customFormat="1" x14ac:dyDescent="0.2"/>
    <row r="4683" s="20" customFormat="1" x14ac:dyDescent="0.2"/>
    <row r="4684" s="20" customFormat="1" x14ac:dyDescent="0.2"/>
    <row r="4685" s="20" customFormat="1" x14ac:dyDescent="0.2"/>
    <row r="4686" s="20" customFormat="1" x14ac:dyDescent="0.2"/>
    <row r="4687" s="20" customFormat="1" x14ac:dyDescent="0.2"/>
    <row r="4688" s="20" customFormat="1" x14ac:dyDescent="0.2"/>
    <row r="4689" s="20" customFormat="1" x14ac:dyDescent="0.2"/>
    <row r="4690" s="20" customFormat="1" x14ac:dyDescent="0.2"/>
    <row r="4691" s="20" customFormat="1" x14ac:dyDescent="0.2"/>
    <row r="4692" s="20" customFormat="1" x14ac:dyDescent="0.2"/>
    <row r="4693" s="20" customFormat="1" x14ac:dyDescent="0.2"/>
    <row r="4694" s="20" customFormat="1" x14ac:dyDescent="0.2"/>
    <row r="4695" s="20" customFormat="1" x14ac:dyDescent="0.2"/>
    <row r="4696" s="20" customFormat="1" x14ac:dyDescent="0.2"/>
    <row r="4697" s="20" customFormat="1" x14ac:dyDescent="0.2"/>
    <row r="4698" s="20" customFormat="1" x14ac:dyDescent="0.2"/>
    <row r="4699" s="20" customFormat="1" x14ac:dyDescent="0.2"/>
    <row r="4700" s="20" customFormat="1" x14ac:dyDescent="0.2"/>
    <row r="4701" s="20" customFormat="1" x14ac:dyDescent="0.2"/>
    <row r="4702" s="20" customFormat="1" x14ac:dyDescent="0.2"/>
    <row r="4703" s="20" customFormat="1" x14ac:dyDescent="0.2"/>
    <row r="4704" s="20" customFormat="1" x14ac:dyDescent="0.2"/>
    <row r="4705" s="20" customFormat="1" x14ac:dyDescent="0.2"/>
    <row r="4706" s="20" customFormat="1" x14ac:dyDescent="0.2"/>
    <row r="4707" s="20" customFormat="1" x14ac:dyDescent="0.2"/>
    <row r="4708" s="20" customFormat="1" x14ac:dyDescent="0.2"/>
    <row r="4709" s="20" customFormat="1" x14ac:dyDescent="0.2"/>
    <row r="4710" s="20" customFormat="1" x14ac:dyDescent="0.2"/>
    <row r="4711" s="20" customFormat="1" x14ac:dyDescent="0.2"/>
    <row r="4712" s="20" customFormat="1" x14ac:dyDescent="0.2"/>
    <row r="4713" s="20" customFormat="1" x14ac:dyDescent="0.2"/>
    <row r="4714" s="20" customFormat="1" x14ac:dyDescent="0.2"/>
    <row r="4715" s="20" customFormat="1" x14ac:dyDescent="0.2"/>
    <row r="4716" s="20" customFormat="1" x14ac:dyDescent="0.2"/>
    <row r="4717" s="20" customFormat="1" x14ac:dyDescent="0.2"/>
    <row r="4718" s="20" customFormat="1" x14ac:dyDescent="0.2"/>
    <row r="4719" s="20" customFormat="1" x14ac:dyDescent="0.2"/>
    <row r="4720" s="20" customFormat="1" x14ac:dyDescent="0.2"/>
    <row r="4721" s="20" customFormat="1" x14ac:dyDescent="0.2"/>
    <row r="4722" s="20" customFormat="1" x14ac:dyDescent="0.2"/>
    <row r="4723" s="20" customFormat="1" x14ac:dyDescent="0.2"/>
    <row r="4724" s="20" customFormat="1" x14ac:dyDescent="0.2"/>
    <row r="4725" s="20" customFormat="1" x14ac:dyDescent="0.2"/>
    <row r="4726" s="20" customFormat="1" x14ac:dyDescent="0.2"/>
    <row r="4727" s="20" customFormat="1" x14ac:dyDescent="0.2"/>
    <row r="4728" s="20" customFormat="1" x14ac:dyDescent="0.2"/>
    <row r="4729" s="20" customFormat="1" x14ac:dyDescent="0.2"/>
    <row r="4730" s="20" customFormat="1" x14ac:dyDescent="0.2"/>
    <row r="4731" s="20" customFormat="1" x14ac:dyDescent="0.2"/>
    <row r="4732" s="20" customFormat="1" x14ac:dyDescent="0.2"/>
    <row r="4733" s="20" customFormat="1" x14ac:dyDescent="0.2"/>
    <row r="4734" s="20" customFormat="1" x14ac:dyDescent="0.2"/>
    <row r="4735" s="20" customFormat="1" x14ac:dyDescent="0.2"/>
    <row r="4736" s="20" customFormat="1" x14ac:dyDescent="0.2"/>
    <row r="4737" s="20" customFormat="1" x14ac:dyDescent="0.2"/>
    <row r="4738" s="20" customFormat="1" x14ac:dyDescent="0.2"/>
    <row r="4739" s="20" customFormat="1" x14ac:dyDescent="0.2"/>
    <row r="4740" s="20" customFormat="1" x14ac:dyDescent="0.2"/>
    <row r="4741" s="20" customFormat="1" x14ac:dyDescent="0.2"/>
    <row r="4742" s="20" customFormat="1" x14ac:dyDescent="0.2"/>
    <row r="4743" s="20" customFormat="1" x14ac:dyDescent="0.2"/>
    <row r="4744" s="20" customFormat="1" x14ac:dyDescent="0.2"/>
    <row r="4745" s="20" customFormat="1" x14ac:dyDescent="0.2"/>
    <row r="4746" s="20" customFormat="1" x14ac:dyDescent="0.2"/>
    <row r="4747" s="20" customFormat="1" x14ac:dyDescent="0.2"/>
    <row r="4748" s="20" customFormat="1" x14ac:dyDescent="0.2"/>
    <row r="4749" s="20" customFormat="1" x14ac:dyDescent="0.2"/>
    <row r="4750" s="20" customFormat="1" x14ac:dyDescent="0.2"/>
    <row r="4751" s="20" customFormat="1" x14ac:dyDescent="0.2"/>
    <row r="4752" s="20" customFormat="1" x14ac:dyDescent="0.2"/>
    <row r="4753" s="20" customFormat="1" x14ac:dyDescent="0.2"/>
    <row r="4754" s="20" customFormat="1" x14ac:dyDescent="0.2"/>
    <row r="4755" s="20" customFormat="1" x14ac:dyDescent="0.2"/>
    <row r="4756" s="20" customFormat="1" x14ac:dyDescent="0.2"/>
    <row r="4757" s="20" customFormat="1" x14ac:dyDescent="0.2"/>
    <row r="4758" s="20" customFormat="1" x14ac:dyDescent="0.2"/>
    <row r="4759" s="20" customFormat="1" x14ac:dyDescent="0.2"/>
    <row r="4760" s="20" customFormat="1" x14ac:dyDescent="0.2"/>
    <row r="4761" s="20" customFormat="1" x14ac:dyDescent="0.2"/>
    <row r="4762" s="20" customFormat="1" x14ac:dyDescent="0.2"/>
    <row r="4763" s="20" customFormat="1" x14ac:dyDescent="0.2"/>
    <row r="4764" s="20" customFormat="1" x14ac:dyDescent="0.2"/>
    <row r="4765" s="20" customFormat="1" x14ac:dyDescent="0.2"/>
    <row r="4766" s="20" customFormat="1" x14ac:dyDescent="0.2"/>
    <row r="4767" s="20" customFormat="1" x14ac:dyDescent="0.2"/>
    <row r="4768" s="20" customFormat="1" x14ac:dyDescent="0.2"/>
    <row r="4769" s="20" customFormat="1" x14ac:dyDescent="0.2"/>
    <row r="4770" s="20" customFormat="1" x14ac:dyDescent="0.2"/>
    <row r="4771" s="20" customFormat="1" x14ac:dyDescent="0.2"/>
    <row r="4772" s="20" customFormat="1" x14ac:dyDescent="0.2"/>
    <row r="4773" s="20" customFormat="1" x14ac:dyDescent="0.2"/>
    <row r="4774" s="20" customFormat="1" x14ac:dyDescent="0.2"/>
    <row r="4775" s="20" customFormat="1" x14ac:dyDescent="0.2"/>
    <row r="4776" s="20" customFormat="1" x14ac:dyDescent="0.2"/>
    <row r="4777" s="20" customFormat="1" x14ac:dyDescent="0.2"/>
    <row r="4778" s="20" customFormat="1" x14ac:dyDescent="0.2"/>
    <row r="4779" s="20" customFormat="1" x14ac:dyDescent="0.2"/>
    <row r="4780" s="20" customFormat="1" x14ac:dyDescent="0.2"/>
    <row r="4781" s="20" customFormat="1" x14ac:dyDescent="0.2"/>
    <row r="4782" s="20" customFormat="1" x14ac:dyDescent="0.2"/>
    <row r="4783" s="20" customFormat="1" x14ac:dyDescent="0.2"/>
    <row r="4784" s="20" customFormat="1" x14ac:dyDescent="0.2"/>
    <row r="4785" s="20" customFormat="1" x14ac:dyDescent="0.2"/>
    <row r="4786" s="20" customFormat="1" x14ac:dyDescent="0.2"/>
    <row r="4787" s="20" customFormat="1" x14ac:dyDescent="0.2"/>
    <row r="4788" s="20" customFormat="1" x14ac:dyDescent="0.2"/>
    <row r="4789" s="20" customFormat="1" x14ac:dyDescent="0.2"/>
    <row r="4790" s="20" customFormat="1" x14ac:dyDescent="0.2"/>
    <row r="4791" s="20" customFormat="1" x14ac:dyDescent="0.2"/>
    <row r="4792" s="20" customFormat="1" x14ac:dyDescent="0.2"/>
    <row r="4793" s="20" customFormat="1" x14ac:dyDescent="0.2"/>
    <row r="4794" s="20" customFormat="1" x14ac:dyDescent="0.2"/>
    <row r="4795" s="20" customFormat="1" x14ac:dyDescent="0.2"/>
    <row r="4796" s="20" customFormat="1" x14ac:dyDescent="0.2"/>
    <row r="4797" s="20" customFormat="1" x14ac:dyDescent="0.2"/>
    <row r="4798" s="20" customFormat="1" x14ac:dyDescent="0.2"/>
    <row r="4799" s="20" customFormat="1" x14ac:dyDescent="0.2"/>
    <row r="4800" s="20" customFormat="1" x14ac:dyDescent="0.2"/>
    <row r="4801" s="20" customFormat="1" x14ac:dyDescent="0.2"/>
    <row r="4802" s="20" customFormat="1" x14ac:dyDescent="0.2"/>
    <row r="4803" s="20" customFormat="1" x14ac:dyDescent="0.2"/>
    <row r="4804" s="20" customFormat="1" x14ac:dyDescent="0.2"/>
    <row r="4805" s="20" customFormat="1" x14ac:dyDescent="0.2"/>
    <row r="4806" s="20" customFormat="1" x14ac:dyDescent="0.2"/>
    <row r="4807" s="20" customFormat="1" x14ac:dyDescent="0.2"/>
    <row r="4808" s="20" customFormat="1" x14ac:dyDescent="0.2"/>
    <row r="4809" s="20" customFormat="1" x14ac:dyDescent="0.2"/>
    <row r="4810" s="20" customFormat="1" x14ac:dyDescent="0.2"/>
    <row r="4811" s="20" customFormat="1" x14ac:dyDescent="0.2"/>
    <row r="4812" s="20" customFormat="1" x14ac:dyDescent="0.2"/>
    <row r="4813" s="20" customFormat="1" x14ac:dyDescent="0.2"/>
    <row r="4814" s="20" customFormat="1" x14ac:dyDescent="0.2"/>
    <row r="4815" s="20" customFormat="1" x14ac:dyDescent="0.2"/>
    <row r="4816" s="20" customFormat="1" x14ac:dyDescent="0.2"/>
    <row r="4817" s="20" customFormat="1" x14ac:dyDescent="0.2"/>
    <row r="4818" s="20" customFormat="1" x14ac:dyDescent="0.2"/>
    <row r="4819" s="20" customFormat="1" x14ac:dyDescent="0.2"/>
    <row r="4820" s="20" customFormat="1" x14ac:dyDescent="0.2"/>
    <row r="4821" s="20" customFormat="1" x14ac:dyDescent="0.2"/>
    <row r="4822" s="20" customFormat="1" x14ac:dyDescent="0.2"/>
    <row r="4823" s="20" customFormat="1" x14ac:dyDescent="0.2"/>
    <row r="4824" s="20" customFormat="1" x14ac:dyDescent="0.2"/>
    <row r="4825" s="20" customFormat="1" x14ac:dyDescent="0.2"/>
    <row r="4826" s="20" customFormat="1" x14ac:dyDescent="0.2"/>
    <row r="4827" s="20" customFormat="1" x14ac:dyDescent="0.2"/>
    <row r="4828" s="20" customFormat="1" x14ac:dyDescent="0.2"/>
    <row r="4829" s="20" customFormat="1" x14ac:dyDescent="0.2"/>
    <row r="4830" s="20" customFormat="1" x14ac:dyDescent="0.2"/>
    <row r="4831" s="20" customFormat="1" x14ac:dyDescent="0.2"/>
    <row r="4832" s="20" customFormat="1" x14ac:dyDescent="0.2"/>
    <row r="4833" s="20" customFormat="1" x14ac:dyDescent="0.2"/>
    <row r="4834" s="20" customFormat="1" x14ac:dyDescent="0.2"/>
    <row r="4835" s="20" customFormat="1" x14ac:dyDescent="0.2"/>
    <row r="4836" s="20" customFormat="1" x14ac:dyDescent="0.2"/>
    <row r="4837" s="20" customFormat="1" x14ac:dyDescent="0.2"/>
    <row r="4838" s="20" customFormat="1" x14ac:dyDescent="0.2"/>
    <row r="4839" s="20" customFormat="1" x14ac:dyDescent="0.2"/>
    <row r="4840" s="20" customFormat="1" x14ac:dyDescent="0.2"/>
    <row r="4841" s="20" customFormat="1" x14ac:dyDescent="0.2"/>
    <row r="4842" s="20" customFormat="1" x14ac:dyDescent="0.2"/>
    <row r="4843" s="20" customFormat="1" x14ac:dyDescent="0.2"/>
    <row r="4844" s="20" customFormat="1" x14ac:dyDescent="0.2"/>
    <row r="4845" s="20" customFormat="1" x14ac:dyDescent="0.2"/>
    <row r="4846" s="20" customFormat="1" x14ac:dyDescent="0.2"/>
    <row r="4847" s="20" customFormat="1" x14ac:dyDescent="0.2"/>
    <row r="4848" s="20" customFormat="1" x14ac:dyDescent="0.2"/>
    <row r="4849" s="20" customFormat="1" x14ac:dyDescent="0.2"/>
    <row r="4850" s="20" customFormat="1" x14ac:dyDescent="0.2"/>
    <row r="4851" s="20" customFormat="1" x14ac:dyDescent="0.2"/>
    <row r="4852" s="20" customFormat="1" x14ac:dyDescent="0.2"/>
    <row r="4853" s="20" customFormat="1" x14ac:dyDescent="0.2"/>
    <row r="4854" s="20" customFormat="1" x14ac:dyDescent="0.2"/>
    <row r="4855" s="20" customFormat="1" x14ac:dyDescent="0.2"/>
    <row r="4856" s="20" customFormat="1" x14ac:dyDescent="0.2"/>
    <row r="4857" s="20" customFormat="1" x14ac:dyDescent="0.2"/>
    <row r="4858" s="20" customFormat="1" x14ac:dyDescent="0.2"/>
    <row r="4859" s="20" customFormat="1" x14ac:dyDescent="0.2"/>
    <row r="4860" s="20" customFormat="1" x14ac:dyDescent="0.2"/>
    <row r="4861" s="20" customFormat="1" x14ac:dyDescent="0.2"/>
    <row r="4862" s="20" customFormat="1" x14ac:dyDescent="0.2"/>
    <row r="4863" s="20" customFormat="1" x14ac:dyDescent="0.2"/>
    <row r="4864" s="20" customFormat="1" x14ac:dyDescent="0.2"/>
    <row r="4865" s="20" customFormat="1" x14ac:dyDescent="0.2"/>
    <row r="4866" s="20" customFormat="1" x14ac:dyDescent="0.2"/>
    <row r="4867" s="20" customFormat="1" x14ac:dyDescent="0.2"/>
    <row r="4868" s="20" customFormat="1" x14ac:dyDescent="0.2"/>
    <row r="4869" s="20" customFormat="1" x14ac:dyDescent="0.2"/>
    <row r="4870" s="20" customFormat="1" x14ac:dyDescent="0.2"/>
    <row r="4871" s="20" customFormat="1" x14ac:dyDescent="0.2"/>
    <row r="4872" s="20" customFormat="1" x14ac:dyDescent="0.2"/>
    <row r="4873" s="20" customFormat="1" x14ac:dyDescent="0.2"/>
    <row r="4874" s="20" customFormat="1" x14ac:dyDescent="0.2"/>
    <row r="4875" s="20" customFormat="1" x14ac:dyDescent="0.2"/>
    <row r="4876" s="20" customFormat="1" x14ac:dyDescent="0.2"/>
    <row r="4877" s="20" customFormat="1" x14ac:dyDescent="0.2"/>
    <row r="4878" s="20" customFormat="1" x14ac:dyDescent="0.2"/>
    <row r="4879" s="20" customFormat="1" x14ac:dyDescent="0.2"/>
    <row r="4880" s="20" customFormat="1" x14ac:dyDescent="0.2"/>
    <row r="4881" s="20" customFormat="1" x14ac:dyDescent="0.2"/>
    <row r="4882" s="20" customFormat="1" x14ac:dyDescent="0.2"/>
    <row r="4883" s="20" customFormat="1" x14ac:dyDescent="0.2"/>
    <row r="4884" s="20" customFormat="1" x14ac:dyDescent="0.2"/>
    <row r="4885" s="20" customFormat="1" x14ac:dyDescent="0.2"/>
    <row r="4886" s="20" customFormat="1" x14ac:dyDescent="0.2"/>
    <row r="4887" s="20" customFormat="1" x14ac:dyDescent="0.2"/>
    <row r="4888" s="20" customFormat="1" x14ac:dyDescent="0.2"/>
    <row r="4889" s="20" customFormat="1" x14ac:dyDescent="0.2"/>
    <row r="4890" s="20" customFormat="1" x14ac:dyDescent="0.2"/>
    <row r="4891" s="20" customFormat="1" x14ac:dyDescent="0.2"/>
    <row r="4892" s="20" customFormat="1" x14ac:dyDescent="0.2"/>
    <row r="4893" s="20" customFormat="1" x14ac:dyDescent="0.2"/>
    <row r="4894" s="20" customFormat="1" x14ac:dyDescent="0.2"/>
    <row r="4895" s="20" customFormat="1" x14ac:dyDescent="0.2"/>
    <row r="4896" s="20" customFormat="1" x14ac:dyDescent="0.2"/>
    <row r="4897" s="20" customFormat="1" x14ac:dyDescent="0.2"/>
    <row r="4898" s="20" customFormat="1" x14ac:dyDescent="0.2"/>
    <row r="4899" s="20" customFormat="1" x14ac:dyDescent="0.2"/>
    <row r="4900" s="20" customFormat="1" x14ac:dyDescent="0.2"/>
    <row r="4901" s="20" customFormat="1" x14ac:dyDescent="0.2"/>
    <row r="4902" s="20" customFormat="1" x14ac:dyDescent="0.2"/>
    <row r="4903" s="20" customFormat="1" x14ac:dyDescent="0.2"/>
    <row r="4904" s="20" customFormat="1" x14ac:dyDescent="0.2"/>
    <row r="4905" s="20" customFormat="1" x14ac:dyDescent="0.2"/>
    <row r="4906" s="20" customFormat="1" x14ac:dyDescent="0.2"/>
    <row r="4907" s="20" customFormat="1" x14ac:dyDescent="0.2"/>
    <row r="4908" s="20" customFormat="1" x14ac:dyDescent="0.2"/>
    <row r="4909" s="20" customFormat="1" x14ac:dyDescent="0.2"/>
    <row r="4910" s="20" customFormat="1" x14ac:dyDescent="0.2"/>
    <row r="4911" s="20" customFormat="1" x14ac:dyDescent="0.2"/>
    <row r="4912" s="20" customFormat="1" x14ac:dyDescent="0.2"/>
    <row r="4913" s="20" customFormat="1" x14ac:dyDescent="0.2"/>
    <row r="4914" s="20" customFormat="1" x14ac:dyDescent="0.2"/>
    <row r="4915" s="20" customFormat="1" x14ac:dyDescent="0.2"/>
    <row r="4916" s="20" customFormat="1" x14ac:dyDescent="0.2"/>
    <row r="4917" s="20" customFormat="1" x14ac:dyDescent="0.2"/>
    <row r="4918" s="20" customFormat="1" x14ac:dyDescent="0.2"/>
    <row r="4919" s="20" customFormat="1" x14ac:dyDescent="0.2"/>
    <row r="4920" s="20" customFormat="1" x14ac:dyDescent="0.2"/>
    <row r="4921" s="20" customFormat="1" x14ac:dyDescent="0.2"/>
    <row r="4922" s="20" customFormat="1" x14ac:dyDescent="0.2"/>
    <row r="4923" s="20" customFormat="1" x14ac:dyDescent="0.2"/>
    <row r="4924" s="20" customFormat="1" x14ac:dyDescent="0.2"/>
    <row r="4925" s="20" customFormat="1" x14ac:dyDescent="0.2"/>
    <row r="4926" s="20" customFormat="1" x14ac:dyDescent="0.2"/>
    <row r="4927" s="20" customFormat="1" x14ac:dyDescent="0.2"/>
    <row r="4928" s="20" customFormat="1" x14ac:dyDescent="0.2"/>
    <row r="4929" s="20" customFormat="1" x14ac:dyDescent="0.2"/>
    <row r="4930" s="20" customFormat="1" x14ac:dyDescent="0.2"/>
    <row r="4931" s="20" customFormat="1" x14ac:dyDescent="0.2"/>
    <row r="4932" s="20" customFormat="1" x14ac:dyDescent="0.2"/>
    <row r="4933" s="20" customFormat="1" x14ac:dyDescent="0.2"/>
    <row r="4934" s="20" customFormat="1" x14ac:dyDescent="0.2"/>
    <row r="4935" s="20" customFormat="1" x14ac:dyDescent="0.2"/>
    <row r="4936" s="20" customFormat="1" x14ac:dyDescent="0.2"/>
    <row r="4937" s="20" customFormat="1" x14ac:dyDescent="0.2"/>
    <row r="4938" s="20" customFormat="1" x14ac:dyDescent="0.2"/>
    <row r="4939" s="20" customFormat="1" x14ac:dyDescent="0.2"/>
    <row r="4940" s="20" customFormat="1" x14ac:dyDescent="0.2"/>
    <row r="4941" s="20" customFormat="1" x14ac:dyDescent="0.2"/>
    <row r="4942" s="20" customFormat="1" x14ac:dyDescent="0.2"/>
    <row r="4943" s="20" customFormat="1" x14ac:dyDescent="0.2"/>
    <row r="4944" s="20" customFormat="1" x14ac:dyDescent="0.2"/>
    <row r="4945" s="20" customFormat="1" x14ac:dyDescent="0.2"/>
    <row r="4946" s="20" customFormat="1" x14ac:dyDescent="0.2"/>
    <row r="4947" s="20" customFormat="1" x14ac:dyDescent="0.2"/>
    <row r="4948" s="20" customFormat="1" x14ac:dyDescent="0.2"/>
    <row r="4949" s="20" customFormat="1" x14ac:dyDescent="0.2"/>
    <row r="4950" s="20" customFormat="1" x14ac:dyDescent="0.2"/>
    <row r="4951" s="20" customFormat="1" x14ac:dyDescent="0.2"/>
    <row r="4952" s="20" customFormat="1" x14ac:dyDescent="0.2"/>
    <row r="4953" s="20" customFormat="1" x14ac:dyDescent="0.2"/>
    <row r="4954" s="20" customFormat="1" x14ac:dyDescent="0.2"/>
    <row r="4955" s="20" customFormat="1" x14ac:dyDescent="0.2"/>
    <row r="4956" s="20" customFormat="1" x14ac:dyDescent="0.2"/>
    <row r="4957" s="20" customFormat="1" x14ac:dyDescent="0.2"/>
    <row r="4958" s="20" customFormat="1" x14ac:dyDescent="0.2"/>
    <row r="4959" s="20" customFormat="1" x14ac:dyDescent="0.2"/>
    <row r="4960" s="20" customFormat="1" x14ac:dyDescent="0.2"/>
    <row r="4961" s="20" customFormat="1" x14ac:dyDescent="0.2"/>
    <row r="4962" s="20" customFormat="1" x14ac:dyDescent="0.2"/>
    <row r="4963" s="20" customFormat="1" x14ac:dyDescent="0.2"/>
    <row r="4964" s="20" customFormat="1" x14ac:dyDescent="0.2"/>
    <row r="4965" s="20" customFormat="1" x14ac:dyDescent="0.2"/>
    <row r="4966" s="20" customFormat="1" x14ac:dyDescent="0.2"/>
    <row r="4967" s="20" customFormat="1" x14ac:dyDescent="0.2"/>
    <row r="4968" s="20" customFormat="1" x14ac:dyDescent="0.2"/>
    <row r="4969" s="20" customFormat="1" x14ac:dyDescent="0.2"/>
    <row r="4970" s="20" customFormat="1" x14ac:dyDescent="0.2"/>
    <row r="4971" s="20" customFormat="1" x14ac:dyDescent="0.2"/>
    <row r="4972" s="20" customFormat="1" x14ac:dyDescent="0.2"/>
    <row r="4973" s="20" customFormat="1" x14ac:dyDescent="0.2"/>
    <row r="4974" s="20" customFormat="1" x14ac:dyDescent="0.2"/>
    <row r="4975" s="20" customFormat="1" x14ac:dyDescent="0.2"/>
    <row r="4976" s="20" customFormat="1" x14ac:dyDescent="0.2"/>
    <row r="4977" s="20" customFormat="1" x14ac:dyDescent="0.2"/>
    <row r="4978" s="20" customFormat="1" x14ac:dyDescent="0.2"/>
    <row r="4979" s="20" customFormat="1" x14ac:dyDescent="0.2"/>
    <row r="4980" s="20" customFormat="1" x14ac:dyDescent="0.2"/>
    <row r="4981" s="20" customFormat="1" x14ac:dyDescent="0.2"/>
    <row r="4982" s="20" customFormat="1" x14ac:dyDescent="0.2"/>
    <row r="4983" s="20" customFormat="1" x14ac:dyDescent="0.2"/>
    <row r="4984" s="20" customFormat="1" x14ac:dyDescent="0.2"/>
    <row r="4985" s="20" customFormat="1" x14ac:dyDescent="0.2"/>
    <row r="4986" s="20" customFormat="1" x14ac:dyDescent="0.2"/>
    <row r="4987" s="20" customFormat="1" x14ac:dyDescent="0.2"/>
    <row r="4988" s="20" customFormat="1" x14ac:dyDescent="0.2"/>
    <row r="4989" s="20" customFormat="1" x14ac:dyDescent="0.2"/>
    <row r="4990" s="20" customFormat="1" x14ac:dyDescent="0.2"/>
    <row r="4991" s="20" customFormat="1" x14ac:dyDescent="0.2"/>
    <row r="4992" s="20" customFormat="1" x14ac:dyDescent="0.2"/>
    <row r="4993" s="20" customFormat="1" x14ac:dyDescent="0.2"/>
    <row r="4994" s="20" customFormat="1" x14ac:dyDescent="0.2"/>
    <row r="4995" s="20" customFormat="1" x14ac:dyDescent="0.2"/>
    <row r="4996" s="20" customFormat="1" x14ac:dyDescent="0.2"/>
    <row r="4997" s="20" customFormat="1" x14ac:dyDescent="0.2"/>
    <row r="4998" s="20" customFormat="1" x14ac:dyDescent="0.2"/>
    <row r="4999" s="20" customFormat="1" x14ac:dyDescent="0.2"/>
    <row r="5000" s="20" customFormat="1" x14ac:dyDescent="0.2"/>
    <row r="5001" s="20" customFormat="1" x14ac:dyDescent="0.2"/>
    <row r="5002" s="20" customFormat="1" x14ac:dyDescent="0.2"/>
    <row r="5003" s="20" customFormat="1" x14ac:dyDescent="0.2"/>
    <row r="5004" s="20" customFormat="1" x14ac:dyDescent="0.2"/>
    <row r="5005" s="20" customFormat="1" x14ac:dyDescent="0.2"/>
    <row r="5006" s="20" customFormat="1" x14ac:dyDescent="0.2"/>
    <row r="5007" s="20" customFormat="1" x14ac:dyDescent="0.2"/>
    <row r="5008" s="20" customFormat="1" x14ac:dyDescent="0.2"/>
    <row r="5009" s="20" customFormat="1" x14ac:dyDescent="0.2"/>
    <row r="5010" s="20" customFormat="1" x14ac:dyDescent="0.2"/>
    <row r="5011" s="20" customFormat="1" x14ac:dyDescent="0.2"/>
    <row r="5012" s="20" customFormat="1" x14ac:dyDescent="0.2"/>
    <row r="5013" s="20" customFormat="1" x14ac:dyDescent="0.2"/>
    <row r="5014" s="20" customFormat="1" x14ac:dyDescent="0.2"/>
    <row r="5015" s="20" customFormat="1" x14ac:dyDescent="0.2"/>
    <row r="5016" s="20" customFormat="1" x14ac:dyDescent="0.2"/>
    <row r="5017" s="20" customFormat="1" x14ac:dyDescent="0.2"/>
    <row r="5018" s="20" customFormat="1" x14ac:dyDescent="0.2"/>
    <row r="5019" s="20" customFormat="1" x14ac:dyDescent="0.2"/>
    <row r="5020" s="20" customFormat="1" x14ac:dyDescent="0.2"/>
    <row r="5021" s="20" customFormat="1" x14ac:dyDescent="0.2"/>
    <row r="5022" s="20" customFormat="1" x14ac:dyDescent="0.2"/>
    <row r="5023" s="20" customFormat="1" x14ac:dyDescent="0.2"/>
    <row r="5024" s="20" customFormat="1" x14ac:dyDescent="0.2"/>
    <row r="5025" s="20" customFormat="1" x14ac:dyDescent="0.2"/>
    <row r="5026" s="20" customFormat="1" x14ac:dyDescent="0.2"/>
    <row r="5027" s="20" customFormat="1" x14ac:dyDescent="0.2"/>
    <row r="5028" s="20" customFormat="1" x14ac:dyDescent="0.2"/>
    <row r="5029" s="20" customFormat="1" x14ac:dyDescent="0.2"/>
    <row r="5030" s="20" customFormat="1" x14ac:dyDescent="0.2"/>
    <row r="5031" s="20" customFormat="1" x14ac:dyDescent="0.2"/>
    <row r="5032" s="20" customFormat="1" x14ac:dyDescent="0.2"/>
    <row r="5033" s="20" customFormat="1" x14ac:dyDescent="0.2"/>
    <row r="5034" s="20" customFormat="1" x14ac:dyDescent="0.2"/>
    <row r="5035" s="20" customFormat="1" x14ac:dyDescent="0.2"/>
    <row r="5036" s="20" customFormat="1" x14ac:dyDescent="0.2"/>
    <row r="5037" s="20" customFormat="1" x14ac:dyDescent="0.2"/>
    <row r="5038" s="20" customFormat="1" x14ac:dyDescent="0.2"/>
    <row r="5039" s="20" customFormat="1" x14ac:dyDescent="0.2"/>
    <row r="5040" s="20" customFormat="1" x14ac:dyDescent="0.2"/>
    <row r="5041" s="20" customFormat="1" x14ac:dyDescent="0.2"/>
    <row r="5042" s="20" customFormat="1" x14ac:dyDescent="0.2"/>
    <row r="5043" s="20" customFormat="1" x14ac:dyDescent="0.2"/>
    <row r="5044" s="20" customFormat="1" x14ac:dyDescent="0.2"/>
    <row r="5045" s="20" customFormat="1" x14ac:dyDescent="0.2"/>
    <row r="5046" s="20" customFormat="1" x14ac:dyDescent="0.2"/>
    <row r="5047" s="20" customFormat="1" x14ac:dyDescent="0.2"/>
    <row r="5048" s="20" customFormat="1" x14ac:dyDescent="0.2"/>
    <row r="5049" s="20" customFormat="1" x14ac:dyDescent="0.2"/>
    <row r="5050" s="20" customFormat="1" x14ac:dyDescent="0.2"/>
    <row r="5051" s="20" customFormat="1" x14ac:dyDescent="0.2"/>
    <row r="5052" s="20" customFormat="1" x14ac:dyDescent="0.2"/>
    <row r="5053" s="20" customFormat="1" x14ac:dyDescent="0.2"/>
    <row r="5054" s="20" customFormat="1" x14ac:dyDescent="0.2"/>
    <row r="5055" s="20" customFormat="1" x14ac:dyDescent="0.2"/>
    <row r="5056" s="20" customFormat="1" x14ac:dyDescent="0.2"/>
    <row r="5057" s="20" customFormat="1" x14ac:dyDescent="0.2"/>
    <row r="5058" s="20" customFormat="1" x14ac:dyDescent="0.2"/>
    <row r="5059" s="20" customFormat="1" x14ac:dyDescent="0.2"/>
    <row r="5060" s="20" customFormat="1" x14ac:dyDescent="0.2"/>
    <row r="5061" s="20" customFormat="1" x14ac:dyDescent="0.2"/>
    <row r="5062" s="20" customFormat="1" x14ac:dyDescent="0.2"/>
    <row r="5063" s="20" customFormat="1" x14ac:dyDescent="0.2"/>
    <row r="5064" s="20" customFormat="1" x14ac:dyDescent="0.2"/>
    <row r="5065" s="20" customFormat="1" x14ac:dyDescent="0.2"/>
    <row r="5066" s="20" customFormat="1" x14ac:dyDescent="0.2"/>
    <row r="5067" s="20" customFormat="1" x14ac:dyDescent="0.2"/>
    <row r="5068" s="20" customFormat="1" x14ac:dyDescent="0.2"/>
    <row r="5069" s="20" customFormat="1" x14ac:dyDescent="0.2"/>
    <row r="5070" s="20" customFormat="1" x14ac:dyDescent="0.2"/>
    <row r="5071" s="20" customFormat="1" x14ac:dyDescent="0.2"/>
    <row r="5072" s="20" customFormat="1" x14ac:dyDescent="0.2"/>
    <row r="5073" s="20" customFormat="1" x14ac:dyDescent="0.2"/>
    <row r="5074" s="20" customFormat="1" x14ac:dyDescent="0.2"/>
    <row r="5075" s="20" customFormat="1" x14ac:dyDescent="0.2"/>
    <row r="5076" s="20" customFormat="1" x14ac:dyDescent="0.2"/>
    <row r="5077" s="20" customFormat="1" x14ac:dyDescent="0.2"/>
    <row r="5078" s="20" customFormat="1" x14ac:dyDescent="0.2"/>
    <row r="5079" s="20" customFormat="1" x14ac:dyDescent="0.2"/>
    <row r="5080" s="20" customFormat="1" x14ac:dyDescent="0.2"/>
    <row r="5081" s="20" customFormat="1" x14ac:dyDescent="0.2"/>
    <row r="5082" s="20" customFormat="1" x14ac:dyDescent="0.2"/>
    <row r="5083" s="20" customFormat="1" x14ac:dyDescent="0.2"/>
    <row r="5084" s="20" customFormat="1" x14ac:dyDescent="0.2"/>
    <row r="5085" s="20" customFormat="1" x14ac:dyDescent="0.2"/>
    <row r="5086" s="20" customFormat="1" x14ac:dyDescent="0.2"/>
    <row r="5087" s="20" customFormat="1" x14ac:dyDescent="0.2"/>
    <row r="5088" s="20" customFormat="1" x14ac:dyDescent="0.2"/>
    <row r="5089" s="20" customFormat="1" x14ac:dyDescent="0.2"/>
    <row r="5090" s="20" customFormat="1" x14ac:dyDescent="0.2"/>
    <row r="5091" s="20" customFormat="1" x14ac:dyDescent="0.2"/>
    <row r="5092" s="20" customFormat="1" x14ac:dyDescent="0.2"/>
    <row r="5093" s="20" customFormat="1" x14ac:dyDescent="0.2"/>
    <row r="5094" s="20" customFormat="1" x14ac:dyDescent="0.2"/>
    <row r="5095" s="20" customFormat="1" x14ac:dyDescent="0.2"/>
    <row r="5096" s="20" customFormat="1" x14ac:dyDescent="0.2"/>
    <row r="5097" s="20" customFormat="1" x14ac:dyDescent="0.2"/>
    <row r="5098" s="20" customFormat="1" x14ac:dyDescent="0.2"/>
    <row r="5099" s="20" customFormat="1" x14ac:dyDescent="0.2"/>
    <row r="5100" s="20" customFormat="1" x14ac:dyDescent="0.2"/>
    <row r="5101" s="20" customFormat="1" x14ac:dyDescent="0.2"/>
    <row r="5102" s="20" customFormat="1" x14ac:dyDescent="0.2"/>
    <row r="5103" s="20" customFormat="1" x14ac:dyDescent="0.2"/>
    <row r="5104" s="20" customFormat="1" x14ac:dyDescent="0.2"/>
    <row r="5105" s="20" customFormat="1" x14ac:dyDescent="0.2"/>
    <row r="5106" s="20" customFormat="1" x14ac:dyDescent="0.2"/>
    <row r="5107" s="20" customFormat="1" x14ac:dyDescent="0.2"/>
    <row r="5108" s="20" customFormat="1" x14ac:dyDescent="0.2"/>
    <row r="5109" s="20" customFormat="1" x14ac:dyDescent="0.2"/>
    <row r="5110" s="20" customFormat="1" x14ac:dyDescent="0.2"/>
    <row r="5111" s="20" customFormat="1" x14ac:dyDescent="0.2"/>
    <row r="5112" s="20" customFormat="1" x14ac:dyDescent="0.2"/>
    <row r="5113" s="20" customFormat="1" x14ac:dyDescent="0.2"/>
    <row r="5114" s="20" customFormat="1" x14ac:dyDescent="0.2"/>
    <row r="5115" s="20" customFormat="1" x14ac:dyDescent="0.2"/>
    <row r="5116" s="20" customFormat="1" x14ac:dyDescent="0.2"/>
    <row r="5117" s="20" customFormat="1" x14ac:dyDescent="0.2"/>
    <row r="5118" s="20" customFormat="1" x14ac:dyDescent="0.2"/>
    <row r="5119" s="20" customFormat="1" x14ac:dyDescent="0.2"/>
    <row r="5120" s="20" customFormat="1" x14ac:dyDescent="0.2"/>
    <row r="5121" s="20" customFormat="1" x14ac:dyDescent="0.2"/>
    <row r="5122" s="20" customFormat="1" x14ac:dyDescent="0.2"/>
    <row r="5123" s="20" customFormat="1" x14ac:dyDescent="0.2"/>
    <row r="5124" s="20" customFormat="1" x14ac:dyDescent="0.2"/>
    <row r="5125" s="20" customFormat="1" x14ac:dyDescent="0.2"/>
    <row r="5126" s="20" customFormat="1" x14ac:dyDescent="0.2"/>
    <row r="5127" s="20" customFormat="1" x14ac:dyDescent="0.2"/>
    <row r="5128" s="20" customFormat="1" x14ac:dyDescent="0.2"/>
    <row r="5129" s="20" customFormat="1" x14ac:dyDescent="0.2"/>
    <row r="5130" s="20" customFormat="1" x14ac:dyDescent="0.2"/>
    <row r="5131" s="20" customFormat="1" x14ac:dyDescent="0.2"/>
    <row r="5132" s="20" customFormat="1" x14ac:dyDescent="0.2"/>
    <row r="5133" s="20" customFormat="1" x14ac:dyDescent="0.2"/>
    <row r="5134" s="20" customFormat="1" x14ac:dyDescent="0.2"/>
    <row r="5135" s="20" customFormat="1" x14ac:dyDescent="0.2"/>
    <row r="5136" s="20" customFormat="1" x14ac:dyDescent="0.2"/>
    <row r="5137" s="20" customFormat="1" x14ac:dyDescent="0.2"/>
    <row r="5138" s="20" customFormat="1" x14ac:dyDescent="0.2"/>
    <row r="5139" s="20" customFormat="1" x14ac:dyDescent="0.2"/>
    <row r="5140" s="20" customFormat="1" x14ac:dyDescent="0.2"/>
    <row r="5141" s="20" customFormat="1" x14ac:dyDescent="0.2"/>
    <row r="5142" s="20" customFormat="1" x14ac:dyDescent="0.2"/>
    <row r="5143" s="20" customFormat="1" x14ac:dyDescent="0.2"/>
    <row r="5144" s="20" customFormat="1" x14ac:dyDescent="0.2"/>
    <row r="5145" s="20" customFormat="1" x14ac:dyDescent="0.2"/>
    <row r="5146" s="20" customFormat="1" x14ac:dyDescent="0.2"/>
    <row r="5147" s="20" customFormat="1" x14ac:dyDescent="0.2"/>
    <row r="5148" s="20" customFormat="1" x14ac:dyDescent="0.2"/>
    <row r="5149" s="20" customFormat="1" x14ac:dyDescent="0.2"/>
    <row r="5150" s="20" customFormat="1" x14ac:dyDescent="0.2"/>
    <row r="5151" s="20" customFormat="1" x14ac:dyDescent="0.2"/>
    <row r="5152" s="20" customFormat="1" x14ac:dyDescent="0.2"/>
    <row r="5153" s="20" customFormat="1" x14ac:dyDescent="0.2"/>
    <row r="5154" s="20" customFormat="1" x14ac:dyDescent="0.2"/>
    <row r="5155" s="20" customFormat="1" x14ac:dyDescent="0.2"/>
    <row r="5156" s="20" customFormat="1" x14ac:dyDescent="0.2"/>
    <row r="5157" s="20" customFormat="1" x14ac:dyDescent="0.2"/>
    <row r="5158" s="20" customFormat="1" x14ac:dyDescent="0.2"/>
    <row r="5159" s="20" customFormat="1" x14ac:dyDescent="0.2"/>
    <row r="5160" s="20" customFormat="1" x14ac:dyDescent="0.2"/>
    <row r="5161" s="20" customFormat="1" x14ac:dyDescent="0.2"/>
    <row r="5162" s="20" customFormat="1" x14ac:dyDescent="0.2"/>
    <row r="5163" s="20" customFormat="1" x14ac:dyDescent="0.2"/>
    <row r="5164" s="20" customFormat="1" x14ac:dyDescent="0.2"/>
    <row r="5165" s="20" customFormat="1" x14ac:dyDescent="0.2"/>
    <row r="5166" s="20" customFormat="1" x14ac:dyDescent="0.2"/>
    <row r="5167" s="20" customFormat="1" x14ac:dyDescent="0.2"/>
    <row r="5168" s="20" customFormat="1" x14ac:dyDescent="0.2"/>
    <row r="5169" s="20" customFormat="1" x14ac:dyDescent="0.2"/>
    <row r="5170" s="20" customFormat="1" x14ac:dyDescent="0.2"/>
    <row r="5171" s="20" customFormat="1" x14ac:dyDescent="0.2"/>
    <row r="5172" s="20" customFormat="1" x14ac:dyDescent="0.2"/>
    <row r="5173" s="20" customFormat="1" x14ac:dyDescent="0.2"/>
    <row r="5174" s="20" customFormat="1" x14ac:dyDescent="0.2"/>
    <row r="5175" s="20" customFormat="1" x14ac:dyDescent="0.2"/>
    <row r="5176" s="20" customFormat="1" x14ac:dyDescent="0.2"/>
    <row r="5177" s="20" customFormat="1" x14ac:dyDescent="0.2"/>
    <row r="5178" s="20" customFormat="1" x14ac:dyDescent="0.2"/>
    <row r="5179" s="20" customFormat="1" x14ac:dyDescent="0.2"/>
    <row r="5180" s="20" customFormat="1" x14ac:dyDescent="0.2"/>
    <row r="5181" s="20" customFormat="1" x14ac:dyDescent="0.2"/>
    <row r="5182" s="20" customFormat="1" x14ac:dyDescent="0.2"/>
    <row r="5183" s="20" customFormat="1" x14ac:dyDescent="0.2"/>
    <row r="5184" s="20" customFormat="1" x14ac:dyDescent="0.2"/>
    <row r="5185" s="20" customFormat="1" x14ac:dyDescent="0.2"/>
    <row r="5186" s="20" customFormat="1" x14ac:dyDescent="0.2"/>
    <row r="5187" s="20" customFormat="1" x14ac:dyDescent="0.2"/>
    <row r="5188" s="20" customFormat="1" x14ac:dyDescent="0.2"/>
    <row r="5189" s="20" customFormat="1" x14ac:dyDescent="0.2"/>
    <row r="5190" s="20" customFormat="1" x14ac:dyDescent="0.2"/>
    <row r="5191" s="20" customFormat="1" x14ac:dyDescent="0.2"/>
    <row r="5192" s="20" customFormat="1" x14ac:dyDescent="0.2"/>
    <row r="5193" s="20" customFormat="1" x14ac:dyDescent="0.2"/>
    <row r="5194" s="20" customFormat="1" x14ac:dyDescent="0.2"/>
    <row r="5195" s="20" customFormat="1" x14ac:dyDescent="0.2"/>
    <row r="5196" s="20" customFormat="1" x14ac:dyDescent="0.2"/>
    <row r="5197" s="20" customFormat="1" x14ac:dyDescent="0.2"/>
    <row r="5198" s="20" customFormat="1" x14ac:dyDescent="0.2"/>
    <row r="5199" s="20" customFormat="1" x14ac:dyDescent="0.2"/>
    <row r="5200" s="20" customFormat="1" x14ac:dyDescent="0.2"/>
    <row r="5201" s="20" customFormat="1" x14ac:dyDescent="0.2"/>
    <row r="5202" s="20" customFormat="1" x14ac:dyDescent="0.2"/>
    <row r="5203" s="20" customFormat="1" x14ac:dyDescent="0.2"/>
    <row r="5204" s="20" customFormat="1" x14ac:dyDescent="0.2"/>
    <row r="5205" s="20" customFormat="1" x14ac:dyDescent="0.2"/>
    <row r="5206" s="20" customFormat="1" x14ac:dyDescent="0.2"/>
    <row r="5207" s="20" customFormat="1" x14ac:dyDescent="0.2"/>
    <row r="5208" s="20" customFormat="1" x14ac:dyDescent="0.2"/>
    <row r="5209" s="20" customFormat="1" x14ac:dyDescent="0.2"/>
    <row r="5210" s="20" customFormat="1" x14ac:dyDescent="0.2"/>
    <row r="5211" s="20" customFormat="1" x14ac:dyDescent="0.2"/>
    <row r="5212" s="20" customFormat="1" x14ac:dyDescent="0.2"/>
    <row r="5213" s="20" customFormat="1" x14ac:dyDescent="0.2"/>
    <row r="5214" s="20" customFormat="1" x14ac:dyDescent="0.2"/>
    <row r="5215" s="20" customFormat="1" x14ac:dyDescent="0.2"/>
    <row r="5216" s="20" customFormat="1" x14ac:dyDescent="0.2"/>
    <row r="5217" s="20" customFormat="1" x14ac:dyDescent="0.2"/>
    <row r="5218" s="20" customFormat="1" x14ac:dyDescent="0.2"/>
    <row r="5219" s="20" customFormat="1" x14ac:dyDescent="0.2"/>
    <row r="5220" s="20" customFormat="1" x14ac:dyDescent="0.2"/>
    <row r="5221" s="20" customFormat="1" x14ac:dyDescent="0.2"/>
    <row r="5222" s="20" customFormat="1" x14ac:dyDescent="0.2"/>
    <row r="5223" s="20" customFormat="1" x14ac:dyDescent="0.2"/>
    <row r="5224" s="20" customFormat="1" x14ac:dyDescent="0.2"/>
    <row r="5225" s="20" customFormat="1" x14ac:dyDescent="0.2"/>
    <row r="5226" s="20" customFormat="1" x14ac:dyDescent="0.2"/>
    <row r="5227" s="20" customFormat="1" x14ac:dyDescent="0.2"/>
    <row r="5228" s="20" customFormat="1" x14ac:dyDescent="0.2"/>
    <row r="5229" s="20" customFormat="1" x14ac:dyDescent="0.2"/>
    <row r="5230" s="20" customFormat="1" x14ac:dyDescent="0.2"/>
    <row r="5231" s="20" customFormat="1" x14ac:dyDescent="0.2"/>
    <row r="5232" s="20" customFormat="1" x14ac:dyDescent="0.2"/>
    <row r="5233" s="20" customFormat="1" x14ac:dyDescent="0.2"/>
    <row r="5234" s="20" customFormat="1" x14ac:dyDescent="0.2"/>
    <row r="5235" s="20" customFormat="1" x14ac:dyDescent="0.2"/>
    <row r="5236" s="20" customFormat="1" x14ac:dyDescent="0.2"/>
    <row r="5237" s="20" customFormat="1" x14ac:dyDescent="0.2"/>
    <row r="5238" s="20" customFormat="1" x14ac:dyDescent="0.2"/>
    <row r="5239" s="20" customFormat="1" x14ac:dyDescent="0.2"/>
    <row r="5240" s="20" customFormat="1" x14ac:dyDescent="0.2"/>
    <row r="5241" s="20" customFormat="1" x14ac:dyDescent="0.2"/>
    <row r="5242" s="20" customFormat="1" x14ac:dyDescent="0.2"/>
    <row r="5243" s="20" customFormat="1" x14ac:dyDescent="0.2"/>
    <row r="5244" s="20" customFormat="1" x14ac:dyDescent="0.2"/>
    <row r="5245" s="20" customFormat="1" x14ac:dyDescent="0.2"/>
    <row r="5246" s="20" customFormat="1" x14ac:dyDescent="0.2"/>
    <row r="5247" s="20" customFormat="1" x14ac:dyDescent="0.2"/>
    <row r="5248" s="20" customFormat="1" x14ac:dyDescent="0.2"/>
    <row r="5249" s="20" customFormat="1" x14ac:dyDescent="0.2"/>
    <row r="5250" s="20" customFormat="1" x14ac:dyDescent="0.2"/>
    <row r="5251" s="20" customFormat="1" x14ac:dyDescent="0.2"/>
    <row r="5252" s="20" customFormat="1" x14ac:dyDescent="0.2"/>
    <row r="5253" s="20" customFormat="1" x14ac:dyDescent="0.2"/>
    <row r="5254" s="20" customFormat="1" x14ac:dyDescent="0.2"/>
    <row r="5255" s="20" customFormat="1" x14ac:dyDescent="0.2"/>
    <row r="5256" s="20" customFormat="1" x14ac:dyDescent="0.2"/>
    <row r="5257" s="20" customFormat="1" x14ac:dyDescent="0.2"/>
    <row r="5258" s="20" customFormat="1" x14ac:dyDescent="0.2"/>
    <row r="5259" s="20" customFormat="1" x14ac:dyDescent="0.2"/>
    <row r="5260" s="20" customFormat="1" x14ac:dyDescent="0.2"/>
    <row r="5261" s="20" customFormat="1" x14ac:dyDescent="0.2"/>
    <row r="5262" s="20" customFormat="1" x14ac:dyDescent="0.2"/>
    <row r="5263" s="20" customFormat="1" x14ac:dyDescent="0.2"/>
    <row r="5264" s="20" customFormat="1" x14ac:dyDescent="0.2"/>
    <row r="5265" s="20" customFormat="1" x14ac:dyDescent="0.2"/>
    <row r="5266" s="20" customFormat="1" x14ac:dyDescent="0.2"/>
    <row r="5267" s="20" customFormat="1" x14ac:dyDescent="0.2"/>
    <row r="5268" s="20" customFormat="1" x14ac:dyDescent="0.2"/>
    <row r="5269" s="20" customFormat="1" x14ac:dyDescent="0.2"/>
    <row r="5270" s="20" customFormat="1" x14ac:dyDescent="0.2"/>
    <row r="5271" s="20" customFormat="1" x14ac:dyDescent="0.2"/>
    <row r="5272" s="20" customFormat="1" x14ac:dyDescent="0.2"/>
    <row r="5273" s="20" customFormat="1" x14ac:dyDescent="0.2"/>
    <row r="5274" s="20" customFormat="1" x14ac:dyDescent="0.2"/>
    <row r="5275" s="20" customFormat="1" x14ac:dyDescent="0.2"/>
    <row r="5276" s="20" customFormat="1" x14ac:dyDescent="0.2"/>
    <row r="5277" s="20" customFormat="1" x14ac:dyDescent="0.2"/>
    <row r="5278" s="20" customFormat="1" x14ac:dyDescent="0.2"/>
    <row r="5279" s="20" customFormat="1" x14ac:dyDescent="0.2"/>
    <row r="5280" s="20" customFormat="1" x14ac:dyDescent="0.2"/>
    <row r="5281" s="20" customFormat="1" x14ac:dyDescent="0.2"/>
    <row r="5282" s="20" customFormat="1" x14ac:dyDescent="0.2"/>
    <row r="5283" s="20" customFormat="1" x14ac:dyDescent="0.2"/>
    <row r="5284" s="20" customFormat="1" x14ac:dyDescent="0.2"/>
    <row r="5285" s="20" customFormat="1" x14ac:dyDescent="0.2"/>
    <row r="5286" s="20" customFormat="1" x14ac:dyDescent="0.2"/>
    <row r="5287" s="20" customFormat="1" x14ac:dyDescent="0.2"/>
    <row r="5288" s="20" customFormat="1" x14ac:dyDescent="0.2"/>
    <row r="5289" s="20" customFormat="1" x14ac:dyDescent="0.2"/>
    <row r="5290" s="20" customFormat="1" x14ac:dyDescent="0.2"/>
    <row r="5291" s="20" customFormat="1" x14ac:dyDescent="0.2"/>
    <row r="5292" s="20" customFormat="1" x14ac:dyDescent="0.2"/>
    <row r="5293" s="20" customFormat="1" x14ac:dyDescent="0.2"/>
    <row r="5294" s="20" customFormat="1" x14ac:dyDescent="0.2"/>
    <row r="5295" s="20" customFormat="1" x14ac:dyDescent="0.2"/>
    <row r="5296" s="20" customFormat="1" x14ac:dyDescent="0.2"/>
    <row r="5297" s="20" customFormat="1" x14ac:dyDescent="0.2"/>
    <row r="5298" s="20" customFormat="1" x14ac:dyDescent="0.2"/>
    <row r="5299" s="20" customFormat="1" x14ac:dyDescent="0.2"/>
    <row r="5300" s="20" customFormat="1" x14ac:dyDescent="0.2"/>
    <row r="5301" s="20" customFormat="1" x14ac:dyDescent="0.2"/>
    <row r="5302" s="20" customFormat="1" x14ac:dyDescent="0.2"/>
    <row r="5303" s="20" customFormat="1" x14ac:dyDescent="0.2"/>
    <row r="5304" s="20" customFormat="1" x14ac:dyDescent="0.2"/>
    <row r="5305" s="20" customFormat="1" x14ac:dyDescent="0.2"/>
    <row r="5306" s="20" customFormat="1" x14ac:dyDescent="0.2"/>
    <row r="5307" s="20" customFormat="1" x14ac:dyDescent="0.2"/>
    <row r="5308" s="20" customFormat="1" x14ac:dyDescent="0.2"/>
    <row r="5309" s="20" customFormat="1" x14ac:dyDescent="0.2"/>
    <row r="5310" s="20" customFormat="1" x14ac:dyDescent="0.2"/>
    <row r="5311" s="20" customFormat="1" x14ac:dyDescent="0.2"/>
    <row r="5312" s="20" customFormat="1" x14ac:dyDescent="0.2"/>
    <row r="5313" s="20" customFormat="1" x14ac:dyDescent="0.2"/>
    <row r="5314" s="20" customFormat="1" x14ac:dyDescent="0.2"/>
    <row r="5315" s="20" customFormat="1" x14ac:dyDescent="0.2"/>
    <row r="5316" s="20" customFormat="1" x14ac:dyDescent="0.2"/>
    <row r="5317" s="20" customFormat="1" x14ac:dyDescent="0.2"/>
    <row r="5318" s="20" customFormat="1" x14ac:dyDescent="0.2"/>
    <row r="5319" s="20" customFormat="1" x14ac:dyDescent="0.2"/>
    <row r="5320" s="20" customFormat="1" x14ac:dyDescent="0.2"/>
    <row r="5321" s="20" customFormat="1" x14ac:dyDescent="0.2"/>
    <row r="5322" s="20" customFormat="1" x14ac:dyDescent="0.2"/>
    <row r="5323" s="20" customFormat="1" x14ac:dyDescent="0.2"/>
    <row r="5324" s="20" customFormat="1" x14ac:dyDescent="0.2"/>
    <row r="5325" s="20" customFormat="1" x14ac:dyDescent="0.2"/>
    <row r="5326" s="20" customFormat="1" x14ac:dyDescent="0.2"/>
    <row r="5327" s="20" customFormat="1" x14ac:dyDescent="0.2"/>
    <row r="5328" s="20" customFormat="1" x14ac:dyDescent="0.2"/>
    <row r="5329" s="20" customFormat="1" x14ac:dyDescent="0.2"/>
    <row r="5330" s="20" customFormat="1" x14ac:dyDescent="0.2"/>
    <row r="5331" s="20" customFormat="1" x14ac:dyDescent="0.2"/>
    <row r="5332" s="20" customFormat="1" x14ac:dyDescent="0.2"/>
    <row r="5333" s="20" customFormat="1" x14ac:dyDescent="0.2"/>
    <row r="5334" s="20" customFormat="1" x14ac:dyDescent="0.2"/>
    <row r="5335" s="20" customFormat="1" x14ac:dyDescent="0.2"/>
    <row r="5336" s="20" customFormat="1" x14ac:dyDescent="0.2"/>
    <row r="5337" s="20" customFormat="1" x14ac:dyDescent="0.2"/>
    <row r="5338" s="20" customFormat="1" x14ac:dyDescent="0.2"/>
    <row r="5339" s="20" customFormat="1" x14ac:dyDescent="0.2"/>
    <row r="5340" s="20" customFormat="1" x14ac:dyDescent="0.2"/>
    <row r="5341" s="20" customFormat="1" x14ac:dyDescent="0.2"/>
    <row r="5342" s="20" customFormat="1" x14ac:dyDescent="0.2"/>
    <row r="5343" s="20" customFormat="1" x14ac:dyDescent="0.2"/>
    <row r="5344" s="20" customFormat="1" x14ac:dyDescent="0.2"/>
    <row r="5345" s="20" customFormat="1" x14ac:dyDescent="0.2"/>
    <row r="5346" s="20" customFormat="1" x14ac:dyDescent="0.2"/>
    <row r="5347" s="20" customFormat="1" x14ac:dyDescent="0.2"/>
    <row r="5348" s="20" customFormat="1" x14ac:dyDescent="0.2"/>
    <row r="5349" s="20" customFormat="1" x14ac:dyDescent="0.2"/>
    <row r="5350" s="20" customFormat="1" x14ac:dyDescent="0.2"/>
    <row r="5351" s="20" customFormat="1" x14ac:dyDescent="0.2"/>
    <row r="5352" s="20" customFormat="1" x14ac:dyDescent="0.2"/>
    <row r="5353" s="20" customFormat="1" x14ac:dyDescent="0.2"/>
    <row r="5354" s="20" customFormat="1" x14ac:dyDescent="0.2"/>
    <row r="5355" s="20" customFormat="1" x14ac:dyDescent="0.2"/>
    <row r="5356" s="20" customFormat="1" x14ac:dyDescent="0.2"/>
    <row r="5357" s="20" customFormat="1" x14ac:dyDescent="0.2"/>
    <row r="5358" s="20" customFormat="1" x14ac:dyDescent="0.2"/>
    <row r="5359" s="20" customFormat="1" x14ac:dyDescent="0.2"/>
    <row r="5360" s="20" customFormat="1" x14ac:dyDescent="0.2"/>
    <row r="5361" s="20" customFormat="1" x14ac:dyDescent="0.2"/>
    <row r="5362" s="20" customFormat="1" x14ac:dyDescent="0.2"/>
    <row r="5363" s="20" customFormat="1" x14ac:dyDescent="0.2"/>
    <row r="5364" s="20" customFormat="1" x14ac:dyDescent="0.2"/>
    <row r="5365" s="20" customFormat="1" x14ac:dyDescent="0.2"/>
    <row r="5366" s="20" customFormat="1" x14ac:dyDescent="0.2"/>
    <row r="5367" s="20" customFormat="1" x14ac:dyDescent="0.2"/>
    <row r="5368" s="20" customFormat="1" x14ac:dyDescent="0.2"/>
    <row r="5369" s="20" customFormat="1" x14ac:dyDescent="0.2"/>
    <row r="5370" s="20" customFormat="1" x14ac:dyDescent="0.2"/>
    <row r="5371" s="20" customFormat="1" x14ac:dyDescent="0.2"/>
    <row r="5372" s="20" customFormat="1" x14ac:dyDescent="0.2"/>
    <row r="5373" s="20" customFormat="1" x14ac:dyDescent="0.2"/>
    <row r="5374" s="20" customFormat="1" x14ac:dyDescent="0.2"/>
    <row r="5375" s="20" customFormat="1" x14ac:dyDescent="0.2"/>
    <row r="5376" s="20" customFormat="1" x14ac:dyDescent="0.2"/>
    <row r="5377" s="20" customFormat="1" x14ac:dyDescent="0.2"/>
    <row r="5378" s="20" customFormat="1" x14ac:dyDescent="0.2"/>
    <row r="5379" s="20" customFormat="1" x14ac:dyDescent="0.2"/>
    <row r="5380" s="20" customFormat="1" x14ac:dyDescent="0.2"/>
    <row r="5381" s="20" customFormat="1" x14ac:dyDescent="0.2"/>
    <row r="5382" s="20" customFormat="1" x14ac:dyDescent="0.2"/>
    <row r="5383" s="20" customFormat="1" x14ac:dyDescent="0.2"/>
    <row r="5384" s="20" customFormat="1" x14ac:dyDescent="0.2"/>
    <row r="5385" s="20" customFormat="1" x14ac:dyDescent="0.2"/>
    <row r="5386" s="20" customFormat="1" x14ac:dyDescent="0.2"/>
    <row r="5387" s="20" customFormat="1" x14ac:dyDescent="0.2"/>
    <row r="5388" s="20" customFormat="1" x14ac:dyDescent="0.2"/>
    <row r="5389" s="20" customFormat="1" x14ac:dyDescent="0.2"/>
    <row r="5390" s="20" customFormat="1" x14ac:dyDescent="0.2"/>
    <row r="5391" s="20" customFormat="1" x14ac:dyDescent="0.2"/>
    <row r="5392" s="20" customFormat="1" x14ac:dyDescent="0.2"/>
    <row r="5393" s="20" customFormat="1" x14ac:dyDescent="0.2"/>
    <row r="5394" s="20" customFormat="1" x14ac:dyDescent="0.2"/>
    <row r="5395" s="20" customFormat="1" x14ac:dyDescent="0.2"/>
    <row r="5396" s="20" customFormat="1" x14ac:dyDescent="0.2"/>
    <row r="5397" s="20" customFormat="1" x14ac:dyDescent="0.2"/>
    <row r="5398" s="20" customFormat="1" x14ac:dyDescent="0.2"/>
    <row r="5399" s="20" customFormat="1" x14ac:dyDescent="0.2"/>
    <row r="5400" s="20" customFormat="1" x14ac:dyDescent="0.2"/>
    <row r="5401" s="20" customFormat="1" x14ac:dyDescent="0.2"/>
    <row r="5402" s="20" customFormat="1" x14ac:dyDescent="0.2"/>
    <row r="5403" s="20" customFormat="1" x14ac:dyDescent="0.2"/>
    <row r="5404" s="20" customFormat="1" x14ac:dyDescent="0.2"/>
    <row r="5405" s="20" customFormat="1" x14ac:dyDescent="0.2"/>
    <row r="5406" s="20" customFormat="1" x14ac:dyDescent="0.2"/>
    <row r="5407" s="20" customFormat="1" x14ac:dyDescent="0.2"/>
    <row r="5408" s="20" customFormat="1" x14ac:dyDescent="0.2"/>
    <row r="5409" s="20" customFormat="1" x14ac:dyDescent="0.2"/>
    <row r="5410" s="20" customFormat="1" x14ac:dyDescent="0.2"/>
    <row r="5411" s="20" customFormat="1" x14ac:dyDescent="0.2"/>
    <row r="5412" s="20" customFormat="1" x14ac:dyDescent="0.2"/>
    <row r="5413" s="20" customFormat="1" x14ac:dyDescent="0.2"/>
    <row r="5414" s="20" customFormat="1" x14ac:dyDescent="0.2"/>
    <row r="5415" s="20" customFormat="1" x14ac:dyDescent="0.2"/>
    <row r="5416" s="20" customFormat="1" x14ac:dyDescent="0.2"/>
    <row r="5417" s="20" customFormat="1" x14ac:dyDescent="0.2"/>
    <row r="5418" s="20" customFormat="1" x14ac:dyDescent="0.2"/>
    <row r="5419" s="20" customFormat="1" x14ac:dyDescent="0.2"/>
    <row r="5420" s="20" customFormat="1" x14ac:dyDescent="0.2"/>
    <row r="5421" s="20" customFormat="1" x14ac:dyDescent="0.2"/>
    <row r="5422" s="20" customFormat="1" x14ac:dyDescent="0.2"/>
    <row r="5423" s="20" customFormat="1" x14ac:dyDescent="0.2"/>
    <row r="5424" s="20" customFormat="1" x14ac:dyDescent="0.2"/>
    <row r="5425" s="20" customFormat="1" x14ac:dyDescent="0.2"/>
    <row r="5426" s="20" customFormat="1" x14ac:dyDescent="0.2"/>
    <row r="5427" s="20" customFormat="1" x14ac:dyDescent="0.2"/>
    <row r="5428" s="20" customFormat="1" x14ac:dyDescent="0.2"/>
    <row r="5429" s="20" customFormat="1" x14ac:dyDescent="0.2"/>
    <row r="5430" s="20" customFormat="1" x14ac:dyDescent="0.2"/>
    <row r="5431" s="20" customFormat="1" x14ac:dyDescent="0.2"/>
    <row r="5432" s="20" customFormat="1" x14ac:dyDescent="0.2"/>
    <row r="5433" s="20" customFormat="1" x14ac:dyDescent="0.2"/>
    <row r="5434" s="20" customFormat="1" x14ac:dyDescent="0.2"/>
    <row r="5435" s="20" customFormat="1" x14ac:dyDescent="0.2"/>
    <row r="5436" s="20" customFormat="1" x14ac:dyDescent="0.2"/>
    <row r="5437" s="20" customFormat="1" x14ac:dyDescent="0.2"/>
    <row r="5438" s="20" customFormat="1" x14ac:dyDescent="0.2"/>
    <row r="5439" s="20" customFormat="1" x14ac:dyDescent="0.2"/>
    <row r="5440" s="20" customFormat="1" x14ac:dyDescent="0.2"/>
    <row r="5441" s="20" customFormat="1" x14ac:dyDescent="0.2"/>
    <row r="5442" s="20" customFormat="1" x14ac:dyDescent="0.2"/>
    <row r="5443" s="20" customFormat="1" x14ac:dyDescent="0.2"/>
    <row r="5444" s="20" customFormat="1" x14ac:dyDescent="0.2"/>
    <row r="5445" s="20" customFormat="1" x14ac:dyDescent="0.2"/>
    <row r="5446" s="20" customFormat="1" x14ac:dyDescent="0.2"/>
    <row r="5447" s="20" customFormat="1" x14ac:dyDescent="0.2"/>
    <row r="5448" s="20" customFormat="1" x14ac:dyDescent="0.2"/>
    <row r="5449" s="20" customFormat="1" x14ac:dyDescent="0.2"/>
    <row r="5450" s="20" customFormat="1" x14ac:dyDescent="0.2"/>
    <row r="5451" s="20" customFormat="1" x14ac:dyDescent="0.2"/>
    <row r="5452" s="20" customFormat="1" x14ac:dyDescent="0.2"/>
    <row r="5453" s="20" customFormat="1" x14ac:dyDescent="0.2"/>
    <row r="5454" s="20" customFormat="1" x14ac:dyDescent="0.2"/>
    <row r="5455" s="20" customFormat="1" x14ac:dyDescent="0.2"/>
    <row r="5456" s="20" customFormat="1" x14ac:dyDescent="0.2"/>
    <row r="5457" s="20" customFormat="1" x14ac:dyDescent="0.2"/>
    <row r="5458" s="20" customFormat="1" x14ac:dyDescent="0.2"/>
    <row r="5459" s="20" customFormat="1" x14ac:dyDescent="0.2"/>
    <row r="5460" s="20" customFormat="1" x14ac:dyDescent="0.2"/>
    <row r="5461" s="20" customFormat="1" x14ac:dyDescent="0.2"/>
    <row r="5462" s="20" customFormat="1" x14ac:dyDescent="0.2"/>
    <row r="5463" s="20" customFormat="1" x14ac:dyDescent="0.2"/>
    <row r="5464" s="20" customFormat="1" x14ac:dyDescent="0.2"/>
    <row r="5465" s="20" customFormat="1" x14ac:dyDescent="0.2"/>
    <row r="5466" s="20" customFormat="1" x14ac:dyDescent="0.2"/>
    <row r="5467" s="20" customFormat="1" x14ac:dyDescent="0.2"/>
    <row r="5468" s="20" customFormat="1" x14ac:dyDescent="0.2"/>
    <row r="5469" s="20" customFormat="1" x14ac:dyDescent="0.2"/>
    <row r="5470" s="20" customFormat="1" x14ac:dyDescent="0.2"/>
    <row r="5471" s="20" customFormat="1" x14ac:dyDescent="0.2"/>
    <row r="5472" s="20" customFormat="1" x14ac:dyDescent="0.2"/>
    <row r="5473" s="20" customFormat="1" x14ac:dyDescent="0.2"/>
    <row r="5474" s="20" customFormat="1" x14ac:dyDescent="0.2"/>
    <row r="5475" s="20" customFormat="1" x14ac:dyDescent="0.2"/>
    <row r="5476" s="20" customFormat="1" x14ac:dyDescent="0.2"/>
    <row r="5477" s="20" customFormat="1" x14ac:dyDescent="0.2"/>
    <row r="5478" s="20" customFormat="1" x14ac:dyDescent="0.2"/>
    <row r="5479" s="20" customFormat="1" x14ac:dyDescent="0.2"/>
    <row r="5480" s="20" customFormat="1" x14ac:dyDescent="0.2"/>
    <row r="5481" s="20" customFormat="1" x14ac:dyDescent="0.2"/>
    <row r="5482" s="20" customFormat="1" x14ac:dyDescent="0.2"/>
    <row r="5483" s="20" customFormat="1" x14ac:dyDescent="0.2"/>
    <row r="5484" s="20" customFormat="1" x14ac:dyDescent="0.2"/>
    <row r="5485" s="20" customFormat="1" x14ac:dyDescent="0.2"/>
    <row r="5486" s="20" customFormat="1" x14ac:dyDescent="0.2"/>
    <row r="5487" s="20" customFormat="1" x14ac:dyDescent="0.2"/>
    <row r="5488" s="20" customFormat="1" x14ac:dyDescent="0.2"/>
    <row r="5489" s="20" customFormat="1" x14ac:dyDescent="0.2"/>
    <row r="5490" s="20" customFormat="1" x14ac:dyDescent="0.2"/>
    <row r="5491" s="20" customFormat="1" x14ac:dyDescent="0.2"/>
    <row r="5492" s="20" customFormat="1" x14ac:dyDescent="0.2"/>
    <row r="5493" s="20" customFormat="1" x14ac:dyDescent="0.2"/>
    <row r="5494" s="20" customFormat="1" x14ac:dyDescent="0.2"/>
    <row r="5495" s="20" customFormat="1" x14ac:dyDescent="0.2"/>
    <row r="5496" s="20" customFormat="1" x14ac:dyDescent="0.2"/>
    <row r="5497" s="20" customFormat="1" x14ac:dyDescent="0.2"/>
    <row r="5498" s="20" customFormat="1" x14ac:dyDescent="0.2"/>
    <row r="5499" s="20" customFormat="1" x14ac:dyDescent="0.2"/>
    <row r="5500" s="20" customFormat="1" x14ac:dyDescent="0.2"/>
    <row r="5501" s="20" customFormat="1" x14ac:dyDescent="0.2"/>
    <row r="5502" s="20" customFormat="1" x14ac:dyDescent="0.2"/>
    <row r="5503" s="20" customFormat="1" x14ac:dyDescent="0.2"/>
    <row r="5504" s="20" customFormat="1" x14ac:dyDescent="0.2"/>
    <row r="5505" s="20" customFormat="1" x14ac:dyDescent="0.2"/>
    <row r="5506" s="20" customFormat="1" x14ac:dyDescent="0.2"/>
    <row r="5507" s="20" customFormat="1" x14ac:dyDescent="0.2"/>
    <row r="5508" s="20" customFormat="1" x14ac:dyDescent="0.2"/>
    <row r="5509" s="20" customFormat="1" x14ac:dyDescent="0.2"/>
    <row r="5510" s="20" customFormat="1" x14ac:dyDescent="0.2"/>
    <row r="5511" s="20" customFormat="1" x14ac:dyDescent="0.2"/>
    <row r="5512" s="20" customFormat="1" x14ac:dyDescent="0.2"/>
    <row r="5513" s="20" customFormat="1" x14ac:dyDescent="0.2"/>
    <row r="5514" s="20" customFormat="1" x14ac:dyDescent="0.2"/>
    <row r="5515" s="20" customFormat="1" x14ac:dyDescent="0.2"/>
    <row r="5516" s="20" customFormat="1" x14ac:dyDescent="0.2"/>
    <row r="5517" s="20" customFormat="1" x14ac:dyDescent="0.2"/>
    <row r="5518" s="20" customFormat="1" x14ac:dyDescent="0.2"/>
    <row r="5519" s="20" customFormat="1" x14ac:dyDescent="0.2"/>
    <row r="5520" s="20" customFormat="1" x14ac:dyDescent="0.2"/>
    <row r="5521" s="20" customFormat="1" x14ac:dyDescent="0.2"/>
    <row r="5522" s="20" customFormat="1" x14ac:dyDescent="0.2"/>
    <row r="5523" s="20" customFormat="1" x14ac:dyDescent="0.2"/>
    <row r="5524" s="20" customFormat="1" x14ac:dyDescent="0.2"/>
    <row r="5525" s="20" customFormat="1" x14ac:dyDescent="0.2"/>
    <row r="5526" s="20" customFormat="1" x14ac:dyDescent="0.2"/>
    <row r="5527" s="20" customFormat="1" x14ac:dyDescent="0.2"/>
    <row r="5528" s="20" customFormat="1" x14ac:dyDescent="0.2"/>
    <row r="5529" s="20" customFormat="1" x14ac:dyDescent="0.2"/>
    <row r="5530" s="20" customFormat="1" x14ac:dyDescent="0.2"/>
    <row r="5531" s="20" customFormat="1" x14ac:dyDescent="0.2"/>
    <row r="5532" s="20" customFormat="1" x14ac:dyDescent="0.2"/>
    <row r="5533" s="20" customFormat="1" x14ac:dyDescent="0.2"/>
    <row r="5534" s="20" customFormat="1" x14ac:dyDescent="0.2"/>
    <row r="5535" s="20" customFormat="1" x14ac:dyDescent="0.2"/>
    <row r="5536" s="20" customFormat="1" x14ac:dyDescent="0.2"/>
    <row r="5537" s="20" customFormat="1" x14ac:dyDescent="0.2"/>
    <row r="5538" s="20" customFormat="1" x14ac:dyDescent="0.2"/>
    <row r="5539" s="20" customFormat="1" x14ac:dyDescent="0.2"/>
    <row r="5540" s="20" customFormat="1" x14ac:dyDescent="0.2"/>
    <row r="5541" s="20" customFormat="1" x14ac:dyDescent="0.2"/>
    <row r="5542" s="20" customFormat="1" x14ac:dyDescent="0.2"/>
    <row r="5543" s="20" customFormat="1" x14ac:dyDescent="0.2"/>
    <row r="5544" s="20" customFormat="1" x14ac:dyDescent="0.2"/>
    <row r="5545" s="20" customFormat="1" x14ac:dyDescent="0.2"/>
    <row r="5546" s="20" customFormat="1" x14ac:dyDescent="0.2"/>
    <row r="5547" s="20" customFormat="1" x14ac:dyDescent="0.2"/>
    <row r="5548" s="20" customFormat="1" x14ac:dyDescent="0.2"/>
    <row r="5549" s="20" customFormat="1" x14ac:dyDescent="0.2"/>
    <row r="5550" s="20" customFormat="1" x14ac:dyDescent="0.2"/>
    <row r="5551" s="20" customFormat="1" x14ac:dyDescent="0.2"/>
    <row r="5552" s="20" customFormat="1" x14ac:dyDescent="0.2"/>
    <row r="5553" s="20" customFormat="1" x14ac:dyDescent="0.2"/>
    <row r="5554" s="20" customFormat="1" x14ac:dyDescent="0.2"/>
    <row r="5555" s="20" customFormat="1" x14ac:dyDescent="0.2"/>
    <row r="5556" s="20" customFormat="1" x14ac:dyDescent="0.2"/>
    <row r="5557" s="20" customFormat="1" x14ac:dyDescent="0.2"/>
    <row r="5558" s="20" customFormat="1" x14ac:dyDescent="0.2"/>
    <row r="5559" s="20" customFormat="1" x14ac:dyDescent="0.2"/>
    <row r="5560" s="20" customFormat="1" x14ac:dyDescent="0.2"/>
    <row r="5561" s="20" customFormat="1" x14ac:dyDescent="0.2"/>
    <row r="5562" s="20" customFormat="1" x14ac:dyDescent="0.2"/>
    <row r="5563" s="20" customFormat="1" x14ac:dyDescent="0.2"/>
    <row r="5564" s="20" customFormat="1" x14ac:dyDescent="0.2"/>
    <row r="5565" s="20" customFormat="1" x14ac:dyDescent="0.2"/>
    <row r="5566" s="20" customFormat="1" x14ac:dyDescent="0.2"/>
    <row r="5567" s="20" customFormat="1" x14ac:dyDescent="0.2"/>
    <row r="5568" s="20" customFormat="1" x14ac:dyDescent="0.2"/>
    <row r="5569" s="20" customFormat="1" x14ac:dyDescent="0.2"/>
    <row r="5570" s="20" customFormat="1" x14ac:dyDescent="0.2"/>
    <row r="5571" s="20" customFormat="1" x14ac:dyDescent="0.2"/>
    <row r="5572" s="20" customFormat="1" x14ac:dyDescent="0.2"/>
    <row r="5573" s="20" customFormat="1" x14ac:dyDescent="0.2"/>
    <row r="5574" s="20" customFormat="1" x14ac:dyDescent="0.2"/>
    <row r="5575" s="20" customFormat="1" x14ac:dyDescent="0.2"/>
    <row r="5576" s="20" customFormat="1" x14ac:dyDescent="0.2"/>
    <row r="5577" s="20" customFormat="1" x14ac:dyDescent="0.2"/>
    <row r="5578" s="20" customFormat="1" x14ac:dyDescent="0.2"/>
    <row r="5579" s="20" customFormat="1" x14ac:dyDescent="0.2"/>
    <row r="5580" s="20" customFormat="1" x14ac:dyDescent="0.2"/>
    <row r="5581" s="20" customFormat="1" x14ac:dyDescent="0.2"/>
    <row r="5582" s="20" customFormat="1" x14ac:dyDescent="0.2"/>
    <row r="5583" s="20" customFormat="1" x14ac:dyDescent="0.2"/>
    <row r="5584" s="20" customFormat="1" x14ac:dyDescent="0.2"/>
    <row r="5585" s="20" customFormat="1" x14ac:dyDescent="0.2"/>
    <row r="5586" s="20" customFormat="1" x14ac:dyDescent="0.2"/>
    <row r="5587" s="20" customFormat="1" x14ac:dyDescent="0.2"/>
    <row r="5588" s="20" customFormat="1" x14ac:dyDescent="0.2"/>
    <row r="5589" s="20" customFormat="1" x14ac:dyDescent="0.2"/>
    <row r="5590" s="20" customFormat="1" x14ac:dyDescent="0.2"/>
    <row r="5591" s="20" customFormat="1" x14ac:dyDescent="0.2"/>
    <row r="5592" s="20" customFormat="1" x14ac:dyDescent="0.2"/>
    <row r="5593" s="20" customFormat="1" x14ac:dyDescent="0.2"/>
    <row r="5594" s="20" customFormat="1" x14ac:dyDescent="0.2"/>
    <row r="5595" s="20" customFormat="1" x14ac:dyDescent="0.2"/>
    <row r="5596" s="20" customFormat="1" x14ac:dyDescent="0.2"/>
    <row r="5597" s="20" customFormat="1" x14ac:dyDescent="0.2"/>
    <row r="5598" s="20" customFormat="1" x14ac:dyDescent="0.2"/>
    <row r="5599" s="20" customFormat="1" x14ac:dyDescent="0.2"/>
    <row r="5600" s="20" customFormat="1" x14ac:dyDescent="0.2"/>
    <row r="5601" s="20" customFormat="1" x14ac:dyDescent="0.2"/>
    <row r="5602" s="20" customFormat="1" x14ac:dyDescent="0.2"/>
    <row r="5603" s="20" customFormat="1" x14ac:dyDescent="0.2"/>
    <row r="5604" s="20" customFormat="1" x14ac:dyDescent="0.2"/>
    <row r="5605" s="20" customFormat="1" x14ac:dyDescent="0.2"/>
    <row r="5606" s="20" customFormat="1" x14ac:dyDescent="0.2"/>
    <row r="5607" s="20" customFormat="1" x14ac:dyDescent="0.2"/>
    <row r="5608" s="20" customFormat="1" x14ac:dyDescent="0.2"/>
    <row r="5609" s="20" customFormat="1" x14ac:dyDescent="0.2"/>
    <row r="5610" s="20" customFormat="1" x14ac:dyDescent="0.2"/>
    <row r="5611" s="20" customFormat="1" x14ac:dyDescent="0.2"/>
    <row r="5612" s="20" customFormat="1" x14ac:dyDescent="0.2"/>
    <row r="5613" s="20" customFormat="1" x14ac:dyDescent="0.2"/>
    <row r="5614" s="20" customFormat="1" x14ac:dyDescent="0.2"/>
    <row r="5615" s="20" customFormat="1" x14ac:dyDescent="0.2"/>
    <row r="5616" s="20" customFormat="1" x14ac:dyDescent="0.2"/>
    <row r="5617" s="20" customFormat="1" x14ac:dyDescent="0.2"/>
    <row r="5618" s="20" customFormat="1" x14ac:dyDescent="0.2"/>
    <row r="5619" s="20" customFormat="1" x14ac:dyDescent="0.2"/>
    <row r="5620" s="20" customFormat="1" x14ac:dyDescent="0.2"/>
    <row r="5621" s="20" customFormat="1" x14ac:dyDescent="0.2"/>
    <row r="5622" s="20" customFormat="1" x14ac:dyDescent="0.2"/>
    <row r="5623" s="20" customFormat="1" x14ac:dyDescent="0.2"/>
    <row r="5624" s="20" customFormat="1" x14ac:dyDescent="0.2"/>
    <row r="5625" s="20" customFormat="1" x14ac:dyDescent="0.2"/>
    <row r="5626" s="20" customFormat="1" x14ac:dyDescent="0.2"/>
    <row r="5627" s="20" customFormat="1" x14ac:dyDescent="0.2"/>
    <row r="5628" s="20" customFormat="1" x14ac:dyDescent="0.2"/>
    <row r="5629" s="20" customFormat="1" x14ac:dyDescent="0.2"/>
    <row r="5630" s="20" customFormat="1" x14ac:dyDescent="0.2"/>
    <row r="5631" s="20" customFormat="1" x14ac:dyDescent="0.2"/>
    <row r="5632" s="20" customFormat="1" x14ac:dyDescent="0.2"/>
    <row r="5633" s="20" customFormat="1" x14ac:dyDescent="0.2"/>
    <row r="5634" s="20" customFormat="1" x14ac:dyDescent="0.2"/>
    <row r="5635" s="20" customFormat="1" x14ac:dyDescent="0.2"/>
    <row r="5636" s="20" customFormat="1" x14ac:dyDescent="0.2"/>
    <row r="5637" s="20" customFormat="1" x14ac:dyDescent="0.2"/>
    <row r="5638" s="20" customFormat="1" x14ac:dyDescent="0.2"/>
    <row r="5639" s="20" customFormat="1" x14ac:dyDescent="0.2"/>
    <row r="5640" s="20" customFormat="1" x14ac:dyDescent="0.2"/>
    <row r="5641" s="20" customFormat="1" x14ac:dyDescent="0.2"/>
    <row r="5642" s="20" customFormat="1" x14ac:dyDescent="0.2"/>
    <row r="5643" s="20" customFormat="1" x14ac:dyDescent="0.2"/>
    <row r="5644" s="20" customFormat="1" x14ac:dyDescent="0.2"/>
    <row r="5645" s="20" customFormat="1" x14ac:dyDescent="0.2"/>
    <row r="5646" s="20" customFormat="1" x14ac:dyDescent="0.2"/>
    <row r="5647" s="20" customFormat="1" x14ac:dyDescent="0.2"/>
    <row r="5648" s="20" customFormat="1" x14ac:dyDescent="0.2"/>
    <row r="5649" s="20" customFormat="1" x14ac:dyDescent="0.2"/>
    <row r="5650" s="20" customFormat="1" x14ac:dyDescent="0.2"/>
    <row r="5651" s="20" customFormat="1" x14ac:dyDescent="0.2"/>
    <row r="5652" s="20" customFormat="1" x14ac:dyDescent="0.2"/>
    <row r="5653" s="20" customFormat="1" x14ac:dyDescent="0.2"/>
    <row r="5654" s="20" customFormat="1" x14ac:dyDescent="0.2"/>
    <row r="5655" s="20" customFormat="1" x14ac:dyDescent="0.2"/>
    <row r="5656" s="20" customFormat="1" x14ac:dyDescent="0.2"/>
    <row r="5657" s="20" customFormat="1" x14ac:dyDescent="0.2"/>
    <row r="5658" s="20" customFormat="1" x14ac:dyDescent="0.2"/>
    <row r="5659" s="20" customFormat="1" x14ac:dyDescent="0.2"/>
    <row r="5660" s="20" customFormat="1" x14ac:dyDescent="0.2"/>
    <row r="5661" s="20" customFormat="1" x14ac:dyDescent="0.2"/>
    <row r="5662" s="20" customFormat="1" x14ac:dyDescent="0.2"/>
    <row r="5663" s="20" customFormat="1" x14ac:dyDescent="0.2"/>
    <row r="5664" s="20" customFormat="1" x14ac:dyDescent="0.2"/>
    <row r="5665" s="20" customFormat="1" x14ac:dyDescent="0.2"/>
    <row r="5666" s="20" customFormat="1" x14ac:dyDescent="0.2"/>
    <row r="5667" s="20" customFormat="1" x14ac:dyDescent="0.2"/>
    <row r="5668" s="20" customFormat="1" x14ac:dyDescent="0.2"/>
    <row r="5669" s="20" customFormat="1" x14ac:dyDescent="0.2"/>
    <row r="5670" s="20" customFormat="1" x14ac:dyDescent="0.2"/>
    <row r="5671" s="20" customFormat="1" x14ac:dyDescent="0.2"/>
    <row r="5672" s="20" customFormat="1" x14ac:dyDescent="0.2"/>
    <row r="5673" s="20" customFormat="1" x14ac:dyDescent="0.2"/>
    <row r="5674" s="20" customFormat="1" x14ac:dyDescent="0.2"/>
    <row r="5675" s="20" customFormat="1" x14ac:dyDescent="0.2"/>
    <row r="5676" s="20" customFormat="1" x14ac:dyDescent="0.2"/>
    <row r="5677" s="20" customFormat="1" x14ac:dyDescent="0.2"/>
    <row r="5678" s="20" customFormat="1" x14ac:dyDescent="0.2"/>
    <row r="5679" s="20" customFormat="1" x14ac:dyDescent="0.2"/>
    <row r="5680" s="20" customFormat="1" x14ac:dyDescent="0.2"/>
    <row r="5681" s="20" customFormat="1" x14ac:dyDescent="0.2"/>
    <row r="5682" s="20" customFormat="1" x14ac:dyDescent="0.2"/>
    <row r="5683" s="20" customFormat="1" x14ac:dyDescent="0.2"/>
    <row r="5684" s="20" customFormat="1" x14ac:dyDescent="0.2"/>
    <row r="5685" s="20" customFormat="1" x14ac:dyDescent="0.2"/>
    <row r="5686" s="20" customFormat="1" x14ac:dyDescent="0.2"/>
    <row r="5687" s="20" customFormat="1" x14ac:dyDescent="0.2"/>
    <row r="5688" s="20" customFormat="1" x14ac:dyDescent="0.2"/>
    <row r="5689" s="20" customFormat="1" x14ac:dyDescent="0.2"/>
    <row r="5690" s="20" customFormat="1" x14ac:dyDescent="0.2"/>
    <row r="5691" s="20" customFormat="1" x14ac:dyDescent="0.2"/>
    <row r="5692" s="20" customFormat="1" x14ac:dyDescent="0.2"/>
    <row r="5693" s="20" customFormat="1" x14ac:dyDescent="0.2"/>
    <row r="5694" s="20" customFormat="1" x14ac:dyDescent="0.2"/>
    <row r="5695" s="20" customFormat="1" x14ac:dyDescent="0.2"/>
    <row r="5696" s="20" customFormat="1" x14ac:dyDescent="0.2"/>
    <row r="5697" s="20" customFormat="1" x14ac:dyDescent="0.2"/>
    <row r="5698" s="20" customFormat="1" x14ac:dyDescent="0.2"/>
    <row r="5699" s="20" customFormat="1" x14ac:dyDescent="0.2"/>
    <row r="5700" s="20" customFormat="1" x14ac:dyDescent="0.2"/>
    <row r="5701" s="20" customFormat="1" x14ac:dyDescent="0.2"/>
    <row r="5702" s="20" customFormat="1" x14ac:dyDescent="0.2"/>
    <row r="5703" s="20" customFormat="1" x14ac:dyDescent="0.2"/>
    <row r="5704" s="20" customFormat="1" x14ac:dyDescent="0.2"/>
    <row r="5705" s="20" customFormat="1" x14ac:dyDescent="0.2"/>
    <row r="5706" s="20" customFormat="1" x14ac:dyDescent="0.2"/>
    <row r="5707" s="20" customFormat="1" x14ac:dyDescent="0.2"/>
    <row r="5708" s="20" customFormat="1" x14ac:dyDescent="0.2"/>
    <row r="5709" s="20" customFormat="1" x14ac:dyDescent="0.2"/>
    <row r="5710" s="20" customFormat="1" x14ac:dyDescent="0.2"/>
    <row r="5711" s="20" customFormat="1" x14ac:dyDescent="0.2"/>
    <row r="5712" s="20" customFormat="1" x14ac:dyDescent="0.2"/>
    <row r="5713" s="20" customFormat="1" x14ac:dyDescent="0.2"/>
    <row r="5714" s="20" customFormat="1" x14ac:dyDescent="0.2"/>
    <row r="5715" s="20" customFormat="1" x14ac:dyDescent="0.2"/>
    <row r="5716" s="20" customFormat="1" x14ac:dyDescent="0.2"/>
    <row r="5717" s="20" customFormat="1" x14ac:dyDescent="0.2"/>
    <row r="5718" s="20" customFormat="1" x14ac:dyDescent="0.2"/>
    <row r="5719" s="20" customFormat="1" x14ac:dyDescent="0.2"/>
    <row r="5720" s="20" customFormat="1" x14ac:dyDescent="0.2"/>
    <row r="5721" s="20" customFormat="1" x14ac:dyDescent="0.2"/>
    <row r="5722" s="20" customFormat="1" x14ac:dyDescent="0.2"/>
    <row r="5723" s="20" customFormat="1" x14ac:dyDescent="0.2"/>
    <row r="5724" s="20" customFormat="1" x14ac:dyDescent="0.2"/>
    <row r="5725" s="20" customFormat="1" x14ac:dyDescent="0.2"/>
    <row r="5726" s="20" customFormat="1" x14ac:dyDescent="0.2"/>
    <row r="5727" s="20" customFormat="1" x14ac:dyDescent="0.2"/>
    <row r="5728" s="20" customFormat="1" x14ac:dyDescent="0.2"/>
    <row r="5729" s="20" customFormat="1" x14ac:dyDescent="0.2"/>
    <row r="5730" s="20" customFormat="1" x14ac:dyDescent="0.2"/>
    <row r="5731" s="20" customFormat="1" x14ac:dyDescent="0.2"/>
    <row r="5732" s="20" customFormat="1" x14ac:dyDescent="0.2"/>
    <row r="5733" s="20" customFormat="1" x14ac:dyDescent="0.2"/>
    <row r="5734" s="20" customFormat="1" x14ac:dyDescent="0.2"/>
    <row r="5735" s="20" customFormat="1" x14ac:dyDescent="0.2"/>
    <row r="5736" s="20" customFormat="1" x14ac:dyDescent="0.2"/>
    <row r="5737" s="20" customFormat="1" x14ac:dyDescent="0.2"/>
    <row r="5738" s="20" customFormat="1" x14ac:dyDescent="0.2"/>
    <row r="5739" s="20" customFormat="1" x14ac:dyDescent="0.2"/>
    <row r="5740" s="20" customFormat="1" x14ac:dyDescent="0.2"/>
    <row r="5741" s="20" customFormat="1" x14ac:dyDescent="0.2"/>
    <row r="5742" s="20" customFormat="1" x14ac:dyDescent="0.2"/>
    <row r="5743" s="20" customFormat="1" x14ac:dyDescent="0.2"/>
    <row r="5744" s="20" customFormat="1" x14ac:dyDescent="0.2"/>
    <row r="5745" s="20" customFormat="1" x14ac:dyDescent="0.2"/>
    <row r="5746" s="20" customFormat="1" x14ac:dyDescent="0.2"/>
    <row r="5747" s="20" customFormat="1" x14ac:dyDescent="0.2"/>
    <row r="5748" s="20" customFormat="1" x14ac:dyDescent="0.2"/>
    <row r="5749" s="20" customFormat="1" x14ac:dyDescent="0.2"/>
    <row r="5750" s="20" customFormat="1" x14ac:dyDescent="0.2"/>
    <row r="5751" s="20" customFormat="1" x14ac:dyDescent="0.2"/>
    <row r="5752" s="20" customFormat="1" x14ac:dyDescent="0.2"/>
    <row r="5753" s="20" customFormat="1" x14ac:dyDescent="0.2"/>
    <row r="5754" s="20" customFormat="1" x14ac:dyDescent="0.2"/>
    <row r="5755" s="20" customFormat="1" x14ac:dyDescent="0.2"/>
    <row r="5756" s="20" customFormat="1" x14ac:dyDescent="0.2"/>
    <row r="5757" s="20" customFormat="1" x14ac:dyDescent="0.2"/>
    <row r="5758" s="20" customFormat="1" x14ac:dyDescent="0.2"/>
    <row r="5759" s="20" customFormat="1" x14ac:dyDescent="0.2"/>
    <row r="5760" s="20" customFormat="1" x14ac:dyDescent="0.2"/>
    <row r="5761" s="20" customFormat="1" x14ac:dyDescent="0.2"/>
    <row r="5762" s="20" customFormat="1" x14ac:dyDescent="0.2"/>
    <row r="5763" s="20" customFormat="1" x14ac:dyDescent="0.2"/>
    <row r="5764" s="20" customFormat="1" x14ac:dyDescent="0.2"/>
    <row r="5765" s="20" customFormat="1" x14ac:dyDescent="0.2"/>
    <row r="5766" s="20" customFormat="1" x14ac:dyDescent="0.2"/>
    <row r="5767" s="20" customFormat="1" x14ac:dyDescent="0.2"/>
    <row r="5768" s="20" customFormat="1" x14ac:dyDescent="0.2"/>
    <row r="5769" s="20" customFormat="1" x14ac:dyDescent="0.2"/>
    <row r="5770" s="20" customFormat="1" x14ac:dyDescent="0.2"/>
    <row r="5771" s="20" customFormat="1" x14ac:dyDescent="0.2"/>
    <row r="5772" s="20" customFormat="1" x14ac:dyDescent="0.2"/>
    <row r="5773" s="20" customFormat="1" x14ac:dyDescent="0.2"/>
    <row r="5774" s="20" customFormat="1" x14ac:dyDescent="0.2"/>
    <row r="5775" s="20" customFormat="1" x14ac:dyDescent="0.2"/>
    <row r="5776" s="20" customFormat="1" x14ac:dyDescent="0.2"/>
    <row r="5777" s="20" customFormat="1" x14ac:dyDescent="0.2"/>
    <row r="5778" s="20" customFormat="1" x14ac:dyDescent="0.2"/>
    <row r="5779" s="20" customFormat="1" x14ac:dyDescent="0.2"/>
    <row r="5780" s="20" customFormat="1" x14ac:dyDescent="0.2"/>
    <row r="5781" s="20" customFormat="1" x14ac:dyDescent="0.2"/>
    <row r="5782" s="20" customFormat="1" x14ac:dyDescent="0.2"/>
    <row r="5783" s="20" customFormat="1" x14ac:dyDescent="0.2"/>
    <row r="5784" s="20" customFormat="1" x14ac:dyDescent="0.2"/>
    <row r="5785" s="20" customFormat="1" x14ac:dyDescent="0.2"/>
    <row r="5786" s="20" customFormat="1" x14ac:dyDescent="0.2"/>
    <row r="5787" s="20" customFormat="1" x14ac:dyDescent="0.2"/>
    <row r="5788" s="20" customFormat="1" x14ac:dyDescent="0.2"/>
    <row r="5789" s="20" customFormat="1" x14ac:dyDescent="0.2"/>
    <row r="5790" s="20" customFormat="1" x14ac:dyDescent="0.2"/>
    <row r="5791" s="20" customFormat="1" x14ac:dyDescent="0.2"/>
    <row r="5792" s="20" customFormat="1" x14ac:dyDescent="0.2"/>
    <row r="5793" s="20" customFormat="1" x14ac:dyDescent="0.2"/>
    <row r="5794" s="20" customFormat="1" x14ac:dyDescent="0.2"/>
    <row r="5795" s="20" customFormat="1" x14ac:dyDescent="0.2"/>
    <row r="5796" s="20" customFormat="1" x14ac:dyDescent="0.2"/>
    <row r="5797" s="20" customFormat="1" x14ac:dyDescent="0.2"/>
    <row r="5798" s="20" customFormat="1" x14ac:dyDescent="0.2"/>
    <row r="5799" s="20" customFormat="1" x14ac:dyDescent="0.2"/>
    <row r="5800" s="20" customFormat="1" x14ac:dyDescent="0.2"/>
    <row r="5801" s="20" customFormat="1" x14ac:dyDescent="0.2"/>
    <row r="5802" s="20" customFormat="1" x14ac:dyDescent="0.2"/>
    <row r="5803" s="20" customFormat="1" x14ac:dyDescent="0.2"/>
    <row r="5804" s="20" customFormat="1" x14ac:dyDescent="0.2"/>
    <row r="5805" s="20" customFormat="1" x14ac:dyDescent="0.2"/>
    <row r="5806" s="20" customFormat="1" x14ac:dyDescent="0.2"/>
    <row r="5807" s="20" customFormat="1" x14ac:dyDescent="0.2"/>
    <row r="5808" s="20" customFormat="1" x14ac:dyDescent="0.2"/>
    <row r="5809" s="20" customFormat="1" x14ac:dyDescent="0.2"/>
    <row r="5810" s="20" customFormat="1" x14ac:dyDescent="0.2"/>
    <row r="5811" s="20" customFormat="1" x14ac:dyDescent="0.2"/>
    <row r="5812" s="20" customFormat="1" x14ac:dyDescent="0.2"/>
    <row r="5813" s="20" customFormat="1" x14ac:dyDescent="0.2"/>
    <row r="5814" s="20" customFormat="1" x14ac:dyDescent="0.2"/>
    <row r="5815" s="20" customFormat="1" x14ac:dyDescent="0.2"/>
    <row r="5816" s="20" customFormat="1" x14ac:dyDescent="0.2"/>
    <row r="5817" s="20" customFormat="1" x14ac:dyDescent="0.2"/>
    <row r="5818" s="20" customFormat="1" x14ac:dyDescent="0.2"/>
    <row r="5819" s="20" customFormat="1" x14ac:dyDescent="0.2"/>
    <row r="5820" s="20" customFormat="1" x14ac:dyDescent="0.2"/>
    <row r="5821" s="20" customFormat="1" x14ac:dyDescent="0.2"/>
    <row r="5822" s="20" customFormat="1" x14ac:dyDescent="0.2"/>
    <row r="5823" s="20" customFormat="1" x14ac:dyDescent="0.2"/>
    <row r="5824" s="20" customFormat="1" x14ac:dyDescent="0.2"/>
    <row r="5825" s="20" customFormat="1" x14ac:dyDescent="0.2"/>
    <row r="5826" s="20" customFormat="1" x14ac:dyDescent="0.2"/>
    <row r="5827" s="20" customFormat="1" x14ac:dyDescent="0.2"/>
    <row r="5828" s="20" customFormat="1" x14ac:dyDescent="0.2"/>
    <row r="5829" s="20" customFormat="1" x14ac:dyDescent="0.2"/>
    <row r="5830" s="20" customFormat="1" x14ac:dyDescent="0.2"/>
    <row r="5831" s="20" customFormat="1" x14ac:dyDescent="0.2"/>
    <row r="5832" s="20" customFormat="1" x14ac:dyDescent="0.2"/>
    <row r="5833" s="20" customFormat="1" x14ac:dyDescent="0.2"/>
    <row r="5834" s="20" customFormat="1" x14ac:dyDescent="0.2"/>
    <row r="5835" s="20" customFormat="1" x14ac:dyDescent="0.2"/>
    <row r="5836" s="20" customFormat="1" x14ac:dyDescent="0.2"/>
    <row r="5837" s="20" customFormat="1" x14ac:dyDescent="0.2"/>
    <row r="5838" s="20" customFormat="1" x14ac:dyDescent="0.2"/>
    <row r="5839" s="20" customFormat="1" x14ac:dyDescent="0.2"/>
    <row r="5840" s="20" customFormat="1" x14ac:dyDescent="0.2"/>
    <row r="5841" s="20" customFormat="1" x14ac:dyDescent="0.2"/>
    <row r="5842" s="20" customFormat="1" x14ac:dyDescent="0.2"/>
    <row r="5843" s="20" customFormat="1" x14ac:dyDescent="0.2"/>
    <row r="5844" s="20" customFormat="1" x14ac:dyDescent="0.2"/>
    <row r="5845" s="20" customFormat="1" x14ac:dyDescent="0.2"/>
    <row r="5846" s="20" customFormat="1" x14ac:dyDescent="0.2"/>
    <row r="5847" s="20" customFormat="1" x14ac:dyDescent="0.2"/>
    <row r="5848" s="20" customFormat="1" x14ac:dyDescent="0.2"/>
    <row r="5849" s="20" customFormat="1" x14ac:dyDescent="0.2"/>
    <row r="5850" s="20" customFormat="1" x14ac:dyDescent="0.2"/>
    <row r="5851" s="20" customFormat="1" x14ac:dyDescent="0.2"/>
    <row r="5852" s="20" customFormat="1" x14ac:dyDescent="0.2"/>
    <row r="5853" s="20" customFormat="1" x14ac:dyDescent="0.2"/>
    <row r="5854" s="20" customFormat="1" x14ac:dyDescent="0.2"/>
    <row r="5855" s="20" customFormat="1" x14ac:dyDescent="0.2"/>
    <row r="5856" s="20" customFormat="1" x14ac:dyDescent="0.2"/>
    <row r="5857" s="20" customFormat="1" x14ac:dyDescent="0.2"/>
    <row r="5858" s="20" customFormat="1" x14ac:dyDescent="0.2"/>
    <row r="5859" s="20" customFormat="1" x14ac:dyDescent="0.2"/>
    <row r="5860" s="20" customFormat="1" x14ac:dyDescent="0.2"/>
    <row r="5861" s="20" customFormat="1" x14ac:dyDescent="0.2"/>
    <row r="5862" s="20" customFormat="1" x14ac:dyDescent="0.2"/>
    <row r="5863" s="20" customFormat="1" x14ac:dyDescent="0.2"/>
    <row r="5864" s="20" customFormat="1" x14ac:dyDescent="0.2"/>
    <row r="5865" s="20" customFormat="1" x14ac:dyDescent="0.2"/>
    <row r="5866" s="20" customFormat="1" x14ac:dyDescent="0.2"/>
    <row r="5867" s="20" customFormat="1" x14ac:dyDescent="0.2"/>
    <row r="5868" s="20" customFormat="1" x14ac:dyDescent="0.2"/>
    <row r="5869" s="20" customFormat="1" x14ac:dyDescent="0.2"/>
    <row r="5870" s="20" customFormat="1" x14ac:dyDescent="0.2"/>
    <row r="5871" s="20" customFormat="1" x14ac:dyDescent="0.2"/>
    <row r="5872" s="20" customFormat="1" x14ac:dyDescent="0.2"/>
    <row r="5873" s="20" customFormat="1" x14ac:dyDescent="0.2"/>
    <row r="5874" s="20" customFormat="1" x14ac:dyDescent="0.2"/>
    <row r="5875" s="20" customFormat="1" x14ac:dyDescent="0.2"/>
    <row r="5876" s="20" customFormat="1" x14ac:dyDescent="0.2"/>
    <row r="5877" s="20" customFormat="1" x14ac:dyDescent="0.2"/>
    <row r="5878" s="20" customFormat="1" x14ac:dyDescent="0.2"/>
    <row r="5879" s="20" customFormat="1" x14ac:dyDescent="0.2"/>
    <row r="5880" s="20" customFormat="1" x14ac:dyDescent="0.2"/>
    <row r="5881" s="20" customFormat="1" x14ac:dyDescent="0.2"/>
    <row r="5882" s="20" customFormat="1" x14ac:dyDescent="0.2"/>
    <row r="5883" s="20" customFormat="1" x14ac:dyDescent="0.2"/>
    <row r="5884" s="20" customFormat="1" x14ac:dyDescent="0.2"/>
    <row r="5885" s="20" customFormat="1" x14ac:dyDescent="0.2"/>
    <row r="5886" s="20" customFormat="1" x14ac:dyDescent="0.2"/>
    <row r="5887" s="20" customFormat="1" x14ac:dyDescent="0.2"/>
    <row r="5888" s="20" customFormat="1" x14ac:dyDescent="0.2"/>
    <row r="5889" s="20" customFormat="1" x14ac:dyDescent="0.2"/>
    <row r="5890" s="20" customFormat="1" x14ac:dyDescent="0.2"/>
    <row r="5891" s="20" customFormat="1" x14ac:dyDescent="0.2"/>
    <row r="5892" s="20" customFormat="1" x14ac:dyDescent="0.2"/>
    <row r="5893" s="20" customFormat="1" x14ac:dyDescent="0.2"/>
    <row r="5894" s="20" customFormat="1" x14ac:dyDescent="0.2"/>
    <row r="5895" s="20" customFormat="1" x14ac:dyDescent="0.2"/>
    <row r="5896" s="20" customFormat="1" x14ac:dyDescent="0.2"/>
    <row r="5897" s="20" customFormat="1" x14ac:dyDescent="0.2"/>
    <row r="5898" s="20" customFormat="1" x14ac:dyDescent="0.2"/>
    <row r="5899" s="20" customFormat="1" x14ac:dyDescent="0.2"/>
    <row r="5900" s="20" customFormat="1" x14ac:dyDescent="0.2"/>
    <row r="5901" s="20" customFormat="1" x14ac:dyDescent="0.2"/>
    <row r="5902" s="20" customFormat="1" x14ac:dyDescent="0.2"/>
    <row r="5903" s="20" customFormat="1" x14ac:dyDescent="0.2"/>
    <row r="5904" s="20" customFormat="1" x14ac:dyDescent="0.2"/>
    <row r="5905" s="20" customFormat="1" x14ac:dyDescent="0.2"/>
    <row r="5906" s="20" customFormat="1" x14ac:dyDescent="0.2"/>
    <row r="5907" s="20" customFormat="1" x14ac:dyDescent="0.2"/>
    <row r="5908" s="20" customFormat="1" x14ac:dyDescent="0.2"/>
    <row r="5909" s="20" customFormat="1" x14ac:dyDescent="0.2"/>
    <row r="5910" s="20" customFormat="1" x14ac:dyDescent="0.2"/>
    <row r="5911" s="20" customFormat="1" x14ac:dyDescent="0.2"/>
    <row r="5912" s="20" customFormat="1" x14ac:dyDescent="0.2"/>
    <row r="5913" s="20" customFormat="1" x14ac:dyDescent="0.2"/>
    <row r="5914" s="20" customFormat="1" x14ac:dyDescent="0.2"/>
    <row r="5915" s="20" customFormat="1" x14ac:dyDescent="0.2"/>
    <row r="5916" s="20" customFormat="1" x14ac:dyDescent="0.2"/>
    <row r="5917" s="20" customFormat="1" x14ac:dyDescent="0.2"/>
    <row r="5918" s="20" customFormat="1" x14ac:dyDescent="0.2"/>
    <row r="5919" s="20" customFormat="1" x14ac:dyDescent="0.2"/>
    <row r="5920" s="20" customFormat="1" x14ac:dyDescent="0.2"/>
    <row r="5921" s="20" customFormat="1" x14ac:dyDescent="0.2"/>
    <row r="5922" s="20" customFormat="1" x14ac:dyDescent="0.2"/>
    <row r="5923" s="20" customFormat="1" x14ac:dyDescent="0.2"/>
    <row r="5924" s="20" customFormat="1" x14ac:dyDescent="0.2"/>
    <row r="5925" s="20" customFormat="1" x14ac:dyDescent="0.2"/>
    <row r="5926" s="20" customFormat="1" x14ac:dyDescent="0.2"/>
    <row r="5927" s="20" customFormat="1" x14ac:dyDescent="0.2"/>
    <row r="5928" s="20" customFormat="1" x14ac:dyDescent="0.2"/>
    <row r="5929" s="20" customFormat="1" x14ac:dyDescent="0.2"/>
    <row r="5930" s="20" customFormat="1" x14ac:dyDescent="0.2"/>
    <row r="5931" s="20" customFormat="1" x14ac:dyDescent="0.2"/>
    <row r="5932" s="20" customFormat="1" x14ac:dyDescent="0.2"/>
    <row r="5933" s="20" customFormat="1" x14ac:dyDescent="0.2"/>
    <row r="5934" s="20" customFormat="1" x14ac:dyDescent="0.2"/>
    <row r="5935" s="20" customFormat="1" x14ac:dyDescent="0.2"/>
    <row r="5936" s="20" customFormat="1" x14ac:dyDescent="0.2"/>
    <row r="5937" s="20" customFormat="1" x14ac:dyDescent="0.2"/>
    <row r="5938" s="20" customFormat="1" x14ac:dyDescent="0.2"/>
    <row r="5939" s="20" customFormat="1" x14ac:dyDescent="0.2"/>
    <row r="5940" s="20" customFormat="1" x14ac:dyDescent="0.2"/>
    <row r="5941" s="20" customFormat="1" x14ac:dyDescent="0.2"/>
    <row r="5942" s="20" customFormat="1" x14ac:dyDescent="0.2"/>
    <row r="5943" s="20" customFormat="1" x14ac:dyDescent="0.2"/>
    <row r="5944" s="20" customFormat="1" x14ac:dyDescent="0.2"/>
    <row r="5945" s="20" customFormat="1" x14ac:dyDescent="0.2"/>
    <row r="5946" s="20" customFormat="1" x14ac:dyDescent="0.2"/>
    <row r="5947" s="20" customFormat="1" x14ac:dyDescent="0.2"/>
    <row r="5948" s="20" customFormat="1" x14ac:dyDescent="0.2"/>
    <row r="5949" s="20" customFormat="1" x14ac:dyDescent="0.2"/>
    <row r="5950" s="20" customFormat="1" x14ac:dyDescent="0.2"/>
    <row r="5951" s="20" customFormat="1" x14ac:dyDescent="0.2"/>
    <row r="5952" s="20" customFormat="1" x14ac:dyDescent="0.2"/>
    <row r="5953" s="20" customFormat="1" x14ac:dyDescent="0.2"/>
    <row r="5954" s="20" customFormat="1" x14ac:dyDescent="0.2"/>
    <row r="5955" s="20" customFormat="1" x14ac:dyDescent="0.2"/>
    <row r="5956" s="20" customFormat="1" x14ac:dyDescent="0.2"/>
    <row r="5957" s="20" customFormat="1" x14ac:dyDescent="0.2"/>
    <row r="5958" s="20" customFormat="1" x14ac:dyDescent="0.2"/>
    <row r="5959" s="20" customFormat="1" x14ac:dyDescent="0.2"/>
    <row r="5960" s="20" customFormat="1" x14ac:dyDescent="0.2"/>
    <row r="5961" s="20" customFormat="1" x14ac:dyDescent="0.2"/>
    <row r="5962" s="20" customFormat="1" x14ac:dyDescent="0.2"/>
    <row r="5963" s="20" customFormat="1" x14ac:dyDescent="0.2"/>
    <row r="5964" s="20" customFormat="1" x14ac:dyDescent="0.2"/>
    <row r="5965" s="20" customFormat="1" x14ac:dyDescent="0.2"/>
    <row r="5966" s="20" customFormat="1" x14ac:dyDescent="0.2"/>
    <row r="5967" s="20" customFormat="1" x14ac:dyDescent="0.2"/>
    <row r="5968" s="20" customFormat="1" x14ac:dyDescent="0.2"/>
    <row r="5969" s="20" customFormat="1" x14ac:dyDescent="0.2"/>
    <row r="5970" s="20" customFormat="1" x14ac:dyDescent="0.2"/>
    <row r="5971" s="20" customFormat="1" x14ac:dyDescent="0.2"/>
    <row r="5972" s="20" customFormat="1" x14ac:dyDescent="0.2"/>
    <row r="5973" s="20" customFormat="1" x14ac:dyDescent="0.2"/>
    <row r="5974" s="20" customFormat="1" x14ac:dyDescent="0.2"/>
    <row r="5975" s="20" customFormat="1" x14ac:dyDescent="0.2"/>
    <row r="5976" s="20" customFormat="1" x14ac:dyDescent="0.2"/>
    <row r="5977" s="20" customFormat="1" x14ac:dyDescent="0.2"/>
    <row r="5978" s="20" customFormat="1" x14ac:dyDescent="0.2"/>
    <row r="5979" s="20" customFormat="1" x14ac:dyDescent="0.2"/>
    <row r="5980" s="20" customFormat="1" x14ac:dyDescent="0.2"/>
    <row r="5981" s="20" customFormat="1" x14ac:dyDescent="0.2"/>
    <row r="5982" s="20" customFormat="1" x14ac:dyDescent="0.2"/>
    <row r="5983" s="20" customFormat="1" x14ac:dyDescent="0.2"/>
    <row r="5984" s="20" customFormat="1" x14ac:dyDescent="0.2"/>
    <row r="5985" s="20" customFormat="1" x14ac:dyDescent="0.2"/>
    <row r="5986" s="20" customFormat="1" x14ac:dyDescent="0.2"/>
    <row r="5987" s="20" customFormat="1" x14ac:dyDescent="0.2"/>
    <row r="5988" s="20" customFormat="1" x14ac:dyDescent="0.2"/>
    <row r="5989" s="20" customFormat="1" x14ac:dyDescent="0.2"/>
    <row r="5990" s="20" customFormat="1" x14ac:dyDescent="0.2"/>
    <row r="5991" s="20" customFormat="1" x14ac:dyDescent="0.2"/>
    <row r="5992" s="20" customFormat="1" x14ac:dyDescent="0.2"/>
    <row r="5993" s="20" customFormat="1" x14ac:dyDescent="0.2"/>
    <row r="5994" s="20" customFormat="1" x14ac:dyDescent="0.2"/>
    <row r="5995" s="20" customFormat="1" x14ac:dyDescent="0.2"/>
    <row r="5996" s="20" customFormat="1" x14ac:dyDescent="0.2"/>
    <row r="5997" s="20" customFormat="1" x14ac:dyDescent="0.2"/>
    <row r="5998" s="20" customFormat="1" x14ac:dyDescent="0.2"/>
    <row r="5999" s="20" customFormat="1" x14ac:dyDescent="0.2"/>
    <row r="6000" s="20" customFormat="1" x14ac:dyDescent="0.2"/>
    <row r="6001" s="20" customFormat="1" x14ac:dyDescent="0.2"/>
    <row r="6002" s="20" customFormat="1" x14ac:dyDescent="0.2"/>
    <row r="6003" s="20" customFormat="1" x14ac:dyDescent="0.2"/>
    <row r="6004" s="20" customFormat="1" x14ac:dyDescent="0.2"/>
    <row r="6005" s="20" customFormat="1" x14ac:dyDescent="0.2"/>
    <row r="6006" s="20" customFormat="1" x14ac:dyDescent="0.2"/>
    <row r="6007" s="20" customFormat="1" x14ac:dyDescent="0.2"/>
    <row r="6008" s="20" customFormat="1" x14ac:dyDescent="0.2"/>
    <row r="6009" s="20" customFormat="1" x14ac:dyDescent="0.2"/>
    <row r="6010" s="20" customFormat="1" x14ac:dyDescent="0.2"/>
    <row r="6011" s="20" customFormat="1" x14ac:dyDescent="0.2"/>
    <row r="6012" s="20" customFormat="1" x14ac:dyDescent="0.2"/>
    <row r="6013" s="20" customFormat="1" x14ac:dyDescent="0.2"/>
    <row r="6014" s="20" customFormat="1" x14ac:dyDescent="0.2"/>
    <row r="6015" s="20" customFormat="1" x14ac:dyDescent="0.2"/>
    <row r="6016" s="20" customFormat="1" x14ac:dyDescent="0.2"/>
    <row r="6017" s="20" customFormat="1" x14ac:dyDescent="0.2"/>
    <row r="6018" s="20" customFormat="1" x14ac:dyDescent="0.2"/>
    <row r="6019" s="20" customFormat="1" x14ac:dyDescent="0.2"/>
    <row r="6020" s="20" customFormat="1" x14ac:dyDescent="0.2"/>
    <row r="6021" s="20" customFormat="1" x14ac:dyDescent="0.2"/>
    <row r="6022" s="20" customFormat="1" x14ac:dyDescent="0.2"/>
    <row r="6023" s="20" customFormat="1" x14ac:dyDescent="0.2"/>
    <row r="6024" s="20" customFormat="1" x14ac:dyDescent="0.2"/>
    <row r="6025" s="20" customFormat="1" x14ac:dyDescent="0.2"/>
    <row r="6026" s="20" customFormat="1" x14ac:dyDescent="0.2"/>
    <row r="6027" s="20" customFormat="1" x14ac:dyDescent="0.2"/>
    <row r="6028" s="20" customFormat="1" x14ac:dyDescent="0.2"/>
    <row r="6029" s="20" customFormat="1" x14ac:dyDescent="0.2"/>
    <row r="6030" s="20" customFormat="1" x14ac:dyDescent="0.2"/>
    <row r="6031" s="20" customFormat="1" x14ac:dyDescent="0.2"/>
    <row r="6032" s="20" customFormat="1" x14ac:dyDescent="0.2"/>
    <row r="6033" s="20" customFormat="1" x14ac:dyDescent="0.2"/>
    <row r="6034" s="20" customFormat="1" x14ac:dyDescent="0.2"/>
    <row r="6035" s="20" customFormat="1" x14ac:dyDescent="0.2"/>
    <row r="6036" s="20" customFormat="1" x14ac:dyDescent="0.2"/>
    <row r="6037" s="20" customFormat="1" x14ac:dyDescent="0.2"/>
    <row r="6038" s="20" customFormat="1" x14ac:dyDescent="0.2"/>
    <row r="6039" s="20" customFormat="1" x14ac:dyDescent="0.2"/>
    <row r="6040" s="20" customFormat="1" x14ac:dyDescent="0.2"/>
    <row r="6041" s="20" customFormat="1" x14ac:dyDescent="0.2"/>
    <row r="6042" s="20" customFormat="1" x14ac:dyDescent="0.2"/>
    <row r="6043" s="20" customFormat="1" x14ac:dyDescent="0.2"/>
    <row r="6044" s="20" customFormat="1" x14ac:dyDescent="0.2"/>
    <row r="6045" s="20" customFormat="1" x14ac:dyDescent="0.2"/>
    <row r="6046" s="20" customFormat="1" x14ac:dyDescent="0.2"/>
    <row r="6047" s="20" customFormat="1" x14ac:dyDescent="0.2"/>
    <row r="6048" s="20" customFormat="1" x14ac:dyDescent="0.2"/>
    <row r="6049" s="20" customFormat="1" x14ac:dyDescent="0.2"/>
    <row r="6050" s="20" customFormat="1" x14ac:dyDescent="0.2"/>
    <row r="6051" s="20" customFormat="1" x14ac:dyDescent="0.2"/>
    <row r="6052" s="20" customFormat="1" x14ac:dyDescent="0.2"/>
    <row r="6053" s="20" customFormat="1" x14ac:dyDescent="0.2"/>
    <row r="6054" s="20" customFormat="1" x14ac:dyDescent="0.2"/>
    <row r="6055" s="20" customFormat="1" x14ac:dyDescent="0.2"/>
    <row r="6056" s="20" customFormat="1" x14ac:dyDescent="0.2"/>
    <row r="6057" s="20" customFormat="1" x14ac:dyDescent="0.2"/>
    <row r="6058" s="20" customFormat="1" x14ac:dyDescent="0.2"/>
    <row r="6059" s="20" customFormat="1" x14ac:dyDescent="0.2"/>
    <row r="6060" s="20" customFormat="1" x14ac:dyDescent="0.2"/>
    <row r="6061" s="20" customFormat="1" x14ac:dyDescent="0.2"/>
    <row r="6062" s="20" customFormat="1" x14ac:dyDescent="0.2"/>
    <row r="6063" s="20" customFormat="1" x14ac:dyDescent="0.2"/>
    <row r="6064" s="20" customFormat="1" x14ac:dyDescent="0.2"/>
    <row r="6065" s="20" customFormat="1" x14ac:dyDescent="0.2"/>
    <row r="6066" s="20" customFormat="1" x14ac:dyDescent="0.2"/>
    <row r="6067" s="20" customFormat="1" x14ac:dyDescent="0.2"/>
    <row r="6068" s="20" customFormat="1" x14ac:dyDescent="0.2"/>
    <row r="6069" s="20" customFormat="1" x14ac:dyDescent="0.2"/>
    <row r="6070" s="20" customFormat="1" x14ac:dyDescent="0.2"/>
    <row r="6071" s="20" customFormat="1" x14ac:dyDescent="0.2"/>
    <row r="6072" s="20" customFormat="1" x14ac:dyDescent="0.2"/>
    <row r="6073" s="20" customFormat="1" x14ac:dyDescent="0.2"/>
    <row r="6074" s="20" customFormat="1" x14ac:dyDescent="0.2"/>
    <row r="6075" s="20" customFormat="1" x14ac:dyDescent="0.2"/>
    <row r="6076" s="20" customFormat="1" x14ac:dyDescent="0.2"/>
    <row r="6077" s="20" customFormat="1" x14ac:dyDescent="0.2"/>
    <row r="6078" s="20" customFormat="1" x14ac:dyDescent="0.2"/>
    <row r="6079" s="20" customFormat="1" x14ac:dyDescent="0.2"/>
    <row r="6080" s="20" customFormat="1" x14ac:dyDescent="0.2"/>
    <row r="6081" s="20" customFormat="1" x14ac:dyDescent="0.2"/>
    <row r="6082" s="20" customFormat="1" x14ac:dyDescent="0.2"/>
    <row r="6083" s="20" customFormat="1" x14ac:dyDescent="0.2"/>
    <row r="6084" s="20" customFormat="1" x14ac:dyDescent="0.2"/>
    <row r="6085" s="20" customFormat="1" x14ac:dyDescent="0.2"/>
    <row r="6086" s="20" customFormat="1" x14ac:dyDescent="0.2"/>
    <row r="6087" s="20" customFormat="1" x14ac:dyDescent="0.2"/>
    <row r="6088" s="20" customFormat="1" x14ac:dyDescent="0.2"/>
    <row r="6089" s="20" customFormat="1" x14ac:dyDescent="0.2"/>
    <row r="6090" s="20" customFormat="1" x14ac:dyDescent="0.2"/>
    <row r="6091" s="20" customFormat="1" x14ac:dyDescent="0.2"/>
    <row r="6092" s="20" customFormat="1" x14ac:dyDescent="0.2"/>
    <row r="6093" s="20" customFormat="1" x14ac:dyDescent="0.2"/>
    <row r="6094" s="20" customFormat="1" x14ac:dyDescent="0.2"/>
    <row r="6095" s="20" customFormat="1" x14ac:dyDescent="0.2"/>
    <row r="6096" s="20" customFormat="1" x14ac:dyDescent="0.2"/>
    <row r="6097" s="20" customFormat="1" x14ac:dyDescent="0.2"/>
    <row r="6098" s="20" customFormat="1" x14ac:dyDescent="0.2"/>
    <row r="6099" s="20" customFormat="1" x14ac:dyDescent="0.2"/>
    <row r="6100" s="20" customFormat="1" x14ac:dyDescent="0.2"/>
    <row r="6101" s="20" customFormat="1" x14ac:dyDescent="0.2"/>
    <row r="6102" s="20" customFormat="1" x14ac:dyDescent="0.2"/>
    <row r="6103" s="20" customFormat="1" x14ac:dyDescent="0.2"/>
    <row r="6104" s="20" customFormat="1" x14ac:dyDescent="0.2"/>
    <row r="6105" s="20" customFormat="1" x14ac:dyDescent="0.2"/>
    <row r="6106" s="20" customFormat="1" x14ac:dyDescent="0.2"/>
    <row r="6107" s="20" customFormat="1" x14ac:dyDescent="0.2"/>
    <row r="6108" s="20" customFormat="1" x14ac:dyDescent="0.2"/>
    <row r="6109" s="20" customFormat="1" x14ac:dyDescent="0.2"/>
    <row r="6110" s="20" customFormat="1" x14ac:dyDescent="0.2"/>
    <row r="6111" s="20" customFormat="1" x14ac:dyDescent="0.2"/>
    <row r="6112" s="20" customFormat="1" x14ac:dyDescent="0.2"/>
    <row r="6113" s="20" customFormat="1" x14ac:dyDescent="0.2"/>
    <row r="6114" s="20" customFormat="1" x14ac:dyDescent="0.2"/>
    <row r="6115" s="20" customFormat="1" x14ac:dyDescent="0.2"/>
    <row r="6116" s="20" customFormat="1" x14ac:dyDescent="0.2"/>
    <row r="6117" s="20" customFormat="1" x14ac:dyDescent="0.2"/>
    <row r="6118" s="20" customFormat="1" x14ac:dyDescent="0.2"/>
    <row r="6119" s="20" customFormat="1" x14ac:dyDescent="0.2"/>
    <row r="6120" s="20" customFormat="1" x14ac:dyDescent="0.2"/>
    <row r="6121" s="20" customFormat="1" x14ac:dyDescent="0.2"/>
    <row r="6122" s="20" customFormat="1" x14ac:dyDescent="0.2"/>
    <row r="6123" s="20" customFormat="1" x14ac:dyDescent="0.2"/>
    <row r="6124" s="20" customFormat="1" x14ac:dyDescent="0.2"/>
    <row r="6125" s="20" customFormat="1" x14ac:dyDescent="0.2"/>
    <row r="6126" s="20" customFormat="1" x14ac:dyDescent="0.2"/>
    <row r="6127" s="20" customFormat="1" x14ac:dyDescent="0.2"/>
    <row r="6128" s="20" customFormat="1" x14ac:dyDescent="0.2"/>
    <row r="6129" s="20" customFormat="1" x14ac:dyDescent="0.2"/>
    <row r="6130" s="20" customFormat="1" x14ac:dyDescent="0.2"/>
    <row r="6131" s="20" customFormat="1" x14ac:dyDescent="0.2"/>
    <row r="6132" s="20" customFormat="1" x14ac:dyDescent="0.2"/>
    <row r="6133" s="20" customFormat="1" x14ac:dyDescent="0.2"/>
    <row r="6134" s="20" customFormat="1" x14ac:dyDescent="0.2"/>
    <row r="6135" s="20" customFormat="1" x14ac:dyDescent="0.2"/>
    <row r="6136" s="20" customFormat="1" x14ac:dyDescent="0.2"/>
    <row r="6137" s="20" customFormat="1" x14ac:dyDescent="0.2"/>
    <row r="6138" s="20" customFormat="1" x14ac:dyDescent="0.2"/>
    <row r="6139" s="20" customFormat="1" x14ac:dyDescent="0.2"/>
    <row r="6140" s="20" customFormat="1" x14ac:dyDescent="0.2"/>
    <row r="6141" s="20" customFormat="1" x14ac:dyDescent="0.2"/>
    <row r="6142" s="20" customFormat="1" x14ac:dyDescent="0.2"/>
    <row r="6143" s="20" customFormat="1" x14ac:dyDescent="0.2"/>
    <row r="6144" s="20" customFormat="1" x14ac:dyDescent="0.2"/>
    <row r="6145" s="20" customFormat="1" x14ac:dyDescent="0.2"/>
    <row r="6146" s="20" customFormat="1" x14ac:dyDescent="0.2"/>
    <row r="6147" s="20" customFormat="1" x14ac:dyDescent="0.2"/>
    <row r="6148" s="20" customFormat="1" x14ac:dyDescent="0.2"/>
    <row r="6149" s="20" customFormat="1" x14ac:dyDescent="0.2"/>
    <row r="6150" s="20" customFormat="1" x14ac:dyDescent="0.2"/>
    <row r="6151" s="20" customFormat="1" x14ac:dyDescent="0.2"/>
    <row r="6152" s="20" customFormat="1" x14ac:dyDescent="0.2"/>
    <row r="6153" s="20" customFormat="1" x14ac:dyDescent="0.2"/>
    <row r="6154" s="20" customFormat="1" x14ac:dyDescent="0.2"/>
    <row r="6155" s="20" customFormat="1" x14ac:dyDescent="0.2"/>
    <row r="6156" s="20" customFormat="1" x14ac:dyDescent="0.2"/>
    <row r="6157" s="20" customFormat="1" x14ac:dyDescent="0.2"/>
    <row r="6158" s="20" customFormat="1" x14ac:dyDescent="0.2"/>
    <row r="6159" s="20" customFormat="1" x14ac:dyDescent="0.2"/>
    <row r="6160" s="20" customFormat="1" x14ac:dyDescent="0.2"/>
    <row r="6161" s="20" customFormat="1" x14ac:dyDescent="0.2"/>
    <row r="6162" s="20" customFormat="1" x14ac:dyDescent="0.2"/>
    <row r="6163" s="20" customFormat="1" x14ac:dyDescent="0.2"/>
    <row r="6164" s="20" customFormat="1" x14ac:dyDescent="0.2"/>
    <row r="6165" s="20" customFormat="1" x14ac:dyDescent="0.2"/>
    <row r="6166" s="20" customFormat="1" x14ac:dyDescent="0.2"/>
    <row r="6167" s="20" customFormat="1" x14ac:dyDescent="0.2"/>
    <row r="6168" s="20" customFormat="1" x14ac:dyDescent="0.2"/>
    <row r="6169" s="20" customFormat="1" x14ac:dyDescent="0.2"/>
    <row r="6170" s="20" customFormat="1" x14ac:dyDescent="0.2"/>
    <row r="6171" s="20" customFormat="1" x14ac:dyDescent="0.2"/>
    <row r="6172" s="20" customFormat="1" x14ac:dyDescent="0.2"/>
    <row r="6173" s="20" customFormat="1" x14ac:dyDescent="0.2"/>
    <row r="6174" s="20" customFormat="1" x14ac:dyDescent="0.2"/>
    <row r="6175" s="20" customFormat="1" x14ac:dyDescent="0.2"/>
    <row r="6176" s="20" customFormat="1" x14ac:dyDescent="0.2"/>
    <row r="6177" s="20" customFormat="1" x14ac:dyDescent="0.2"/>
    <row r="6178" s="20" customFormat="1" x14ac:dyDescent="0.2"/>
    <row r="6179" s="20" customFormat="1" x14ac:dyDescent="0.2"/>
    <row r="6180" s="20" customFormat="1" x14ac:dyDescent="0.2"/>
    <row r="6181" s="20" customFormat="1" x14ac:dyDescent="0.2"/>
    <row r="6182" s="20" customFormat="1" x14ac:dyDescent="0.2"/>
    <row r="6183" s="20" customFormat="1" x14ac:dyDescent="0.2"/>
    <row r="6184" s="20" customFormat="1" x14ac:dyDescent="0.2"/>
    <row r="6185" s="20" customFormat="1" x14ac:dyDescent="0.2"/>
    <row r="6186" s="20" customFormat="1" x14ac:dyDescent="0.2"/>
    <row r="6187" s="20" customFormat="1" x14ac:dyDescent="0.2"/>
    <row r="6188" s="20" customFormat="1" x14ac:dyDescent="0.2"/>
    <row r="6189" s="20" customFormat="1" x14ac:dyDescent="0.2"/>
    <row r="6190" s="20" customFormat="1" x14ac:dyDescent="0.2"/>
    <row r="6191" s="20" customFormat="1" x14ac:dyDescent="0.2"/>
    <row r="6192" s="20" customFormat="1" x14ac:dyDescent="0.2"/>
    <row r="6193" s="20" customFormat="1" x14ac:dyDescent="0.2"/>
    <row r="6194" s="20" customFormat="1" x14ac:dyDescent="0.2"/>
    <row r="6195" s="20" customFormat="1" x14ac:dyDescent="0.2"/>
    <row r="6196" s="20" customFormat="1" x14ac:dyDescent="0.2"/>
    <row r="6197" s="20" customFormat="1" x14ac:dyDescent="0.2"/>
    <row r="6198" s="20" customFormat="1" x14ac:dyDescent="0.2"/>
    <row r="6199" s="20" customFormat="1" x14ac:dyDescent="0.2"/>
    <row r="6200" s="20" customFormat="1" x14ac:dyDescent="0.2"/>
    <row r="6201" s="20" customFormat="1" x14ac:dyDescent="0.2"/>
    <row r="6202" s="20" customFormat="1" x14ac:dyDescent="0.2"/>
    <row r="6203" s="20" customFormat="1" x14ac:dyDescent="0.2"/>
    <row r="6204" s="20" customFormat="1" x14ac:dyDescent="0.2"/>
    <row r="6205" s="20" customFormat="1" x14ac:dyDescent="0.2"/>
    <row r="6206" s="20" customFormat="1" x14ac:dyDescent="0.2"/>
    <row r="6207" s="20" customFormat="1" x14ac:dyDescent="0.2"/>
    <row r="6208" s="20" customFormat="1" x14ac:dyDescent="0.2"/>
    <row r="6209" s="20" customFormat="1" x14ac:dyDescent="0.2"/>
    <row r="6210" s="20" customFormat="1" x14ac:dyDescent="0.2"/>
    <row r="6211" s="20" customFormat="1" x14ac:dyDescent="0.2"/>
    <row r="6212" s="20" customFormat="1" x14ac:dyDescent="0.2"/>
    <row r="6213" s="20" customFormat="1" x14ac:dyDescent="0.2"/>
    <row r="6214" s="20" customFormat="1" x14ac:dyDescent="0.2"/>
    <row r="6215" s="20" customFormat="1" x14ac:dyDescent="0.2"/>
    <row r="6216" s="20" customFormat="1" x14ac:dyDescent="0.2"/>
    <row r="6217" s="20" customFormat="1" x14ac:dyDescent="0.2"/>
    <row r="6218" s="20" customFormat="1" x14ac:dyDescent="0.2"/>
    <row r="6219" s="20" customFormat="1" x14ac:dyDescent="0.2"/>
    <row r="6220" s="20" customFormat="1" x14ac:dyDescent="0.2"/>
    <row r="6221" s="20" customFormat="1" x14ac:dyDescent="0.2"/>
    <row r="6222" s="20" customFormat="1" x14ac:dyDescent="0.2"/>
    <row r="6223" s="20" customFormat="1" x14ac:dyDescent="0.2"/>
    <row r="6224" s="20" customFormat="1" x14ac:dyDescent="0.2"/>
    <row r="6225" s="20" customFormat="1" x14ac:dyDescent="0.2"/>
    <row r="6226" s="20" customFormat="1" x14ac:dyDescent="0.2"/>
    <row r="6227" s="20" customFormat="1" x14ac:dyDescent="0.2"/>
    <row r="6228" s="20" customFormat="1" x14ac:dyDescent="0.2"/>
    <row r="6229" s="20" customFormat="1" x14ac:dyDescent="0.2"/>
    <row r="6230" s="20" customFormat="1" x14ac:dyDescent="0.2"/>
    <row r="6231" s="20" customFormat="1" x14ac:dyDescent="0.2"/>
    <row r="6232" s="20" customFormat="1" x14ac:dyDescent="0.2"/>
    <row r="6233" s="20" customFormat="1" x14ac:dyDescent="0.2"/>
    <row r="6234" s="20" customFormat="1" x14ac:dyDescent="0.2"/>
    <row r="6235" s="20" customFormat="1" x14ac:dyDescent="0.2"/>
    <row r="6236" s="20" customFormat="1" x14ac:dyDescent="0.2"/>
    <row r="6237" s="20" customFormat="1" x14ac:dyDescent="0.2"/>
    <row r="6238" s="20" customFormat="1" x14ac:dyDescent="0.2"/>
    <row r="6239" s="20" customFormat="1" x14ac:dyDescent="0.2"/>
    <row r="6240" s="20" customFormat="1" x14ac:dyDescent="0.2"/>
    <row r="6241" s="20" customFormat="1" x14ac:dyDescent="0.2"/>
    <row r="6242" s="20" customFormat="1" x14ac:dyDescent="0.2"/>
    <row r="6243" s="20" customFormat="1" x14ac:dyDescent="0.2"/>
    <row r="6244" s="20" customFormat="1" x14ac:dyDescent="0.2"/>
    <row r="6245" s="20" customFormat="1" x14ac:dyDescent="0.2"/>
    <row r="6246" s="20" customFormat="1" x14ac:dyDescent="0.2"/>
    <row r="6247" s="20" customFormat="1" x14ac:dyDescent="0.2"/>
    <row r="6248" s="20" customFormat="1" x14ac:dyDescent="0.2"/>
    <row r="6249" s="20" customFormat="1" x14ac:dyDescent="0.2"/>
    <row r="6250" s="20" customFormat="1" x14ac:dyDescent="0.2"/>
    <row r="6251" s="20" customFormat="1" x14ac:dyDescent="0.2"/>
    <row r="6252" s="20" customFormat="1" x14ac:dyDescent="0.2"/>
    <row r="6253" s="20" customFormat="1" x14ac:dyDescent="0.2"/>
    <row r="6254" s="20" customFormat="1" x14ac:dyDescent="0.2"/>
    <row r="6255" s="20" customFormat="1" x14ac:dyDescent="0.2"/>
    <row r="6256" s="20" customFormat="1" x14ac:dyDescent="0.2"/>
    <row r="6257" s="20" customFormat="1" x14ac:dyDescent="0.2"/>
    <row r="6258" s="20" customFormat="1" x14ac:dyDescent="0.2"/>
    <row r="6259" s="20" customFormat="1" x14ac:dyDescent="0.2"/>
    <row r="6260" s="20" customFormat="1" x14ac:dyDescent="0.2"/>
    <row r="6261" s="20" customFormat="1" x14ac:dyDescent="0.2"/>
    <row r="6262" s="20" customFormat="1" x14ac:dyDescent="0.2"/>
    <row r="6263" s="20" customFormat="1" x14ac:dyDescent="0.2"/>
    <row r="6264" s="20" customFormat="1" x14ac:dyDescent="0.2"/>
    <row r="6265" s="20" customFormat="1" x14ac:dyDescent="0.2"/>
    <row r="6266" s="20" customFormat="1" x14ac:dyDescent="0.2"/>
    <row r="6267" s="20" customFormat="1" x14ac:dyDescent="0.2"/>
    <row r="6268" s="20" customFormat="1" x14ac:dyDescent="0.2"/>
    <row r="6269" s="20" customFormat="1" x14ac:dyDescent="0.2"/>
    <row r="6270" s="20" customFormat="1" x14ac:dyDescent="0.2"/>
    <row r="6271" s="20" customFormat="1" x14ac:dyDescent="0.2"/>
    <row r="6272" s="20" customFormat="1" x14ac:dyDescent="0.2"/>
    <row r="6273" s="20" customFormat="1" x14ac:dyDescent="0.2"/>
    <row r="6274" s="20" customFormat="1" x14ac:dyDescent="0.2"/>
    <row r="6275" s="20" customFormat="1" x14ac:dyDescent="0.2"/>
    <row r="6276" s="20" customFormat="1" x14ac:dyDescent="0.2"/>
    <row r="6277" s="20" customFormat="1" x14ac:dyDescent="0.2"/>
    <row r="6278" s="20" customFormat="1" x14ac:dyDescent="0.2"/>
    <row r="6279" s="20" customFormat="1" x14ac:dyDescent="0.2"/>
    <row r="6280" s="20" customFormat="1" x14ac:dyDescent="0.2"/>
    <row r="6281" s="20" customFormat="1" x14ac:dyDescent="0.2"/>
    <row r="6282" s="20" customFormat="1" x14ac:dyDescent="0.2"/>
    <row r="6283" s="20" customFormat="1" x14ac:dyDescent="0.2"/>
    <row r="6284" s="20" customFormat="1" x14ac:dyDescent="0.2"/>
    <row r="6285" s="20" customFormat="1" x14ac:dyDescent="0.2"/>
    <row r="6286" s="20" customFormat="1" x14ac:dyDescent="0.2"/>
    <row r="6287" s="20" customFormat="1" x14ac:dyDescent="0.2"/>
    <row r="6288" s="20" customFormat="1" x14ac:dyDescent="0.2"/>
    <row r="6289" s="20" customFormat="1" x14ac:dyDescent="0.2"/>
    <row r="6290" s="20" customFormat="1" x14ac:dyDescent="0.2"/>
    <row r="6291" s="20" customFormat="1" x14ac:dyDescent="0.2"/>
    <row r="6292" s="20" customFormat="1" x14ac:dyDescent="0.2"/>
    <row r="6293" s="20" customFormat="1" x14ac:dyDescent="0.2"/>
    <row r="6294" s="20" customFormat="1" x14ac:dyDescent="0.2"/>
    <row r="6295" s="20" customFormat="1" x14ac:dyDescent="0.2"/>
    <row r="6296" s="20" customFormat="1" x14ac:dyDescent="0.2"/>
    <row r="6297" s="20" customFormat="1" x14ac:dyDescent="0.2"/>
    <row r="6298" s="20" customFormat="1" x14ac:dyDescent="0.2"/>
    <row r="6299" s="20" customFormat="1" x14ac:dyDescent="0.2"/>
    <row r="6300" s="20" customFormat="1" x14ac:dyDescent="0.2"/>
    <row r="6301" s="20" customFormat="1" x14ac:dyDescent="0.2"/>
    <row r="6302" s="20" customFormat="1" x14ac:dyDescent="0.2"/>
    <row r="6303" s="20" customFormat="1" x14ac:dyDescent="0.2"/>
    <row r="6304" s="20" customFormat="1" x14ac:dyDescent="0.2"/>
    <row r="6305" s="20" customFormat="1" x14ac:dyDescent="0.2"/>
    <row r="6306" s="20" customFormat="1" x14ac:dyDescent="0.2"/>
    <row r="6307" s="20" customFormat="1" x14ac:dyDescent="0.2"/>
    <row r="6308" s="20" customFormat="1" x14ac:dyDescent="0.2"/>
    <row r="6309" s="20" customFormat="1" x14ac:dyDescent="0.2"/>
    <row r="6310" s="20" customFormat="1" x14ac:dyDescent="0.2"/>
    <row r="6311" s="20" customFormat="1" x14ac:dyDescent="0.2"/>
    <row r="6312" s="20" customFormat="1" x14ac:dyDescent="0.2"/>
    <row r="6313" s="20" customFormat="1" x14ac:dyDescent="0.2"/>
    <row r="6314" s="20" customFormat="1" x14ac:dyDescent="0.2"/>
    <row r="6315" s="20" customFormat="1" x14ac:dyDescent="0.2"/>
    <row r="6316" s="20" customFormat="1" x14ac:dyDescent="0.2"/>
    <row r="6317" s="20" customFormat="1" x14ac:dyDescent="0.2"/>
    <row r="6318" s="20" customFormat="1" x14ac:dyDescent="0.2"/>
    <row r="6319" s="20" customFormat="1" x14ac:dyDescent="0.2"/>
    <row r="6320" s="20" customFormat="1" x14ac:dyDescent="0.2"/>
    <row r="6321" s="20" customFormat="1" x14ac:dyDescent="0.2"/>
    <row r="6322" s="20" customFormat="1" x14ac:dyDescent="0.2"/>
    <row r="6323" s="20" customFormat="1" x14ac:dyDescent="0.2"/>
    <row r="6324" s="20" customFormat="1" x14ac:dyDescent="0.2"/>
  </sheetData>
  <protectedRanges>
    <protectedRange sqref="D68 G68" name="Rango4_5_1_1_1_1_1_1_8_2"/>
    <protectedRange sqref="D51:D52" name="Rango4_5_1_1_1_1_1_1_8_2_1"/>
    <protectedRange sqref="D41" name="Rango4_5_1_1_1_1_1_1_8"/>
  </protectedRanges>
  <mergeCells count="7">
    <mergeCell ref="B72:C72"/>
    <mergeCell ref="A2:H2"/>
    <mergeCell ref="A3:H3"/>
    <mergeCell ref="A4:H4"/>
    <mergeCell ref="A7:H7"/>
    <mergeCell ref="A5:H5"/>
    <mergeCell ref="A6:H6"/>
  </mergeCells>
  <phoneticPr fontId="0" type="noConversion"/>
  <printOptions verticalCentered="1"/>
  <pageMargins left="2.0472440944881889" right="0.78740157480314965" top="0.82677165354330717" bottom="0.78740157480314965" header="0.78740157480314965" footer="0.51181102362204722"/>
  <pageSetup paperSize="5" scale="75" firstPageNumber="0"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527"/>
  <sheetViews>
    <sheetView zoomScale="120" zoomScaleNormal="120" workbookViewId="0">
      <selection activeCell="C12" sqref="C12"/>
    </sheetView>
  </sheetViews>
  <sheetFormatPr baseColWidth="10" defaultColWidth="11.5703125" defaultRowHeight="12.75" x14ac:dyDescent="0.2"/>
  <cols>
    <col min="1" max="1" width="8.42578125" style="3" customWidth="1"/>
    <col min="2" max="2" width="28.42578125" style="3" customWidth="1"/>
    <col min="3" max="3" width="22.85546875" customWidth="1"/>
    <col min="4" max="4" width="10.28515625" customWidth="1"/>
    <col min="5" max="5" width="11" customWidth="1"/>
    <col min="6" max="6" width="9.28515625" hidden="1" customWidth="1"/>
    <col min="7" max="7" width="11.85546875" customWidth="1"/>
    <col min="8" max="9" width="12.85546875" customWidth="1"/>
    <col min="10" max="10" width="12" customWidth="1"/>
    <col min="11" max="12" width="11.42578125" customWidth="1"/>
    <col min="13" max="13" width="14.42578125" customWidth="1"/>
    <col min="14" max="14" width="12.5703125" customWidth="1"/>
    <col min="15" max="15" width="11" customWidth="1"/>
    <col min="16" max="16" width="14.85546875" customWidth="1"/>
    <col min="20" max="20" width="13.7109375" customWidth="1"/>
    <col min="21" max="21" width="11.5703125" customWidth="1"/>
    <col min="22" max="22" width="13.5703125" customWidth="1"/>
  </cols>
  <sheetData>
    <row r="1" spans="1:39" x14ac:dyDescent="0.2">
      <c r="P1" s="7"/>
      <c r="Q1" s="7"/>
      <c r="R1" s="7"/>
      <c r="S1" s="7"/>
      <c r="T1" s="7"/>
      <c r="U1" s="7"/>
      <c r="V1" s="7"/>
      <c r="W1" s="7"/>
      <c r="X1" s="7"/>
      <c r="Y1" s="7"/>
      <c r="Z1" s="7"/>
      <c r="AA1" s="7"/>
      <c r="AB1" s="7"/>
    </row>
    <row r="2" spans="1:39" ht="19.5" x14ac:dyDescent="0.3">
      <c r="A2" s="292" t="s">
        <v>4</v>
      </c>
      <c r="B2" s="292"/>
      <c r="C2" s="292"/>
      <c r="D2" s="292"/>
      <c r="E2" s="292"/>
      <c r="F2" s="292"/>
      <c r="G2" s="292"/>
      <c r="H2" s="292"/>
      <c r="I2" s="292"/>
      <c r="J2" s="292"/>
      <c r="K2" s="292"/>
      <c r="L2" s="292"/>
      <c r="M2" s="292"/>
      <c r="N2" s="292"/>
      <c r="O2" s="292"/>
      <c r="P2" s="7"/>
      <c r="Q2" s="7"/>
      <c r="R2" s="7"/>
      <c r="S2" s="7"/>
      <c r="T2" s="7"/>
      <c r="U2" s="7"/>
      <c r="V2" s="7"/>
      <c r="W2" s="7"/>
      <c r="X2" s="7"/>
      <c r="Y2" s="7"/>
      <c r="Z2" s="7"/>
      <c r="AA2" s="7"/>
      <c r="AB2" s="7"/>
    </row>
    <row r="3" spans="1:39" ht="19.5" x14ac:dyDescent="0.3">
      <c r="A3" s="287" t="s">
        <v>5</v>
      </c>
      <c r="B3" s="287"/>
      <c r="C3" s="287"/>
      <c r="D3" s="287"/>
      <c r="E3" s="287"/>
      <c r="F3" s="287"/>
      <c r="G3" s="287"/>
      <c r="H3" s="287"/>
      <c r="I3" s="287"/>
      <c r="J3" s="287"/>
      <c r="K3" s="287"/>
      <c r="L3" s="287"/>
      <c r="M3" s="287"/>
      <c r="N3" s="287"/>
      <c r="O3" s="287"/>
      <c r="P3" s="7"/>
      <c r="Q3" s="7"/>
      <c r="R3" s="7"/>
      <c r="S3" s="7"/>
      <c r="T3" s="7"/>
      <c r="U3" s="7"/>
      <c r="V3" s="7"/>
      <c r="W3" s="7"/>
      <c r="X3" s="7"/>
      <c r="Y3" s="7"/>
      <c r="Z3" s="7"/>
      <c r="AA3" s="7"/>
      <c r="AB3" s="7"/>
    </row>
    <row r="4" spans="1:39" x14ac:dyDescent="0.2">
      <c r="A4" s="288" t="s">
        <v>381</v>
      </c>
      <c r="B4" s="288"/>
      <c r="C4" s="288"/>
      <c r="D4" s="288"/>
      <c r="E4" s="288"/>
      <c r="F4" s="288"/>
      <c r="G4" s="288"/>
      <c r="H4" s="288"/>
      <c r="I4" s="288"/>
      <c r="J4" s="288"/>
      <c r="K4" s="288"/>
      <c r="L4" s="288"/>
      <c r="M4" s="288"/>
      <c r="N4" s="288"/>
      <c r="O4" s="288"/>
      <c r="P4" s="7"/>
      <c r="Q4" s="7"/>
      <c r="R4" s="7"/>
      <c r="S4" s="7"/>
      <c r="T4" s="7"/>
      <c r="U4" s="7"/>
      <c r="V4" s="7"/>
      <c r="W4" s="7"/>
      <c r="X4" s="7"/>
      <c r="Y4" s="7"/>
      <c r="Z4" s="7"/>
      <c r="AA4" s="7"/>
      <c r="AB4" s="7"/>
    </row>
    <row r="5" spans="1:39" x14ac:dyDescent="0.2">
      <c r="A5" s="289" t="s">
        <v>12</v>
      </c>
      <c r="B5" s="289"/>
      <c r="C5" s="289"/>
      <c r="D5" s="289"/>
      <c r="E5" s="289"/>
      <c r="F5" s="289"/>
      <c r="G5" s="289"/>
      <c r="H5" s="289"/>
      <c r="I5" s="289"/>
      <c r="J5" s="289"/>
      <c r="K5" s="289"/>
      <c r="L5" s="289"/>
      <c r="M5" s="289"/>
      <c r="N5" s="289"/>
      <c r="O5" s="289"/>
      <c r="P5" s="7"/>
      <c r="Q5" s="7"/>
      <c r="R5" s="7"/>
      <c r="S5" s="7"/>
      <c r="T5" s="7"/>
      <c r="U5" s="7"/>
      <c r="V5" s="7"/>
      <c r="W5" s="7"/>
      <c r="X5" s="7"/>
      <c r="Y5" s="7"/>
      <c r="Z5" s="7"/>
      <c r="AA5" s="7"/>
      <c r="AB5" s="7"/>
    </row>
    <row r="6" spans="1:39" x14ac:dyDescent="0.2">
      <c r="A6" s="289" t="s">
        <v>6</v>
      </c>
      <c r="B6" s="289"/>
      <c r="C6" s="289"/>
      <c r="D6" s="289"/>
      <c r="E6" s="289"/>
      <c r="F6" s="289"/>
      <c r="G6" s="289"/>
      <c r="H6" s="289"/>
      <c r="I6" s="289"/>
      <c r="J6" s="289"/>
      <c r="K6" s="289"/>
      <c r="L6" s="289"/>
      <c r="M6" s="289"/>
      <c r="N6" s="289"/>
      <c r="O6" s="289"/>
      <c r="P6" s="7"/>
      <c r="Q6" s="7"/>
      <c r="R6" s="7"/>
      <c r="S6" s="7"/>
      <c r="T6" s="7"/>
      <c r="U6" s="7"/>
      <c r="V6" s="7"/>
      <c r="W6" s="7"/>
      <c r="X6" s="7"/>
      <c r="Y6" s="7"/>
      <c r="Z6" s="7"/>
      <c r="AA6" s="7"/>
      <c r="AB6" s="7"/>
    </row>
    <row r="7" spans="1:39" x14ac:dyDescent="0.2">
      <c r="A7" s="256" t="s">
        <v>1050</v>
      </c>
      <c r="B7" s="256"/>
      <c r="C7" s="256"/>
      <c r="D7" s="256"/>
      <c r="E7" s="256"/>
      <c r="F7" s="256"/>
      <c r="G7" s="256"/>
      <c r="H7" s="256"/>
      <c r="I7" s="256"/>
      <c r="J7" s="256"/>
      <c r="K7" s="256"/>
      <c r="L7" s="256"/>
      <c r="M7" s="256"/>
      <c r="N7" s="256"/>
      <c r="O7" s="256"/>
      <c r="P7" s="15"/>
      <c r="Q7" s="15"/>
      <c r="R7" s="15"/>
      <c r="S7" s="15"/>
      <c r="T7" s="15"/>
      <c r="U7" s="15"/>
      <c r="V7" s="15"/>
      <c r="W7" s="7"/>
      <c r="X7" s="7"/>
      <c r="Y7" s="7"/>
      <c r="Z7" s="7"/>
      <c r="AA7" s="7"/>
      <c r="AB7" s="7"/>
    </row>
    <row r="8" spans="1:39" ht="13.5" thickBot="1" x14ac:dyDescent="0.25">
      <c r="K8" s="1"/>
      <c r="L8" s="1"/>
      <c r="P8" s="7"/>
      <c r="Q8" s="7"/>
      <c r="R8" s="7"/>
      <c r="S8" s="7"/>
      <c r="T8" s="7"/>
      <c r="U8" s="7"/>
      <c r="V8" s="7"/>
      <c r="W8" s="7"/>
      <c r="X8" s="7"/>
      <c r="Y8" s="7"/>
      <c r="Z8" s="7"/>
      <c r="AA8" s="7"/>
      <c r="AB8" s="7"/>
    </row>
    <row r="9" spans="1:39" s="2" customFormat="1" ht="12.95" customHeight="1" x14ac:dyDescent="0.2">
      <c r="A9" s="267" t="s">
        <v>7</v>
      </c>
      <c r="B9" s="282" t="s">
        <v>13</v>
      </c>
      <c r="C9" s="248" t="s">
        <v>14</v>
      </c>
      <c r="D9" s="269" t="s">
        <v>1035</v>
      </c>
      <c r="E9" s="264" t="s">
        <v>3</v>
      </c>
      <c r="F9" s="265"/>
      <c r="G9" s="265"/>
      <c r="H9" s="265"/>
      <c r="I9" s="265"/>
      <c r="J9" s="266"/>
      <c r="K9" s="264" t="s">
        <v>25</v>
      </c>
      <c r="L9" s="265"/>
      <c r="M9" s="266"/>
      <c r="N9" s="269" t="s">
        <v>326</v>
      </c>
      <c r="O9" s="244" t="s">
        <v>959</v>
      </c>
      <c r="P9" s="16"/>
      <c r="Q9" s="16"/>
      <c r="R9" s="16"/>
      <c r="S9" s="16"/>
      <c r="T9" s="16"/>
      <c r="U9" s="16"/>
      <c r="V9" s="16"/>
      <c r="W9" s="16"/>
      <c r="X9" s="16"/>
      <c r="Y9" s="16"/>
      <c r="Z9" s="16"/>
      <c r="AA9" s="16"/>
      <c r="AB9" s="16"/>
    </row>
    <row r="10" spans="1:39" s="2" customFormat="1" ht="25.5" x14ac:dyDescent="0.2">
      <c r="A10" s="268"/>
      <c r="B10" s="283"/>
      <c r="C10" s="249"/>
      <c r="D10" s="270"/>
      <c r="E10" s="185" t="s">
        <v>19</v>
      </c>
      <c r="F10" s="118" t="s">
        <v>1052</v>
      </c>
      <c r="G10" s="185" t="s">
        <v>18</v>
      </c>
      <c r="H10" s="185" t="s">
        <v>1030</v>
      </c>
      <c r="I10" s="185" t="s">
        <v>984</v>
      </c>
      <c r="J10" s="185" t="s">
        <v>8</v>
      </c>
      <c r="K10" s="185" t="s">
        <v>20</v>
      </c>
      <c r="L10" s="185" t="s">
        <v>940</v>
      </c>
      <c r="M10" s="185" t="s">
        <v>512</v>
      </c>
      <c r="N10" s="270"/>
      <c r="O10" s="245"/>
      <c r="P10" s="17"/>
      <c r="Q10" s="16"/>
      <c r="R10" s="16"/>
      <c r="S10" s="16"/>
      <c r="T10" s="16"/>
      <c r="U10" s="16"/>
      <c r="V10" s="16"/>
      <c r="W10" s="16"/>
      <c r="X10" s="16"/>
      <c r="Y10" s="16"/>
      <c r="Z10" s="16"/>
      <c r="AA10" s="16"/>
      <c r="AB10" s="16"/>
    </row>
    <row r="11" spans="1:39" s="20" customFormat="1" ht="27" customHeight="1" x14ac:dyDescent="0.2">
      <c r="A11" s="136">
        <v>1</v>
      </c>
      <c r="B11" s="40" t="s">
        <v>192</v>
      </c>
      <c r="C11" s="40" t="s">
        <v>172</v>
      </c>
      <c r="D11" s="52">
        <v>74.63</v>
      </c>
      <c r="E11" s="52">
        <v>250</v>
      </c>
      <c r="F11" s="117">
        <v>30</v>
      </c>
      <c r="G11" s="52">
        <v>0</v>
      </c>
      <c r="H11" s="52">
        <f>500</f>
        <v>500</v>
      </c>
      <c r="I11" s="52">
        <v>0</v>
      </c>
      <c r="J11" s="28">
        <f t="shared" ref="J11:J42" si="0">(D11*F11)+E11+G11+H11</f>
        <v>2988.9</v>
      </c>
      <c r="K11" s="28">
        <f t="shared" ref="K11:K42" si="1">(D11*F11+G11+H11)*4.83%</f>
        <v>132.29</v>
      </c>
      <c r="L11" s="144">
        <v>0</v>
      </c>
      <c r="M11" s="28">
        <f>K11+L11</f>
        <v>132.29</v>
      </c>
      <c r="N11" s="28">
        <f t="shared" ref="N11:N43" si="2">J11-M11</f>
        <v>2856.61</v>
      </c>
      <c r="O11" s="28">
        <v>0</v>
      </c>
      <c r="P11" s="19"/>
      <c r="Q11" s="19"/>
      <c r="R11" s="19"/>
      <c r="S11" s="19"/>
      <c r="T11" s="19"/>
      <c r="U11" s="19"/>
      <c r="V11" s="19"/>
      <c r="W11" s="19"/>
      <c r="X11" s="18"/>
      <c r="Y11" s="18"/>
      <c r="Z11" s="18"/>
      <c r="AA11" s="18"/>
      <c r="AB11" s="18"/>
      <c r="AC11" s="18"/>
      <c r="AD11" s="18"/>
      <c r="AE11" s="18"/>
      <c r="AF11" s="18"/>
      <c r="AG11" s="18"/>
      <c r="AH11" s="18"/>
      <c r="AI11" s="18"/>
      <c r="AJ11" s="18"/>
      <c r="AK11" s="18"/>
      <c r="AL11" s="18"/>
      <c r="AM11" s="18"/>
    </row>
    <row r="12" spans="1:39" s="20" customFormat="1" ht="27" customHeight="1" x14ac:dyDescent="0.2">
      <c r="A12" s="136">
        <v>2</v>
      </c>
      <c r="B12" s="40" t="s">
        <v>533</v>
      </c>
      <c r="C12" s="40" t="s">
        <v>170</v>
      </c>
      <c r="D12" s="52">
        <v>75.64</v>
      </c>
      <c r="E12" s="52">
        <v>250</v>
      </c>
      <c r="F12" s="117">
        <v>30</v>
      </c>
      <c r="G12" s="52">
        <f>50</f>
        <v>50</v>
      </c>
      <c r="H12" s="52">
        <f>500</f>
        <v>500</v>
      </c>
      <c r="I12" s="52">
        <v>0</v>
      </c>
      <c r="J12" s="28">
        <f t="shared" si="0"/>
        <v>3069.2</v>
      </c>
      <c r="K12" s="28">
        <f t="shared" si="1"/>
        <v>136.16999999999999</v>
      </c>
      <c r="L12" s="28">
        <f>(J12-E12)*11%</f>
        <v>310.11</v>
      </c>
      <c r="M12" s="28">
        <f t="shared" ref="M12:M75" si="3">K12+L12</f>
        <v>446.28</v>
      </c>
      <c r="N12" s="28">
        <f t="shared" si="2"/>
        <v>2622.92</v>
      </c>
      <c r="O12" s="28">
        <v>0</v>
      </c>
      <c r="P12" s="19"/>
      <c r="Q12" s="19"/>
      <c r="R12" s="19"/>
      <c r="S12" s="19"/>
      <c r="T12" s="19"/>
      <c r="U12" s="19"/>
      <c r="V12" s="19"/>
      <c r="W12" s="19"/>
      <c r="X12" s="18"/>
      <c r="Y12" s="18"/>
      <c r="Z12" s="18"/>
      <c r="AA12" s="18"/>
      <c r="AB12" s="18"/>
      <c r="AC12" s="18"/>
      <c r="AD12" s="18"/>
      <c r="AE12" s="18"/>
      <c r="AF12" s="18"/>
      <c r="AG12" s="18"/>
      <c r="AH12" s="18"/>
      <c r="AI12" s="18"/>
      <c r="AJ12" s="18"/>
      <c r="AK12" s="18"/>
      <c r="AL12" s="18"/>
      <c r="AM12" s="18"/>
    </row>
    <row r="13" spans="1:39" s="20" customFormat="1" ht="27" customHeight="1" x14ac:dyDescent="0.2">
      <c r="A13" s="136">
        <v>3</v>
      </c>
      <c r="B13" s="40" t="s">
        <v>543</v>
      </c>
      <c r="C13" s="40" t="s">
        <v>178</v>
      </c>
      <c r="D13" s="52">
        <v>72.540000000000006</v>
      </c>
      <c r="E13" s="52">
        <v>250</v>
      </c>
      <c r="F13" s="117">
        <v>30</v>
      </c>
      <c r="G13" s="52">
        <v>50</v>
      </c>
      <c r="H13" s="52">
        <f>500</f>
        <v>500</v>
      </c>
      <c r="I13" s="52">
        <v>0</v>
      </c>
      <c r="J13" s="28">
        <f t="shared" si="0"/>
        <v>2976.2</v>
      </c>
      <c r="K13" s="28">
        <f t="shared" si="1"/>
        <v>131.68</v>
      </c>
      <c r="L13" s="28">
        <v>0</v>
      </c>
      <c r="M13" s="28">
        <f t="shared" si="3"/>
        <v>131.68</v>
      </c>
      <c r="N13" s="28">
        <f t="shared" si="2"/>
        <v>2844.52</v>
      </c>
      <c r="O13" s="28">
        <v>0</v>
      </c>
      <c r="P13" s="19"/>
      <c r="Q13" s="19"/>
      <c r="R13" s="19"/>
      <c r="S13" s="19"/>
      <c r="T13" s="19"/>
      <c r="U13" s="19"/>
      <c r="V13" s="19"/>
      <c r="W13" s="19"/>
      <c r="X13" s="18"/>
      <c r="Y13" s="18"/>
      <c r="Z13" s="18"/>
      <c r="AA13" s="18"/>
      <c r="AB13" s="18"/>
      <c r="AC13" s="18"/>
      <c r="AD13" s="18"/>
      <c r="AE13" s="18"/>
      <c r="AF13" s="18"/>
      <c r="AG13" s="18"/>
      <c r="AH13" s="18"/>
      <c r="AI13" s="18"/>
      <c r="AJ13" s="18"/>
      <c r="AK13" s="18"/>
      <c r="AL13" s="18"/>
      <c r="AM13" s="18"/>
    </row>
    <row r="14" spans="1:39" s="20" customFormat="1" ht="27" customHeight="1" x14ac:dyDescent="0.2">
      <c r="A14" s="136">
        <v>4</v>
      </c>
      <c r="B14" s="33" t="s">
        <v>521</v>
      </c>
      <c r="C14" s="40" t="s">
        <v>172</v>
      </c>
      <c r="D14" s="52">
        <v>74.63</v>
      </c>
      <c r="E14" s="52">
        <v>250</v>
      </c>
      <c r="F14" s="117">
        <v>30</v>
      </c>
      <c r="G14" s="52">
        <v>0</v>
      </c>
      <c r="H14" s="52">
        <f>500</f>
        <v>500</v>
      </c>
      <c r="I14" s="52">
        <v>0</v>
      </c>
      <c r="J14" s="28">
        <f t="shared" si="0"/>
        <v>2988.9</v>
      </c>
      <c r="K14" s="28">
        <f t="shared" si="1"/>
        <v>132.29</v>
      </c>
      <c r="L14" s="28">
        <f>(J14-E14)*11%</f>
        <v>301.27999999999997</v>
      </c>
      <c r="M14" s="28">
        <f t="shared" si="3"/>
        <v>433.57</v>
      </c>
      <c r="N14" s="28">
        <f t="shared" si="2"/>
        <v>2555.33</v>
      </c>
      <c r="O14" s="28">
        <v>0</v>
      </c>
      <c r="P14" s="19"/>
      <c r="Q14" s="19"/>
      <c r="R14" s="19"/>
      <c r="S14" s="19"/>
      <c r="T14" s="19"/>
      <c r="U14" s="19"/>
      <c r="V14" s="19"/>
      <c r="W14" s="19"/>
      <c r="X14" s="18"/>
      <c r="Y14" s="18"/>
      <c r="Z14" s="18"/>
      <c r="AA14" s="18"/>
      <c r="AB14" s="18"/>
      <c r="AC14" s="18"/>
      <c r="AD14" s="18"/>
      <c r="AE14" s="18"/>
      <c r="AF14" s="18"/>
      <c r="AG14" s="18"/>
      <c r="AH14" s="18"/>
      <c r="AI14" s="18"/>
      <c r="AJ14" s="18"/>
      <c r="AK14" s="18"/>
      <c r="AL14" s="18"/>
      <c r="AM14" s="18"/>
    </row>
    <row r="15" spans="1:39" s="20" customFormat="1" ht="44.25" customHeight="1" x14ac:dyDescent="0.2">
      <c r="A15" s="136">
        <v>5</v>
      </c>
      <c r="B15" s="24" t="s">
        <v>544</v>
      </c>
      <c r="C15" s="47" t="s">
        <v>1031</v>
      </c>
      <c r="D15" s="52">
        <v>78.25</v>
      </c>
      <c r="E15" s="52">
        <v>250</v>
      </c>
      <c r="F15" s="117">
        <v>30</v>
      </c>
      <c r="G15" s="52">
        <v>0</v>
      </c>
      <c r="H15" s="52">
        <f>500</f>
        <v>500</v>
      </c>
      <c r="I15" s="52">
        <v>0</v>
      </c>
      <c r="J15" s="28">
        <f t="shared" si="0"/>
        <v>3097.5</v>
      </c>
      <c r="K15" s="28">
        <f t="shared" si="1"/>
        <v>137.53</v>
      </c>
      <c r="L15" s="28">
        <v>0</v>
      </c>
      <c r="M15" s="28">
        <f t="shared" si="3"/>
        <v>137.53</v>
      </c>
      <c r="N15" s="28">
        <f t="shared" si="2"/>
        <v>2959.97</v>
      </c>
      <c r="O15" s="28">
        <v>0</v>
      </c>
      <c r="P15" s="19"/>
      <c r="Q15" s="19"/>
      <c r="R15" s="19"/>
      <c r="S15" s="19"/>
      <c r="T15" s="19"/>
      <c r="U15" s="19"/>
      <c r="V15" s="19"/>
      <c r="W15" s="19"/>
      <c r="X15" s="18"/>
      <c r="Y15" s="18"/>
      <c r="Z15" s="18"/>
      <c r="AA15" s="18"/>
      <c r="AB15" s="18"/>
      <c r="AC15" s="18"/>
      <c r="AD15" s="18"/>
      <c r="AE15" s="18"/>
      <c r="AF15" s="18"/>
      <c r="AG15" s="18"/>
      <c r="AH15" s="18"/>
      <c r="AI15" s="18"/>
      <c r="AJ15" s="18"/>
      <c r="AK15" s="18"/>
      <c r="AL15" s="18"/>
      <c r="AM15" s="18"/>
    </row>
    <row r="16" spans="1:39" s="20" customFormat="1" ht="27" customHeight="1" x14ac:dyDescent="0.2">
      <c r="A16" s="136">
        <v>6</v>
      </c>
      <c r="B16" s="111" t="s">
        <v>534</v>
      </c>
      <c r="C16" s="40" t="s">
        <v>172</v>
      </c>
      <c r="D16" s="52">
        <v>74.63</v>
      </c>
      <c r="E16" s="52">
        <v>250</v>
      </c>
      <c r="F16" s="117">
        <v>30</v>
      </c>
      <c r="G16" s="52">
        <v>0</v>
      </c>
      <c r="H16" s="52">
        <f>500</f>
        <v>500</v>
      </c>
      <c r="I16" s="52">
        <v>0</v>
      </c>
      <c r="J16" s="28">
        <f t="shared" si="0"/>
        <v>2988.9</v>
      </c>
      <c r="K16" s="28">
        <f t="shared" si="1"/>
        <v>132.29</v>
      </c>
      <c r="L16" s="28">
        <v>0</v>
      </c>
      <c r="M16" s="28">
        <f t="shared" si="3"/>
        <v>132.29</v>
      </c>
      <c r="N16" s="28">
        <f t="shared" si="2"/>
        <v>2856.61</v>
      </c>
      <c r="O16" s="28">
        <v>0</v>
      </c>
      <c r="P16" s="19"/>
      <c r="Q16" s="19"/>
      <c r="R16" s="19"/>
      <c r="S16" s="19"/>
      <c r="T16" s="19"/>
      <c r="U16" s="19"/>
      <c r="V16" s="19"/>
      <c r="W16" s="19"/>
      <c r="X16" s="18"/>
      <c r="Y16" s="18"/>
      <c r="Z16" s="18"/>
      <c r="AA16" s="18"/>
      <c r="AB16" s="18"/>
      <c r="AC16" s="18"/>
      <c r="AD16" s="18"/>
      <c r="AE16" s="18"/>
      <c r="AF16" s="18"/>
      <c r="AG16" s="18"/>
      <c r="AH16" s="18"/>
      <c r="AI16" s="18"/>
      <c r="AJ16" s="18"/>
      <c r="AK16" s="18"/>
      <c r="AL16" s="18"/>
      <c r="AM16" s="18"/>
    </row>
    <row r="17" spans="1:39" s="20" customFormat="1" ht="27" customHeight="1" x14ac:dyDescent="0.2">
      <c r="A17" s="136">
        <v>7</v>
      </c>
      <c r="B17" s="40" t="s">
        <v>522</v>
      </c>
      <c r="C17" s="40" t="s">
        <v>29</v>
      </c>
      <c r="D17" s="52">
        <v>71.400000000000006</v>
      </c>
      <c r="E17" s="52">
        <v>250</v>
      </c>
      <c r="F17" s="117">
        <v>30</v>
      </c>
      <c r="G17" s="52">
        <f>50</f>
        <v>50</v>
      </c>
      <c r="H17" s="52">
        <f>500</f>
        <v>500</v>
      </c>
      <c r="I17" s="52">
        <v>0</v>
      </c>
      <c r="J17" s="28">
        <f t="shared" si="0"/>
        <v>2942</v>
      </c>
      <c r="K17" s="28">
        <f t="shared" si="1"/>
        <v>130.02000000000001</v>
      </c>
      <c r="L17" s="28">
        <v>0</v>
      </c>
      <c r="M17" s="28">
        <f t="shared" si="3"/>
        <v>130.02000000000001</v>
      </c>
      <c r="N17" s="28">
        <f t="shared" si="2"/>
        <v>2811.98</v>
      </c>
      <c r="O17" s="28">
        <v>0</v>
      </c>
      <c r="P17" s="19"/>
      <c r="Q17" s="19"/>
      <c r="R17" s="19"/>
      <c r="S17" s="19"/>
      <c r="T17" s="19"/>
      <c r="U17" s="19"/>
      <c r="V17" s="19"/>
      <c r="W17" s="19"/>
      <c r="X17" s="18"/>
      <c r="Y17" s="18"/>
      <c r="Z17" s="18"/>
      <c r="AA17" s="18"/>
      <c r="AB17" s="18"/>
      <c r="AC17" s="18"/>
      <c r="AD17" s="18"/>
      <c r="AE17" s="18"/>
      <c r="AF17" s="18"/>
      <c r="AG17" s="18"/>
      <c r="AH17" s="18"/>
      <c r="AI17" s="18"/>
      <c r="AJ17" s="18"/>
      <c r="AK17" s="18"/>
      <c r="AL17" s="18"/>
      <c r="AM17" s="18"/>
    </row>
    <row r="18" spans="1:39" s="20" customFormat="1" ht="27" customHeight="1" x14ac:dyDescent="0.2">
      <c r="A18" s="136">
        <v>8</v>
      </c>
      <c r="B18" s="40" t="s">
        <v>135</v>
      </c>
      <c r="C18" s="40" t="s">
        <v>170</v>
      </c>
      <c r="D18" s="52">
        <v>75.64</v>
      </c>
      <c r="E18" s="52">
        <v>250</v>
      </c>
      <c r="F18" s="117">
        <v>30</v>
      </c>
      <c r="G18" s="52">
        <f>35</f>
        <v>35</v>
      </c>
      <c r="H18" s="52">
        <f>500</f>
        <v>500</v>
      </c>
      <c r="I18" s="52">
        <v>0</v>
      </c>
      <c r="J18" s="28">
        <f t="shared" si="0"/>
        <v>3054.2</v>
      </c>
      <c r="K18" s="28">
        <f t="shared" si="1"/>
        <v>135.44</v>
      </c>
      <c r="L18" s="28">
        <f>(J18-E18)*11%</f>
        <v>308.45999999999998</v>
      </c>
      <c r="M18" s="28">
        <f t="shared" si="3"/>
        <v>443.9</v>
      </c>
      <c r="N18" s="28">
        <f t="shared" si="2"/>
        <v>2610.3000000000002</v>
      </c>
      <c r="O18" s="28">
        <v>0</v>
      </c>
      <c r="P18" s="19"/>
      <c r="Q18" s="19"/>
      <c r="R18" s="19"/>
      <c r="S18" s="19"/>
      <c r="T18" s="19"/>
      <c r="U18" s="19"/>
      <c r="V18" s="19"/>
      <c r="W18" s="19"/>
      <c r="X18" s="18"/>
      <c r="Y18" s="18"/>
      <c r="Z18" s="18"/>
      <c r="AA18" s="18"/>
      <c r="AB18" s="18"/>
      <c r="AC18" s="18"/>
      <c r="AD18" s="18"/>
      <c r="AE18" s="18"/>
      <c r="AF18" s="18"/>
      <c r="AG18" s="18"/>
      <c r="AH18" s="18"/>
      <c r="AI18" s="18"/>
      <c r="AJ18" s="18"/>
      <c r="AK18" s="18"/>
      <c r="AL18" s="18"/>
      <c r="AM18" s="18"/>
    </row>
    <row r="19" spans="1:39" s="20" customFormat="1" ht="27" customHeight="1" x14ac:dyDescent="0.2">
      <c r="A19" s="136">
        <v>9</v>
      </c>
      <c r="B19" s="40" t="s">
        <v>137</v>
      </c>
      <c r="C19" s="40" t="s">
        <v>29</v>
      </c>
      <c r="D19" s="52">
        <v>71.400000000000006</v>
      </c>
      <c r="E19" s="52">
        <v>250</v>
      </c>
      <c r="F19" s="117">
        <v>30</v>
      </c>
      <c r="G19" s="52">
        <v>50</v>
      </c>
      <c r="H19" s="52">
        <f>500</f>
        <v>500</v>
      </c>
      <c r="I19" s="52">
        <v>0</v>
      </c>
      <c r="J19" s="28">
        <f t="shared" si="0"/>
        <v>2942</v>
      </c>
      <c r="K19" s="28">
        <f t="shared" si="1"/>
        <v>130.02000000000001</v>
      </c>
      <c r="L19" s="28">
        <v>0</v>
      </c>
      <c r="M19" s="28">
        <f t="shared" si="3"/>
        <v>130.02000000000001</v>
      </c>
      <c r="N19" s="28">
        <f t="shared" si="2"/>
        <v>2811.98</v>
      </c>
      <c r="O19" s="28">
        <v>0</v>
      </c>
      <c r="P19" s="19"/>
      <c r="Q19" s="19"/>
      <c r="R19" s="19"/>
      <c r="S19" s="19"/>
      <c r="T19" s="19"/>
      <c r="U19" s="19"/>
      <c r="V19" s="19"/>
      <c r="W19" s="19"/>
      <c r="X19" s="18"/>
      <c r="Y19" s="18"/>
      <c r="Z19" s="18"/>
      <c r="AA19" s="18"/>
      <c r="AB19" s="18"/>
      <c r="AC19" s="18"/>
      <c r="AD19" s="18"/>
      <c r="AE19" s="18"/>
      <c r="AF19" s="18"/>
      <c r="AG19" s="18"/>
      <c r="AH19" s="18"/>
      <c r="AI19" s="18"/>
      <c r="AJ19" s="18"/>
      <c r="AK19" s="18"/>
      <c r="AL19" s="18"/>
      <c r="AM19" s="18"/>
    </row>
    <row r="20" spans="1:39" s="20" customFormat="1" ht="27" customHeight="1" x14ac:dyDescent="0.2">
      <c r="A20" s="136">
        <v>10</v>
      </c>
      <c r="B20" s="40" t="s">
        <v>528</v>
      </c>
      <c r="C20" s="40" t="s">
        <v>30</v>
      </c>
      <c r="D20" s="52">
        <v>72.540000000000006</v>
      </c>
      <c r="E20" s="52">
        <v>250</v>
      </c>
      <c r="F20" s="117">
        <v>30</v>
      </c>
      <c r="G20" s="52">
        <f>35</f>
        <v>35</v>
      </c>
      <c r="H20" s="52">
        <f>500</f>
        <v>500</v>
      </c>
      <c r="I20" s="52">
        <v>0</v>
      </c>
      <c r="J20" s="28">
        <f t="shared" si="0"/>
        <v>2961.2</v>
      </c>
      <c r="K20" s="28">
        <f t="shared" si="1"/>
        <v>130.94999999999999</v>
      </c>
      <c r="L20" s="28">
        <v>0</v>
      </c>
      <c r="M20" s="28">
        <f t="shared" si="3"/>
        <v>130.94999999999999</v>
      </c>
      <c r="N20" s="28">
        <f t="shared" si="2"/>
        <v>2830.25</v>
      </c>
      <c r="O20" s="28">
        <v>0</v>
      </c>
      <c r="P20" s="19"/>
      <c r="Q20" s="19"/>
      <c r="R20" s="19"/>
      <c r="S20" s="19"/>
      <c r="T20" s="19"/>
      <c r="U20" s="19"/>
      <c r="V20" s="19"/>
      <c r="W20" s="19"/>
      <c r="X20" s="18"/>
      <c r="Y20" s="18"/>
      <c r="Z20" s="18"/>
      <c r="AA20" s="18"/>
      <c r="AB20" s="18"/>
      <c r="AC20" s="18"/>
      <c r="AD20" s="18"/>
      <c r="AE20" s="18"/>
      <c r="AF20" s="18"/>
      <c r="AG20" s="18"/>
      <c r="AH20" s="18"/>
      <c r="AI20" s="18"/>
      <c r="AJ20" s="18"/>
      <c r="AK20" s="18"/>
      <c r="AL20" s="18"/>
      <c r="AM20" s="18"/>
    </row>
    <row r="21" spans="1:39" s="20" customFormat="1" ht="27" customHeight="1" x14ac:dyDescent="0.2">
      <c r="A21" s="136">
        <v>11</v>
      </c>
      <c r="B21" s="40" t="s">
        <v>545</v>
      </c>
      <c r="C21" s="40" t="s">
        <v>170</v>
      </c>
      <c r="D21" s="52">
        <v>75.64</v>
      </c>
      <c r="E21" s="52">
        <v>250</v>
      </c>
      <c r="F21" s="117">
        <v>30</v>
      </c>
      <c r="G21" s="52">
        <f>35</f>
        <v>35</v>
      </c>
      <c r="H21" s="52">
        <f>500</f>
        <v>500</v>
      </c>
      <c r="I21" s="52">
        <v>0</v>
      </c>
      <c r="J21" s="28">
        <f t="shared" si="0"/>
        <v>3054.2</v>
      </c>
      <c r="K21" s="28">
        <f t="shared" si="1"/>
        <v>135.44</v>
      </c>
      <c r="L21" s="28">
        <f>(J21-E21)*11%</f>
        <v>308.45999999999998</v>
      </c>
      <c r="M21" s="28">
        <f t="shared" si="3"/>
        <v>443.9</v>
      </c>
      <c r="N21" s="28">
        <f t="shared" si="2"/>
        <v>2610.3000000000002</v>
      </c>
      <c r="O21" s="28">
        <v>0</v>
      </c>
      <c r="P21" s="19"/>
      <c r="Q21" s="19"/>
      <c r="R21" s="19"/>
      <c r="S21" s="19"/>
      <c r="T21" s="19"/>
      <c r="U21" s="19"/>
      <c r="V21" s="19"/>
      <c r="W21" s="19"/>
      <c r="X21" s="18"/>
      <c r="Y21" s="18"/>
      <c r="Z21" s="18"/>
      <c r="AA21" s="18"/>
      <c r="AB21" s="18"/>
      <c r="AC21" s="18"/>
      <c r="AD21" s="18"/>
      <c r="AE21" s="18"/>
      <c r="AF21" s="18"/>
      <c r="AG21" s="18"/>
      <c r="AH21" s="18"/>
      <c r="AI21" s="18"/>
      <c r="AJ21" s="18"/>
      <c r="AK21" s="18"/>
      <c r="AL21" s="18"/>
      <c r="AM21" s="18"/>
    </row>
    <row r="22" spans="1:39" s="20" customFormat="1" ht="27" customHeight="1" x14ac:dyDescent="0.2">
      <c r="A22" s="136">
        <v>12</v>
      </c>
      <c r="B22" s="24" t="s">
        <v>247</v>
      </c>
      <c r="C22" s="40" t="s">
        <v>172</v>
      </c>
      <c r="D22" s="112">
        <v>74.63</v>
      </c>
      <c r="E22" s="52">
        <v>250</v>
      </c>
      <c r="F22" s="117">
        <v>30</v>
      </c>
      <c r="G22" s="52"/>
      <c r="H22" s="52">
        <f>500</f>
        <v>500</v>
      </c>
      <c r="I22" s="52">
        <v>0</v>
      </c>
      <c r="J22" s="28">
        <f t="shared" si="0"/>
        <v>2988.9</v>
      </c>
      <c r="K22" s="28">
        <f t="shared" si="1"/>
        <v>132.29</v>
      </c>
      <c r="L22" s="28">
        <f>(J22-E22)*11%</f>
        <v>301.27999999999997</v>
      </c>
      <c r="M22" s="28">
        <f t="shared" si="3"/>
        <v>433.57</v>
      </c>
      <c r="N22" s="28">
        <f t="shared" si="2"/>
        <v>2555.33</v>
      </c>
      <c r="O22" s="28">
        <v>0</v>
      </c>
      <c r="P22" s="19"/>
      <c r="Q22" s="19"/>
      <c r="R22" s="19"/>
      <c r="S22" s="19"/>
      <c r="T22" s="19"/>
      <c r="U22" s="19"/>
      <c r="V22" s="19"/>
      <c r="W22" s="19"/>
      <c r="X22" s="18"/>
      <c r="Y22" s="18"/>
      <c r="Z22" s="18"/>
      <c r="AA22" s="18"/>
      <c r="AB22" s="18"/>
      <c r="AC22" s="18"/>
      <c r="AD22" s="18"/>
      <c r="AE22" s="18"/>
      <c r="AF22" s="18"/>
      <c r="AG22" s="18"/>
      <c r="AH22" s="18"/>
      <c r="AI22" s="18"/>
      <c r="AJ22" s="18"/>
      <c r="AK22" s="18"/>
      <c r="AL22" s="18"/>
      <c r="AM22" s="18"/>
    </row>
    <row r="23" spans="1:39" s="20" customFormat="1" ht="27" customHeight="1" x14ac:dyDescent="0.2">
      <c r="A23" s="136">
        <v>13</v>
      </c>
      <c r="B23" s="40" t="s">
        <v>557</v>
      </c>
      <c r="C23" s="40" t="s">
        <v>170</v>
      </c>
      <c r="D23" s="52">
        <v>75.64</v>
      </c>
      <c r="E23" s="52">
        <v>250</v>
      </c>
      <c r="F23" s="117">
        <v>30</v>
      </c>
      <c r="G23" s="52">
        <f>35</f>
        <v>35</v>
      </c>
      <c r="H23" s="52">
        <f>500</f>
        <v>500</v>
      </c>
      <c r="I23" s="52">
        <v>0</v>
      </c>
      <c r="J23" s="28">
        <f t="shared" si="0"/>
        <v>3054.2</v>
      </c>
      <c r="K23" s="28">
        <f t="shared" si="1"/>
        <v>135.44</v>
      </c>
      <c r="L23" s="28">
        <f>(J23-E23)*11%</f>
        <v>308.45999999999998</v>
      </c>
      <c r="M23" s="28">
        <f t="shared" si="3"/>
        <v>443.9</v>
      </c>
      <c r="N23" s="28">
        <f t="shared" si="2"/>
        <v>2610.3000000000002</v>
      </c>
      <c r="O23" s="28">
        <v>0</v>
      </c>
      <c r="P23" s="19"/>
      <c r="Q23" s="19"/>
      <c r="R23" s="19"/>
      <c r="S23" s="19"/>
      <c r="T23" s="19"/>
      <c r="U23" s="19"/>
      <c r="V23" s="19"/>
      <c r="W23" s="19"/>
      <c r="X23" s="18"/>
      <c r="Y23" s="18"/>
      <c r="Z23" s="18"/>
      <c r="AA23" s="18"/>
      <c r="AB23" s="18"/>
      <c r="AC23" s="18"/>
      <c r="AD23" s="18"/>
      <c r="AE23" s="18"/>
      <c r="AF23" s="18"/>
      <c r="AG23" s="18"/>
      <c r="AH23" s="18"/>
      <c r="AI23" s="18"/>
      <c r="AJ23" s="18"/>
      <c r="AK23" s="18"/>
      <c r="AL23" s="18"/>
      <c r="AM23" s="18"/>
    </row>
    <row r="24" spans="1:39" s="20" customFormat="1" ht="27" customHeight="1" x14ac:dyDescent="0.2">
      <c r="A24" s="136">
        <v>14</v>
      </c>
      <c r="B24" s="40" t="s">
        <v>132</v>
      </c>
      <c r="C24" s="40" t="s">
        <v>171</v>
      </c>
      <c r="D24" s="52">
        <v>74.63</v>
      </c>
      <c r="E24" s="52">
        <v>250</v>
      </c>
      <c r="F24" s="117">
        <v>30</v>
      </c>
      <c r="G24" s="52">
        <v>50</v>
      </c>
      <c r="H24" s="52">
        <f>500</f>
        <v>500</v>
      </c>
      <c r="I24" s="52">
        <v>0</v>
      </c>
      <c r="J24" s="28">
        <f t="shared" si="0"/>
        <v>3038.9</v>
      </c>
      <c r="K24" s="28">
        <f t="shared" si="1"/>
        <v>134.69999999999999</v>
      </c>
      <c r="L24" s="28">
        <v>0</v>
      </c>
      <c r="M24" s="28">
        <f t="shared" si="3"/>
        <v>134.69999999999999</v>
      </c>
      <c r="N24" s="28">
        <f t="shared" si="2"/>
        <v>2904.2</v>
      </c>
      <c r="O24" s="28">
        <v>0</v>
      </c>
      <c r="P24" s="19"/>
      <c r="Q24" s="19"/>
      <c r="R24" s="19"/>
      <c r="S24" s="19"/>
      <c r="T24" s="19"/>
      <c r="U24" s="19"/>
      <c r="V24" s="19"/>
      <c r="W24" s="19"/>
      <c r="X24" s="18"/>
      <c r="Y24" s="18"/>
      <c r="Z24" s="18"/>
      <c r="AA24" s="18"/>
      <c r="AB24" s="18"/>
      <c r="AC24" s="18"/>
      <c r="AD24" s="18"/>
      <c r="AE24" s="18"/>
      <c r="AF24" s="18"/>
      <c r="AG24" s="18"/>
      <c r="AH24" s="18"/>
      <c r="AI24" s="18"/>
      <c r="AJ24" s="18"/>
      <c r="AK24" s="18"/>
      <c r="AL24" s="18"/>
      <c r="AM24" s="18"/>
    </row>
    <row r="25" spans="1:39" s="20" customFormat="1" ht="27" customHeight="1" x14ac:dyDescent="0.2">
      <c r="A25" s="136">
        <v>15</v>
      </c>
      <c r="B25" s="24" t="s">
        <v>546</v>
      </c>
      <c r="C25" s="24" t="s">
        <v>241</v>
      </c>
      <c r="D25" s="112">
        <v>76.59</v>
      </c>
      <c r="E25" s="52">
        <v>250</v>
      </c>
      <c r="F25" s="117">
        <v>30</v>
      </c>
      <c r="G25" s="52">
        <v>0</v>
      </c>
      <c r="H25" s="52">
        <f>500</f>
        <v>500</v>
      </c>
      <c r="I25" s="52">
        <v>0</v>
      </c>
      <c r="J25" s="28">
        <f t="shared" si="0"/>
        <v>3047.7</v>
      </c>
      <c r="K25" s="28">
        <f t="shared" si="1"/>
        <v>135.13</v>
      </c>
      <c r="L25" s="28">
        <v>0</v>
      </c>
      <c r="M25" s="28">
        <f t="shared" si="3"/>
        <v>135.13</v>
      </c>
      <c r="N25" s="28">
        <f t="shared" si="2"/>
        <v>2912.57</v>
      </c>
      <c r="O25" s="28">
        <v>0</v>
      </c>
      <c r="P25" s="19"/>
      <c r="Q25" s="19"/>
      <c r="R25" s="19"/>
      <c r="S25" s="19"/>
      <c r="T25" s="19"/>
      <c r="U25" s="19"/>
      <c r="V25" s="19"/>
      <c r="W25" s="19"/>
      <c r="X25" s="18"/>
      <c r="Y25" s="18"/>
      <c r="Z25" s="18"/>
      <c r="AA25" s="18"/>
      <c r="AB25" s="18"/>
      <c r="AC25" s="18"/>
      <c r="AD25" s="18"/>
      <c r="AE25" s="18"/>
      <c r="AF25" s="18"/>
      <c r="AG25" s="18"/>
      <c r="AH25" s="18"/>
      <c r="AI25" s="18"/>
      <c r="AJ25" s="18"/>
      <c r="AK25" s="18"/>
      <c r="AL25" s="18"/>
      <c r="AM25" s="18"/>
    </row>
    <row r="26" spans="1:39" s="20" customFormat="1" ht="27" customHeight="1" x14ac:dyDescent="0.2">
      <c r="A26" s="136">
        <v>16</v>
      </c>
      <c r="B26" s="40" t="s">
        <v>136</v>
      </c>
      <c r="C26" s="40" t="s">
        <v>175</v>
      </c>
      <c r="D26" s="52">
        <v>74.63</v>
      </c>
      <c r="E26" s="52">
        <v>250</v>
      </c>
      <c r="F26" s="117">
        <v>30</v>
      </c>
      <c r="G26" s="52">
        <v>50</v>
      </c>
      <c r="H26" s="52">
        <f>500</f>
        <v>500</v>
      </c>
      <c r="I26" s="52">
        <v>0</v>
      </c>
      <c r="J26" s="28">
        <f t="shared" si="0"/>
        <v>3038.9</v>
      </c>
      <c r="K26" s="28">
        <f t="shared" si="1"/>
        <v>134.69999999999999</v>
      </c>
      <c r="L26" s="28">
        <v>0</v>
      </c>
      <c r="M26" s="28">
        <f t="shared" si="3"/>
        <v>134.69999999999999</v>
      </c>
      <c r="N26" s="28">
        <f t="shared" si="2"/>
        <v>2904.2</v>
      </c>
      <c r="O26" s="28">
        <v>0</v>
      </c>
      <c r="P26" s="19"/>
      <c r="Q26" s="19"/>
      <c r="R26" s="19"/>
      <c r="S26" s="19"/>
      <c r="T26" s="19"/>
      <c r="U26" s="19"/>
      <c r="V26" s="19"/>
      <c r="W26" s="19"/>
      <c r="X26" s="18"/>
      <c r="Y26" s="18"/>
      <c r="Z26" s="18"/>
      <c r="AA26" s="18"/>
      <c r="AB26" s="18"/>
      <c r="AC26" s="18"/>
      <c r="AD26" s="18"/>
      <c r="AE26" s="18"/>
      <c r="AF26" s="18"/>
      <c r="AG26" s="18"/>
      <c r="AH26" s="18"/>
      <c r="AI26" s="18"/>
      <c r="AJ26" s="18"/>
      <c r="AK26" s="18"/>
      <c r="AL26" s="18"/>
      <c r="AM26" s="18"/>
    </row>
    <row r="27" spans="1:39" s="20" customFormat="1" ht="27" customHeight="1" x14ac:dyDescent="0.2">
      <c r="A27" s="136">
        <v>17</v>
      </c>
      <c r="B27" s="40" t="s">
        <v>133</v>
      </c>
      <c r="C27" s="40" t="s">
        <v>170</v>
      </c>
      <c r="D27" s="52">
        <v>75.64</v>
      </c>
      <c r="E27" s="52">
        <v>250</v>
      </c>
      <c r="F27" s="117">
        <v>30</v>
      </c>
      <c r="G27" s="52">
        <v>0</v>
      </c>
      <c r="H27" s="52">
        <f>500</f>
        <v>500</v>
      </c>
      <c r="I27" s="52">
        <v>0</v>
      </c>
      <c r="J27" s="28">
        <f t="shared" si="0"/>
        <v>3019.2</v>
      </c>
      <c r="K27" s="28">
        <f t="shared" si="1"/>
        <v>133.75</v>
      </c>
      <c r="L27" s="28">
        <v>0</v>
      </c>
      <c r="M27" s="28">
        <f t="shared" si="3"/>
        <v>133.75</v>
      </c>
      <c r="N27" s="28">
        <f t="shared" si="2"/>
        <v>2885.45</v>
      </c>
      <c r="O27" s="28">
        <v>0</v>
      </c>
      <c r="P27" s="19"/>
      <c r="Q27" s="19"/>
      <c r="R27" s="19"/>
      <c r="S27" s="19"/>
      <c r="T27" s="19"/>
      <c r="U27" s="19"/>
      <c r="V27" s="19"/>
      <c r="W27" s="19"/>
      <c r="X27" s="18"/>
      <c r="Y27" s="18"/>
      <c r="Z27" s="18"/>
      <c r="AA27" s="18"/>
      <c r="AB27" s="18"/>
      <c r="AC27" s="18"/>
      <c r="AD27" s="18"/>
      <c r="AE27" s="18"/>
      <c r="AF27" s="18"/>
      <c r="AG27" s="18"/>
      <c r="AH27" s="18"/>
      <c r="AI27" s="18"/>
      <c r="AJ27" s="18"/>
      <c r="AK27" s="18"/>
      <c r="AL27" s="18"/>
      <c r="AM27" s="18"/>
    </row>
    <row r="28" spans="1:39" s="20" customFormat="1" x14ac:dyDescent="0.2">
      <c r="A28" s="136">
        <v>18</v>
      </c>
      <c r="B28" s="40" t="s">
        <v>535</v>
      </c>
      <c r="C28" s="40" t="s">
        <v>29</v>
      </c>
      <c r="D28" s="52">
        <v>71.400000000000006</v>
      </c>
      <c r="E28" s="52">
        <v>250</v>
      </c>
      <c r="F28" s="117">
        <v>30</v>
      </c>
      <c r="G28" s="52">
        <v>50</v>
      </c>
      <c r="H28" s="52">
        <f>500</f>
        <v>500</v>
      </c>
      <c r="I28" s="52">
        <v>0</v>
      </c>
      <c r="J28" s="28">
        <f t="shared" si="0"/>
        <v>2942</v>
      </c>
      <c r="K28" s="28">
        <f t="shared" si="1"/>
        <v>130.02000000000001</v>
      </c>
      <c r="L28" s="28">
        <v>0</v>
      </c>
      <c r="M28" s="28">
        <f t="shared" si="3"/>
        <v>130.02000000000001</v>
      </c>
      <c r="N28" s="28">
        <f t="shared" si="2"/>
        <v>2811.98</v>
      </c>
      <c r="O28" s="28">
        <v>0</v>
      </c>
      <c r="P28" s="19"/>
      <c r="Q28" s="19"/>
      <c r="R28" s="19"/>
      <c r="S28" s="19"/>
      <c r="T28" s="19"/>
      <c r="U28" s="19"/>
      <c r="V28" s="19"/>
      <c r="W28" s="19"/>
      <c r="X28" s="18"/>
      <c r="Y28" s="18"/>
      <c r="Z28" s="18"/>
      <c r="AA28" s="18"/>
      <c r="AB28" s="18"/>
      <c r="AC28" s="18"/>
      <c r="AD28" s="18"/>
      <c r="AE28" s="18"/>
      <c r="AF28" s="18"/>
      <c r="AG28" s="18"/>
      <c r="AH28" s="18"/>
      <c r="AI28" s="18"/>
      <c r="AJ28" s="18"/>
      <c r="AK28" s="18"/>
      <c r="AL28" s="18"/>
      <c r="AM28" s="18"/>
    </row>
    <row r="29" spans="1:39" s="20" customFormat="1" x14ac:dyDescent="0.2">
      <c r="A29" s="136">
        <v>19</v>
      </c>
      <c r="B29" s="47" t="s">
        <v>1048</v>
      </c>
      <c r="C29" s="40" t="s">
        <v>29</v>
      </c>
      <c r="D29" s="52">
        <v>71.400000000000006</v>
      </c>
      <c r="E29" s="52">
        <v>0</v>
      </c>
      <c r="F29" s="117">
        <v>0</v>
      </c>
      <c r="G29" s="52">
        <v>0</v>
      </c>
      <c r="H29" s="52">
        <v>0</v>
      </c>
      <c r="I29" s="52">
        <v>0</v>
      </c>
      <c r="J29" s="28">
        <v>0</v>
      </c>
      <c r="K29" s="28">
        <v>0</v>
      </c>
      <c r="L29" s="28">
        <v>0</v>
      </c>
      <c r="M29" s="28">
        <v>0</v>
      </c>
      <c r="N29" s="28">
        <v>0</v>
      </c>
      <c r="O29" s="28">
        <v>0</v>
      </c>
      <c r="P29" s="19"/>
      <c r="Q29" s="19"/>
      <c r="R29" s="19"/>
      <c r="S29" s="19"/>
      <c r="T29" s="19"/>
      <c r="U29" s="19"/>
      <c r="V29" s="19"/>
      <c r="W29" s="19"/>
      <c r="X29" s="18"/>
      <c r="Y29" s="18"/>
      <c r="Z29" s="18"/>
      <c r="AA29" s="18"/>
      <c r="AB29" s="18"/>
      <c r="AC29" s="18"/>
      <c r="AD29" s="18"/>
      <c r="AE29" s="18"/>
      <c r="AF29" s="18"/>
      <c r="AG29" s="18"/>
      <c r="AH29" s="18"/>
      <c r="AI29" s="18"/>
      <c r="AJ29" s="18"/>
      <c r="AK29" s="18"/>
      <c r="AL29" s="18"/>
      <c r="AM29" s="18"/>
    </row>
    <row r="30" spans="1:39" s="20" customFormat="1" ht="38.25" x14ac:dyDescent="0.2">
      <c r="A30" s="136">
        <v>20</v>
      </c>
      <c r="B30" s="113" t="s">
        <v>537</v>
      </c>
      <c r="C30" s="114" t="s">
        <v>177</v>
      </c>
      <c r="D30" s="52">
        <v>78.25</v>
      </c>
      <c r="E30" s="52">
        <v>250</v>
      </c>
      <c r="F30" s="117">
        <v>11</v>
      </c>
      <c r="G30" s="52">
        <v>0</v>
      </c>
      <c r="H30" s="52">
        <v>183.25</v>
      </c>
      <c r="I30" s="52">
        <v>0</v>
      </c>
      <c r="J30" s="28">
        <f t="shared" si="0"/>
        <v>1294</v>
      </c>
      <c r="K30" s="28">
        <f t="shared" si="1"/>
        <v>50.43</v>
      </c>
      <c r="L30" s="28">
        <v>0</v>
      </c>
      <c r="M30" s="28">
        <f t="shared" si="3"/>
        <v>50.43</v>
      </c>
      <c r="N30" s="28">
        <f t="shared" si="2"/>
        <v>1243.57</v>
      </c>
      <c r="O30" s="28">
        <v>0</v>
      </c>
      <c r="P30" s="19"/>
      <c r="Q30" s="19"/>
      <c r="R30" s="19"/>
      <c r="S30" s="19"/>
      <c r="T30" s="19"/>
      <c r="U30" s="19"/>
      <c r="V30" s="19"/>
      <c r="W30" s="19"/>
      <c r="X30" s="18"/>
      <c r="Y30" s="18"/>
      <c r="Z30" s="18"/>
      <c r="AA30" s="18"/>
      <c r="AB30" s="18"/>
      <c r="AC30" s="18"/>
      <c r="AD30" s="18"/>
      <c r="AE30" s="18"/>
      <c r="AF30" s="18"/>
      <c r="AG30" s="18"/>
      <c r="AH30" s="18"/>
      <c r="AI30" s="18"/>
      <c r="AJ30" s="18"/>
      <c r="AK30" s="18"/>
      <c r="AL30" s="18"/>
      <c r="AM30" s="18"/>
    </row>
    <row r="31" spans="1:39" s="20" customFormat="1" x14ac:dyDescent="0.2">
      <c r="A31" s="136">
        <v>21</v>
      </c>
      <c r="B31" s="40" t="s">
        <v>523</v>
      </c>
      <c r="C31" s="40" t="s">
        <v>30</v>
      </c>
      <c r="D31" s="52">
        <v>72.540000000000006</v>
      </c>
      <c r="E31" s="52">
        <v>250</v>
      </c>
      <c r="F31" s="117">
        <v>30</v>
      </c>
      <c r="G31" s="52">
        <v>0</v>
      </c>
      <c r="H31" s="52">
        <f>500</f>
        <v>500</v>
      </c>
      <c r="I31" s="52">
        <v>0</v>
      </c>
      <c r="J31" s="28">
        <f t="shared" si="0"/>
        <v>2926.2</v>
      </c>
      <c r="K31" s="28">
        <f t="shared" si="1"/>
        <v>129.26</v>
      </c>
      <c r="L31" s="28">
        <v>0</v>
      </c>
      <c r="M31" s="28">
        <f t="shared" si="3"/>
        <v>129.26</v>
      </c>
      <c r="N31" s="28">
        <f t="shared" si="2"/>
        <v>2796.94</v>
      </c>
      <c r="O31" s="28">
        <v>0</v>
      </c>
      <c r="P31" s="19"/>
      <c r="Q31" s="19"/>
      <c r="R31" s="19"/>
      <c r="S31" s="19"/>
      <c r="T31" s="19"/>
      <c r="U31" s="19"/>
      <c r="V31" s="19"/>
      <c r="W31" s="19"/>
      <c r="X31" s="18"/>
      <c r="Y31" s="18"/>
      <c r="Z31" s="18"/>
      <c r="AA31" s="18"/>
      <c r="AB31" s="18"/>
      <c r="AC31" s="18"/>
      <c r="AD31" s="18"/>
      <c r="AE31" s="18"/>
      <c r="AF31" s="18"/>
      <c r="AG31" s="18"/>
      <c r="AH31" s="18"/>
      <c r="AI31" s="18"/>
      <c r="AJ31" s="18"/>
      <c r="AK31" s="18"/>
      <c r="AL31" s="18"/>
      <c r="AM31" s="18"/>
    </row>
    <row r="32" spans="1:39" s="20" customFormat="1" x14ac:dyDescent="0.2">
      <c r="A32" s="136">
        <v>22</v>
      </c>
      <c r="B32" s="40" t="s">
        <v>547</v>
      </c>
      <c r="C32" s="40" t="s">
        <v>30</v>
      </c>
      <c r="D32" s="52">
        <v>72.540000000000006</v>
      </c>
      <c r="E32" s="52">
        <v>250</v>
      </c>
      <c r="F32" s="117">
        <v>30</v>
      </c>
      <c r="G32" s="52">
        <f>35</f>
        <v>35</v>
      </c>
      <c r="H32" s="52">
        <f>500</f>
        <v>500</v>
      </c>
      <c r="I32" s="52">
        <v>0</v>
      </c>
      <c r="J32" s="28">
        <f t="shared" si="0"/>
        <v>2961.2</v>
      </c>
      <c r="K32" s="28">
        <f t="shared" si="1"/>
        <v>130.94999999999999</v>
      </c>
      <c r="L32" s="28">
        <v>0</v>
      </c>
      <c r="M32" s="28">
        <f t="shared" si="3"/>
        <v>130.94999999999999</v>
      </c>
      <c r="N32" s="28">
        <f t="shared" si="2"/>
        <v>2830.25</v>
      </c>
      <c r="O32" s="28">
        <v>0</v>
      </c>
      <c r="P32" s="19"/>
      <c r="Q32" s="19"/>
      <c r="R32" s="19"/>
      <c r="S32" s="19"/>
      <c r="T32" s="19"/>
      <c r="U32" s="19"/>
      <c r="V32" s="19"/>
      <c r="W32" s="19"/>
      <c r="X32" s="18"/>
      <c r="Y32" s="18"/>
      <c r="Z32" s="18"/>
      <c r="AA32" s="18"/>
      <c r="AB32" s="18"/>
      <c r="AC32" s="18"/>
      <c r="AD32" s="18"/>
      <c r="AE32" s="18"/>
      <c r="AF32" s="18"/>
      <c r="AG32" s="18"/>
      <c r="AH32" s="18"/>
      <c r="AI32" s="18"/>
      <c r="AJ32" s="18"/>
      <c r="AK32" s="18"/>
      <c r="AL32" s="18"/>
      <c r="AM32" s="18"/>
    </row>
    <row r="33" spans="1:39" s="20" customFormat="1" x14ac:dyDescent="0.2">
      <c r="A33" s="136">
        <v>23</v>
      </c>
      <c r="B33" s="40" t="s">
        <v>529</v>
      </c>
      <c r="C33" s="40" t="s">
        <v>180</v>
      </c>
      <c r="D33" s="52">
        <v>71.400000000000006</v>
      </c>
      <c r="E33" s="52">
        <v>250</v>
      </c>
      <c r="F33" s="117">
        <v>30</v>
      </c>
      <c r="G33" s="52">
        <v>0</v>
      </c>
      <c r="H33" s="52">
        <f>500</f>
        <v>500</v>
      </c>
      <c r="I33" s="52">
        <v>0</v>
      </c>
      <c r="J33" s="28">
        <f t="shared" si="0"/>
        <v>2892</v>
      </c>
      <c r="K33" s="28">
        <f t="shared" si="1"/>
        <v>127.61</v>
      </c>
      <c r="L33" s="28">
        <v>0</v>
      </c>
      <c r="M33" s="28">
        <f t="shared" si="3"/>
        <v>127.61</v>
      </c>
      <c r="N33" s="28">
        <f t="shared" si="2"/>
        <v>2764.39</v>
      </c>
      <c r="O33" s="28">
        <v>0</v>
      </c>
      <c r="P33" s="19"/>
      <c r="Q33" s="19"/>
      <c r="R33" s="19"/>
      <c r="S33" s="19"/>
      <c r="T33" s="19"/>
      <c r="U33" s="19"/>
      <c r="V33" s="19"/>
      <c r="W33" s="19"/>
      <c r="X33" s="18"/>
      <c r="Y33" s="18"/>
      <c r="Z33" s="18"/>
      <c r="AA33" s="18"/>
      <c r="AB33" s="18"/>
      <c r="AC33" s="18"/>
      <c r="AD33" s="18"/>
      <c r="AE33" s="18"/>
      <c r="AF33" s="18"/>
      <c r="AG33" s="18"/>
      <c r="AH33" s="18"/>
      <c r="AI33" s="18"/>
      <c r="AJ33" s="18"/>
      <c r="AK33" s="18"/>
      <c r="AL33" s="18"/>
      <c r="AM33" s="18"/>
    </row>
    <row r="34" spans="1:39" s="20" customFormat="1" ht="25.5" x14ac:dyDescent="0.2">
      <c r="A34" s="136">
        <v>24</v>
      </c>
      <c r="B34" s="40" t="s">
        <v>548</v>
      </c>
      <c r="C34" s="40" t="s">
        <v>172</v>
      </c>
      <c r="D34" s="52">
        <v>74.63</v>
      </c>
      <c r="E34" s="52">
        <v>250</v>
      </c>
      <c r="F34" s="117">
        <v>30</v>
      </c>
      <c r="G34" s="52">
        <v>0</v>
      </c>
      <c r="H34" s="52">
        <f>500</f>
        <v>500</v>
      </c>
      <c r="I34" s="52">
        <v>0</v>
      </c>
      <c r="J34" s="28">
        <f t="shared" si="0"/>
        <v>2988.9</v>
      </c>
      <c r="K34" s="28">
        <f t="shared" si="1"/>
        <v>132.29</v>
      </c>
      <c r="L34" s="28">
        <v>0</v>
      </c>
      <c r="M34" s="28">
        <f t="shared" si="3"/>
        <v>132.29</v>
      </c>
      <c r="N34" s="28">
        <f t="shared" si="2"/>
        <v>2856.61</v>
      </c>
      <c r="O34" s="28">
        <v>0</v>
      </c>
      <c r="P34" s="19"/>
      <c r="Q34" s="19"/>
      <c r="R34" s="19"/>
      <c r="S34" s="19"/>
      <c r="T34" s="19"/>
      <c r="U34" s="19"/>
      <c r="V34" s="19"/>
      <c r="W34" s="19"/>
      <c r="X34" s="18"/>
      <c r="Y34" s="18"/>
      <c r="Z34" s="18"/>
      <c r="AA34" s="18"/>
      <c r="AB34" s="18"/>
      <c r="AC34" s="18"/>
      <c r="AD34" s="18"/>
      <c r="AE34" s="18"/>
      <c r="AF34" s="18"/>
      <c r="AG34" s="18"/>
      <c r="AH34" s="18"/>
      <c r="AI34" s="18"/>
      <c r="AJ34" s="18"/>
      <c r="AK34" s="18"/>
      <c r="AL34" s="18"/>
      <c r="AM34" s="18"/>
    </row>
    <row r="35" spans="1:39" s="20" customFormat="1" x14ac:dyDescent="0.2">
      <c r="A35" s="136">
        <v>25</v>
      </c>
      <c r="B35" s="40" t="s">
        <v>141</v>
      </c>
      <c r="C35" s="40" t="s">
        <v>178</v>
      </c>
      <c r="D35" s="52">
        <v>72.540000000000006</v>
      </c>
      <c r="E35" s="52">
        <v>250</v>
      </c>
      <c r="F35" s="117">
        <v>30</v>
      </c>
      <c r="G35" s="52">
        <f>35</f>
        <v>35</v>
      </c>
      <c r="H35" s="52">
        <f>500</f>
        <v>500</v>
      </c>
      <c r="I35" s="52">
        <v>0</v>
      </c>
      <c r="J35" s="28">
        <f t="shared" si="0"/>
        <v>2961.2</v>
      </c>
      <c r="K35" s="28">
        <f t="shared" si="1"/>
        <v>130.94999999999999</v>
      </c>
      <c r="L35" s="28">
        <f>(J35-E35)*11%</f>
        <v>298.23</v>
      </c>
      <c r="M35" s="28">
        <f t="shared" si="3"/>
        <v>429.18</v>
      </c>
      <c r="N35" s="28">
        <f t="shared" si="2"/>
        <v>2532.02</v>
      </c>
      <c r="O35" s="28">
        <v>0</v>
      </c>
      <c r="P35" s="19"/>
      <c r="Q35" s="19"/>
      <c r="R35" s="19"/>
      <c r="S35" s="19"/>
      <c r="T35" s="19"/>
      <c r="U35" s="19"/>
      <c r="V35" s="19"/>
      <c r="W35" s="19"/>
      <c r="X35" s="18"/>
      <c r="Y35" s="18"/>
      <c r="Z35" s="18"/>
      <c r="AA35" s="18"/>
      <c r="AB35" s="18"/>
      <c r="AC35" s="18"/>
      <c r="AD35" s="18"/>
      <c r="AE35" s="18"/>
      <c r="AF35" s="18"/>
      <c r="AG35" s="18"/>
      <c r="AH35" s="18"/>
      <c r="AI35" s="18"/>
      <c r="AJ35" s="18"/>
      <c r="AK35" s="18"/>
      <c r="AL35" s="18"/>
      <c r="AM35" s="18"/>
    </row>
    <row r="36" spans="1:39" s="20" customFormat="1" x14ac:dyDescent="0.2">
      <c r="A36" s="136">
        <v>26</v>
      </c>
      <c r="B36" s="40" t="s">
        <v>530</v>
      </c>
      <c r="C36" s="40" t="s">
        <v>170</v>
      </c>
      <c r="D36" s="52">
        <v>75.64</v>
      </c>
      <c r="E36" s="52">
        <v>250</v>
      </c>
      <c r="F36" s="117">
        <v>30</v>
      </c>
      <c r="G36" s="52">
        <v>50</v>
      </c>
      <c r="H36" s="52">
        <f>500</f>
        <v>500</v>
      </c>
      <c r="I36" s="52">
        <v>0</v>
      </c>
      <c r="J36" s="28">
        <f t="shared" si="0"/>
        <v>3069.2</v>
      </c>
      <c r="K36" s="28">
        <f t="shared" si="1"/>
        <v>136.16999999999999</v>
      </c>
      <c r="L36" s="28">
        <f>(J36-E36)*11%</f>
        <v>310.11</v>
      </c>
      <c r="M36" s="28">
        <f t="shared" si="3"/>
        <v>446.28</v>
      </c>
      <c r="N36" s="28">
        <f t="shared" si="2"/>
        <v>2622.92</v>
      </c>
      <c r="O36" s="28">
        <v>0</v>
      </c>
      <c r="P36" s="19"/>
      <c r="Q36" s="19"/>
      <c r="R36" s="19"/>
      <c r="S36" s="19"/>
      <c r="T36" s="19"/>
      <c r="U36" s="19"/>
      <c r="V36" s="19"/>
      <c r="W36" s="19"/>
      <c r="X36" s="18"/>
      <c r="Y36" s="18"/>
      <c r="Z36" s="18"/>
      <c r="AA36" s="18"/>
      <c r="AB36" s="18"/>
      <c r="AC36" s="18"/>
      <c r="AD36" s="18"/>
      <c r="AE36" s="18"/>
      <c r="AF36" s="18"/>
      <c r="AG36" s="18"/>
      <c r="AH36" s="18"/>
      <c r="AI36" s="18"/>
      <c r="AJ36" s="18"/>
      <c r="AK36" s="18"/>
      <c r="AL36" s="18"/>
      <c r="AM36" s="18"/>
    </row>
    <row r="37" spans="1:39" s="20" customFormat="1" x14ac:dyDescent="0.2">
      <c r="A37" s="136">
        <v>27</v>
      </c>
      <c r="B37" s="40" t="s">
        <v>68</v>
      </c>
      <c r="C37" s="40" t="s">
        <v>172</v>
      </c>
      <c r="D37" s="52">
        <v>74.63</v>
      </c>
      <c r="E37" s="52">
        <v>250</v>
      </c>
      <c r="F37" s="117">
        <v>30</v>
      </c>
      <c r="G37" s="52">
        <f>35</f>
        <v>35</v>
      </c>
      <c r="H37" s="52">
        <f>500</f>
        <v>500</v>
      </c>
      <c r="I37" s="52">
        <v>0</v>
      </c>
      <c r="J37" s="28">
        <f t="shared" si="0"/>
        <v>3023.9</v>
      </c>
      <c r="K37" s="28">
        <f t="shared" si="1"/>
        <v>133.97999999999999</v>
      </c>
      <c r="L37" s="28">
        <v>0</v>
      </c>
      <c r="M37" s="28">
        <f t="shared" si="3"/>
        <v>133.97999999999999</v>
      </c>
      <c r="N37" s="28">
        <f t="shared" si="2"/>
        <v>2889.92</v>
      </c>
      <c r="O37" s="28">
        <v>0</v>
      </c>
      <c r="P37" s="19"/>
      <c r="Q37" s="19"/>
      <c r="R37" s="19"/>
      <c r="S37" s="19"/>
      <c r="T37" s="19"/>
      <c r="U37" s="19"/>
      <c r="V37" s="19"/>
      <c r="W37" s="19"/>
      <c r="X37" s="18"/>
      <c r="Y37" s="18"/>
      <c r="Z37" s="18"/>
      <c r="AA37" s="18"/>
      <c r="AB37" s="18"/>
      <c r="AC37" s="18"/>
      <c r="AD37" s="18"/>
      <c r="AE37" s="18"/>
      <c r="AF37" s="18"/>
      <c r="AG37" s="18"/>
      <c r="AH37" s="18"/>
      <c r="AI37" s="18"/>
      <c r="AJ37" s="18"/>
      <c r="AK37" s="18"/>
      <c r="AL37" s="18"/>
      <c r="AM37" s="18"/>
    </row>
    <row r="38" spans="1:39" s="20" customFormat="1" x14ac:dyDescent="0.2">
      <c r="A38" s="136">
        <v>28</v>
      </c>
      <c r="B38" s="40" t="s">
        <v>144</v>
      </c>
      <c r="C38" s="22" t="s">
        <v>241</v>
      </c>
      <c r="D38" s="52">
        <v>76.59</v>
      </c>
      <c r="E38" s="52">
        <v>250</v>
      </c>
      <c r="F38" s="117">
        <v>30</v>
      </c>
      <c r="G38" s="52">
        <v>0</v>
      </c>
      <c r="H38" s="52">
        <f>500</f>
        <v>500</v>
      </c>
      <c r="I38" s="52">
        <v>0</v>
      </c>
      <c r="J38" s="28">
        <f t="shared" si="0"/>
        <v>3047.7</v>
      </c>
      <c r="K38" s="28">
        <f t="shared" si="1"/>
        <v>135.13</v>
      </c>
      <c r="L38" s="28">
        <v>0</v>
      </c>
      <c r="M38" s="28">
        <f t="shared" si="3"/>
        <v>135.13</v>
      </c>
      <c r="N38" s="28">
        <f t="shared" si="2"/>
        <v>2912.57</v>
      </c>
      <c r="O38" s="28">
        <v>0</v>
      </c>
      <c r="P38" s="19"/>
      <c r="Q38" s="19"/>
      <c r="R38" s="19"/>
      <c r="S38" s="19"/>
      <c r="T38" s="19"/>
      <c r="U38" s="19"/>
      <c r="V38" s="19"/>
      <c r="W38" s="19"/>
      <c r="X38" s="18"/>
      <c r="Y38" s="18"/>
      <c r="Z38" s="18"/>
      <c r="AA38" s="18"/>
      <c r="AB38" s="18"/>
      <c r="AC38" s="18"/>
      <c r="AD38" s="18"/>
      <c r="AE38" s="18"/>
      <c r="AF38" s="18"/>
      <c r="AG38" s="18"/>
      <c r="AH38" s="18"/>
      <c r="AI38" s="18"/>
      <c r="AJ38" s="18"/>
      <c r="AK38" s="18"/>
      <c r="AL38" s="18"/>
      <c r="AM38" s="18"/>
    </row>
    <row r="39" spans="1:39" s="20" customFormat="1" x14ac:dyDescent="0.2">
      <c r="A39" s="136">
        <v>29</v>
      </c>
      <c r="B39" s="24" t="s">
        <v>245</v>
      </c>
      <c r="C39" s="22" t="s">
        <v>30</v>
      </c>
      <c r="D39" s="52">
        <v>72.540000000000006</v>
      </c>
      <c r="E39" s="52">
        <v>250</v>
      </c>
      <c r="F39" s="117">
        <v>30</v>
      </c>
      <c r="G39" s="52">
        <v>0</v>
      </c>
      <c r="H39" s="52">
        <f>500</f>
        <v>500</v>
      </c>
      <c r="I39" s="52">
        <v>0</v>
      </c>
      <c r="J39" s="28">
        <f t="shared" si="0"/>
        <v>2926.2</v>
      </c>
      <c r="K39" s="28">
        <f t="shared" si="1"/>
        <v>129.26</v>
      </c>
      <c r="L39" s="28">
        <v>0</v>
      </c>
      <c r="M39" s="28">
        <f t="shared" si="3"/>
        <v>129.26</v>
      </c>
      <c r="N39" s="28">
        <f t="shared" si="2"/>
        <v>2796.94</v>
      </c>
      <c r="O39" s="28">
        <v>0</v>
      </c>
      <c r="P39" s="19"/>
      <c r="Q39" s="19"/>
      <c r="R39" s="19"/>
      <c r="S39" s="19"/>
      <c r="T39" s="19"/>
      <c r="U39" s="19"/>
      <c r="V39" s="19"/>
      <c r="W39" s="19"/>
      <c r="X39" s="18"/>
      <c r="Y39" s="18"/>
      <c r="Z39" s="18"/>
      <c r="AA39" s="18"/>
      <c r="AB39" s="18"/>
      <c r="AC39" s="18"/>
      <c r="AD39" s="18"/>
      <c r="AE39" s="18"/>
      <c r="AF39" s="18"/>
      <c r="AG39" s="18"/>
      <c r="AH39" s="18"/>
      <c r="AI39" s="18"/>
      <c r="AJ39" s="18"/>
      <c r="AK39" s="18"/>
      <c r="AL39" s="18"/>
      <c r="AM39" s="18"/>
    </row>
    <row r="40" spans="1:39" s="20" customFormat="1" ht="25.5" x14ac:dyDescent="0.2">
      <c r="A40" s="136">
        <v>30</v>
      </c>
      <c r="B40" s="113" t="s">
        <v>531</v>
      </c>
      <c r="C40" s="40" t="s">
        <v>170</v>
      </c>
      <c r="D40" s="52">
        <v>75.64</v>
      </c>
      <c r="E40" s="52">
        <v>250</v>
      </c>
      <c r="F40" s="117">
        <v>30</v>
      </c>
      <c r="G40" s="52">
        <v>0</v>
      </c>
      <c r="H40" s="52">
        <f>500</f>
        <v>500</v>
      </c>
      <c r="I40" s="52">
        <v>0</v>
      </c>
      <c r="J40" s="28">
        <f t="shared" si="0"/>
        <v>3019.2</v>
      </c>
      <c r="K40" s="28">
        <f t="shared" si="1"/>
        <v>133.75</v>
      </c>
      <c r="L40" s="28">
        <v>0</v>
      </c>
      <c r="M40" s="28">
        <f t="shared" si="3"/>
        <v>133.75</v>
      </c>
      <c r="N40" s="28">
        <f t="shared" si="2"/>
        <v>2885.45</v>
      </c>
      <c r="O40" s="28">
        <v>0</v>
      </c>
      <c r="P40" s="19"/>
      <c r="Q40" s="19"/>
      <c r="R40" s="19"/>
      <c r="S40" s="19"/>
      <c r="T40" s="19"/>
      <c r="U40" s="19"/>
      <c r="V40" s="19"/>
      <c r="W40" s="19"/>
      <c r="X40" s="18"/>
      <c r="Y40" s="18"/>
      <c r="Z40" s="18"/>
      <c r="AA40" s="18"/>
      <c r="AB40" s="18"/>
      <c r="AC40" s="18"/>
      <c r="AD40" s="18"/>
      <c r="AE40" s="18"/>
      <c r="AF40" s="18"/>
      <c r="AG40" s="18"/>
      <c r="AH40" s="18"/>
      <c r="AI40" s="18"/>
      <c r="AJ40" s="18"/>
      <c r="AK40" s="18"/>
      <c r="AL40" s="18"/>
      <c r="AM40" s="18"/>
    </row>
    <row r="41" spans="1:39" s="20" customFormat="1" x14ac:dyDescent="0.2">
      <c r="A41" s="136">
        <v>31</v>
      </c>
      <c r="B41" s="40" t="s">
        <v>143</v>
      </c>
      <c r="C41" s="40" t="s">
        <v>29</v>
      </c>
      <c r="D41" s="52">
        <v>71.400000000000006</v>
      </c>
      <c r="E41" s="52">
        <v>250</v>
      </c>
      <c r="F41" s="117">
        <v>30</v>
      </c>
      <c r="G41" s="52">
        <v>0</v>
      </c>
      <c r="H41" s="52">
        <f>500</f>
        <v>500</v>
      </c>
      <c r="I41" s="52">
        <v>0</v>
      </c>
      <c r="J41" s="28">
        <f t="shared" si="0"/>
        <v>2892</v>
      </c>
      <c r="K41" s="28">
        <f t="shared" si="1"/>
        <v>127.61</v>
      </c>
      <c r="L41" s="28">
        <v>0</v>
      </c>
      <c r="M41" s="28">
        <f t="shared" si="3"/>
        <v>127.61</v>
      </c>
      <c r="N41" s="28">
        <f t="shared" si="2"/>
        <v>2764.39</v>
      </c>
      <c r="O41" s="28">
        <v>0</v>
      </c>
      <c r="P41" s="19"/>
      <c r="Q41" s="19"/>
      <c r="R41" s="19"/>
      <c r="S41" s="19"/>
      <c r="T41" s="19"/>
      <c r="U41" s="19"/>
      <c r="V41" s="19"/>
      <c r="W41" s="19"/>
      <c r="X41" s="18"/>
      <c r="Y41" s="18"/>
      <c r="Z41" s="18"/>
      <c r="AA41" s="18"/>
      <c r="AB41" s="18"/>
      <c r="AC41" s="18"/>
      <c r="AD41" s="18"/>
      <c r="AE41" s="18"/>
      <c r="AF41" s="18"/>
      <c r="AG41" s="18"/>
      <c r="AH41" s="18"/>
      <c r="AI41" s="18"/>
      <c r="AJ41" s="18"/>
      <c r="AK41" s="18"/>
      <c r="AL41" s="18"/>
      <c r="AM41" s="18"/>
    </row>
    <row r="42" spans="1:39" s="20" customFormat="1" x14ac:dyDescent="0.2">
      <c r="A42" s="136">
        <v>32</v>
      </c>
      <c r="B42" s="40" t="s">
        <v>158</v>
      </c>
      <c r="C42" s="40" t="s">
        <v>174</v>
      </c>
      <c r="D42" s="52">
        <v>73.59</v>
      </c>
      <c r="E42" s="52">
        <v>250</v>
      </c>
      <c r="F42" s="117">
        <v>30</v>
      </c>
      <c r="G42" s="52">
        <v>50</v>
      </c>
      <c r="H42" s="52">
        <f>500</f>
        <v>500</v>
      </c>
      <c r="I42" s="52">
        <v>0</v>
      </c>
      <c r="J42" s="28">
        <f t="shared" si="0"/>
        <v>3007.7</v>
      </c>
      <c r="K42" s="28">
        <f t="shared" si="1"/>
        <v>133.19999999999999</v>
      </c>
      <c r="L42" s="28">
        <v>0</v>
      </c>
      <c r="M42" s="28">
        <f t="shared" si="3"/>
        <v>133.19999999999999</v>
      </c>
      <c r="N42" s="28">
        <f t="shared" si="2"/>
        <v>2874.5</v>
      </c>
      <c r="O42" s="28">
        <v>0</v>
      </c>
      <c r="P42" s="19"/>
      <c r="Q42" s="19"/>
      <c r="R42" s="19"/>
      <c r="S42" s="19"/>
      <c r="T42" s="19"/>
      <c r="U42" s="19"/>
      <c r="V42" s="19"/>
      <c r="W42" s="19"/>
      <c r="X42" s="18"/>
      <c r="Y42" s="18"/>
      <c r="Z42" s="18"/>
      <c r="AA42" s="18"/>
      <c r="AB42" s="18"/>
      <c r="AC42" s="18"/>
      <c r="AD42" s="18"/>
      <c r="AE42" s="18"/>
      <c r="AF42" s="18"/>
      <c r="AG42" s="18"/>
      <c r="AH42" s="18"/>
      <c r="AI42" s="18"/>
      <c r="AJ42" s="18"/>
      <c r="AK42" s="18"/>
      <c r="AL42" s="18"/>
      <c r="AM42" s="18"/>
    </row>
    <row r="43" spans="1:39" s="20" customFormat="1" ht="25.5" x14ac:dyDescent="0.2">
      <c r="A43" s="136">
        <v>33</v>
      </c>
      <c r="B43" s="127" t="s">
        <v>482</v>
      </c>
      <c r="C43" s="40" t="s">
        <v>178</v>
      </c>
      <c r="D43" s="52">
        <v>72.540000000000006</v>
      </c>
      <c r="E43" s="52">
        <v>250</v>
      </c>
      <c r="F43" s="117">
        <v>30</v>
      </c>
      <c r="G43" s="52">
        <v>0</v>
      </c>
      <c r="H43" s="52">
        <f>500</f>
        <v>500</v>
      </c>
      <c r="I43" s="52">
        <v>0</v>
      </c>
      <c r="J43" s="28">
        <f t="shared" ref="J43:J74" si="4">(D43*F43)+E43+G43+H43</f>
        <v>2926.2</v>
      </c>
      <c r="K43" s="28">
        <f t="shared" ref="K43:K74" si="5">(D43*F43+G43+H43)*4.83%</f>
        <v>129.26</v>
      </c>
      <c r="L43" s="28">
        <f>(J43-E43)*11%</f>
        <v>294.38</v>
      </c>
      <c r="M43" s="28">
        <f t="shared" si="3"/>
        <v>423.64</v>
      </c>
      <c r="N43" s="28">
        <f t="shared" si="2"/>
        <v>2502.56</v>
      </c>
      <c r="O43" s="28">
        <v>0</v>
      </c>
      <c r="P43" s="19"/>
      <c r="Q43" s="19"/>
      <c r="R43" s="19"/>
      <c r="S43" s="19"/>
      <c r="T43" s="19"/>
      <c r="U43" s="19"/>
      <c r="V43" s="19"/>
      <c r="W43" s="19"/>
      <c r="X43" s="18"/>
      <c r="Y43" s="18"/>
      <c r="Z43" s="18"/>
      <c r="AA43" s="18"/>
      <c r="AB43" s="18"/>
      <c r="AC43" s="18"/>
      <c r="AD43" s="18"/>
      <c r="AE43" s="18"/>
      <c r="AF43" s="18"/>
      <c r="AG43" s="18"/>
      <c r="AH43" s="18"/>
      <c r="AI43" s="18"/>
      <c r="AJ43" s="18"/>
      <c r="AK43" s="18"/>
      <c r="AL43" s="18"/>
      <c r="AM43" s="18"/>
    </row>
    <row r="44" spans="1:39" s="20" customFormat="1" ht="23.25" customHeight="1" x14ac:dyDescent="0.2">
      <c r="A44" s="136">
        <v>34</v>
      </c>
      <c r="B44" s="113" t="s">
        <v>538</v>
      </c>
      <c r="C44" s="40" t="s">
        <v>172</v>
      </c>
      <c r="D44" s="52">
        <v>74.63</v>
      </c>
      <c r="E44" s="52">
        <v>250</v>
      </c>
      <c r="F44" s="117">
        <v>30</v>
      </c>
      <c r="G44" s="52">
        <f>35</f>
        <v>35</v>
      </c>
      <c r="H44" s="52">
        <f>500</f>
        <v>500</v>
      </c>
      <c r="I44" s="52">
        <v>0</v>
      </c>
      <c r="J44" s="28">
        <f t="shared" si="4"/>
        <v>3023.9</v>
      </c>
      <c r="K44" s="28">
        <f t="shared" si="5"/>
        <v>133.97999999999999</v>
      </c>
      <c r="L44" s="28">
        <v>0</v>
      </c>
      <c r="M44" s="28">
        <f t="shared" si="3"/>
        <v>133.97999999999999</v>
      </c>
      <c r="N44" s="28">
        <f t="shared" ref="N44:N75" si="6">J44-M44</f>
        <v>2889.92</v>
      </c>
      <c r="O44" s="28">
        <v>0</v>
      </c>
      <c r="P44" s="19"/>
      <c r="Q44" s="19"/>
      <c r="R44" s="19"/>
      <c r="S44" s="19"/>
      <c r="T44" s="19"/>
      <c r="U44" s="19"/>
      <c r="V44" s="19"/>
      <c r="W44" s="19"/>
      <c r="X44" s="18"/>
      <c r="Y44" s="18"/>
      <c r="Z44" s="18"/>
      <c r="AA44" s="18"/>
      <c r="AB44" s="18"/>
      <c r="AC44" s="18"/>
      <c r="AD44" s="18"/>
      <c r="AE44" s="18"/>
      <c r="AF44" s="18"/>
      <c r="AG44" s="18"/>
      <c r="AH44" s="18"/>
      <c r="AI44" s="18"/>
      <c r="AJ44" s="18"/>
      <c r="AK44" s="18"/>
      <c r="AL44" s="18"/>
      <c r="AM44" s="18"/>
    </row>
    <row r="45" spans="1:39" s="20" customFormat="1" ht="24" customHeight="1" x14ac:dyDescent="0.2">
      <c r="A45" s="136">
        <v>35</v>
      </c>
      <c r="B45" s="40" t="s">
        <v>524</v>
      </c>
      <c r="C45" s="40" t="s">
        <v>173</v>
      </c>
      <c r="D45" s="52">
        <v>72.540000000000006</v>
      </c>
      <c r="E45" s="52">
        <v>250</v>
      </c>
      <c r="F45" s="117">
        <v>30</v>
      </c>
      <c r="G45" s="52">
        <f>35</f>
        <v>35</v>
      </c>
      <c r="H45" s="52">
        <f>500</f>
        <v>500</v>
      </c>
      <c r="I45" s="52">
        <v>0</v>
      </c>
      <c r="J45" s="28">
        <f t="shared" si="4"/>
        <v>2961.2</v>
      </c>
      <c r="K45" s="28">
        <f t="shared" si="5"/>
        <v>130.94999999999999</v>
      </c>
      <c r="L45" s="28">
        <f>(J45-E45)*11%</f>
        <v>298.23</v>
      </c>
      <c r="M45" s="28">
        <f t="shared" si="3"/>
        <v>429.18</v>
      </c>
      <c r="N45" s="28">
        <f t="shared" si="6"/>
        <v>2532.02</v>
      </c>
      <c r="O45" s="28">
        <v>0</v>
      </c>
      <c r="P45" s="19"/>
      <c r="Q45" s="19"/>
      <c r="R45" s="19"/>
      <c r="S45" s="19"/>
      <c r="T45" s="19"/>
      <c r="U45" s="19"/>
      <c r="V45" s="19"/>
      <c r="W45" s="19"/>
      <c r="X45" s="18"/>
      <c r="Y45" s="18"/>
      <c r="Z45" s="18"/>
      <c r="AA45" s="18"/>
      <c r="AB45" s="18"/>
      <c r="AC45" s="18"/>
      <c r="AD45" s="18"/>
      <c r="AE45" s="18"/>
      <c r="AF45" s="18"/>
      <c r="AG45" s="18"/>
      <c r="AH45" s="18"/>
      <c r="AI45" s="18"/>
      <c r="AJ45" s="18"/>
      <c r="AK45" s="18"/>
      <c r="AL45" s="18"/>
      <c r="AM45" s="18"/>
    </row>
    <row r="46" spans="1:39" s="20" customFormat="1" x14ac:dyDescent="0.2">
      <c r="A46" s="136">
        <v>36</v>
      </c>
      <c r="B46" s="40" t="s">
        <v>549</v>
      </c>
      <c r="C46" s="40" t="s">
        <v>170</v>
      </c>
      <c r="D46" s="52">
        <v>75.64</v>
      </c>
      <c r="E46" s="52">
        <v>250</v>
      </c>
      <c r="F46" s="117">
        <v>30</v>
      </c>
      <c r="G46" s="52">
        <v>0</v>
      </c>
      <c r="H46" s="52">
        <f>500</f>
        <v>500</v>
      </c>
      <c r="I46" s="52">
        <v>0</v>
      </c>
      <c r="J46" s="28">
        <f t="shared" si="4"/>
        <v>3019.2</v>
      </c>
      <c r="K46" s="28">
        <f t="shared" si="5"/>
        <v>133.75</v>
      </c>
      <c r="L46" s="28">
        <v>0</v>
      </c>
      <c r="M46" s="28">
        <f t="shared" si="3"/>
        <v>133.75</v>
      </c>
      <c r="N46" s="28">
        <f t="shared" si="6"/>
        <v>2885.45</v>
      </c>
      <c r="O46" s="28">
        <v>0</v>
      </c>
      <c r="P46" s="19"/>
      <c r="Q46" s="19"/>
      <c r="R46" s="19"/>
      <c r="S46" s="19"/>
      <c r="T46" s="19"/>
      <c r="U46" s="19"/>
      <c r="V46" s="19"/>
      <c r="W46" s="19"/>
      <c r="X46" s="18"/>
      <c r="Y46" s="18"/>
      <c r="Z46" s="18"/>
      <c r="AA46" s="18"/>
      <c r="AB46" s="18"/>
      <c r="AC46" s="18"/>
      <c r="AD46" s="18"/>
      <c r="AE46" s="18"/>
      <c r="AF46" s="18"/>
      <c r="AG46" s="18"/>
      <c r="AH46" s="18"/>
      <c r="AI46" s="18"/>
      <c r="AJ46" s="18"/>
      <c r="AK46" s="18"/>
      <c r="AL46" s="18"/>
      <c r="AM46" s="18"/>
    </row>
    <row r="47" spans="1:39" s="20" customFormat="1" ht="28.5" customHeight="1" x14ac:dyDescent="0.2">
      <c r="A47" s="136">
        <v>37</v>
      </c>
      <c r="B47" s="40" t="s">
        <v>550</v>
      </c>
      <c r="C47" s="40" t="s">
        <v>1032</v>
      </c>
      <c r="D47" s="52">
        <v>75.64</v>
      </c>
      <c r="E47" s="52">
        <v>250</v>
      </c>
      <c r="F47" s="117">
        <v>30</v>
      </c>
      <c r="G47" s="52">
        <f>35</f>
        <v>35</v>
      </c>
      <c r="H47" s="52">
        <f>500</f>
        <v>500</v>
      </c>
      <c r="I47" s="52">
        <v>0</v>
      </c>
      <c r="J47" s="28">
        <f t="shared" si="4"/>
        <v>3054.2</v>
      </c>
      <c r="K47" s="28">
        <f t="shared" si="5"/>
        <v>135.44</v>
      </c>
      <c r="L47" s="28">
        <f>(J47-E47)*11%</f>
        <v>308.45999999999998</v>
      </c>
      <c r="M47" s="28">
        <f t="shared" si="3"/>
        <v>443.9</v>
      </c>
      <c r="N47" s="28">
        <f t="shared" si="6"/>
        <v>2610.3000000000002</v>
      </c>
      <c r="O47" s="28">
        <v>0</v>
      </c>
      <c r="P47" s="19"/>
      <c r="Q47" s="19"/>
      <c r="R47" s="19"/>
      <c r="S47" s="19"/>
      <c r="T47" s="19"/>
      <c r="U47" s="19"/>
      <c r="V47" s="19"/>
      <c r="W47" s="19"/>
      <c r="X47" s="18"/>
      <c r="Y47" s="18"/>
      <c r="Z47" s="18"/>
      <c r="AA47" s="18"/>
      <c r="AB47" s="18"/>
      <c r="AC47" s="18"/>
      <c r="AD47" s="18"/>
      <c r="AE47" s="18"/>
      <c r="AF47" s="18"/>
      <c r="AG47" s="18"/>
      <c r="AH47" s="18"/>
      <c r="AI47" s="18"/>
      <c r="AJ47" s="18"/>
      <c r="AK47" s="18"/>
      <c r="AL47" s="18"/>
      <c r="AM47" s="18"/>
    </row>
    <row r="48" spans="1:39" s="20" customFormat="1" x14ac:dyDescent="0.2">
      <c r="A48" s="136">
        <v>38</v>
      </c>
      <c r="B48" s="127" t="s">
        <v>481</v>
      </c>
      <c r="C48" s="64" t="s">
        <v>30</v>
      </c>
      <c r="D48" s="52">
        <v>72.540000000000006</v>
      </c>
      <c r="E48" s="52">
        <v>250</v>
      </c>
      <c r="F48" s="117">
        <v>30</v>
      </c>
      <c r="G48" s="52">
        <v>0</v>
      </c>
      <c r="H48" s="52">
        <f>500</f>
        <v>500</v>
      </c>
      <c r="I48" s="52">
        <v>0</v>
      </c>
      <c r="J48" s="28">
        <f t="shared" si="4"/>
        <v>2926.2</v>
      </c>
      <c r="K48" s="28">
        <f t="shared" si="5"/>
        <v>129.26</v>
      </c>
      <c r="L48" s="28">
        <v>0</v>
      </c>
      <c r="M48" s="28">
        <f t="shared" si="3"/>
        <v>129.26</v>
      </c>
      <c r="N48" s="28">
        <f t="shared" si="6"/>
        <v>2796.94</v>
      </c>
      <c r="O48" s="28">
        <v>0</v>
      </c>
      <c r="P48" s="19"/>
      <c r="Q48" s="19"/>
      <c r="R48" s="19"/>
      <c r="S48" s="19"/>
      <c r="T48" s="19"/>
      <c r="U48" s="19"/>
      <c r="V48" s="19"/>
      <c r="W48" s="19"/>
      <c r="X48" s="18"/>
      <c r="Y48" s="18"/>
      <c r="Z48" s="18"/>
      <c r="AA48" s="18"/>
      <c r="AB48" s="18"/>
      <c r="AC48" s="18"/>
      <c r="AD48" s="18"/>
      <c r="AE48" s="18"/>
      <c r="AF48" s="18"/>
      <c r="AG48" s="18"/>
      <c r="AH48" s="18"/>
      <c r="AI48" s="18"/>
      <c r="AJ48" s="18"/>
      <c r="AK48" s="18"/>
      <c r="AL48" s="18"/>
      <c r="AM48" s="18"/>
    </row>
    <row r="49" spans="1:39" s="20" customFormat="1" x14ac:dyDescent="0.2">
      <c r="A49" s="136">
        <v>39</v>
      </c>
      <c r="B49" s="113" t="s">
        <v>551</v>
      </c>
      <c r="C49" s="40" t="s">
        <v>170</v>
      </c>
      <c r="D49" s="52">
        <v>75.64</v>
      </c>
      <c r="E49" s="52">
        <v>250</v>
      </c>
      <c r="F49" s="117">
        <v>30</v>
      </c>
      <c r="G49" s="52">
        <v>0</v>
      </c>
      <c r="H49" s="52">
        <f>500</f>
        <v>500</v>
      </c>
      <c r="I49" s="52">
        <v>0</v>
      </c>
      <c r="J49" s="28">
        <f t="shared" si="4"/>
        <v>3019.2</v>
      </c>
      <c r="K49" s="28">
        <f t="shared" si="5"/>
        <v>133.75</v>
      </c>
      <c r="L49" s="28">
        <v>0</v>
      </c>
      <c r="M49" s="28">
        <f t="shared" si="3"/>
        <v>133.75</v>
      </c>
      <c r="N49" s="28">
        <f t="shared" si="6"/>
        <v>2885.45</v>
      </c>
      <c r="O49" s="28">
        <v>0</v>
      </c>
      <c r="P49" s="19"/>
      <c r="Q49" s="19"/>
      <c r="R49" s="19"/>
      <c r="S49" s="19"/>
      <c r="T49" s="19"/>
      <c r="U49" s="19"/>
      <c r="V49" s="19"/>
      <c r="W49" s="19"/>
      <c r="X49" s="18"/>
      <c r="Y49" s="18"/>
      <c r="Z49" s="18"/>
      <c r="AA49" s="18"/>
      <c r="AB49" s="18"/>
      <c r="AC49" s="18"/>
      <c r="AD49" s="18"/>
      <c r="AE49" s="18"/>
      <c r="AF49" s="18"/>
      <c r="AG49" s="18"/>
      <c r="AH49" s="18"/>
      <c r="AI49" s="18"/>
      <c r="AJ49" s="18"/>
      <c r="AK49" s="18"/>
      <c r="AL49" s="18"/>
      <c r="AM49" s="18"/>
    </row>
    <row r="50" spans="1:39" s="20" customFormat="1" ht="25.5" x14ac:dyDescent="0.2">
      <c r="A50" s="136">
        <v>40</v>
      </c>
      <c r="B50" s="40" t="s">
        <v>552</v>
      </c>
      <c r="C50" s="40" t="s">
        <v>30</v>
      </c>
      <c r="D50" s="52">
        <v>72.540000000000006</v>
      </c>
      <c r="E50" s="52">
        <v>250</v>
      </c>
      <c r="F50" s="117">
        <v>30</v>
      </c>
      <c r="G50" s="52">
        <f>35</f>
        <v>35</v>
      </c>
      <c r="H50" s="52">
        <f>500</f>
        <v>500</v>
      </c>
      <c r="I50" s="52">
        <v>0</v>
      </c>
      <c r="J50" s="28">
        <f t="shared" si="4"/>
        <v>2961.2</v>
      </c>
      <c r="K50" s="28">
        <f t="shared" si="5"/>
        <v>130.94999999999999</v>
      </c>
      <c r="L50" s="28">
        <v>0</v>
      </c>
      <c r="M50" s="28">
        <f t="shared" si="3"/>
        <v>130.94999999999999</v>
      </c>
      <c r="N50" s="28">
        <f t="shared" si="6"/>
        <v>2830.25</v>
      </c>
      <c r="O50" s="28">
        <v>0</v>
      </c>
      <c r="P50" s="19"/>
      <c r="Q50" s="19"/>
      <c r="R50" s="19"/>
      <c r="S50" s="19"/>
      <c r="T50" s="19"/>
      <c r="U50" s="19"/>
      <c r="V50" s="19"/>
      <c r="W50" s="19"/>
      <c r="X50" s="18"/>
      <c r="Y50" s="18"/>
      <c r="Z50" s="18"/>
      <c r="AA50" s="18"/>
      <c r="AB50" s="18"/>
      <c r="AC50" s="18"/>
      <c r="AD50" s="18"/>
      <c r="AE50" s="18"/>
      <c r="AF50" s="18"/>
      <c r="AG50" s="18"/>
      <c r="AH50" s="18"/>
      <c r="AI50" s="18"/>
      <c r="AJ50" s="18"/>
      <c r="AK50" s="18"/>
      <c r="AL50" s="18"/>
      <c r="AM50" s="18"/>
    </row>
    <row r="51" spans="1:39" s="20" customFormat="1" x14ac:dyDescent="0.2">
      <c r="A51" s="136">
        <v>41</v>
      </c>
      <c r="B51" s="37" t="s">
        <v>240</v>
      </c>
      <c r="C51" s="40" t="s">
        <v>172</v>
      </c>
      <c r="D51" s="52">
        <v>74.63</v>
      </c>
      <c r="E51" s="52">
        <v>250</v>
      </c>
      <c r="F51" s="117">
        <v>30</v>
      </c>
      <c r="G51" s="52">
        <v>0</v>
      </c>
      <c r="H51" s="52">
        <f>500</f>
        <v>500</v>
      </c>
      <c r="I51" s="52">
        <v>0</v>
      </c>
      <c r="J51" s="28">
        <f t="shared" si="4"/>
        <v>2988.9</v>
      </c>
      <c r="K51" s="28">
        <f t="shared" si="5"/>
        <v>132.29</v>
      </c>
      <c r="L51" s="28">
        <v>0</v>
      </c>
      <c r="M51" s="28">
        <f t="shared" si="3"/>
        <v>132.29</v>
      </c>
      <c r="N51" s="28">
        <f t="shared" si="6"/>
        <v>2856.61</v>
      </c>
      <c r="O51" s="28">
        <v>0</v>
      </c>
      <c r="P51" s="19"/>
      <c r="Q51" s="19"/>
      <c r="R51" s="19"/>
      <c r="S51" s="19"/>
      <c r="T51" s="19"/>
      <c r="U51" s="19"/>
      <c r="V51" s="19"/>
      <c r="W51" s="19"/>
      <c r="X51" s="18"/>
      <c r="Y51" s="18"/>
      <c r="Z51" s="18"/>
      <c r="AA51" s="18"/>
      <c r="AB51" s="18"/>
      <c r="AC51" s="18"/>
      <c r="AD51" s="18"/>
      <c r="AE51" s="18"/>
      <c r="AF51" s="18"/>
      <c r="AG51" s="18"/>
      <c r="AH51" s="18"/>
      <c r="AI51" s="18"/>
      <c r="AJ51" s="18"/>
      <c r="AK51" s="18"/>
      <c r="AL51" s="18"/>
      <c r="AM51" s="18"/>
    </row>
    <row r="52" spans="1:39" s="20" customFormat="1" x14ac:dyDescent="0.2">
      <c r="A52" s="136">
        <v>42</v>
      </c>
      <c r="B52" s="40" t="s">
        <v>69</v>
      </c>
      <c r="C52" s="40" t="s">
        <v>70</v>
      </c>
      <c r="D52" s="52">
        <v>72.540000000000006</v>
      </c>
      <c r="E52" s="52">
        <v>250</v>
      </c>
      <c r="F52" s="117">
        <v>30</v>
      </c>
      <c r="G52" s="52">
        <v>0</v>
      </c>
      <c r="H52" s="52">
        <f>500</f>
        <v>500</v>
      </c>
      <c r="I52" s="52">
        <v>0</v>
      </c>
      <c r="J52" s="28">
        <f t="shared" si="4"/>
        <v>2926.2</v>
      </c>
      <c r="K52" s="28">
        <f t="shared" si="5"/>
        <v>129.26</v>
      </c>
      <c r="L52" s="28">
        <v>0</v>
      </c>
      <c r="M52" s="28">
        <f t="shared" si="3"/>
        <v>129.26</v>
      </c>
      <c r="N52" s="28">
        <f t="shared" si="6"/>
        <v>2796.94</v>
      </c>
      <c r="O52" s="28">
        <v>0</v>
      </c>
      <c r="P52" s="19"/>
      <c r="Q52" s="19"/>
      <c r="R52" s="19"/>
      <c r="S52" s="19"/>
      <c r="T52" s="19"/>
      <c r="U52" s="19"/>
      <c r="V52" s="19"/>
      <c r="W52" s="19"/>
      <c r="X52" s="18"/>
      <c r="Y52" s="18"/>
      <c r="Z52" s="18"/>
      <c r="AA52" s="18"/>
      <c r="AB52" s="18"/>
      <c r="AC52" s="18"/>
      <c r="AD52" s="18"/>
      <c r="AE52" s="18"/>
      <c r="AF52" s="18"/>
      <c r="AG52" s="18"/>
      <c r="AH52" s="18"/>
      <c r="AI52" s="18"/>
      <c r="AJ52" s="18"/>
      <c r="AK52" s="18"/>
      <c r="AL52" s="18"/>
      <c r="AM52" s="18"/>
    </row>
    <row r="53" spans="1:39" s="20" customFormat="1" x14ac:dyDescent="0.2">
      <c r="A53" s="136">
        <v>43</v>
      </c>
      <c r="B53" s="115" t="s">
        <v>129</v>
      </c>
      <c r="C53" s="40" t="s">
        <v>172</v>
      </c>
      <c r="D53" s="52">
        <v>74.63</v>
      </c>
      <c r="E53" s="52">
        <v>250</v>
      </c>
      <c r="F53" s="117">
        <v>30</v>
      </c>
      <c r="G53" s="52">
        <v>0</v>
      </c>
      <c r="H53" s="52">
        <f>500</f>
        <v>500</v>
      </c>
      <c r="I53" s="52">
        <v>0</v>
      </c>
      <c r="J53" s="28">
        <f t="shared" si="4"/>
        <v>2988.9</v>
      </c>
      <c r="K53" s="28">
        <f t="shared" si="5"/>
        <v>132.29</v>
      </c>
      <c r="L53" s="28">
        <v>0</v>
      </c>
      <c r="M53" s="28">
        <f t="shared" si="3"/>
        <v>132.29</v>
      </c>
      <c r="N53" s="28">
        <f t="shared" si="6"/>
        <v>2856.61</v>
      </c>
      <c r="O53" s="28">
        <v>0</v>
      </c>
      <c r="P53" s="19"/>
      <c r="Q53" s="19"/>
      <c r="R53" s="19"/>
      <c r="S53" s="19"/>
      <c r="T53" s="19"/>
      <c r="U53" s="19"/>
      <c r="V53" s="19"/>
      <c r="W53" s="19"/>
      <c r="X53" s="18"/>
      <c r="Y53" s="18"/>
      <c r="Z53" s="18"/>
      <c r="AA53" s="18"/>
      <c r="AB53" s="18"/>
      <c r="AC53" s="18"/>
      <c r="AD53" s="18"/>
      <c r="AE53" s="18"/>
      <c r="AF53" s="18"/>
      <c r="AG53" s="18"/>
      <c r="AH53" s="18"/>
      <c r="AI53" s="18"/>
      <c r="AJ53" s="18"/>
      <c r="AK53" s="18"/>
      <c r="AL53" s="18"/>
      <c r="AM53" s="18"/>
    </row>
    <row r="54" spans="1:39" s="20" customFormat="1" x14ac:dyDescent="0.2">
      <c r="A54" s="136">
        <v>44</v>
      </c>
      <c r="B54" s="40" t="s">
        <v>553</v>
      </c>
      <c r="C54" s="40" t="s">
        <v>170</v>
      </c>
      <c r="D54" s="52">
        <v>75.64</v>
      </c>
      <c r="E54" s="52">
        <v>250</v>
      </c>
      <c r="F54" s="117">
        <v>30</v>
      </c>
      <c r="G54" s="52">
        <f>35</f>
        <v>35</v>
      </c>
      <c r="H54" s="52">
        <f>500</f>
        <v>500</v>
      </c>
      <c r="I54" s="52">
        <v>0</v>
      </c>
      <c r="J54" s="28">
        <f t="shared" si="4"/>
        <v>3054.2</v>
      </c>
      <c r="K54" s="28">
        <f t="shared" si="5"/>
        <v>135.44</v>
      </c>
      <c r="L54" s="28">
        <f>(J54-E54)*11%</f>
        <v>308.45999999999998</v>
      </c>
      <c r="M54" s="28">
        <f t="shared" si="3"/>
        <v>443.9</v>
      </c>
      <c r="N54" s="28">
        <f t="shared" si="6"/>
        <v>2610.3000000000002</v>
      </c>
      <c r="O54" s="28">
        <v>0</v>
      </c>
      <c r="P54" s="19"/>
      <c r="Q54" s="19"/>
      <c r="R54" s="19"/>
      <c r="S54" s="19"/>
      <c r="T54" s="19"/>
      <c r="U54" s="19"/>
      <c r="V54" s="19"/>
      <c r="W54" s="19"/>
      <c r="X54" s="18"/>
      <c r="Y54" s="18"/>
      <c r="Z54" s="18"/>
      <c r="AA54" s="18"/>
      <c r="AB54" s="18"/>
      <c r="AC54" s="18"/>
      <c r="AD54" s="18"/>
      <c r="AE54" s="18"/>
      <c r="AF54" s="18"/>
      <c r="AG54" s="18"/>
      <c r="AH54" s="18"/>
      <c r="AI54" s="18"/>
      <c r="AJ54" s="18"/>
      <c r="AK54" s="18"/>
      <c r="AL54" s="18"/>
      <c r="AM54" s="18"/>
    </row>
    <row r="55" spans="1:39" s="20" customFormat="1" x14ac:dyDescent="0.2">
      <c r="A55" s="136">
        <v>45</v>
      </c>
      <c r="B55" s="24" t="s">
        <v>539</v>
      </c>
      <c r="C55" s="40" t="s">
        <v>170</v>
      </c>
      <c r="D55" s="52">
        <v>75.64</v>
      </c>
      <c r="E55" s="52">
        <v>250</v>
      </c>
      <c r="F55" s="117">
        <v>30</v>
      </c>
      <c r="G55" s="52">
        <v>0</v>
      </c>
      <c r="H55" s="52">
        <f>500</f>
        <v>500</v>
      </c>
      <c r="I55" s="52">
        <v>0</v>
      </c>
      <c r="J55" s="28">
        <f t="shared" si="4"/>
        <v>3019.2</v>
      </c>
      <c r="K55" s="28">
        <f t="shared" si="5"/>
        <v>133.75</v>
      </c>
      <c r="L55" s="28">
        <v>0</v>
      </c>
      <c r="M55" s="28">
        <f t="shared" si="3"/>
        <v>133.75</v>
      </c>
      <c r="N55" s="28">
        <f t="shared" si="6"/>
        <v>2885.45</v>
      </c>
      <c r="O55" s="28">
        <v>0</v>
      </c>
      <c r="P55" s="19"/>
      <c r="Q55" s="19"/>
      <c r="R55" s="19"/>
      <c r="S55" s="19"/>
      <c r="T55" s="19"/>
      <c r="U55" s="19"/>
      <c r="V55" s="19"/>
      <c r="W55" s="19"/>
      <c r="X55" s="18"/>
      <c r="Y55" s="18"/>
      <c r="Z55" s="18"/>
      <c r="AA55" s="18"/>
      <c r="AB55" s="18"/>
      <c r="AC55" s="18"/>
      <c r="AD55" s="18"/>
      <c r="AE55" s="18"/>
      <c r="AF55" s="18"/>
      <c r="AG55" s="18"/>
      <c r="AH55" s="18"/>
      <c r="AI55" s="18"/>
      <c r="AJ55" s="18"/>
      <c r="AK55" s="18"/>
      <c r="AL55" s="18"/>
      <c r="AM55" s="18"/>
    </row>
    <row r="56" spans="1:39" s="20" customFormat="1" x14ac:dyDescent="0.2">
      <c r="A56" s="136">
        <v>46</v>
      </c>
      <c r="B56" s="40" t="s">
        <v>525</v>
      </c>
      <c r="C56" s="40" t="s">
        <v>179</v>
      </c>
      <c r="D56" s="52">
        <v>75.64</v>
      </c>
      <c r="E56" s="52">
        <v>250</v>
      </c>
      <c r="F56" s="117">
        <v>30</v>
      </c>
      <c r="G56" s="52">
        <v>0</v>
      </c>
      <c r="H56" s="52">
        <f>500</f>
        <v>500</v>
      </c>
      <c r="I56" s="52">
        <v>0</v>
      </c>
      <c r="J56" s="28">
        <f t="shared" si="4"/>
        <v>3019.2</v>
      </c>
      <c r="K56" s="28">
        <f t="shared" si="5"/>
        <v>133.75</v>
      </c>
      <c r="L56" s="28">
        <v>0</v>
      </c>
      <c r="M56" s="28">
        <f t="shared" si="3"/>
        <v>133.75</v>
      </c>
      <c r="N56" s="28">
        <f t="shared" si="6"/>
        <v>2885.45</v>
      </c>
      <c r="O56" s="28">
        <v>0</v>
      </c>
      <c r="P56" s="19"/>
      <c r="Q56" s="19"/>
      <c r="R56" s="19"/>
      <c r="S56" s="19"/>
      <c r="T56" s="19"/>
      <c r="U56" s="19"/>
      <c r="V56" s="19"/>
      <c r="W56" s="19"/>
      <c r="X56" s="18"/>
      <c r="Y56" s="18"/>
      <c r="Z56" s="18"/>
      <c r="AA56" s="18"/>
      <c r="AB56" s="18"/>
      <c r="AC56" s="18"/>
      <c r="AD56" s="18"/>
      <c r="AE56" s="18"/>
      <c r="AF56" s="18"/>
      <c r="AG56" s="18"/>
      <c r="AH56" s="18"/>
      <c r="AI56" s="18"/>
      <c r="AJ56" s="18"/>
      <c r="AK56" s="18"/>
      <c r="AL56" s="18"/>
      <c r="AM56" s="18"/>
    </row>
    <row r="57" spans="1:39" s="20" customFormat="1" ht="38.25" x14ac:dyDescent="0.2">
      <c r="A57" s="136">
        <v>47</v>
      </c>
      <c r="B57" s="40" t="s">
        <v>540</v>
      </c>
      <c r="C57" s="22" t="s">
        <v>1031</v>
      </c>
      <c r="D57" s="52">
        <v>78.25</v>
      </c>
      <c r="E57" s="52">
        <v>250</v>
      </c>
      <c r="F57" s="117">
        <v>30</v>
      </c>
      <c r="G57" s="52">
        <v>50</v>
      </c>
      <c r="H57" s="52">
        <f>500</f>
        <v>500</v>
      </c>
      <c r="I57" s="52">
        <v>0</v>
      </c>
      <c r="J57" s="28">
        <f t="shared" si="4"/>
        <v>3147.5</v>
      </c>
      <c r="K57" s="28">
        <f t="shared" si="5"/>
        <v>139.94999999999999</v>
      </c>
      <c r="L57" s="28">
        <v>0</v>
      </c>
      <c r="M57" s="28">
        <f t="shared" si="3"/>
        <v>139.94999999999999</v>
      </c>
      <c r="N57" s="28">
        <f t="shared" si="6"/>
        <v>3007.55</v>
      </c>
      <c r="O57" s="28">
        <v>0</v>
      </c>
      <c r="P57" s="19"/>
      <c r="Q57" s="19"/>
      <c r="R57" s="19"/>
      <c r="S57" s="19"/>
      <c r="T57" s="19"/>
      <c r="U57" s="19"/>
      <c r="V57" s="19"/>
      <c r="W57" s="19"/>
      <c r="X57" s="18"/>
      <c r="Y57" s="18"/>
      <c r="Z57" s="18"/>
      <c r="AA57" s="18"/>
      <c r="AB57" s="18"/>
      <c r="AC57" s="18"/>
      <c r="AD57" s="18"/>
      <c r="AE57" s="18"/>
      <c r="AF57" s="18"/>
      <c r="AG57" s="18"/>
      <c r="AH57" s="18"/>
      <c r="AI57" s="18"/>
      <c r="AJ57" s="18"/>
      <c r="AK57" s="18"/>
      <c r="AL57" s="18"/>
      <c r="AM57" s="18"/>
    </row>
    <row r="58" spans="1:39" s="20" customFormat="1" ht="25.5" x14ac:dyDescent="0.2">
      <c r="A58" s="136">
        <v>48</v>
      </c>
      <c r="B58" s="40" t="s">
        <v>541</v>
      </c>
      <c r="C58" s="40" t="s">
        <v>30</v>
      </c>
      <c r="D58" s="52">
        <v>72.540000000000006</v>
      </c>
      <c r="E58" s="52">
        <v>250</v>
      </c>
      <c r="F58" s="117">
        <v>30</v>
      </c>
      <c r="G58" s="52">
        <v>0</v>
      </c>
      <c r="H58" s="52">
        <f>500</f>
        <v>500</v>
      </c>
      <c r="I58" s="52">
        <v>0</v>
      </c>
      <c r="J58" s="28">
        <f t="shared" si="4"/>
        <v>2926.2</v>
      </c>
      <c r="K58" s="28">
        <f t="shared" si="5"/>
        <v>129.26</v>
      </c>
      <c r="L58" s="28">
        <v>0</v>
      </c>
      <c r="M58" s="28">
        <f t="shared" si="3"/>
        <v>129.26</v>
      </c>
      <c r="N58" s="28">
        <f t="shared" si="6"/>
        <v>2796.94</v>
      </c>
      <c r="O58" s="28">
        <v>0</v>
      </c>
      <c r="P58" s="19"/>
      <c r="Q58" s="19"/>
      <c r="R58" s="19"/>
      <c r="S58" s="19"/>
      <c r="T58" s="19"/>
      <c r="U58" s="19"/>
      <c r="V58" s="19"/>
      <c r="W58" s="19"/>
      <c r="X58" s="18"/>
      <c r="Y58" s="18"/>
      <c r="Z58" s="18"/>
      <c r="AA58" s="18"/>
      <c r="AB58" s="18"/>
      <c r="AC58" s="18"/>
      <c r="AD58" s="18"/>
      <c r="AE58" s="18"/>
      <c r="AF58" s="18"/>
      <c r="AG58" s="18"/>
      <c r="AH58" s="18"/>
      <c r="AI58" s="18"/>
      <c r="AJ58" s="18"/>
      <c r="AK58" s="18"/>
      <c r="AL58" s="18"/>
      <c r="AM58" s="18"/>
    </row>
    <row r="59" spans="1:39" s="20" customFormat="1" ht="29.25" customHeight="1" x14ac:dyDescent="0.2">
      <c r="A59" s="136">
        <v>49</v>
      </c>
      <c r="B59" s="24" t="s">
        <v>249</v>
      </c>
      <c r="C59" s="22" t="s">
        <v>239</v>
      </c>
      <c r="D59" s="52">
        <v>78.25</v>
      </c>
      <c r="E59" s="52">
        <v>250</v>
      </c>
      <c r="F59" s="117">
        <v>30</v>
      </c>
      <c r="G59" s="52">
        <v>0</v>
      </c>
      <c r="H59" s="52">
        <f>500</f>
        <v>500</v>
      </c>
      <c r="I59" s="52">
        <v>0</v>
      </c>
      <c r="J59" s="28">
        <f t="shared" si="4"/>
        <v>3097.5</v>
      </c>
      <c r="K59" s="28">
        <f t="shared" si="5"/>
        <v>137.53</v>
      </c>
      <c r="L59" s="28">
        <f>(J59-E59)*11%</f>
        <v>313.23</v>
      </c>
      <c r="M59" s="28">
        <f t="shared" si="3"/>
        <v>450.76</v>
      </c>
      <c r="N59" s="28">
        <f t="shared" si="6"/>
        <v>2646.74</v>
      </c>
      <c r="O59" s="28">
        <v>0</v>
      </c>
      <c r="P59" s="19"/>
      <c r="Q59" s="19"/>
      <c r="R59" s="19"/>
      <c r="S59" s="19"/>
      <c r="T59" s="19"/>
      <c r="U59" s="19"/>
      <c r="V59" s="19"/>
      <c r="W59" s="19"/>
      <c r="X59" s="18"/>
      <c r="Y59" s="18"/>
      <c r="Z59" s="18"/>
      <c r="AA59" s="18"/>
      <c r="AB59" s="18"/>
      <c r="AC59" s="18"/>
      <c r="AD59" s="18"/>
      <c r="AE59" s="18"/>
      <c r="AF59" s="18"/>
      <c r="AG59" s="18"/>
      <c r="AH59" s="18"/>
      <c r="AI59" s="18"/>
      <c r="AJ59" s="18"/>
      <c r="AK59" s="18"/>
      <c r="AL59" s="18"/>
      <c r="AM59" s="18"/>
    </row>
    <row r="60" spans="1:39" s="20" customFormat="1" x14ac:dyDescent="0.2">
      <c r="A60" s="136">
        <v>50</v>
      </c>
      <c r="B60" s="40" t="s">
        <v>134</v>
      </c>
      <c r="C60" s="40" t="s">
        <v>170</v>
      </c>
      <c r="D60" s="52">
        <v>75.64</v>
      </c>
      <c r="E60" s="52">
        <v>250</v>
      </c>
      <c r="F60" s="117">
        <v>30</v>
      </c>
      <c r="G60" s="52">
        <v>50</v>
      </c>
      <c r="H60" s="52">
        <f>500</f>
        <v>500</v>
      </c>
      <c r="I60" s="52">
        <v>0</v>
      </c>
      <c r="J60" s="28">
        <f t="shared" si="4"/>
        <v>3069.2</v>
      </c>
      <c r="K60" s="28">
        <f t="shared" si="5"/>
        <v>136.16999999999999</v>
      </c>
      <c r="L60" s="28">
        <v>0</v>
      </c>
      <c r="M60" s="28">
        <f t="shared" si="3"/>
        <v>136.16999999999999</v>
      </c>
      <c r="N60" s="28">
        <f t="shared" si="6"/>
        <v>2933.03</v>
      </c>
      <c r="O60" s="28">
        <v>0</v>
      </c>
      <c r="P60" s="19"/>
      <c r="Q60" s="19"/>
      <c r="R60" s="19"/>
      <c r="S60" s="19"/>
      <c r="T60" s="19"/>
      <c r="U60" s="19"/>
      <c r="V60" s="19"/>
      <c r="W60" s="19"/>
      <c r="X60" s="18"/>
      <c r="Y60" s="18"/>
      <c r="Z60" s="18"/>
      <c r="AA60" s="18"/>
      <c r="AB60" s="18"/>
      <c r="AC60" s="18"/>
      <c r="AD60" s="18"/>
      <c r="AE60" s="18"/>
      <c r="AF60" s="18"/>
      <c r="AG60" s="18"/>
      <c r="AH60" s="18"/>
      <c r="AI60" s="18"/>
      <c r="AJ60" s="18"/>
      <c r="AK60" s="18"/>
      <c r="AL60" s="18"/>
      <c r="AM60" s="18"/>
    </row>
    <row r="61" spans="1:39" s="20" customFormat="1" x14ac:dyDescent="0.2">
      <c r="A61" s="136">
        <v>51</v>
      </c>
      <c r="B61" s="40" t="s">
        <v>560</v>
      </c>
      <c r="C61" s="40" t="s">
        <v>170</v>
      </c>
      <c r="D61" s="52">
        <v>75.64</v>
      </c>
      <c r="E61" s="52">
        <v>250</v>
      </c>
      <c r="F61" s="117">
        <v>30</v>
      </c>
      <c r="G61" s="52">
        <v>0</v>
      </c>
      <c r="H61" s="52">
        <f>500</f>
        <v>500</v>
      </c>
      <c r="I61" s="52">
        <v>0</v>
      </c>
      <c r="J61" s="28">
        <f t="shared" si="4"/>
        <v>3019.2</v>
      </c>
      <c r="K61" s="28">
        <f t="shared" si="5"/>
        <v>133.75</v>
      </c>
      <c r="L61" s="28">
        <v>0</v>
      </c>
      <c r="M61" s="28">
        <f t="shared" si="3"/>
        <v>133.75</v>
      </c>
      <c r="N61" s="28">
        <f t="shared" si="6"/>
        <v>2885.45</v>
      </c>
      <c r="O61" s="28">
        <v>0</v>
      </c>
      <c r="P61" s="19"/>
      <c r="Q61" s="19"/>
      <c r="R61" s="19"/>
      <c r="S61" s="19"/>
      <c r="T61" s="19"/>
      <c r="U61" s="19"/>
      <c r="V61" s="19"/>
      <c r="W61" s="19"/>
      <c r="X61" s="18"/>
      <c r="Y61" s="18"/>
      <c r="Z61" s="18"/>
      <c r="AA61" s="18"/>
      <c r="AB61" s="18"/>
      <c r="AC61" s="18"/>
      <c r="AD61" s="18"/>
      <c r="AE61" s="18"/>
      <c r="AF61" s="18"/>
      <c r="AG61" s="18"/>
      <c r="AH61" s="18"/>
      <c r="AI61" s="18"/>
      <c r="AJ61" s="18"/>
      <c r="AK61" s="18"/>
      <c r="AL61" s="18"/>
      <c r="AM61" s="18"/>
    </row>
    <row r="62" spans="1:39" s="20" customFormat="1" x14ac:dyDescent="0.2">
      <c r="A62" s="136">
        <v>52</v>
      </c>
      <c r="B62" s="40" t="s">
        <v>159</v>
      </c>
      <c r="C62" s="40" t="s">
        <v>170</v>
      </c>
      <c r="D62" s="52">
        <v>75.64</v>
      </c>
      <c r="E62" s="52">
        <v>250</v>
      </c>
      <c r="F62" s="117">
        <v>30</v>
      </c>
      <c r="G62" s="52">
        <v>0</v>
      </c>
      <c r="H62" s="52">
        <f>500</f>
        <v>500</v>
      </c>
      <c r="I62" s="52">
        <v>0</v>
      </c>
      <c r="J62" s="28">
        <f t="shared" si="4"/>
        <v>3019.2</v>
      </c>
      <c r="K62" s="28">
        <f t="shared" si="5"/>
        <v>133.75</v>
      </c>
      <c r="L62" s="28">
        <v>0</v>
      </c>
      <c r="M62" s="28">
        <f t="shared" si="3"/>
        <v>133.75</v>
      </c>
      <c r="N62" s="28">
        <f t="shared" si="6"/>
        <v>2885.45</v>
      </c>
      <c r="O62" s="28">
        <v>0</v>
      </c>
      <c r="P62" s="19"/>
      <c r="Q62" s="19"/>
      <c r="R62" s="19"/>
      <c r="S62" s="19"/>
      <c r="T62" s="19"/>
      <c r="U62" s="19"/>
      <c r="V62" s="19"/>
      <c r="W62" s="19"/>
      <c r="X62" s="18"/>
      <c r="Y62" s="18"/>
      <c r="Z62" s="18"/>
      <c r="AA62" s="18"/>
      <c r="AB62" s="18"/>
      <c r="AC62" s="18"/>
      <c r="AD62" s="18"/>
      <c r="AE62" s="18"/>
      <c r="AF62" s="18"/>
      <c r="AG62" s="18"/>
      <c r="AH62" s="18"/>
      <c r="AI62" s="18"/>
      <c r="AJ62" s="18"/>
      <c r="AK62" s="18"/>
      <c r="AL62" s="18"/>
      <c r="AM62" s="18"/>
    </row>
    <row r="63" spans="1:39" s="20" customFormat="1" x14ac:dyDescent="0.2">
      <c r="A63" s="136">
        <v>53</v>
      </c>
      <c r="B63" s="40" t="s">
        <v>532</v>
      </c>
      <c r="C63" s="40" t="s">
        <v>29</v>
      </c>
      <c r="D63" s="52">
        <v>71.400000000000006</v>
      </c>
      <c r="E63" s="52">
        <v>250</v>
      </c>
      <c r="F63" s="117">
        <v>30</v>
      </c>
      <c r="G63" s="52">
        <v>50</v>
      </c>
      <c r="H63" s="52">
        <f>500</f>
        <v>500</v>
      </c>
      <c r="I63" s="52">
        <v>0</v>
      </c>
      <c r="J63" s="28">
        <f t="shared" si="4"/>
        <v>2942</v>
      </c>
      <c r="K63" s="28">
        <f t="shared" si="5"/>
        <v>130.02000000000001</v>
      </c>
      <c r="L63" s="28">
        <f>(J63-E63)*11%</f>
        <v>296.12</v>
      </c>
      <c r="M63" s="28">
        <f t="shared" si="3"/>
        <v>426.14</v>
      </c>
      <c r="N63" s="28">
        <f t="shared" si="6"/>
        <v>2515.86</v>
      </c>
      <c r="O63" s="28">
        <v>0</v>
      </c>
      <c r="P63" s="19"/>
      <c r="Q63" s="19"/>
      <c r="R63" s="19"/>
      <c r="S63" s="19"/>
      <c r="T63" s="19"/>
      <c r="U63" s="19"/>
      <c r="V63" s="19"/>
      <c r="W63" s="19"/>
      <c r="X63" s="18"/>
      <c r="Y63" s="18"/>
      <c r="Z63" s="18"/>
      <c r="AA63" s="18"/>
      <c r="AB63" s="18"/>
      <c r="AC63" s="18"/>
      <c r="AD63" s="18"/>
      <c r="AE63" s="18"/>
      <c r="AF63" s="18"/>
      <c r="AG63" s="18"/>
      <c r="AH63" s="18"/>
      <c r="AI63" s="18"/>
      <c r="AJ63" s="18"/>
      <c r="AK63" s="18"/>
      <c r="AL63" s="18"/>
      <c r="AM63" s="18"/>
    </row>
    <row r="64" spans="1:39" s="20" customFormat="1" x14ac:dyDescent="0.2">
      <c r="A64" s="136">
        <v>54</v>
      </c>
      <c r="B64" s="40" t="s">
        <v>526</v>
      </c>
      <c r="C64" s="40" t="s">
        <v>30</v>
      </c>
      <c r="D64" s="52">
        <v>72.540000000000006</v>
      </c>
      <c r="E64" s="52">
        <v>250</v>
      </c>
      <c r="F64" s="117">
        <v>30</v>
      </c>
      <c r="G64" s="52">
        <v>50</v>
      </c>
      <c r="H64" s="52">
        <f>500</f>
        <v>500</v>
      </c>
      <c r="I64" s="52">
        <v>0</v>
      </c>
      <c r="J64" s="28">
        <f t="shared" si="4"/>
        <v>2976.2</v>
      </c>
      <c r="K64" s="28">
        <f t="shared" si="5"/>
        <v>131.68</v>
      </c>
      <c r="L64" s="28">
        <v>0</v>
      </c>
      <c r="M64" s="28">
        <f t="shared" si="3"/>
        <v>131.68</v>
      </c>
      <c r="N64" s="28">
        <f t="shared" si="6"/>
        <v>2844.52</v>
      </c>
      <c r="O64" s="28">
        <v>0</v>
      </c>
      <c r="P64" s="19"/>
      <c r="Q64" s="19"/>
      <c r="R64" s="19"/>
      <c r="S64" s="19"/>
      <c r="T64" s="19"/>
      <c r="U64" s="19"/>
      <c r="V64" s="19"/>
      <c r="W64" s="19"/>
      <c r="X64" s="18"/>
      <c r="Y64" s="18"/>
      <c r="Z64" s="18"/>
      <c r="AA64" s="18"/>
      <c r="AB64" s="18"/>
      <c r="AC64" s="18"/>
      <c r="AD64" s="18"/>
      <c r="AE64" s="18"/>
      <c r="AF64" s="18"/>
      <c r="AG64" s="18"/>
      <c r="AH64" s="18"/>
      <c r="AI64" s="18"/>
      <c r="AJ64" s="18"/>
      <c r="AK64" s="18"/>
      <c r="AL64" s="18"/>
      <c r="AM64" s="18"/>
    </row>
    <row r="65" spans="1:39" s="20" customFormat="1" x14ac:dyDescent="0.2">
      <c r="A65" s="136">
        <v>55</v>
      </c>
      <c r="B65" s="40" t="s">
        <v>138</v>
      </c>
      <c r="C65" s="40" t="s">
        <v>176</v>
      </c>
      <c r="D65" s="52">
        <v>73.59</v>
      </c>
      <c r="E65" s="52">
        <v>250</v>
      </c>
      <c r="F65" s="117">
        <v>30</v>
      </c>
      <c r="G65" s="52">
        <v>50</v>
      </c>
      <c r="H65" s="52">
        <f>500</f>
        <v>500</v>
      </c>
      <c r="I65" s="52">
        <v>0</v>
      </c>
      <c r="J65" s="28">
        <f t="shared" si="4"/>
        <v>3007.7</v>
      </c>
      <c r="K65" s="28">
        <f t="shared" si="5"/>
        <v>133.19999999999999</v>
      </c>
      <c r="L65" s="28">
        <v>0</v>
      </c>
      <c r="M65" s="28">
        <f t="shared" si="3"/>
        <v>133.19999999999999</v>
      </c>
      <c r="N65" s="28">
        <f t="shared" si="6"/>
        <v>2874.5</v>
      </c>
      <c r="O65" s="28">
        <v>0</v>
      </c>
      <c r="P65" s="19"/>
      <c r="Q65" s="19"/>
      <c r="R65" s="19"/>
      <c r="S65" s="19"/>
      <c r="T65" s="19"/>
      <c r="U65" s="19"/>
      <c r="V65" s="19"/>
      <c r="W65" s="19"/>
      <c r="X65" s="18"/>
      <c r="Y65" s="18"/>
      <c r="Z65" s="18"/>
      <c r="AA65" s="18"/>
      <c r="AB65" s="18"/>
      <c r="AC65" s="18"/>
      <c r="AD65" s="18"/>
      <c r="AE65" s="18"/>
      <c r="AF65" s="18"/>
      <c r="AG65" s="18"/>
      <c r="AH65" s="18"/>
      <c r="AI65" s="18"/>
      <c r="AJ65" s="18"/>
      <c r="AK65" s="18"/>
      <c r="AL65" s="18"/>
      <c r="AM65" s="18"/>
    </row>
    <row r="66" spans="1:39" s="20" customFormat="1" x14ac:dyDescent="0.2">
      <c r="A66" s="136">
        <v>56</v>
      </c>
      <c r="B66" s="40" t="s">
        <v>554</v>
      </c>
      <c r="C66" s="40" t="s">
        <v>29</v>
      </c>
      <c r="D66" s="52">
        <v>71.400000000000006</v>
      </c>
      <c r="E66" s="52">
        <v>250</v>
      </c>
      <c r="F66" s="117">
        <v>30</v>
      </c>
      <c r="G66" s="52">
        <v>50</v>
      </c>
      <c r="H66" s="52">
        <f>500</f>
        <v>500</v>
      </c>
      <c r="I66" s="52">
        <v>0</v>
      </c>
      <c r="J66" s="28">
        <f t="shared" si="4"/>
        <v>2942</v>
      </c>
      <c r="K66" s="28">
        <f t="shared" si="5"/>
        <v>130.02000000000001</v>
      </c>
      <c r="L66" s="28">
        <f>(J66-E66)*11%</f>
        <v>296.12</v>
      </c>
      <c r="M66" s="28">
        <f t="shared" si="3"/>
        <v>426.14</v>
      </c>
      <c r="N66" s="28">
        <f t="shared" si="6"/>
        <v>2515.86</v>
      </c>
      <c r="O66" s="28">
        <v>0</v>
      </c>
      <c r="P66" s="19"/>
      <c r="Q66" s="19"/>
      <c r="R66" s="19"/>
      <c r="S66" s="19"/>
      <c r="T66" s="19"/>
      <c r="U66" s="19"/>
      <c r="V66" s="19"/>
      <c r="W66" s="19"/>
      <c r="X66" s="18"/>
      <c r="Y66" s="18"/>
      <c r="Z66" s="18"/>
      <c r="AA66" s="18"/>
      <c r="AB66" s="18"/>
      <c r="AC66" s="18"/>
      <c r="AD66" s="18"/>
      <c r="AE66" s="18"/>
      <c r="AF66" s="18"/>
      <c r="AG66" s="18"/>
      <c r="AH66" s="18"/>
      <c r="AI66" s="18"/>
      <c r="AJ66" s="18"/>
      <c r="AK66" s="18"/>
      <c r="AL66" s="18"/>
      <c r="AM66" s="18"/>
    </row>
    <row r="67" spans="1:39" s="20" customFormat="1" ht="25.5" x14ac:dyDescent="0.2">
      <c r="A67" s="136">
        <v>57</v>
      </c>
      <c r="B67" s="40" t="s">
        <v>160</v>
      </c>
      <c r="C67" s="40" t="s">
        <v>29</v>
      </c>
      <c r="D67" s="52">
        <v>71.400000000000006</v>
      </c>
      <c r="E67" s="52">
        <v>250</v>
      </c>
      <c r="F67" s="117">
        <v>30</v>
      </c>
      <c r="G67" s="52">
        <v>0</v>
      </c>
      <c r="H67" s="52">
        <f>500</f>
        <v>500</v>
      </c>
      <c r="I67" s="52">
        <v>0</v>
      </c>
      <c r="J67" s="28">
        <f t="shared" si="4"/>
        <v>2892</v>
      </c>
      <c r="K67" s="28">
        <f t="shared" si="5"/>
        <v>127.61</v>
      </c>
      <c r="L67" s="28">
        <v>0</v>
      </c>
      <c r="M67" s="28">
        <f t="shared" si="3"/>
        <v>127.61</v>
      </c>
      <c r="N67" s="28">
        <f t="shared" si="6"/>
        <v>2764.39</v>
      </c>
      <c r="O67" s="28">
        <v>0</v>
      </c>
      <c r="P67" s="19"/>
      <c r="Q67" s="19"/>
      <c r="R67" s="19"/>
      <c r="S67" s="19"/>
      <c r="T67" s="19"/>
      <c r="U67" s="19"/>
      <c r="V67" s="19"/>
      <c r="W67" s="19"/>
      <c r="X67" s="18"/>
      <c r="Y67" s="18"/>
      <c r="Z67" s="18"/>
      <c r="AA67" s="18"/>
      <c r="AB67" s="18"/>
      <c r="AC67" s="18"/>
      <c r="AD67" s="18"/>
      <c r="AE67" s="18"/>
      <c r="AF67" s="18"/>
      <c r="AG67" s="18"/>
      <c r="AH67" s="18"/>
      <c r="AI67" s="18"/>
      <c r="AJ67" s="18"/>
      <c r="AK67" s="18"/>
      <c r="AL67" s="18"/>
      <c r="AM67" s="18"/>
    </row>
    <row r="68" spans="1:39" s="20" customFormat="1" x14ac:dyDescent="0.2">
      <c r="A68" s="136">
        <v>58</v>
      </c>
      <c r="B68" s="40" t="s">
        <v>555</v>
      </c>
      <c r="C68" s="40" t="s">
        <v>29</v>
      </c>
      <c r="D68" s="52">
        <v>71.400000000000006</v>
      </c>
      <c r="E68" s="52">
        <v>250</v>
      </c>
      <c r="F68" s="117">
        <v>30</v>
      </c>
      <c r="G68" s="52">
        <v>50</v>
      </c>
      <c r="H68" s="52">
        <f>500</f>
        <v>500</v>
      </c>
      <c r="I68" s="52">
        <v>0</v>
      </c>
      <c r="J68" s="28">
        <f t="shared" si="4"/>
        <v>2942</v>
      </c>
      <c r="K68" s="28">
        <f t="shared" si="5"/>
        <v>130.02000000000001</v>
      </c>
      <c r="L68" s="28">
        <f>(J68-E68)*11%</f>
        <v>296.12</v>
      </c>
      <c r="M68" s="28">
        <f t="shared" si="3"/>
        <v>426.14</v>
      </c>
      <c r="N68" s="28">
        <f t="shared" si="6"/>
        <v>2515.86</v>
      </c>
      <c r="O68" s="28">
        <v>0</v>
      </c>
      <c r="P68" s="19"/>
      <c r="Q68" s="19"/>
      <c r="R68" s="19"/>
      <c r="S68" s="19"/>
      <c r="T68" s="19"/>
      <c r="U68" s="19"/>
      <c r="V68" s="19"/>
      <c r="W68" s="19"/>
      <c r="X68" s="18"/>
      <c r="Y68" s="18"/>
      <c r="Z68" s="18"/>
      <c r="AA68" s="18"/>
      <c r="AB68" s="18"/>
      <c r="AC68" s="18"/>
      <c r="AD68" s="18"/>
      <c r="AE68" s="18"/>
      <c r="AF68" s="18"/>
      <c r="AG68" s="18"/>
      <c r="AH68" s="18"/>
      <c r="AI68" s="18"/>
      <c r="AJ68" s="18"/>
      <c r="AK68" s="18"/>
      <c r="AL68" s="18"/>
      <c r="AM68" s="18"/>
    </row>
    <row r="69" spans="1:39" s="20" customFormat="1" x14ac:dyDescent="0.2">
      <c r="A69" s="136">
        <v>59</v>
      </c>
      <c r="B69" s="127" t="s">
        <v>474</v>
      </c>
      <c r="C69" s="127" t="s">
        <v>30</v>
      </c>
      <c r="D69" s="52">
        <v>72.540000000000006</v>
      </c>
      <c r="E69" s="52">
        <v>250</v>
      </c>
      <c r="F69" s="117">
        <v>30</v>
      </c>
      <c r="G69" s="116"/>
      <c r="H69" s="52">
        <f>500</f>
        <v>500</v>
      </c>
      <c r="I69" s="52">
        <v>0</v>
      </c>
      <c r="J69" s="28">
        <f t="shared" si="4"/>
        <v>2926.2</v>
      </c>
      <c r="K69" s="28">
        <f t="shared" si="5"/>
        <v>129.26</v>
      </c>
      <c r="L69" s="28">
        <v>0</v>
      </c>
      <c r="M69" s="28">
        <f t="shared" si="3"/>
        <v>129.26</v>
      </c>
      <c r="N69" s="28">
        <f t="shared" si="6"/>
        <v>2796.94</v>
      </c>
      <c r="O69" s="28">
        <v>0</v>
      </c>
      <c r="P69" s="19"/>
      <c r="Q69" s="19"/>
      <c r="R69" s="19"/>
      <c r="S69" s="19"/>
      <c r="T69" s="19"/>
      <c r="U69" s="19"/>
      <c r="V69" s="19"/>
      <c r="W69" s="19"/>
      <c r="X69" s="18"/>
      <c r="Y69" s="18"/>
      <c r="Z69" s="18"/>
      <c r="AA69" s="18"/>
      <c r="AB69" s="18"/>
      <c r="AC69" s="18"/>
      <c r="AD69" s="18"/>
      <c r="AE69" s="18"/>
      <c r="AF69" s="18"/>
      <c r="AG69" s="18"/>
      <c r="AH69" s="18"/>
      <c r="AI69" s="18"/>
      <c r="AJ69" s="18"/>
      <c r="AK69" s="18"/>
      <c r="AL69" s="18"/>
      <c r="AM69" s="18"/>
    </row>
    <row r="70" spans="1:39" s="20" customFormat="1" ht="25.5" x14ac:dyDescent="0.2">
      <c r="A70" s="136">
        <v>60</v>
      </c>
      <c r="B70" s="113" t="s">
        <v>128</v>
      </c>
      <c r="C70" s="40" t="s">
        <v>172</v>
      </c>
      <c r="D70" s="52">
        <v>74.63</v>
      </c>
      <c r="E70" s="52">
        <v>250</v>
      </c>
      <c r="F70" s="117">
        <v>30</v>
      </c>
      <c r="G70" s="52">
        <v>0</v>
      </c>
      <c r="H70" s="52">
        <f>500</f>
        <v>500</v>
      </c>
      <c r="I70" s="52">
        <v>0</v>
      </c>
      <c r="J70" s="28">
        <f t="shared" si="4"/>
        <v>2988.9</v>
      </c>
      <c r="K70" s="28">
        <f t="shared" si="5"/>
        <v>132.29</v>
      </c>
      <c r="L70" s="28">
        <v>0</v>
      </c>
      <c r="M70" s="28">
        <f t="shared" si="3"/>
        <v>132.29</v>
      </c>
      <c r="N70" s="28">
        <f t="shared" si="6"/>
        <v>2856.61</v>
      </c>
      <c r="O70" s="28">
        <v>0</v>
      </c>
      <c r="P70" s="19"/>
      <c r="Q70" s="19"/>
      <c r="R70" s="19"/>
      <c r="S70" s="19"/>
      <c r="T70" s="19"/>
      <c r="U70" s="19"/>
      <c r="V70" s="19"/>
      <c r="W70" s="19"/>
      <c r="X70" s="18"/>
      <c r="Y70" s="18"/>
      <c r="Z70" s="18"/>
      <c r="AA70" s="18"/>
      <c r="AB70" s="18"/>
      <c r="AC70" s="18"/>
      <c r="AD70" s="18"/>
      <c r="AE70" s="18"/>
      <c r="AF70" s="18"/>
      <c r="AG70" s="18"/>
      <c r="AH70" s="18"/>
      <c r="AI70" s="18"/>
      <c r="AJ70" s="18"/>
      <c r="AK70" s="18"/>
      <c r="AL70" s="18"/>
      <c r="AM70" s="18"/>
    </row>
    <row r="71" spans="1:39" s="20" customFormat="1" x14ac:dyDescent="0.2">
      <c r="A71" s="136">
        <v>61</v>
      </c>
      <c r="B71" s="40" t="s">
        <v>558</v>
      </c>
      <c r="C71" s="40" t="s">
        <v>178</v>
      </c>
      <c r="D71" s="52">
        <v>72.540000000000006</v>
      </c>
      <c r="E71" s="52">
        <v>250</v>
      </c>
      <c r="F71" s="117">
        <v>30</v>
      </c>
      <c r="G71" s="52">
        <v>0</v>
      </c>
      <c r="H71" s="52">
        <f>500</f>
        <v>500</v>
      </c>
      <c r="I71" s="52">
        <v>0</v>
      </c>
      <c r="J71" s="28">
        <f t="shared" si="4"/>
        <v>2926.2</v>
      </c>
      <c r="K71" s="28">
        <f t="shared" si="5"/>
        <v>129.26</v>
      </c>
      <c r="L71" s="28">
        <v>0</v>
      </c>
      <c r="M71" s="28">
        <f t="shared" si="3"/>
        <v>129.26</v>
      </c>
      <c r="N71" s="28">
        <f t="shared" si="6"/>
        <v>2796.94</v>
      </c>
      <c r="O71" s="28">
        <v>0</v>
      </c>
      <c r="P71" s="19"/>
      <c r="Q71" s="19"/>
      <c r="R71" s="19"/>
      <c r="S71" s="19"/>
      <c r="T71" s="19"/>
      <c r="U71" s="19"/>
      <c r="V71" s="19"/>
      <c r="W71" s="19"/>
      <c r="X71" s="18"/>
      <c r="Y71" s="18"/>
      <c r="Z71" s="18"/>
      <c r="AA71" s="18"/>
      <c r="AB71" s="18"/>
      <c r="AC71" s="18"/>
      <c r="AD71" s="18"/>
      <c r="AE71" s="18"/>
      <c r="AF71" s="18"/>
      <c r="AG71" s="18"/>
      <c r="AH71" s="18"/>
      <c r="AI71" s="18"/>
      <c r="AJ71" s="18"/>
      <c r="AK71" s="18"/>
      <c r="AL71" s="18"/>
      <c r="AM71" s="18"/>
    </row>
    <row r="72" spans="1:39" s="20" customFormat="1" ht="25.5" x14ac:dyDescent="0.2">
      <c r="A72" s="136">
        <v>62</v>
      </c>
      <c r="B72" s="127" t="s">
        <v>480</v>
      </c>
      <c r="C72" s="64" t="s">
        <v>178</v>
      </c>
      <c r="D72" s="52">
        <v>72.540000000000006</v>
      </c>
      <c r="E72" s="52">
        <v>250</v>
      </c>
      <c r="F72" s="117">
        <v>30</v>
      </c>
      <c r="G72" s="52">
        <v>0</v>
      </c>
      <c r="H72" s="52">
        <f>500</f>
        <v>500</v>
      </c>
      <c r="I72" s="52">
        <v>0</v>
      </c>
      <c r="J72" s="28">
        <f t="shared" si="4"/>
        <v>2926.2</v>
      </c>
      <c r="K72" s="28">
        <f t="shared" si="5"/>
        <v>129.26</v>
      </c>
      <c r="L72" s="28">
        <f>(J72-E72)*11%</f>
        <v>294.38</v>
      </c>
      <c r="M72" s="28">
        <f t="shared" si="3"/>
        <v>423.64</v>
      </c>
      <c r="N72" s="28">
        <f t="shared" si="6"/>
        <v>2502.56</v>
      </c>
      <c r="O72" s="28">
        <v>0</v>
      </c>
      <c r="P72" s="19"/>
      <c r="Q72" s="19"/>
      <c r="R72" s="19"/>
      <c r="S72" s="19"/>
      <c r="T72" s="19"/>
      <c r="U72" s="19"/>
      <c r="V72" s="19"/>
      <c r="W72" s="19"/>
      <c r="X72" s="18"/>
      <c r="Y72" s="18"/>
      <c r="Z72" s="18"/>
      <c r="AA72" s="18"/>
      <c r="AB72" s="18"/>
      <c r="AC72" s="18"/>
      <c r="AD72" s="18"/>
      <c r="AE72" s="18"/>
      <c r="AF72" s="18"/>
      <c r="AG72" s="18"/>
      <c r="AH72" s="18"/>
      <c r="AI72" s="18"/>
      <c r="AJ72" s="18"/>
      <c r="AK72" s="18"/>
      <c r="AL72" s="18"/>
      <c r="AM72" s="18"/>
    </row>
    <row r="73" spans="1:39" s="20" customFormat="1" ht="25.5" x14ac:dyDescent="0.2">
      <c r="A73" s="136">
        <v>63</v>
      </c>
      <c r="B73" s="40" t="s">
        <v>131</v>
      </c>
      <c r="C73" s="40" t="s">
        <v>170</v>
      </c>
      <c r="D73" s="52">
        <v>75.64</v>
      </c>
      <c r="E73" s="52">
        <v>250</v>
      </c>
      <c r="F73" s="117">
        <v>30</v>
      </c>
      <c r="G73" s="52">
        <v>0</v>
      </c>
      <c r="H73" s="52">
        <f>500</f>
        <v>500</v>
      </c>
      <c r="I73" s="52">
        <v>0</v>
      </c>
      <c r="J73" s="28">
        <f t="shared" si="4"/>
        <v>3019.2</v>
      </c>
      <c r="K73" s="28">
        <f t="shared" si="5"/>
        <v>133.75</v>
      </c>
      <c r="L73" s="28">
        <v>0</v>
      </c>
      <c r="M73" s="28">
        <f t="shared" si="3"/>
        <v>133.75</v>
      </c>
      <c r="N73" s="28">
        <f t="shared" si="6"/>
        <v>2885.45</v>
      </c>
      <c r="O73" s="28">
        <v>0</v>
      </c>
      <c r="P73" s="19"/>
      <c r="Q73" s="19"/>
      <c r="R73" s="19"/>
      <c r="S73" s="19"/>
      <c r="T73" s="19"/>
      <c r="U73" s="19"/>
      <c r="V73" s="19"/>
      <c r="W73" s="19"/>
      <c r="X73" s="18"/>
      <c r="Y73" s="18"/>
      <c r="Z73" s="18"/>
      <c r="AA73" s="18"/>
      <c r="AB73" s="18"/>
      <c r="AC73" s="18"/>
      <c r="AD73" s="18"/>
      <c r="AE73" s="18"/>
      <c r="AF73" s="18"/>
      <c r="AG73" s="18"/>
      <c r="AH73" s="18"/>
      <c r="AI73" s="18"/>
      <c r="AJ73" s="18"/>
      <c r="AK73" s="18"/>
      <c r="AL73" s="18"/>
      <c r="AM73" s="18"/>
    </row>
    <row r="74" spans="1:39" s="20" customFormat="1" x14ac:dyDescent="0.2">
      <c r="A74" s="136">
        <v>64</v>
      </c>
      <c r="B74" s="40" t="s">
        <v>67</v>
      </c>
      <c r="C74" s="40" t="s">
        <v>172</v>
      </c>
      <c r="D74" s="52">
        <v>74.63</v>
      </c>
      <c r="E74" s="52">
        <v>250</v>
      </c>
      <c r="F74" s="117">
        <v>30</v>
      </c>
      <c r="G74" s="52">
        <f>35</f>
        <v>35</v>
      </c>
      <c r="H74" s="52">
        <f>500</f>
        <v>500</v>
      </c>
      <c r="I74" s="52">
        <v>0</v>
      </c>
      <c r="J74" s="28">
        <f t="shared" si="4"/>
        <v>3023.9</v>
      </c>
      <c r="K74" s="28">
        <f t="shared" si="5"/>
        <v>133.97999999999999</v>
      </c>
      <c r="L74" s="28">
        <v>0</v>
      </c>
      <c r="M74" s="28">
        <f t="shared" si="3"/>
        <v>133.97999999999999</v>
      </c>
      <c r="N74" s="28">
        <f t="shared" si="6"/>
        <v>2889.92</v>
      </c>
      <c r="O74" s="28">
        <v>0</v>
      </c>
      <c r="P74" s="19"/>
      <c r="Q74" s="19"/>
      <c r="R74" s="19"/>
      <c r="S74" s="19"/>
      <c r="T74" s="19"/>
      <c r="U74" s="19"/>
      <c r="V74" s="19"/>
      <c r="W74" s="19"/>
      <c r="X74" s="18"/>
      <c r="Y74" s="18"/>
      <c r="Z74" s="18"/>
      <c r="AA74" s="18"/>
      <c r="AB74" s="18"/>
      <c r="AC74" s="18"/>
      <c r="AD74" s="18"/>
      <c r="AE74" s="18"/>
      <c r="AF74" s="18"/>
      <c r="AG74" s="18"/>
      <c r="AH74" s="18"/>
      <c r="AI74" s="18"/>
      <c r="AJ74" s="18"/>
      <c r="AK74" s="18"/>
      <c r="AL74" s="18"/>
      <c r="AM74" s="18"/>
    </row>
    <row r="75" spans="1:39" s="20" customFormat="1" x14ac:dyDescent="0.2">
      <c r="A75" s="136">
        <v>65</v>
      </c>
      <c r="B75" s="40" t="s">
        <v>142</v>
      </c>
      <c r="C75" s="40" t="s">
        <v>170</v>
      </c>
      <c r="D75" s="52">
        <v>75.64</v>
      </c>
      <c r="E75" s="52">
        <v>250</v>
      </c>
      <c r="F75" s="117">
        <v>30</v>
      </c>
      <c r="G75" s="52">
        <v>50</v>
      </c>
      <c r="H75" s="52">
        <f>500</f>
        <v>500</v>
      </c>
      <c r="I75" s="52">
        <v>0</v>
      </c>
      <c r="J75" s="28">
        <f t="shared" ref="J75:J82" si="7">(D75*F75)+E75+G75+H75</f>
        <v>3069.2</v>
      </c>
      <c r="K75" s="28">
        <f t="shared" ref="K75:K82" si="8">(D75*F75+G75+H75)*4.83%</f>
        <v>136.16999999999999</v>
      </c>
      <c r="L75" s="28">
        <v>0</v>
      </c>
      <c r="M75" s="28">
        <f t="shared" si="3"/>
        <v>136.16999999999999</v>
      </c>
      <c r="N75" s="28">
        <f t="shared" si="6"/>
        <v>2933.03</v>
      </c>
      <c r="O75" s="28">
        <v>0</v>
      </c>
      <c r="P75" s="19"/>
      <c r="Q75" s="19"/>
      <c r="R75" s="19"/>
      <c r="S75" s="19"/>
      <c r="T75" s="19"/>
      <c r="U75" s="19"/>
      <c r="V75" s="19"/>
      <c r="W75" s="19"/>
      <c r="X75" s="18"/>
      <c r="Y75" s="18"/>
      <c r="Z75" s="18"/>
      <c r="AA75" s="18"/>
      <c r="AB75" s="18"/>
      <c r="AC75" s="18"/>
      <c r="AD75" s="18"/>
      <c r="AE75" s="18"/>
      <c r="AF75" s="18"/>
      <c r="AG75" s="18"/>
      <c r="AH75" s="18"/>
      <c r="AI75" s="18"/>
      <c r="AJ75" s="18"/>
      <c r="AK75" s="18"/>
      <c r="AL75" s="18"/>
      <c r="AM75" s="18"/>
    </row>
    <row r="76" spans="1:39" s="20" customFormat="1" x14ac:dyDescent="0.2">
      <c r="A76" s="136">
        <v>66</v>
      </c>
      <c r="B76" s="113" t="s">
        <v>559</v>
      </c>
      <c r="C76" s="40" t="s">
        <v>170</v>
      </c>
      <c r="D76" s="52">
        <v>75.64</v>
      </c>
      <c r="E76" s="52">
        <v>250</v>
      </c>
      <c r="F76" s="117">
        <v>30</v>
      </c>
      <c r="G76" s="52">
        <v>0</v>
      </c>
      <c r="H76" s="52">
        <f>500</f>
        <v>500</v>
      </c>
      <c r="I76" s="52">
        <v>0</v>
      </c>
      <c r="J76" s="28">
        <f t="shared" si="7"/>
        <v>3019.2</v>
      </c>
      <c r="K76" s="28">
        <f t="shared" si="8"/>
        <v>133.75</v>
      </c>
      <c r="L76" s="28">
        <v>0</v>
      </c>
      <c r="M76" s="28">
        <f t="shared" ref="M76:M82" si="9">K76+L76</f>
        <v>133.75</v>
      </c>
      <c r="N76" s="28">
        <f t="shared" ref="N76:N82" si="10">J76-M76</f>
        <v>2885.45</v>
      </c>
      <c r="O76" s="28">
        <v>0</v>
      </c>
      <c r="P76" s="19"/>
      <c r="Q76" s="19"/>
      <c r="R76" s="19"/>
      <c r="S76" s="19"/>
      <c r="T76" s="19"/>
      <c r="U76" s="19"/>
      <c r="V76" s="19"/>
      <c r="W76" s="19"/>
      <c r="X76" s="18"/>
      <c r="Y76" s="18"/>
      <c r="Z76" s="18"/>
      <c r="AA76" s="18"/>
      <c r="AB76" s="18"/>
      <c r="AC76" s="18"/>
      <c r="AD76" s="18"/>
      <c r="AE76" s="18"/>
      <c r="AF76" s="18"/>
      <c r="AG76" s="18"/>
      <c r="AH76" s="18"/>
      <c r="AI76" s="18"/>
      <c r="AJ76" s="18"/>
      <c r="AK76" s="18"/>
      <c r="AL76" s="18"/>
      <c r="AM76" s="18"/>
    </row>
    <row r="77" spans="1:39" s="20" customFormat="1" x14ac:dyDescent="0.2">
      <c r="A77" s="136">
        <v>67</v>
      </c>
      <c r="B77" s="113" t="s">
        <v>244</v>
      </c>
      <c r="C77" s="40" t="s">
        <v>170</v>
      </c>
      <c r="D77" s="52">
        <v>75.64</v>
      </c>
      <c r="E77" s="52">
        <v>250</v>
      </c>
      <c r="F77" s="117">
        <v>30</v>
      </c>
      <c r="G77" s="52">
        <v>0</v>
      </c>
      <c r="H77" s="52">
        <f>500</f>
        <v>500</v>
      </c>
      <c r="I77" s="52">
        <v>0</v>
      </c>
      <c r="J77" s="28">
        <f t="shared" si="7"/>
        <v>3019.2</v>
      </c>
      <c r="K77" s="28">
        <f t="shared" si="8"/>
        <v>133.75</v>
      </c>
      <c r="L77" s="28">
        <v>0</v>
      </c>
      <c r="M77" s="28">
        <f t="shared" si="9"/>
        <v>133.75</v>
      </c>
      <c r="N77" s="28">
        <f t="shared" si="10"/>
        <v>2885.45</v>
      </c>
      <c r="O77" s="28">
        <v>0</v>
      </c>
      <c r="P77" s="19"/>
      <c r="Q77" s="19"/>
      <c r="R77" s="19"/>
      <c r="S77" s="19"/>
      <c r="T77" s="19"/>
      <c r="U77" s="19"/>
      <c r="V77" s="19"/>
      <c r="W77" s="19"/>
      <c r="X77" s="18"/>
      <c r="Y77" s="18"/>
      <c r="Z77" s="18"/>
      <c r="AA77" s="18"/>
      <c r="AB77" s="18"/>
      <c r="AC77" s="18"/>
      <c r="AD77" s="18"/>
      <c r="AE77" s="18"/>
      <c r="AF77" s="18"/>
      <c r="AG77" s="18"/>
      <c r="AH77" s="18"/>
      <c r="AI77" s="18"/>
      <c r="AJ77" s="18"/>
      <c r="AK77" s="18"/>
      <c r="AL77" s="18"/>
      <c r="AM77" s="18"/>
    </row>
    <row r="78" spans="1:39" s="20" customFormat="1" x14ac:dyDescent="0.2">
      <c r="A78" s="136">
        <v>68</v>
      </c>
      <c r="B78" s="40" t="s">
        <v>556</v>
      </c>
      <c r="C78" s="40" t="s">
        <v>171</v>
      </c>
      <c r="D78" s="52">
        <v>74.63</v>
      </c>
      <c r="E78" s="52">
        <v>250</v>
      </c>
      <c r="F78" s="117">
        <v>30</v>
      </c>
      <c r="G78" s="52">
        <v>0</v>
      </c>
      <c r="H78" s="52">
        <f>500</f>
        <v>500</v>
      </c>
      <c r="I78" s="52">
        <v>0</v>
      </c>
      <c r="J78" s="28">
        <f t="shared" si="7"/>
        <v>2988.9</v>
      </c>
      <c r="K78" s="28">
        <f t="shared" si="8"/>
        <v>132.29</v>
      </c>
      <c r="L78" s="28">
        <v>0</v>
      </c>
      <c r="M78" s="28">
        <f t="shared" si="9"/>
        <v>132.29</v>
      </c>
      <c r="N78" s="28">
        <f t="shared" si="10"/>
        <v>2856.61</v>
      </c>
      <c r="O78" s="28">
        <v>0</v>
      </c>
      <c r="P78" s="19"/>
      <c r="Q78" s="19"/>
      <c r="R78" s="19"/>
      <c r="S78" s="19"/>
      <c r="T78" s="19"/>
      <c r="U78" s="19"/>
      <c r="V78" s="19"/>
      <c r="W78" s="19"/>
      <c r="X78" s="18"/>
      <c r="Y78" s="18"/>
      <c r="Z78" s="18"/>
      <c r="AA78" s="18"/>
      <c r="AB78" s="18"/>
      <c r="AC78" s="18"/>
      <c r="AD78" s="18"/>
      <c r="AE78" s="18"/>
      <c r="AF78" s="18"/>
      <c r="AG78" s="18"/>
      <c r="AH78" s="18"/>
      <c r="AI78" s="18"/>
      <c r="AJ78" s="18"/>
      <c r="AK78" s="18"/>
      <c r="AL78" s="18"/>
      <c r="AM78" s="18"/>
    </row>
    <row r="79" spans="1:39" s="20" customFormat="1" ht="25.5" x14ac:dyDescent="0.2">
      <c r="A79" s="136">
        <v>69</v>
      </c>
      <c r="B79" s="40" t="s">
        <v>161</v>
      </c>
      <c r="C79" s="40" t="s">
        <v>29</v>
      </c>
      <c r="D79" s="52">
        <v>71.400000000000006</v>
      </c>
      <c r="E79" s="52">
        <v>250</v>
      </c>
      <c r="F79" s="117">
        <v>30</v>
      </c>
      <c r="G79" s="52">
        <v>0</v>
      </c>
      <c r="H79" s="52">
        <f>500</f>
        <v>500</v>
      </c>
      <c r="I79" s="52">
        <v>0</v>
      </c>
      <c r="J79" s="28">
        <f t="shared" si="7"/>
        <v>2892</v>
      </c>
      <c r="K79" s="28">
        <f t="shared" si="8"/>
        <v>127.61</v>
      </c>
      <c r="L79" s="28">
        <v>0</v>
      </c>
      <c r="M79" s="28">
        <f t="shared" si="9"/>
        <v>127.61</v>
      </c>
      <c r="N79" s="28">
        <f t="shared" si="10"/>
        <v>2764.39</v>
      </c>
      <c r="O79" s="28">
        <v>0</v>
      </c>
      <c r="P79" s="19"/>
      <c r="Q79" s="19"/>
      <c r="R79" s="19"/>
      <c r="S79" s="19"/>
      <c r="T79" s="19"/>
      <c r="U79" s="19"/>
      <c r="V79" s="19"/>
      <c r="W79" s="19"/>
      <c r="X79" s="18"/>
      <c r="Y79" s="18"/>
      <c r="Z79" s="18"/>
      <c r="AA79" s="18"/>
      <c r="AB79" s="18"/>
      <c r="AC79" s="18"/>
      <c r="AD79" s="18"/>
      <c r="AE79" s="18"/>
      <c r="AF79" s="18"/>
      <c r="AG79" s="18"/>
      <c r="AH79" s="18"/>
      <c r="AI79" s="18"/>
      <c r="AJ79" s="18"/>
      <c r="AK79" s="18"/>
      <c r="AL79" s="18"/>
      <c r="AM79" s="18"/>
    </row>
    <row r="80" spans="1:39" s="20" customFormat="1" x14ac:dyDescent="0.2">
      <c r="A80" s="136">
        <v>70</v>
      </c>
      <c r="B80" s="40" t="s">
        <v>542</v>
      </c>
      <c r="C80" s="40" t="s">
        <v>170</v>
      </c>
      <c r="D80" s="52">
        <v>75.64</v>
      </c>
      <c r="E80" s="52">
        <v>250</v>
      </c>
      <c r="F80" s="117">
        <v>30</v>
      </c>
      <c r="G80" s="52">
        <f>35</f>
        <v>35</v>
      </c>
      <c r="H80" s="52">
        <f>500</f>
        <v>500</v>
      </c>
      <c r="I80" s="52">
        <v>0</v>
      </c>
      <c r="J80" s="28">
        <f t="shared" si="7"/>
        <v>3054.2</v>
      </c>
      <c r="K80" s="28">
        <f t="shared" si="8"/>
        <v>135.44</v>
      </c>
      <c r="L80" s="28">
        <v>0</v>
      </c>
      <c r="M80" s="28">
        <f t="shared" si="9"/>
        <v>135.44</v>
      </c>
      <c r="N80" s="28">
        <f t="shared" si="10"/>
        <v>2918.76</v>
      </c>
      <c r="O80" s="28">
        <v>0</v>
      </c>
      <c r="P80" s="19"/>
      <c r="Q80" s="19"/>
      <c r="R80" s="19"/>
      <c r="S80" s="19"/>
      <c r="T80" s="19"/>
      <c r="U80" s="19"/>
      <c r="V80" s="19"/>
      <c r="W80" s="19"/>
      <c r="X80" s="18"/>
      <c r="Y80" s="18"/>
      <c r="Z80" s="18"/>
      <c r="AA80" s="18"/>
      <c r="AB80" s="18"/>
      <c r="AC80" s="18"/>
      <c r="AD80" s="18"/>
      <c r="AE80" s="18"/>
      <c r="AF80" s="18"/>
      <c r="AG80" s="18"/>
      <c r="AH80" s="18"/>
      <c r="AI80" s="18"/>
      <c r="AJ80" s="18"/>
      <c r="AK80" s="18"/>
      <c r="AL80" s="18"/>
      <c r="AM80" s="18"/>
    </row>
    <row r="81" spans="1:39" s="20" customFormat="1" x14ac:dyDescent="0.2">
      <c r="A81" s="136">
        <v>71</v>
      </c>
      <c r="B81" s="113" t="s">
        <v>527</v>
      </c>
      <c r="C81" s="40" t="s">
        <v>172</v>
      </c>
      <c r="D81" s="52">
        <v>74.63</v>
      </c>
      <c r="E81" s="52">
        <v>250</v>
      </c>
      <c r="F81" s="117">
        <v>30</v>
      </c>
      <c r="G81" s="52">
        <v>0</v>
      </c>
      <c r="H81" s="52">
        <f>500</f>
        <v>500</v>
      </c>
      <c r="I81" s="52">
        <v>0</v>
      </c>
      <c r="J81" s="28">
        <f t="shared" si="7"/>
        <v>2988.9</v>
      </c>
      <c r="K81" s="28">
        <f t="shared" si="8"/>
        <v>132.29</v>
      </c>
      <c r="L81" s="28">
        <v>0</v>
      </c>
      <c r="M81" s="28">
        <f t="shared" si="9"/>
        <v>132.29</v>
      </c>
      <c r="N81" s="28">
        <f t="shared" si="10"/>
        <v>2856.61</v>
      </c>
      <c r="O81" s="28">
        <v>0</v>
      </c>
      <c r="P81" s="19"/>
      <c r="Q81" s="19"/>
      <c r="R81" s="19"/>
      <c r="S81" s="19"/>
      <c r="T81" s="19"/>
      <c r="U81" s="19"/>
      <c r="V81" s="19"/>
      <c r="W81" s="19"/>
      <c r="X81" s="18"/>
      <c r="Y81" s="18"/>
      <c r="Z81" s="18"/>
      <c r="AA81" s="18"/>
      <c r="AB81" s="18"/>
      <c r="AC81" s="18"/>
      <c r="AD81" s="18"/>
      <c r="AE81" s="18"/>
      <c r="AF81" s="18"/>
      <c r="AG81" s="18"/>
      <c r="AH81" s="18"/>
      <c r="AI81" s="18"/>
      <c r="AJ81" s="18"/>
      <c r="AK81" s="18"/>
      <c r="AL81" s="18"/>
      <c r="AM81" s="18"/>
    </row>
    <row r="82" spans="1:39" s="20" customFormat="1" ht="25.5" customHeight="1" x14ac:dyDescent="0.2">
      <c r="A82" s="136">
        <v>72</v>
      </c>
      <c r="B82" s="145" t="s">
        <v>926</v>
      </c>
      <c r="C82" s="40" t="s">
        <v>170</v>
      </c>
      <c r="D82" s="52">
        <v>75.64</v>
      </c>
      <c r="E82" s="52">
        <v>250</v>
      </c>
      <c r="F82" s="117">
        <v>30</v>
      </c>
      <c r="G82" s="52">
        <v>0</v>
      </c>
      <c r="H82" s="52">
        <v>0</v>
      </c>
      <c r="I82" s="52">
        <v>0</v>
      </c>
      <c r="J82" s="28">
        <f t="shared" si="7"/>
        <v>2519.1999999999998</v>
      </c>
      <c r="K82" s="28">
        <f t="shared" si="8"/>
        <v>109.6</v>
      </c>
      <c r="L82" s="28">
        <v>0</v>
      </c>
      <c r="M82" s="28">
        <f t="shared" si="9"/>
        <v>109.6</v>
      </c>
      <c r="N82" s="28">
        <f t="shared" si="10"/>
        <v>2409.6</v>
      </c>
      <c r="O82" s="28">
        <v>0</v>
      </c>
      <c r="P82" s="19"/>
      <c r="Q82" s="19"/>
      <c r="R82" s="19"/>
      <c r="S82" s="19"/>
      <c r="T82" s="19"/>
      <c r="U82" s="19"/>
      <c r="V82" s="19"/>
      <c r="W82" s="19"/>
      <c r="X82" s="18"/>
      <c r="Y82" s="18"/>
      <c r="Z82" s="18"/>
      <c r="AA82" s="18"/>
      <c r="AB82" s="18"/>
      <c r="AC82" s="18"/>
      <c r="AD82" s="18"/>
      <c r="AE82" s="18"/>
      <c r="AF82" s="18"/>
      <c r="AG82" s="18"/>
      <c r="AH82" s="18"/>
      <c r="AI82" s="18"/>
      <c r="AJ82" s="18"/>
      <c r="AK82" s="18"/>
      <c r="AL82" s="18"/>
      <c r="AM82" s="18"/>
    </row>
    <row r="83" spans="1:39" ht="13.5" thickBot="1" x14ac:dyDescent="0.25">
      <c r="A83" s="293" t="s">
        <v>466</v>
      </c>
      <c r="B83" s="294"/>
      <c r="C83" s="294"/>
      <c r="D83" s="295"/>
      <c r="E83" s="71">
        <f>SUM(E11:E82)</f>
        <v>17750</v>
      </c>
      <c r="F83" s="71"/>
      <c r="G83" s="71">
        <f t="shared" ref="G83:O83" si="11">SUM(G11:G82)</f>
        <v>1340</v>
      </c>
      <c r="H83" s="71">
        <f t="shared" si="11"/>
        <v>34683.25</v>
      </c>
      <c r="I83" s="71">
        <f t="shared" si="11"/>
        <v>0</v>
      </c>
      <c r="J83" s="71">
        <f t="shared" si="11"/>
        <v>210432.4</v>
      </c>
      <c r="K83" s="71">
        <f t="shared" si="11"/>
        <v>9306.52</v>
      </c>
      <c r="L83" s="71">
        <f t="shared" si="11"/>
        <v>5151.8900000000003</v>
      </c>
      <c r="M83" s="71">
        <f t="shared" si="11"/>
        <v>14458.41</v>
      </c>
      <c r="N83" s="71">
        <f t="shared" si="11"/>
        <v>195973.99</v>
      </c>
      <c r="O83" s="72">
        <f t="shared" si="11"/>
        <v>0</v>
      </c>
      <c r="P83" s="10"/>
      <c r="Q83" s="10"/>
      <c r="R83" s="10"/>
      <c r="S83" s="10"/>
      <c r="T83" s="10"/>
      <c r="U83" s="10"/>
      <c r="V83" s="10"/>
      <c r="W83" s="19"/>
      <c r="X83" s="7"/>
      <c r="Y83" s="7"/>
      <c r="Z83" s="7"/>
      <c r="AA83" s="7"/>
      <c r="AB83" s="7"/>
      <c r="AC83" s="7"/>
      <c r="AD83" s="7"/>
      <c r="AE83" s="7"/>
      <c r="AF83" s="7"/>
      <c r="AG83" s="7"/>
      <c r="AH83" s="7"/>
      <c r="AI83" s="7"/>
      <c r="AJ83" s="7"/>
      <c r="AK83" s="7"/>
      <c r="AL83" s="7"/>
      <c r="AM83" s="7"/>
    </row>
    <row r="84" spans="1:39" x14ac:dyDescent="0.2">
      <c r="A84" s="9"/>
      <c r="B84" s="14"/>
      <c r="C84" s="7"/>
      <c r="D84" s="10"/>
      <c r="E84" s="10"/>
      <c r="F84" s="10"/>
      <c r="G84" s="10"/>
      <c r="H84" s="10"/>
      <c r="I84" s="10"/>
      <c r="J84" s="10"/>
      <c r="K84" s="10"/>
      <c r="L84" s="10"/>
      <c r="M84" s="10"/>
      <c r="N84" s="10"/>
      <c r="O84" s="10"/>
      <c r="P84" s="10"/>
      <c r="Q84" s="10"/>
      <c r="R84" s="10"/>
      <c r="S84" s="10"/>
      <c r="T84" s="10"/>
      <c r="U84" s="10"/>
      <c r="V84" s="10"/>
      <c r="W84" s="19"/>
      <c r="X84" s="7"/>
      <c r="Y84" s="7"/>
      <c r="Z84" s="7"/>
      <c r="AA84" s="7"/>
      <c r="AB84" s="7"/>
      <c r="AC84" s="7"/>
      <c r="AD84" s="7"/>
      <c r="AE84" s="7"/>
      <c r="AF84" s="7"/>
      <c r="AG84" s="7"/>
      <c r="AH84" s="7"/>
      <c r="AI84" s="7"/>
      <c r="AJ84" s="7"/>
      <c r="AK84" s="7"/>
      <c r="AL84" s="7"/>
      <c r="AM84" s="7"/>
    </row>
    <row r="85" spans="1:39" x14ac:dyDescent="0.2">
      <c r="A85" s="9"/>
      <c r="B85" s="14"/>
      <c r="C85" s="7"/>
      <c r="D85" s="10"/>
      <c r="E85" s="10"/>
      <c r="F85" s="10"/>
      <c r="G85" s="10"/>
      <c r="H85" s="10"/>
      <c r="I85" s="10"/>
      <c r="J85" s="10"/>
      <c r="K85" s="10"/>
      <c r="L85" s="10"/>
      <c r="M85" s="10"/>
      <c r="N85" s="10"/>
      <c r="O85" s="10"/>
      <c r="P85" s="10"/>
      <c r="Q85" s="10"/>
      <c r="R85" s="10"/>
      <c r="S85" s="10"/>
      <c r="T85" s="10"/>
      <c r="U85" s="10"/>
      <c r="V85" s="10"/>
      <c r="W85" s="19"/>
      <c r="X85" s="7"/>
      <c r="Y85" s="7"/>
      <c r="Z85" s="7"/>
      <c r="AA85" s="7"/>
      <c r="AB85" s="7"/>
      <c r="AC85" s="7"/>
      <c r="AD85" s="7"/>
      <c r="AE85" s="7"/>
      <c r="AF85" s="7"/>
      <c r="AG85" s="7"/>
      <c r="AH85" s="7"/>
      <c r="AI85" s="7"/>
      <c r="AJ85" s="7"/>
      <c r="AK85" s="7"/>
      <c r="AL85" s="7"/>
      <c r="AM85" s="7"/>
    </row>
    <row r="86" spans="1:39" ht="50.25" customHeight="1" x14ac:dyDescent="0.2">
      <c r="A86" s="191" t="s">
        <v>1033</v>
      </c>
      <c r="B86" s="290" t="s">
        <v>1067</v>
      </c>
      <c r="C86" s="291"/>
      <c r="D86" s="291"/>
      <c r="E86" s="291"/>
      <c r="F86" s="291"/>
      <c r="G86" s="291"/>
      <c r="H86" s="291"/>
      <c r="I86" s="291"/>
      <c r="J86" s="291"/>
      <c r="K86" s="291"/>
      <c r="L86" s="291"/>
      <c r="M86" s="291"/>
      <c r="N86" s="291"/>
      <c r="O86" s="291"/>
      <c r="P86" s="10"/>
      <c r="Q86" s="10"/>
      <c r="R86" s="10"/>
      <c r="S86" s="10"/>
      <c r="T86" s="10"/>
      <c r="U86" s="10"/>
      <c r="V86" s="10"/>
      <c r="W86" s="19"/>
      <c r="X86" s="7"/>
      <c r="Y86" s="7"/>
      <c r="Z86" s="7"/>
      <c r="AA86" s="7"/>
      <c r="AB86" s="7"/>
      <c r="AC86" s="7"/>
      <c r="AD86" s="7"/>
      <c r="AE86" s="7"/>
      <c r="AF86" s="7"/>
      <c r="AG86" s="7"/>
      <c r="AH86" s="7"/>
      <c r="AI86" s="7"/>
      <c r="AJ86" s="7"/>
      <c r="AK86" s="7"/>
      <c r="AL86" s="7"/>
      <c r="AM86" s="7"/>
    </row>
    <row r="87" spans="1:39" x14ac:dyDescent="0.2">
      <c r="A87" s="9"/>
      <c r="B87" s="14"/>
      <c r="C87" s="7"/>
      <c r="D87" s="10"/>
      <c r="E87" s="10"/>
      <c r="F87" s="10"/>
      <c r="G87" s="10"/>
      <c r="H87" s="10"/>
      <c r="I87" s="10"/>
      <c r="J87" s="10"/>
      <c r="K87" s="10"/>
      <c r="L87" s="10"/>
      <c r="M87" s="10"/>
      <c r="N87" s="10"/>
      <c r="O87" s="10"/>
      <c r="P87" s="10"/>
      <c r="Q87" s="10"/>
      <c r="R87" s="10"/>
      <c r="S87" s="10"/>
      <c r="T87" s="10"/>
      <c r="U87" s="10"/>
      <c r="V87" s="10"/>
      <c r="W87" s="19"/>
      <c r="X87" s="7"/>
      <c r="Y87" s="7"/>
      <c r="Z87" s="7"/>
      <c r="AA87" s="7"/>
      <c r="AB87" s="7"/>
      <c r="AC87" s="7"/>
      <c r="AD87" s="7"/>
      <c r="AE87" s="7"/>
      <c r="AF87" s="7"/>
      <c r="AG87" s="7"/>
      <c r="AH87" s="7"/>
      <c r="AI87" s="7"/>
      <c r="AJ87" s="7"/>
      <c r="AK87" s="7"/>
      <c r="AL87" s="7"/>
      <c r="AM87" s="7"/>
    </row>
    <row r="88" spans="1:39" x14ac:dyDescent="0.2">
      <c r="A88" s="9"/>
      <c r="B88" s="14"/>
      <c r="C88" s="7"/>
      <c r="D88" s="10"/>
      <c r="E88" s="10"/>
      <c r="F88" s="10"/>
      <c r="G88" s="10"/>
      <c r="H88" s="10"/>
      <c r="I88" s="10"/>
      <c r="J88" s="10"/>
      <c r="K88" s="10"/>
      <c r="L88" s="10"/>
      <c r="M88" s="10"/>
      <c r="N88" s="10"/>
      <c r="O88" s="10"/>
      <c r="P88" s="10"/>
      <c r="Q88" s="10"/>
      <c r="R88" s="10"/>
      <c r="S88" s="10"/>
      <c r="T88" s="10"/>
      <c r="U88" s="10"/>
      <c r="V88" s="10"/>
      <c r="W88" s="19"/>
      <c r="X88" s="7"/>
      <c r="Y88" s="7"/>
      <c r="Z88" s="7"/>
      <c r="AA88" s="7"/>
      <c r="AB88" s="7"/>
      <c r="AC88" s="7"/>
      <c r="AD88" s="7"/>
      <c r="AE88" s="7"/>
      <c r="AF88" s="7"/>
      <c r="AG88" s="7"/>
      <c r="AH88" s="7"/>
      <c r="AI88" s="7"/>
      <c r="AJ88" s="7"/>
      <c r="AK88" s="7"/>
      <c r="AL88" s="7"/>
      <c r="AM88" s="7"/>
    </row>
    <row r="89" spans="1:39" x14ac:dyDescent="0.2">
      <c r="A89" s="9"/>
      <c r="B89" s="14"/>
      <c r="C89" s="7"/>
      <c r="D89" s="10"/>
      <c r="E89" s="10"/>
      <c r="F89" s="10"/>
      <c r="G89" s="10"/>
      <c r="H89" s="10"/>
      <c r="I89" s="10"/>
      <c r="J89" s="10"/>
      <c r="K89" s="10"/>
      <c r="L89" s="10"/>
      <c r="M89" s="10"/>
      <c r="N89" s="10"/>
      <c r="O89" s="10"/>
      <c r="P89" s="10"/>
      <c r="Q89" s="10"/>
      <c r="R89" s="10"/>
      <c r="S89" s="10"/>
      <c r="T89" s="10"/>
      <c r="U89" s="10"/>
      <c r="V89" s="10"/>
      <c r="W89" s="19"/>
      <c r="X89" s="7"/>
      <c r="Y89" s="7"/>
      <c r="Z89" s="7"/>
      <c r="AA89" s="7"/>
      <c r="AB89" s="7"/>
      <c r="AC89" s="7"/>
      <c r="AD89" s="7"/>
      <c r="AE89" s="7"/>
      <c r="AF89" s="7"/>
      <c r="AG89" s="7"/>
      <c r="AH89" s="7"/>
      <c r="AI89" s="7"/>
      <c r="AJ89" s="7"/>
      <c r="AK89" s="7"/>
      <c r="AL89" s="7"/>
      <c r="AM89" s="7"/>
    </row>
    <row r="90" spans="1:39" x14ac:dyDescent="0.2">
      <c r="A90" s="9"/>
      <c r="B90" s="14"/>
      <c r="C90" s="7"/>
      <c r="D90" s="10"/>
      <c r="E90" s="10"/>
      <c r="F90" s="10"/>
      <c r="G90" s="10"/>
      <c r="H90" s="10"/>
      <c r="I90" s="10"/>
      <c r="J90" s="10"/>
      <c r="K90" s="10"/>
      <c r="L90" s="10"/>
      <c r="M90" s="10"/>
      <c r="N90" s="10"/>
      <c r="O90" s="10"/>
      <c r="P90" s="10"/>
      <c r="Q90" s="10"/>
      <c r="R90" s="10"/>
      <c r="S90" s="10"/>
      <c r="T90" s="10"/>
      <c r="U90" s="10"/>
      <c r="V90" s="10"/>
      <c r="W90" s="19"/>
      <c r="X90" s="7"/>
      <c r="Y90" s="7"/>
      <c r="Z90" s="7"/>
      <c r="AA90" s="7"/>
      <c r="AB90" s="7"/>
      <c r="AC90" s="7"/>
      <c r="AD90" s="7"/>
      <c r="AE90" s="7"/>
      <c r="AF90" s="7"/>
      <c r="AG90" s="7"/>
      <c r="AH90" s="7"/>
      <c r="AI90" s="7"/>
      <c r="AJ90" s="7"/>
      <c r="AK90" s="7"/>
      <c r="AL90" s="7"/>
      <c r="AM90" s="7"/>
    </row>
    <row r="91" spans="1:39" x14ac:dyDescent="0.2">
      <c r="A91" s="9"/>
      <c r="B91" s="14"/>
      <c r="C91" s="7"/>
      <c r="D91" s="10"/>
      <c r="E91" s="10"/>
      <c r="F91" s="10"/>
      <c r="G91" s="10"/>
      <c r="H91" s="10"/>
      <c r="I91" s="10"/>
      <c r="J91" s="10"/>
      <c r="K91" s="10"/>
      <c r="L91" s="10"/>
      <c r="M91" s="10"/>
      <c r="N91" s="10"/>
      <c r="O91" s="10"/>
      <c r="P91" s="10"/>
      <c r="Q91" s="10"/>
      <c r="R91" s="10"/>
      <c r="S91" s="10"/>
      <c r="T91" s="10"/>
      <c r="U91" s="10"/>
      <c r="V91" s="10"/>
      <c r="W91" s="19"/>
      <c r="X91" s="7"/>
      <c r="Y91" s="7"/>
      <c r="Z91" s="7"/>
      <c r="AA91" s="7"/>
      <c r="AB91" s="7"/>
      <c r="AC91" s="7"/>
      <c r="AD91" s="7"/>
      <c r="AE91" s="7"/>
      <c r="AF91" s="7"/>
      <c r="AG91" s="7"/>
      <c r="AH91" s="7"/>
      <c r="AI91" s="7"/>
      <c r="AJ91" s="7"/>
      <c r="AK91" s="7"/>
      <c r="AL91" s="7"/>
      <c r="AM91" s="7"/>
    </row>
    <row r="92" spans="1:39" x14ac:dyDescent="0.2">
      <c r="A92" s="9"/>
      <c r="B92" s="14"/>
      <c r="C92" s="7"/>
      <c r="D92" s="10"/>
      <c r="E92" s="10"/>
      <c r="F92" s="10"/>
      <c r="G92" s="10"/>
      <c r="H92" s="10"/>
      <c r="I92" s="10"/>
      <c r="J92" s="10"/>
      <c r="K92" s="10"/>
      <c r="L92" s="10"/>
      <c r="M92" s="10"/>
      <c r="N92" s="10"/>
      <c r="O92" s="10"/>
      <c r="P92" s="10"/>
      <c r="Q92" s="10"/>
      <c r="R92" s="10"/>
      <c r="S92" s="10"/>
      <c r="T92" s="10"/>
      <c r="U92" s="10"/>
      <c r="V92" s="10"/>
      <c r="W92" s="19"/>
      <c r="X92" s="7"/>
      <c r="Y92" s="7"/>
      <c r="Z92" s="7"/>
      <c r="AA92" s="7"/>
      <c r="AB92" s="7"/>
      <c r="AC92" s="7"/>
      <c r="AD92" s="7"/>
      <c r="AE92" s="7"/>
      <c r="AF92" s="7"/>
      <c r="AG92" s="7"/>
      <c r="AH92" s="7"/>
      <c r="AI92" s="7"/>
      <c r="AJ92" s="7"/>
      <c r="AK92" s="7"/>
      <c r="AL92" s="7"/>
      <c r="AM92" s="7"/>
    </row>
    <row r="93" spans="1:39" x14ac:dyDescent="0.2">
      <c r="A93" s="9"/>
      <c r="B93" s="14"/>
      <c r="C93" s="7"/>
      <c r="D93" s="10"/>
      <c r="E93" s="10"/>
      <c r="F93" s="10"/>
      <c r="G93" s="10"/>
      <c r="H93" s="10"/>
      <c r="I93" s="10"/>
      <c r="J93" s="10"/>
      <c r="K93" s="10"/>
      <c r="L93" s="10"/>
      <c r="M93" s="10"/>
      <c r="N93" s="10"/>
      <c r="O93" s="10"/>
      <c r="P93" s="10"/>
      <c r="Q93" s="10"/>
      <c r="R93" s="10"/>
      <c r="S93" s="10"/>
      <c r="T93" s="10"/>
      <c r="U93" s="10"/>
      <c r="V93" s="10"/>
      <c r="W93" s="19"/>
      <c r="X93" s="7"/>
      <c r="Y93" s="7"/>
      <c r="Z93" s="7"/>
      <c r="AA93" s="7"/>
      <c r="AB93" s="7"/>
      <c r="AC93" s="7"/>
      <c r="AD93" s="7"/>
      <c r="AE93" s="7"/>
      <c r="AF93" s="7"/>
      <c r="AG93" s="7"/>
      <c r="AH93" s="7"/>
      <c r="AI93" s="7"/>
      <c r="AJ93" s="7"/>
      <c r="AK93" s="7"/>
      <c r="AL93" s="7"/>
      <c r="AM93" s="7"/>
    </row>
    <row r="94" spans="1:39" x14ac:dyDescent="0.2">
      <c r="A94" s="9"/>
      <c r="B94" s="14"/>
      <c r="C94" s="7"/>
      <c r="D94" s="10"/>
      <c r="E94" s="10"/>
      <c r="F94" s="10"/>
      <c r="G94" s="10"/>
      <c r="H94" s="10"/>
      <c r="I94" s="10"/>
      <c r="J94" s="10"/>
      <c r="K94" s="10"/>
      <c r="L94" s="10"/>
      <c r="M94" s="10"/>
      <c r="N94" s="10"/>
      <c r="O94" s="10"/>
      <c r="P94" s="10"/>
      <c r="Q94" s="10"/>
      <c r="R94" s="10"/>
      <c r="S94" s="10"/>
      <c r="T94" s="10"/>
      <c r="U94" s="10"/>
      <c r="V94" s="10"/>
      <c r="W94" s="19"/>
      <c r="X94" s="7"/>
      <c r="Y94" s="7"/>
      <c r="Z94" s="7"/>
      <c r="AA94" s="7"/>
      <c r="AB94" s="7"/>
      <c r="AC94" s="7"/>
      <c r="AD94" s="7"/>
      <c r="AE94" s="7"/>
      <c r="AF94" s="7"/>
      <c r="AG94" s="7"/>
      <c r="AH94" s="7"/>
      <c r="AI94" s="7"/>
      <c r="AJ94" s="7"/>
      <c r="AK94" s="7"/>
      <c r="AL94" s="7"/>
      <c r="AM94" s="7"/>
    </row>
    <row r="95" spans="1:39" x14ac:dyDescent="0.2">
      <c r="A95" s="9"/>
      <c r="B95" s="14"/>
      <c r="C95" s="7"/>
      <c r="D95" s="10"/>
      <c r="E95" s="10"/>
      <c r="F95" s="10"/>
      <c r="G95" s="10"/>
      <c r="H95" s="10"/>
      <c r="I95" s="10"/>
      <c r="J95" s="10"/>
      <c r="K95" s="10"/>
      <c r="L95" s="10"/>
      <c r="M95" s="10"/>
      <c r="N95" s="10"/>
      <c r="O95" s="10"/>
      <c r="P95" s="10"/>
      <c r="Q95" s="10"/>
      <c r="R95" s="10"/>
      <c r="S95" s="10"/>
      <c r="T95" s="10"/>
      <c r="U95" s="10"/>
      <c r="V95" s="10"/>
      <c r="W95" s="19"/>
      <c r="X95" s="7"/>
      <c r="Y95" s="7"/>
      <c r="Z95" s="7"/>
      <c r="AA95" s="7"/>
      <c r="AB95" s="7"/>
      <c r="AC95" s="7"/>
      <c r="AD95" s="7"/>
      <c r="AE95" s="7"/>
      <c r="AF95" s="7"/>
      <c r="AG95" s="7"/>
      <c r="AH95" s="7"/>
      <c r="AI95" s="7"/>
      <c r="AJ95" s="7"/>
      <c r="AK95" s="7"/>
      <c r="AL95" s="7"/>
      <c r="AM95" s="7"/>
    </row>
    <row r="96" spans="1:39" x14ac:dyDescent="0.2">
      <c r="A96" s="9"/>
      <c r="B96" s="14"/>
      <c r="C96" s="7"/>
      <c r="D96" s="10"/>
      <c r="E96" s="10"/>
      <c r="F96" s="10"/>
      <c r="G96" s="10"/>
      <c r="H96" s="10"/>
      <c r="I96" s="10"/>
      <c r="J96" s="10"/>
      <c r="K96" s="10"/>
      <c r="L96" s="10"/>
      <c r="M96" s="10"/>
      <c r="N96" s="10"/>
      <c r="O96" s="10"/>
      <c r="P96" s="10"/>
      <c r="Q96" s="10"/>
      <c r="R96" s="10"/>
      <c r="S96" s="10"/>
      <c r="T96" s="10"/>
      <c r="U96" s="10"/>
      <c r="V96" s="10"/>
      <c r="W96" s="19"/>
      <c r="X96" s="7"/>
      <c r="Y96" s="7"/>
      <c r="Z96" s="7"/>
      <c r="AA96" s="7"/>
      <c r="AB96" s="7"/>
      <c r="AC96" s="7"/>
      <c r="AD96" s="7"/>
      <c r="AE96" s="7"/>
      <c r="AF96" s="7"/>
      <c r="AG96" s="7"/>
      <c r="AH96" s="7"/>
      <c r="AI96" s="7"/>
      <c r="AJ96" s="7"/>
      <c r="AK96" s="7"/>
      <c r="AL96" s="7"/>
      <c r="AM96" s="7"/>
    </row>
    <row r="97" spans="1:39" x14ac:dyDescent="0.2">
      <c r="A97" s="9"/>
      <c r="B97" s="14"/>
      <c r="C97" s="7"/>
      <c r="D97" s="10"/>
      <c r="E97" s="10"/>
      <c r="F97" s="10"/>
      <c r="G97" s="10"/>
      <c r="H97" s="10"/>
      <c r="I97" s="10"/>
      <c r="J97" s="10"/>
      <c r="K97" s="10"/>
      <c r="L97" s="10"/>
      <c r="M97" s="10"/>
      <c r="N97" s="10"/>
      <c r="O97" s="10"/>
      <c r="P97" s="10"/>
      <c r="Q97" s="10"/>
      <c r="R97" s="10"/>
      <c r="S97" s="10"/>
      <c r="T97" s="10"/>
      <c r="U97" s="10"/>
      <c r="V97" s="10"/>
      <c r="W97" s="19"/>
      <c r="X97" s="7"/>
      <c r="Y97" s="7"/>
      <c r="Z97" s="7"/>
      <c r="AA97" s="7"/>
      <c r="AB97" s="7"/>
      <c r="AC97" s="7"/>
      <c r="AD97" s="7"/>
      <c r="AE97" s="7"/>
      <c r="AF97" s="7"/>
      <c r="AG97" s="7"/>
      <c r="AH97" s="7"/>
      <c r="AI97" s="7"/>
      <c r="AJ97" s="7"/>
      <c r="AK97" s="7"/>
      <c r="AL97" s="7"/>
      <c r="AM97" s="7"/>
    </row>
    <row r="98" spans="1:39" x14ac:dyDescent="0.2">
      <c r="A98" s="9"/>
      <c r="B98" s="14"/>
      <c r="C98" s="7"/>
      <c r="D98" s="10"/>
      <c r="E98" s="10"/>
      <c r="F98" s="10"/>
      <c r="G98" s="10"/>
      <c r="H98" s="10"/>
      <c r="I98" s="10"/>
      <c r="J98" s="10"/>
      <c r="K98" s="10"/>
      <c r="L98" s="10"/>
      <c r="M98" s="10"/>
      <c r="N98" s="10"/>
      <c r="O98" s="10"/>
      <c r="P98" s="10"/>
      <c r="Q98" s="10"/>
      <c r="R98" s="10"/>
      <c r="S98" s="10"/>
      <c r="T98" s="10"/>
      <c r="U98" s="10"/>
      <c r="V98" s="10"/>
      <c r="W98" s="19"/>
      <c r="X98" s="7"/>
      <c r="Y98" s="7"/>
      <c r="Z98" s="7"/>
      <c r="AA98" s="7"/>
      <c r="AB98" s="7"/>
      <c r="AC98" s="7"/>
      <c r="AD98" s="7"/>
      <c r="AE98" s="7"/>
      <c r="AF98" s="7"/>
      <c r="AG98" s="7"/>
      <c r="AH98" s="7"/>
      <c r="AI98" s="7"/>
      <c r="AJ98" s="7"/>
      <c r="AK98" s="7"/>
      <c r="AL98" s="7"/>
      <c r="AM98" s="7"/>
    </row>
    <row r="99" spans="1:39" x14ac:dyDescent="0.2">
      <c r="A99" s="9"/>
      <c r="B99" s="14"/>
      <c r="C99" s="7"/>
      <c r="D99" s="10"/>
      <c r="E99" s="10"/>
      <c r="F99" s="10"/>
      <c r="G99" s="10"/>
      <c r="H99" s="10"/>
      <c r="I99" s="10"/>
      <c r="J99" s="10"/>
      <c r="K99" s="10"/>
      <c r="L99" s="10"/>
      <c r="M99" s="10"/>
      <c r="N99" s="10"/>
      <c r="O99" s="10"/>
      <c r="P99" s="10"/>
      <c r="Q99" s="10"/>
      <c r="R99" s="10"/>
      <c r="S99" s="10"/>
      <c r="T99" s="10"/>
      <c r="U99" s="10"/>
      <c r="V99" s="10"/>
      <c r="W99" s="19"/>
      <c r="X99" s="7"/>
      <c r="Y99" s="7"/>
      <c r="Z99" s="7"/>
      <c r="AA99" s="7"/>
      <c r="AB99" s="7"/>
      <c r="AC99" s="7"/>
      <c r="AD99" s="7"/>
      <c r="AE99" s="7"/>
      <c r="AF99" s="7"/>
      <c r="AG99" s="7"/>
      <c r="AH99" s="7"/>
      <c r="AI99" s="7"/>
      <c r="AJ99" s="7"/>
      <c r="AK99" s="7"/>
      <c r="AL99" s="7"/>
      <c r="AM99" s="7"/>
    </row>
    <row r="100" spans="1:39" x14ac:dyDescent="0.2">
      <c r="A100" s="9"/>
      <c r="B100" s="14"/>
      <c r="C100" s="7"/>
      <c r="D100" s="10"/>
      <c r="E100" s="10"/>
      <c r="F100" s="10"/>
      <c r="G100" s="10"/>
      <c r="H100" s="10"/>
      <c r="I100" s="10"/>
      <c r="J100" s="10"/>
      <c r="K100" s="10"/>
      <c r="L100" s="10"/>
      <c r="M100" s="10"/>
      <c r="N100" s="10"/>
      <c r="O100" s="10"/>
      <c r="P100" s="10"/>
      <c r="Q100" s="10"/>
      <c r="R100" s="10"/>
      <c r="S100" s="10"/>
      <c r="T100" s="10"/>
      <c r="U100" s="10"/>
      <c r="V100" s="10"/>
      <c r="W100" s="19"/>
      <c r="X100" s="7"/>
      <c r="Y100" s="7"/>
      <c r="Z100" s="7"/>
      <c r="AA100" s="7"/>
      <c r="AB100" s="7"/>
      <c r="AC100" s="7"/>
      <c r="AD100" s="7"/>
      <c r="AE100" s="7"/>
      <c r="AF100" s="7"/>
      <c r="AG100" s="7"/>
      <c r="AH100" s="7"/>
      <c r="AI100" s="7"/>
      <c r="AJ100" s="7"/>
      <c r="AK100" s="7"/>
      <c r="AL100" s="7"/>
      <c r="AM100" s="7"/>
    </row>
    <row r="101" spans="1:39" x14ac:dyDescent="0.2">
      <c r="A101" s="9"/>
      <c r="B101" s="14"/>
      <c r="C101" s="7"/>
      <c r="D101" s="10"/>
      <c r="E101" s="10"/>
      <c r="F101" s="10"/>
      <c r="G101" s="10"/>
      <c r="H101" s="10"/>
      <c r="I101" s="10"/>
      <c r="J101" s="10"/>
      <c r="K101" s="10"/>
      <c r="L101" s="10"/>
      <c r="M101" s="10"/>
      <c r="N101" s="10"/>
      <c r="O101" s="10"/>
      <c r="P101" s="10"/>
      <c r="Q101" s="10"/>
      <c r="R101" s="10"/>
      <c r="S101" s="10"/>
      <c r="T101" s="10"/>
      <c r="U101" s="10"/>
      <c r="V101" s="10"/>
      <c r="W101" s="19"/>
      <c r="X101" s="7"/>
      <c r="Y101" s="7"/>
      <c r="Z101" s="7"/>
      <c r="AA101" s="7"/>
      <c r="AB101" s="7"/>
      <c r="AC101" s="7"/>
      <c r="AD101" s="7"/>
      <c r="AE101" s="7"/>
      <c r="AF101" s="7"/>
      <c r="AG101" s="7"/>
      <c r="AH101" s="7"/>
      <c r="AI101" s="7"/>
      <c r="AJ101" s="7"/>
      <c r="AK101" s="7"/>
      <c r="AL101" s="7"/>
      <c r="AM101" s="7"/>
    </row>
    <row r="102" spans="1:39" x14ac:dyDescent="0.2">
      <c r="A102" s="9"/>
      <c r="B102" s="14"/>
      <c r="C102" s="7"/>
      <c r="D102" s="10"/>
      <c r="E102" s="10"/>
      <c r="F102" s="10"/>
      <c r="G102" s="10"/>
      <c r="H102" s="10"/>
      <c r="I102" s="10"/>
      <c r="J102" s="10"/>
      <c r="K102" s="10"/>
      <c r="L102" s="10"/>
      <c r="M102" s="10"/>
      <c r="N102" s="10"/>
      <c r="O102" s="10"/>
      <c r="P102" s="10"/>
      <c r="Q102" s="10"/>
      <c r="R102" s="10"/>
      <c r="S102" s="10"/>
      <c r="T102" s="10"/>
      <c r="U102" s="10"/>
      <c r="V102" s="10"/>
      <c r="W102" s="19"/>
      <c r="X102" s="7"/>
      <c r="Y102" s="7"/>
      <c r="Z102" s="7"/>
      <c r="AA102" s="7"/>
      <c r="AB102" s="7"/>
      <c r="AC102" s="7"/>
      <c r="AD102" s="7"/>
      <c r="AE102" s="7"/>
      <c r="AF102" s="7"/>
      <c r="AG102" s="7"/>
      <c r="AH102" s="7"/>
      <c r="AI102" s="7"/>
      <c r="AJ102" s="7"/>
      <c r="AK102" s="7"/>
      <c r="AL102" s="7"/>
      <c r="AM102" s="7"/>
    </row>
    <row r="103" spans="1:39" x14ac:dyDescent="0.2">
      <c r="A103" s="9"/>
      <c r="B103" s="14"/>
      <c r="C103" s="7"/>
      <c r="D103" s="10"/>
      <c r="E103" s="10"/>
      <c r="F103" s="10"/>
      <c r="G103" s="10"/>
      <c r="H103" s="10"/>
      <c r="I103" s="10"/>
      <c r="J103" s="10"/>
      <c r="K103" s="10"/>
      <c r="L103" s="10"/>
      <c r="M103" s="10"/>
      <c r="N103" s="10"/>
      <c r="O103" s="10"/>
      <c r="P103" s="10"/>
      <c r="Q103" s="10"/>
      <c r="R103" s="10"/>
      <c r="S103" s="10"/>
      <c r="T103" s="10"/>
      <c r="U103" s="10"/>
      <c r="V103" s="10"/>
      <c r="W103" s="19"/>
      <c r="X103" s="7"/>
      <c r="Y103" s="7"/>
      <c r="Z103" s="7"/>
      <c r="AA103" s="7"/>
      <c r="AB103" s="7"/>
      <c r="AC103" s="7"/>
      <c r="AD103" s="7"/>
      <c r="AE103" s="7"/>
      <c r="AF103" s="7"/>
      <c r="AG103" s="7"/>
      <c r="AH103" s="7"/>
      <c r="AI103" s="7"/>
      <c r="AJ103" s="7"/>
      <c r="AK103" s="7"/>
      <c r="AL103" s="7"/>
      <c r="AM103" s="7"/>
    </row>
    <row r="104" spans="1:39" x14ac:dyDescent="0.2">
      <c r="A104" s="9"/>
      <c r="B104" s="14"/>
      <c r="C104" s="7"/>
      <c r="D104" s="10"/>
      <c r="E104" s="10"/>
      <c r="F104" s="10"/>
      <c r="G104" s="10"/>
      <c r="H104" s="10"/>
      <c r="I104" s="10"/>
      <c r="J104" s="10"/>
      <c r="K104" s="10"/>
      <c r="L104" s="10"/>
      <c r="M104" s="10"/>
      <c r="N104" s="10"/>
      <c r="O104" s="10"/>
      <c r="P104" s="10"/>
      <c r="Q104" s="10"/>
      <c r="R104" s="10"/>
      <c r="S104" s="10"/>
      <c r="T104" s="10"/>
      <c r="U104" s="10"/>
      <c r="V104" s="10"/>
      <c r="W104" s="19"/>
      <c r="X104" s="7"/>
      <c r="Y104" s="7"/>
      <c r="Z104" s="7"/>
      <c r="AA104" s="7"/>
      <c r="AB104" s="7"/>
      <c r="AC104" s="7"/>
      <c r="AD104" s="7"/>
      <c r="AE104" s="7"/>
      <c r="AF104" s="7"/>
      <c r="AG104" s="7"/>
      <c r="AH104" s="7"/>
      <c r="AI104" s="7"/>
      <c r="AJ104" s="7"/>
      <c r="AK104" s="7"/>
      <c r="AL104" s="7"/>
      <c r="AM104" s="7"/>
    </row>
    <row r="105" spans="1:39" x14ac:dyDescent="0.2">
      <c r="A105" s="9"/>
      <c r="B105" s="14"/>
      <c r="C105" s="7"/>
      <c r="D105" s="10"/>
      <c r="E105" s="10"/>
      <c r="F105" s="10"/>
      <c r="G105" s="10"/>
      <c r="H105" s="10"/>
      <c r="I105" s="10"/>
      <c r="J105" s="10"/>
      <c r="K105" s="10"/>
      <c r="L105" s="10"/>
      <c r="M105" s="10"/>
      <c r="N105" s="10"/>
      <c r="O105" s="10"/>
      <c r="P105" s="10"/>
      <c r="Q105" s="10"/>
      <c r="R105" s="10"/>
      <c r="S105" s="10"/>
      <c r="T105" s="10"/>
      <c r="U105" s="10"/>
      <c r="V105" s="10"/>
      <c r="W105" s="19"/>
      <c r="X105" s="7"/>
      <c r="Y105" s="7"/>
      <c r="Z105" s="7"/>
      <c r="AA105" s="7"/>
      <c r="AB105" s="7"/>
      <c r="AC105" s="7"/>
      <c r="AD105" s="7"/>
      <c r="AE105" s="7"/>
      <c r="AF105" s="7"/>
      <c r="AG105" s="7"/>
      <c r="AH105" s="7"/>
      <c r="AI105" s="7"/>
      <c r="AJ105" s="7"/>
      <c r="AK105" s="7"/>
      <c r="AL105" s="7"/>
      <c r="AM105" s="7"/>
    </row>
    <row r="106" spans="1:39" x14ac:dyDescent="0.2">
      <c r="A106" s="9"/>
      <c r="B106" s="14"/>
      <c r="C106" s="7"/>
      <c r="D106" s="10"/>
      <c r="E106" s="10"/>
      <c r="F106" s="10"/>
      <c r="G106" s="10"/>
      <c r="H106" s="10"/>
      <c r="I106" s="10"/>
      <c r="J106" s="10"/>
      <c r="K106" s="10"/>
      <c r="L106" s="10"/>
      <c r="M106" s="10"/>
      <c r="N106" s="10"/>
      <c r="O106" s="10"/>
      <c r="P106" s="10"/>
      <c r="Q106" s="10"/>
      <c r="R106" s="10"/>
      <c r="S106" s="10"/>
      <c r="T106" s="10"/>
      <c r="U106" s="10"/>
      <c r="V106" s="10"/>
      <c r="W106" s="19"/>
      <c r="X106" s="7"/>
      <c r="Y106" s="7"/>
      <c r="Z106" s="7"/>
      <c r="AA106" s="7"/>
      <c r="AB106" s="7"/>
      <c r="AC106" s="7"/>
      <c r="AD106" s="7"/>
      <c r="AE106" s="7"/>
      <c r="AF106" s="7"/>
      <c r="AG106" s="7"/>
      <c r="AH106" s="7"/>
      <c r="AI106" s="7"/>
      <c r="AJ106" s="7"/>
      <c r="AK106" s="7"/>
      <c r="AL106" s="7"/>
      <c r="AM106" s="7"/>
    </row>
    <row r="107" spans="1:39" x14ac:dyDescent="0.2">
      <c r="A107" s="9"/>
      <c r="B107" s="14"/>
      <c r="C107" s="7"/>
      <c r="D107" s="10"/>
      <c r="E107" s="10"/>
      <c r="F107" s="10"/>
      <c r="G107" s="10"/>
      <c r="H107" s="10"/>
      <c r="I107" s="10"/>
      <c r="J107" s="10"/>
      <c r="K107" s="10"/>
      <c r="L107" s="10"/>
      <c r="M107" s="10"/>
      <c r="N107" s="10"/>
      <c r="O107" s="10"/>
      <c r="P107" s="10"/>
      <c r="Q107" s="10"/>
      <c r="R107" s="10"/>
      <c r="S107" s="10"/>
      <c r="T107" s="10"/>
      <c r="U107" s="10"/>
      <c r="V107" s="10"/>
      <c r="W107" s="19"/>
      <c r="X107" s="7"/>
      <c r="Y107" s="7"/>
      <c r="Z107" s="7"/>
      <c r="AA107" s="7"/>
      <c r="AB107" s="7"/>
      <c r="AC107" s="7"/>
      <c r="AD107" s="7"/>
      <c r="AE107" s="7"/>
      <c r="AF107" s="7"/>
      <c r="AG107" s="7"/>
      <c r="AH107" s="7"/>
      <c r="AI107" s="7"/>
      <c r="AJ107" s="7"/>
      <c r="AK107" s="7"/>
      <c r="AL107" s="7"/>
      <c r="AM107" s="7"/>
    </row>
    <row r="108" spans="1:39" x14ac:dyDescent="0.2">
      <c r="A108" s="9"/>
      <c r="B108" s="14"/>
      <c r="C108" s="7"/>
      <c r="D108" s="10"/>
      <c r="E108" s="10"/>
      <c r="F108" s="10"/>
      <c r="G108" s="10"/>
      <c r="H108" s="10"/>
      <c r="I108" s="10"/>
      <c r="J108" s="10"/>
      <c r="K108" s="10"/>
      <c r="L108" s="10"/>
      <c r="M108" s="10"/>
      <c r="N108" s="10"/>
      <c r="O108" s="10"/>
      <c r="P108" s="10"/>
      <c r="Q108" s="10"/>
      <c r="R108" s="10"/>
      <c r="S108" s="10"/>
      <c r="T108" s="10"/>
      <c r="U108" s="10"/>
      <c r="V108" s="10"/>
      <c r="W108" s="19"/>
      <c r="X108" s="7"/>
      <c r="Y108" s="7"/>
      <c r="Z108" s="7"/>
      <c r="AA108" s="7"/>
      <c r="AB108" s="7"/>
      <c r="AC108" s="7"/>
      <c r="AD108" s="7"/>
      <c r="AE108" s="7"/>
      <c r="AF108" s="7"/>
      <c r="AG108" s="7"/>
      <c r="AH108" s="7"/>
      <c r="AI108" s="7"/>
      <c r="AJ108" s="7"/>
      <c r="AK108" s="7"/>
      <c r="AL108" s="7"/>
      <c r="AM108" s="7"/>
    </row>
    <row r="109" spans="1:39" x14ac:dyDescent="0.2">
      <c r="A109" s="9"/>
      <c r="B109" s="14"/>
      <c r="C109" s="7"/>
      <c r="D109" s="10"/>
      <c r="E109" s="10"/>
      <c r="F109" s="10"/>
      <c r="G109" s="10"/>
      <c r="H109" s="10"/>
      <c r="I109" s="10"/>
      <c r="J109" s="10"/>
      <c r="K109" s="10"/>
      <c r="L109" s="10"/>
      <c r="M109" s="10"/>
      <c r="N109" s="10"/>
      <c r="O109" s="10"/>
      <c r="P109" s="10"/>
      <c r="Q109" s="10"/>
      <c r="R109" s="10"/>
      <c r="S109" s="10"/>
      <c r="T109" s="10"/>
      <c r="U109" s="10"/>
      <c r="V109" s="10"/>
      <c r="W109" s="19"/>
      <c r="X109" s="7"/>
      <c r="Y109" s="7"/>
      <c r="Z109" s="7"/>
      <c r="AA109" s="7"/>
      <c r="AB109" s="7"/>
      <c r="AC109" s="7"/>
      <c r="AD109" s="7"/>
      <c r="AE109" s="7"/>
      <c r="AF109" s="7"/>
      <c r="AG109" s="7"/>
      <c r="AH109" s="7"/>
      <c r="AI109" s="7"/>
      <c r="AJ109" s="7"/>
      <c r="AK109" s="7"/>
      <c r="AL109" s="7"/>
      <c r="AM109" s="7"/>
    </row>
    <row r="110" spans="1:39" x14ac:dyDescent="0.2">
      <c r="A110" s="9"/>
      <c r="B110" s="14"/>
      <c r="C110" s="7"/>
      <c r="D110" s="10"/>
      <c r="E110" s="10"/>
      <c r="F110" s="10"/>
      <c r="G110" s="10"/>
      <c r="H110" s="10"/>
      <c r="I110" s="10"/>
      <c r="J110" s="10"/>
      <c r="K110" s="10"/>
      <c r="L110" s="10"/>
      <c r="M110" s="10"/>
      <c r="N110" s="10"/>
      <c r="O110" s="10"/>
      <c r="P110" s="10"/>
      <c r="Q110" s="10"/>
      <c r="R110" s="10"/>
      <c r="S110" s="10"/>
      <c r="T110" s="10"/>
      <c r="U110" s="10"/>
      <c r="V110" s="10"/>
      <c r="W110" s="19"/>
      <c r="X110" s="7"/>
      <c r="Y110" s="7"/>
      <c r="Z110" s="7"/>
      <c r="AA110" s="7"/>
      <c r="AB110" s="7"/>
      <c r="AC110" s="7"/>
      <c r="AD110" s="7"/>
      <c r="AE110" s="7"/>
      <c r="AF110" s="7"/>
      <c r="AG110" s="7"/>
      <c r="AH110" s="7"/>
      <c r="AI110" s="7"/>
      <c r="AJ110" s="7"/>
      <c r="AK110" s="7"/>
      <c r="AL110" s="7"/>
      <c r="AM110" s="7"/>
    </row>
    <row r="111" spans="1:39" x14ac:dyDescent="0.2">
      <c r="A111" s="9"/>
      <c r="B111" s="14"/>
      <c r="C111" s="7"/>
      <c r="D111" s="10"/>
      <c r="E111" s="10"/>
      <c r="F111" s="10"/>
      <c r="G111" s="10"/>
      <c r="H111" s="10"/>
      <c r="I111" s="10"/>
      <c r="J111" s="10"/>
      <c r="K111" s="10"/>
      <c r="L111" s="10"/>
      <c r="M111" s="10"/>
      <c r="N111" s="10"/>
      <c r="O111" s="10"/>
      <c r="P111" s="10"/>
      <c r="Q111" s="10"/>
      <c r="R111" s="10"/>
      <c r="S111" s="10"/>
      <c r="T111" s="10"/>
      <c r="U111" s="10"/>
      <c r="V111" s="10"/>
      <c r="W111" s="19"/>
      <c r="X111" s="7"/>
      <c r="Y111" s="7"/>
      <c r="Z111" s="7"/>
      <c r="AA111" s="7"/>
      <c r="AB111" s="7"/>
      <c r="AC111" s="7"/>
      <c r="AD111" s="7"/>
      <c r="AE111" s="7"/>
      <c r="AF111" s="7"/>
      <c r="AG111" s="7"/>
      <c r="AH111" s="7"/>
      <c r="AI111" s="7"/>
      <c r="AJ111" s="7"/>
      <c r="AK111" s="7"/>
      <c r="AL111" s="7"/>
      <c r="AM111" s="7"/>
    </row>
    <row r="112" spans="1:39" x14ac:dyDescent="0.2">
      <c r="A112" s="9"/>
      <c r="B112" s="14"/>
      <c r="C112" s="7"/>
      <c r="D112" s="10"/>
      <c r="E112" s="10"/>
      <c r="F112" s="10"/>
      <c r="G112" s="10"/>
      <c r="H112" s="10"/>
      <c r="I112" s="10"/>
      <c r="J112" s="10"/>
      <c r="K112" s="10"/>
      <c r="L112" s="10"/>
      <c r="M112" s="10"/>
      <c r="N112" s="10"/>
      <c r="O112" s="10"/>
      <c r="P112" s="10"/>
      <c r="Q112" s="10"/>
      <c r="R112" s="10"/>
      <c r="S112" s="10"/>
      <c r="T112" s="10"/>
      <c r="U112" s="10"/>
      <c r="V112" s="10"/>
      <c r="W112" s="19"/>
      <c r="X112" s="7"/>
      <c r="Y112" s="7"/>
      <c r="Z112" s="7"/>
      <c r="AA112" s="7"/>
      <c r="AB112" s="7"/>
      <c r="AC112" s="7"/>
      <c r="AD112" s="7"/>
      <c r="AE112" s="7"/>
      <c r="AF112" s="7"/>
      <c r="AG112" s="7"/>
      <c r="AH112" s="7"/>
      <c r="AI112" s="7"/>
      <c r="AJ112" s="7"/>
      <c r="AK112" s="7"/>
      <c r="AL112" s="7"/>
      <c r="AM112" s="7"/>
    </row>
    <row r="113" spans="1:39" x14ac:dyDescent="0.2">
      <c r="A113" s="9"/>
      <c r="B113" s="14"/>
      <c r="C113" s="7"/>
      <c r="D113" s="10"/>
      <c r="E113" s="10"/>
      <c r="F113" s="10"/>
      <c r="G113" s="10"/>
      <c r="H113" s="10"/>
      <c r="I113" s="10"/>
      <c r="J113" s="10"/>
      <c r="K113" s="10"/>
      <c r="L113" s="10"/>
      <c r="M113" s="10"/>
      <c r="N113" s="10"/>
      <c r="O113" s="10"/>
      <c r="P113" s="10"/>
      <c r="Q113" s="10"/>
      <c r="R113" s="10"/>
      <c r="S113" s="10"/>
      <c r="T113" s="10"/>
      <c r="U113" s="10"/>
      <c r="V113" s="10"/>
      <c r="W113" s="19"/>
      <c r="X113" s="7"/>
      <c r="Y113" s="7"/>
      <c r="Z113" s="7"/>
      <c r="AA113" s="7"/>
      <c r="AB113" s="7"/>
      <c r="AC113" s="7"/>
      <c r="AD113" s="7"/>
      <c r="AE113" s="7"/>
      <c r="AF113" s="7"/>
      <c r="AG113" s="7"/>
      <c r="AH113" s="7"/>
      <c r="AI113" s="7"/>
      <c r="AJ113" s="7"/>
      <c r="AK113" s="7"/>
      <c r="AL113" s="7"/>
      <c r="AM113" s="7"/>
    </row>
    <row r="114" spans="1:39" x14ac:dyDescent="0.2">
      <c r="A114" s="9"/>
      <c r="B114" s="14"/>
      <c r="C114" s="7"/>
      <c r="D114" s="10"/>
      <c r="E114" s="10"/>
      <c r="F114" s="10"/>
      <c r="G114" s="10"/>
      <c r="H114" s="10"/>
      <c r="I114" s="10"/>
      <c r="J114" s="10"/>
      <c r="K114" s="10"/>
      <c r="L114" s="10"/>
      <c r="M114" s="10"/>
      <c r="N114" s="10"/>
      <c r="O114" s="10"/>
      <c r="P114" s="10"/>
      <c r="Q114" s="10"/>
      <c r="R114" s="10"/>
      <c r="S114" s="10"/>
      <c r="T114" s="10"/>
      <c r="U114" s="10"/>
      <c r="V114" s="10"/>
      <c r="W114" s="19"/>
      <c r="X114" s="7"/>
      <c r="Y114" s="7"/>
      <c r="Z114" s="7"/>
      <c r="AA114" s="7"/>
      <c r="AB114" s="7"/>
      <c r="AC114" s="7"/>
      <c r="AD114" s="7"/>
      <c r="AE114" s="7"/>
      <c r="AF114" s="7"/>
      <c r="AG114" s="7"/>
      <c r="AH114" s="7"/>
      <c r="AI114" s="7"/>
      <c r="AJ114" s="7"/>
      <c r="AK114" s="7"/>
      <c r="AL114" s="7"/>
      <c r="AM114" s="7"/>
    </row>
    <row r="115" spans="1:39" x14ac:dyDescent="0.2">
      <c r="A115" s="9"/>
      <c r="B115" s="14"/>
      <c r="C115" s="7"/>
      <c r="D115" s="10"/>
      <c r="E115" s="10"/>
      <c r="F115" s="10"/>
      <c r="G115" s="10"/>
      <c r="H115" s="10"/>
      <c r="I115" s="10"/>
      <c r="J115" s="10"/>
      <c r="K115" s="10"/>
      <c r="L115" s="10"/>
      <c r="M115" s="10"/>
      <c r="N115" s="10"/>
      <c r="O115" s="10"/>
      <c r="P115" s="10"/>
      <c r="Q115" s="10"/>
      <c r="R115" s="10"/>
      <c r="S115" s="10"/>
      <c r="T115" s="10"/>
      <c r="U115" s="10"/>
      <c r="V115" s="10"/>
      <c r="W115" s="19"/>
      <c r="X115" s="7"/>
      <c r="Y115" s="7"/>
      <c r="Z115" s="7"/>
      <c r="AA115" s="7"/>
      <c r="AB115" s="7"/>
      <c r="AC115" s="7"/>
      <c r="AD115" s="7"/>
      <c r="AE115" s="7"/>
      <c r="AF115" s="7"/>
      <c r="AG115" s="7"/>
      <c r="AH115" s="7"/>
      <c r="AI115" s="7"/>
      <c r="AJ115" s="7"/>
      <c r="AK115" s="7"/>
      <c r="AL115" s="7"/>
      <c r="AM115" s="7"/>
    </row>
    <row r="116" spans="1:39" x14ac:dyDescent="0.2">
      <c r="A116" s="9"/>
      <c r="B116" s="14"/>
      <c r="C116" s="7"/>
      <c r="D116" s="10"/>
      <c r="E116" s="10"/>
      <c r="F116" s="10"/>
      <c r="G116" s="10"/>
      <c r="H116" s="10"/>
      <c r="I116" s="10"/>
      <c r="J116" s="10"/>
      <c r="K116" s="10"/>
      <c r="L116" s="10"/>
      <c r="M116" s="10"/>
      <c r="N116" s="10"/>
      <c r="O116" s="10"/>
      <c r="P116" s="10"/>
      <c r="Q116" s="10"/>
      <c r="R116" s="10"/>
      <c r="S116" s="10"/>
      <c r="T116" s="10"/>
      <c r="U116" s="10"/>
      <c r="V116" s="10"/>
      <c r="W116" s="19"/>
      <c r="X116" s="7"/>
      <c r="Y116" s="7"/>
      <c r="Z116" s="7"/>
      <c r="AA116" s="7"/>
      <c r="AB116" s="7"/>
      <c r="AC116" s="7"/>
      <c r="AD116" s="7"/>
      <c r="AE116" s="7"/>
      <c r="AF116" s="7"/>
      <c r="AG116" s="7"/>
      <c r="AH116" s="7"/>
      <c r="AI116" s="7"/>
      <c r="AJ116" s="7"/>
      <c r="AK116" s="7"/>
      <c r="AL116" s="7"/>
      <c r="AM116" s="7"/>
    </row>
    <row r="117" spans="1:39" x14ac:dyDescent="0.2">
      <c r="A117" s="9"/>
      <c r="B117" s="14"/>
      <c r="C117" s="7"/>
      <c r="D117" s="10"/>
      <c r="E117" s="10"/>
      <c r="F117" s="10"/>
      <c r="G117" s="10"/>
      <c r="H117" s="10"/>
      <c r="I117" s="10"/>
      <c r="J117" s="10"/>
      <c r="K117" s="10"/>
      <c r="L117" s="10"/>
      <c r="M117" s="10"/>
      <c r="N117" s="10"/>
      <c r="O117" s="10"/>
      <c r="P117" s="10"/>
      <c r="Q117" s="10"/>
      <c r="R117" s="10"/>
      <c r="S117" s="10"/>
      <c r="T117" s="10"/>
      <c r="U117" s="10"/>
      <c r="V117" s="10"/>
      <c r="W117" s="19"/>
      <c r="X117" s="7"/>
      <c r="Y117" s="7"/>
      <c r="Z117" s="7"/>
      <c r="AA117" s="7"/>
      <c r="AB117" s="7"/>
      <c r="AC117" s="7"/>
      <c r="AD117" s="7"/>
      <c r="AE117" s="7"/>
      <c r="AF117" s="7"/>
      <c r="AG117" s="7"/>
      <c r="AH117" s="7"/>
      <c r="AI117" s="7"/>
      <c r="AJ117" s="7"/>
      <c r="AK117" s="7"/>
      <c r="AL117" s="7"/>
      <c r="AM117" s="7"/>
    </row>
    <row r="118" spans="1:39" x14ac:dyDescent="0.2">
      <c r="A118" s="9"/>
      <c r="B118" s="14"/>
      <c r="C118" s="7"/>
      <c r="D118" s="10"/>
      <c r="E118" s="10"/>
      <c r="F118" s="10"/>
      <c r="G118" s="10"/>
      <c r="H118" s="10"/>
      <c r="I118" s="10"/>
      <c r="J118" s="10"/>
      <c r="K118" s="10"/>
      <c r="L118" s="10"/>
      <c r="M118" s="10"/>
      <c r="N118" s="10"/>
      <c r="O118" s="10"/>
      <c r="P118" s="10"/>
      <c r="Q118" s="10"/>
      <c r="R118" s="10"/>
      <c r="S118" s="10"/>
      <c r="T118" s="10"/>
      <c r="U118" s="10"/>
      <c r="V118" s="10"/>
      <c r="W118" s="19"/>
      <c r="X118" s="7"/>
      <c r="Y118" s="7"/>
      <c r="Z118" s="7"/>
      <c r="AA118" s="7"/>
      <c r="AB118" s="7"/>
      <c r="AC118" s="7"/>
      <c r="AD118" s="7"/>
      <c r="AE118" s="7"/>
      <c r="AF118" s="7"/>
      <c r="AG118" s="7"/>
      <c r="AH118" s="7"/>
      <c r="AI118" s="7"/>
      <c r="AJ118" s="7"/>
      <c r="AK118" s="7"/>
      <c r="AL118" s="7"/>
      <c r="AM118" s="7"/>
    </row>
    <row r="119" spans="1:39" x14ac:dyDescent="0.2">
      <c r="A119" s="9"/>
      <c r="B119" s="14"/>
      <c r="C119" s="7"/>
      <c r="D119" s="10"/>
      <c r="E119" s="10"/>
      <c r="F119" s="10"/>
      <c r="G119" s="10"/>
      <c r="H119" s="10"/>
      <c r="I119" s="10"/>
      <c r="J119" s="10"/>
      <c r="K119" s="10"/>
      <c r="L119" s="10"/>
      <c r="M119" s="10"/>
      <c r="N119" s="10"/>
      <c r="O119" s="10"/>
      <c r="P119" s="10"/>
      <c r="Q119" s="10"/>
      <c r="R119" s="10"/>
      <c r="S119" s="10"/>
      <c r="T119" s="10"/>
      <c r="U119" s="10"/>
      <c r="V119" s="10"/>
      <c r="W119" s="19"/>
      <c r="X119" s="7"/>
      <c r="Y119" s="7"/>
      <c r="Z119" s="7"/>
      <c r="AA119" s="7"/>
      <c r="AB119" s="7"/>
      <c r="AC119" s="7"/>
      <c r="AD119" s="7"/>
      <c r="AE119" s="7"/>
      <c r="AF119" s="7"/>
      <c r="AG119" s="7"/>
      <c r="AH119" s="7"/>
      <c r="AI119" s="7"/>
      <c r="AJ119" s="7"/>
      <c r="AK119" s="7"/>
      <c r="AL119" s="7"/>
      <c r="AM119" s="7"/>
    </row>
    <row r="120" spans="1:39" x14ac:dyDescent="0.2">
      <c r="A120" s="9"/>
      <c r="B120" s="14"/>
      <c r="C120" s="7"/>
      <c r="D120" s="10"/>
      <c r="E120" s="10"/>
      <c r="F120" s="10"/>
      <c r="G120" s="10"/>
      <c r="H120" s="10"/>
      <c r="I120" s="10"/>
      <c r="J120" s="10"/>
      <c r="K120" s="10"/>
      <c r="L120" s="10"/>
      <c r="M120" s="10"/>
      <c r="N120" s="10"/>
      <c r="O120" s="10"/>
      <c r="P120" s="10"/>
      <c r="Q120" s="10"/>
      <c r="R120" s="10"/>
      <c r="S120" s="10"/>
      <c r="T120" s="10"/>
      <c r="U120" s="10"/>
      <c r="V120" s="10"/>
      <c r="W120" s="19"/>
      <c r="X120" s="7"/>
      <c r="Y120" s="7"/>
      <c r="Z120" s="7"/>
      <c r="AA120" s="7"/>
      <c r="AB120" s="7"/>
      <c r="AC120" s="7"/>
      <c r="AD120" s="7"/>
      <c r="AE120" s="7"/>
      <c r="AF120" s="7"/>
      <c r="AG120" s="7"/>
      <c r="AH120" s="7"/>
      <c r="AI120" s="7"/>
      <c r="AJ120" s="7"/>
      <c r="AK120" s="7"/>
      <c r="AL120" s="7"/>
      <c r="AM120" s="7"/>
    </row>
    <row r="121" spans="1:39" x14ac:dyDescent="0.2">
      <c r="A121" s="9"/>
      <c r="B121" s="14"/>
      <c r="C121" s="7"/>
      <c r="D121" s="10"/>
      <c r="E121" s="10"/>
      <c r="F121" s="10"/>
      <c r="G121" s="10"/>
      <c r="H121" s="10"/>
      <c r="I121" s="10"/>
      <c r="J121" s="10"/>
      <c r="K121" s="10"/>
      <c r="L121" s="10"/>
      <c r="M121" s="10"/>
      <c r="N121" s="10"/>
      <c r="O121" s="10"/>
      <c r="P121" s="10"/>
      <c r="Q121" s="10"/>
      <c r="R121" s="10"/>
      <c r="S121" s="10"/>
      <c r="T121" s="10"/>
      <c r="U121" s="10"/>
      <c r="V121" s="10"/>
      <c r="W121" s="19"/>
      <c r="X121" s="7"/>
      <c r="Y121" s="7"/>
      <c r="Z121" s="7"/>
      <c r="AA121" s="7"/>
      <c r="AB121" s="7"/>
      <c r="AC121" s="7"/>
      <c r="AD121" s="7"/>
      <c r="AE121" s="7"/>
      <c r="AF121" s="7"/>
      <c r="AG121" s="7"/>
      <c r="AH121" s="7"/>
      <c r="AI121" s="7"/>
      <c r="AJ121" s="7"/>
      <c r="AK121" s="7"/>
      <c r="AL121" s="7"/>
      <c r="AM121" s="7"/>
    </row>
    <row r="122" spans="1:39" x14ac:dyDescent="0.2">
      <c r="A122" s="9"/>
      <c r="B122" s="14"/>
      <c r="C122" s="7"/>
      <c r="D122" s="10"/>
      <c r="E122" s="10"/>
      <c r="F122" s="10"/>
      <c r="G122" s="10"/>
      <c r="H122" s="10"/>
      <c r="I122" s="10"/>
      <c r="J122" s="10"/>
      <c r="K122" s="10"/>
      <c r="L122" s="10"/>
      <c r="M122" s="10"/>
      <c r="N122" s="10"/>
      <c r="O122" s="10"/>
      <c r="P122" s="10"/>
      <c r="Q122" s="10"/>
      <c r="R122" s="10"/>
      <c r="S122" s="10"/>
      <c r="T122" s="10"/>
      <c r="U122" s="10"/>
      <c r="V122" s="10"/>
      <c r="W122" s="19"/>
      <c r="X122" s="7"/>
      <c r="Y122" s="7"/>
      <c r="Z122" s="7"/>
      <c r="AA122" s="7"/>
      <c r="AB122" s="7"/>
      <c r="AC122" s="7"/>
      <c r="AD122" s="7"/>
      <c r="AE122" s="7"/>
      <c r="AF122" s="7"/>
      <c r="AG122" s="7"/>
      <c r="AH122" s="7"/>
      <c r="AI122" s="7"/>
      <c r="AJ122" s="7"/>
      <c r="AK122" s="7"/>
      <c r="AL122" s="7"/>
      <c r="AM122" s="7"/>
    </row>
    <row r="123" spans="1:39" x14ac:dyDescent="0.2">
      <c r="A123" s="9"/>
      <c r="B123" s="14"/>
      <c r="C123" s="7"/>
      <c r="D123" s="10"/>
      <c r="E123" s="10"/>
      <c r="F123" s="10"/>
      <c r="G123" s="10"/>
      <c r="H123" s="10"/>
      <c r="I123" s="10"/>
      <c r="J123" s="10"/>
      <c r="K123" s="10"/>
      <c r="L123" s="10"/>
      <c r="M123" s="10"/>
      <c r="N123" s="10"/>
      <c r="O123" s="10"/>
      <c r="P123" s="10"/>
      <c r="Q123" s="10"/>
      <c r="R123" s="10"/>
      <c r="S123" s="10"/>
      <c r="T123" s="10"/>
      <c r="U123" s="10"/>
      <c r="V123" s="10"/>
      <c r="W123" s="19"/>
      <c r="X123" s="7"/>
      <c r="Y123" s="7"/>
      <c r="Z123" s="7"/>
      <c r="AA123" s="7"/>
      <c r="AB123" s="7"/>
      <c r="AC123" s="7"/>
      <c r="AD123" s="7"/>
      <c r="AE123" s="7"/>
      <c r="AF123" s="7"/>
      <c r="AG123" s="7"/>
      <c r="AH123" s="7"/>
      <c r="AI123" s="7"/>
      <c r="AJ123" s="7"/>
      <c r="AK123" s="7"/>
      <c r="AL123" s="7"/>
      <c r="AM123" s="7"/>
    </row>
    <row r="124" spans="1:39" x14ac:dyDescent="0.2">
      <c r="A124" s="9"/>
      <c r="B124" s="14"/>
      <c r="C124" s="7"/>
      <c r="D124" s="10"/>
      <c r="E124" s="10"/>
      <c r="F124" s="10"/>
      <c r="G124" s="10"/>
      <c r="H124" s="10"/>
      <c r="I124" s="10"/>
      <c r="J124" s="10"/>
      <c r="K124" s="10"/>
      <c r="L124" s="10"/>
      <c r="M124" s="10"/>
      <c r="N124" s="10"/>
      <c r="O124" s="10"/>
      <c r="P124" s="10"/>
      <c r="Q124" s="10"/>
      <c r="R124" s="10"/>
      <c r="S124" s="10"/>
      <c r="T124" s="10"/>
      <c r="U124" s="10"/>
      <c r="V124" s="10"/>
      <c r="W124" s="19"/>
      <c r="X124" s="7"/>
      <c r="Y124" s="7"/>
      <c r="Z124" s="7"/>
      <c r="AA124" s="7"/>
      <c r="AB124" s="7"/>
      <c r="AC124" s="7"/>
      <c r="AD124" s="7"/>
      <c r="AE124" s="7"/>
      <c r="AF124" s="7"/>
      <c r="AG124" s="7"/>
      <c r="AH124" s="7"/>
      <c r="AI124" s="7"/>
      <c r="AJ124" s="7"/>
      <c r="AK124" s="7"/>
      <c r="AL124" s="7"/>
      <c r="AM124" s="7"/>
    </row>
    <row r="125" spans="1:39" x14ac:dyDescent="0.2">
      <c r="A125" s="9"/>
      <c r="B125" s="14"/>
      <c r="C125" s="7"/>
      <c r="D125" s="10"/>
      <c r="E125" s="10"/>
      <c r="F125" s="10"/>
      <c r="G125" s="10"/>
      <c r="H125" s="10"/>
      <c r="I125" s="10"/>
      <c r="J125" s="10"/>
      <c r="K125" s="10"/>
      <c r="L125" s="10"/>
      <c r="M125" s="10"/>
      <c r="N125" s="10"/>
      <c r="O125" s="10"/>
      <c r="P125" s="10"/>
      <c r="Q125" s="10"/>
      <c r="R125" s="10"/>
      <c r="S125" s="10"/>
      <c r="T125" s="10"/>
      <c r="U125" s="10"/>
      <c r="V125" s="10"/>
      <c r="W125" s="19"/>
      <c r="X125" s="7"/>
      <c r="Y125" s="7"/>
      <c r="Z125" s="7"/>
      <c r="AA125" s="7"/>
      <c r="AB125" s="7"/>
      <c r="AC125" s="7"/>
      <c r="AD125" s="7"/>
      <c r="AE125" s="7"/>
      <c r="AF125" s="7"/>
      <c r="AG125" s="7"/>
      <c r="AH125" s="7"/>
      <c r="AI125" s="7"/>
      <c r="AJ125" s="7"/>
      <c r="AK125" s="7"/>
      <c r="AL125" s="7"/>
      <c r="AM125" s="7"/>
    </row>
    <row r="126" spans="1:39" x14ac:dyDescent="0.2">
      <c r="A126" s="9"/>
      <c r="B126" s="14"/>
      <c r="C126" s="7"/>
      <c r="D126" s="10"/>
      <c r="E126" s="10"/>
      <c r="F126" s="10"/>
      <c r="G126" s="10"/>
      <c r="H126" s="10"/>
      <c r="I126" s="10"/>
      <c r="J126" s="10"/>
      <c r="K126" s="10"/>
      <c r="L126" s="10"/>
      <c r="M126" s="10"/>
      <c r="N126" s="10"/>
      <c r="O126" s="10"/>
      <c r="P126" s="10"/>
      <c r="Q126" s="10"/>
      <c r="R126" s="10"/>
      <c r="S126" s="10"/>
      <c r="T126" s="10"/>
      <c r="U126" s="10"/>
      <c r="V126" s="10"/>
      <c r="W126" s="19"/>
      <c r="X126" s="7"/>
      <c r="Y126" s="7"/>
      <c r="Z126" s="7"/>
      <c r="AA126" s="7"/>
      <c r="AB126" s="7"/>
      <c r="AC126" s="7"/>
      <c r="AD126" s="7"/>
      <c r="AE126" s="7"/>
      <c r="AF126" s="7"/>
      <c r="AG126" s="7"/>
      <c r="AH126" s="7"/>
      <c r="AI126" s="7"/>
      <c r="AJ126" s="7"/>
      <c r="AK126" s="7"/>
      <c r="AL126" s="7"/>
      <c r="AM126" s="7"/>
    </row>
    <row r="127" spans="1:39" x14ac:dyDescent="0.2">
      <c r="A127" s="9"/>
      <c r="B127" s="14"/>
      <c r="C127" s="7"/>
      <c r="D127" s="10"/>
      <c r="E127" s="10"/>
      <c r="F127" s="10"/>
      <c r="G127" s="10"/>
      <c r="H127" s="10"/>
      <c r="I127" s="10"/>
      <c r="J127" s="10"/>
      <c r="K127" s="10"/>
      <c r="L127" s="10"/>
      <c r="M127" s="10"/>
      <c r="N127" s="10"/>
      <c r="O127" s="10"/>
      <c r="P127" s="10"/>
      <c r="Q127" s="10"/>
      <c r="R127" s="10"/>
      <c r="S127" s="10"/>
      <c r="T127" s="10"/>
      <c r="U127" s="10"/>
      <c r="V127" s="10"/>
      <c r="W127" s="19"/>
      <c r="X127" s="7"/>
      <c r="Y127" s="7"/>
      <c r="Z127" s="7"/>
      <c r="AA127" s="7"/>
      <c r="AB127" s="7"/>
      <c r="AC127" s="7"/>
      <c r="AD127" s="7"/>
      <c r="AE127" s="7"/>
      <c r="AF127" s="7"/>
      <c r="AG127" s="7"/>
      <c r="AH127" s="7"/>
      <c r="AI127" s="7"/>
      <c r="AJ127" s="7"/>
      <c r="AK127" s="7"/>
      <c r="AL127" s="7"/>
      <c r="AM127" s="7"/>
    </row>
    <row r="128" spans="1:39" x14ac:dyDescent="0.2">
      <c r="A128" s="9"/>
      <c r="B128" s="14"/>
      <c r="C128" s="7"/>
      <c r="D128" s="10"/>
      <c r="E128" s="10"/>
      <c r="F128" s="10"/>
      <c r="G128" s="10"/>
      <c r="H128" s="10"/>
      <c r="I128" s="10"/>
      <c r="J128" s="10"/>
      <c r="K128" s="10"/>
      <c r="L128" s="10"/>
      <c r="M128" s="10"/>
      <c r="N128" s="10"/>
      <c r="O128" s="10"/>
      <c r="P128" s="10"/>
      <c r="Q128" s="10"/>
      <c r="R128" s="10"/>
      <c r="S128" s="10"/>
      <c r="T128" s="10"/>
      <c r="U128" s="10"/>
      <c r="V128" s="10"/>
      <c r="W128" s="19"/>
      <c r="X128" s="7"/>
      <c r="Y128" s="7"/>
      <c r="Z128" s="7"/>
      <c r="AA128" s="7"/>
      <c r="AB128" s="7"/>
      <c r="AC128" s="7"/>
      <c r="AD128" s="7"/>
      <c r="AE128" s="7"/>
      <c r="AF128" s="7"/>
      <c r="AG128" s="7"/>
      <c r="AH128" s="7"/>
      <c r="AI128" s="7"/>
      <c r="AJ128" s="7"/>
      <c r="AK128" s="7"/>
      <c r="AL128" s="7"/>
      <c r="AM128" s="7"/>
    </row>
    <row r="129" spans="1:39" x14ac:dyDescent="0.2">
      <c r="A129" s="9"/>
      <c r="B129" s="14"/>
      <c r="C129" s="7"/>
      <c r="D129" s="10"/>
      <c r="E129" s="10"/>
      <c r="F129" s="10"/>
      <c r="G129" s="10"/>
      <c r="H129" s="10"/>
      <c r="I129" s="10"/>
      <c r="J129" s="10"/>
      <c r="K129" s="10"/>
      <c r="L129" s="10"/>
      <c r="M129" s="10"/>
      <c r="N129" s="10"/>
      <c r="O129" s="10"/>
      <c r="P129" s="10"/>
      <c r="Q129" s="10"/>
      <c r="R129" s="10"/>
      <c r="S129" s="10"/>
      <c r="T129" s="10"/>
      <c r="U129" s="10"/>
      <c r="V129" s="10"/>
      <c r="W129" s="19"/>
      <c r="X129" s="7"/>
      <c r="Y129" s="7"/>
      <c r="Z129" s="7"/>
      <c r="AA129" s="7"/>
      <c r="AB129" s="7"/>
      <c r="AC129" s="7"/>
      <c r="AD129" s="7"/>
      <c r="AE129" s="7"/>
      <c r="AF129" s="7"/>
      <c r="AG129" s="7"/>
      <c r="AH129" s="7"/>
      <c r="AI129" s="7"/>
      <c r="AJ129" s="7"/>
      <c r="AK129" s="7"/>
      <c r="AL129" s="7"/>
      <c r="AM129" s="7"/>
    </row>
    <row r="130" spans="1:39" x14ac:dyDescent="0.2">
      <c r="A130" s="9"/>
      <c r="B130" s="14"/>
      <c r="C130" s="7"/>
      <c r="D130" s="10"/>
      <c r="E130" s="10"/>
      <c r="F130" s="10"/>
      <c r="G130" s="10"/>
      <c r="H130" s="10"/>
      <c r="I130" s="10"/>
      <c r="J130" s="10"/>
      <c r="K130" s="10"/>
      <c r="L130" s="10"/>
      <c r="M130" s="10"/>
      <c r="N130" s="10"/>
      <c r="O130" s="10"/>
      <c r="P130" s="10"/>
      <c r="Q130" s="10"/>
      <c r="R130" s="10"/>
      <c r="S130" s="10"/>
      <c r="T130" s="10"/>
      <c r="U130" s="10"/>
      <c r="V130" s="10"/>
      <c r="W130" s="19"/>
      <c r="X130" s="7"/>
      <c r="Y130" s="7"/>
      <c r="Z130" s="7"/>
      <c r="AA130" s="7"/>
      <c r="AB130" s="7"/>
      <c r="AC130" s="7"/>
      <c r="AD130" s="7"/>
      <c r="AE130" s="7"/>
      <c r="AF130" s="7"/>
      <c r="AG130" s="7"/>
      <c r="AH130" s="7"/>
      <c r="AI130" s="7"/>
      <c r="AJ130" s="7"/>
      <c r="AK130" s="7"/>
      <c r="AL130" s="7"/>
      <c r="AM130" s="7"/>
    </row>
    <row r="131" spans="1:39" x14ac:dyDescent="0.2">
      <c r="A131" s="9"/>
      <c r="B131" s="14"/>
      <c r="C131" s="7"/>
      <c r="D131" s="10"/>
      <c r="E131" s="10"/>
      <c r="F131" s="10"/>
      <c r="G131" s="10"/>
      <c r="H131" s="10"/>
      <c r="I131" s="10"/>
      <c r="J131" s="10"/>
      <c r="K131" s="10"/>
      <c r="L131" s="10"/>
      <c r="M131" s="10"/>
      <c r="N131" s="10"/>
      <c r="O131" s="10"/>
      <c r="P131" s="10"/>
      <c r="Q131" s="10"/>
      <c r="R131" s="10"/>
      <c r="S131" s="10"/>
      <c r="T131" s="10"/>
      <c r="U131" s="10"/>
      <c r="V131" s="10"/>
      <c r="W131" s="19"/>
      <c r="X131" s="7"/>
      <c r="Y131" s="7"/>
      <c r="Z131" s="7"/>
      <c r="AA131" s="7"/>
      <c r="AB131" s="7"/>
      <c r="AC131" s="7"/>
      <c r="AD131" s="7"/>
      <c r="AE131" s="7"/>
      <c r="AF131" s="7"/>
      <c r="AG131" s="7"/>
      <c r="AH131" s="7"/>
      <c r="AI131" s="7"/>
      <c r="AJ131" s="7"/>
      <c r="AK131" s="7"/>
      <c r="AL131" s="7"/>
      <c r="AM131" s="7"/>
    </row>
    <row r="132" spans="1:39" x14ac:dyDescent="0.2">
      <c r="A132" s="9"/>
      <c r="B132" s="14"/>
      <c r="C132" s="7"/>
      <c r="D132" s="10"/>
      <c r="E132" s="10"/>
      <c r="F132" s="10"/>
      <c r="G132" s="10"/>
      <c r="H132" s="10"/>
      <c r="I132" s="10"/>
      <c r="J132" s="10"/>
      <c r="K132" s="10"/>
      <c r="L132" s="10"/>
      <c r="M132" s="10"/>
      <c r="N132" s="10"/>
      <c r="O132" s="10"/>
      <c r="P132" s="10"/>
      <c r="Q132" s="10"/>
      <c r="R132" s="10"/>
      <c r="S132" s="10"/>
      <c r="T132" s="10"/>
      <c r="U132" s="10"/>
      <c r="V132" s="10"/>
      <c r="W132" s="19"/>
      <c r="X132" s="7"/>
      <c r="Y132" s="7"/>
      <c r="Z132" s="7"/>
      <c r="AA132" s="7"/>
      <c r="AB132" s="7"/>
      <c r="AC132" s="7"/>
      <c r="AD132" s="7"/>
      <c r="AE132" s="7"/>
      <c r="AF132" s="7"/>
      <c r="AG132" s="7"/>
      <c r="AH132" s="7"/>
      <c r="AI132" s="7"/>
      <c r="AJ132" s="7"/>
      <c r="AK132" s="7"/>
      <c r="AL132" s="7"/>
      <c r="AM132" s="7"/>
    </row>
    <row r="133" spans="1:39" x14ac:dyDescent="0.2">
      <c r="A133" s="9"/>
      <c r="B133" s="14"/>
      <c r="C133" s="7"/>
      <c r="D133" s="10"/>
      <c r="E133" s="10"/>
      <c r="F133" s="10"/>
      <c r="G133" s="10"/>
      <c r="H133" s="10"/>
      <c r="I133" s="10"/>
      <c r="J133" s="10"/>
      <c r="K133" s="10"/>
      <c r="L133" s="10"/>
      <c r="M133" s="10"/>
      <c r="N133" s="10"/>
      <c r="O133" s="10"/>
      <c r="P133" s="10"/>
      <c r="Q133" s="10"/>
      <c r="R133" s="10"/>
      <c r="S133" s="10"/>
      <c r="T133" s="10"/>
      <c r="U133" s="10"/>
      <c r="V133" s="10"/>
      <c r="W133" s="19"/>
      <c r="X133" s="7"/>
      <c r="Y133" s="7"/>
      <c r="Z133" s="7"/>
      <c r="AA133" s="7"/>
      <c r="AB133" s="7"/>
      <c r="AC133" s="7"/>
      <c r="AD133" s="7"/>
      <c r="AE133" s="7"/>
      <c r="AF133" s="7"/>
      <c r="AG133" s="7"/>
      <c r="AH133" s="7"/>
      <c r="AI133" s="7"/>
      <c r="AJ133" s="7"/>
      <c r="AK133" s="7"/>
      <c r="AL133" s="7"/>
      <c r="AM133" s="7"/>
    </row>
    <row r="134" spans="1:39" x14ac:dyDescent="0.2">
      <c r="A134" s="9"/>
      <c r="B134" s="14"/>
      <c r="C134" s="7"/>
      <c r="D134" s="10"/>
      <c r="E134" s="10"/>
      <c r="F134" s="10"/>
      <c r="G134" s="10"/>
      <c r="H134" s="10"/>
      <c r="I134" s="10"/>
      <c r="J134" s="10"/>
      <c r="K134" s="10"/>
      <c r="L134" s="10"/>
      <c r="M134" s="10"/>
      <c r="N134" s="10"/>
      <c r="O134" s="10"/>
      <c r="P134" s="10"/>
      <c r="Q134" s="10"/>
      <c r="R134" s="10"/>
      <c r="S134" s="10"/>
      <c r="T134" s="10"/>
      <c r="U134" s="10"/>
      <c r="V134" s="10"/>
      <c r="W134" s="19"/>
      <c r="X134" s="7"/>
      <c r="Y134" s="7"/>
      <c r="Z134" s="7"/>
      <c r="AA134" s="7"/>
      <c r="AB134" s="7"/>
      <c r="AC134" s="7"/>
      <c r="AD134" s="7"/>
      <c r="AE134" s="7"/>
      <c r="AF134" s="7"/>
      <c r="AG134" s="7"/>
      <c r="AH134" s="7"/>
      <c r="AI134" s="7"/>
      <c r="AJ134" s="7"/>
      <c r="AK134" s="7"/>
      <c r="AL134" s="7"/>
      <c r="AM134" s="7"/>
    </row>
    <row r="135" spans="1:39" x14ac:dyDescent="0.2">
      <c r="A135" s="9"/>
      <c r="B135" s="14"/>
      <c r="C135" s="7"/>
      <c r="D135" s="10"/>
      <c r="E135" s="10"/>
      <c r="F135" s="10"/>
      <c r="G135" s="10"/>
      <c r="H135" s="10"/>
      <c r="I135" s="10"/>
      <c r="J135" s="10"/>
      <c r="K135" s="10"/>
      <c r="L135" s="10"/>
      <c r="M135" s="10"/>
      <c r="N135" s="10"/>
      <c r="O135" s="10"/>
      <c r="P135" s="10"/>
      <c r="Q135" s="10"/>
      <c r="R135" s="10"/>
      <c r="S135" s="10"/>
      <c r="T135" s="10"/>
      <c r="U135" s="10"/>
      <c r="V135" s="10"/>
      <c r="W135" s="19"/>
      <c r="X135" s="7"/>
      <c r="Y135" s="7"/>
      <c r="Z135" s="7"/>
      <c r="AA135" s="7"/>
      <c r="AB135" s="7"/>
      <c r="AC135" s="7"/>
      <c r="AD135" s="7"/>
      <c r="AE135" s="7"/>
      <c r="AF135" s="7"/>
      <c r="AG135" s="7"/>
      <c r="AH135" s="7"/>
      <c r="AI135" s="7"/>
      <c r="AJ135" s="7"/>
      <c r="AK135" s="7"/>
      <c r="AL135" s="7"/>
      <c r="AM135" s="7"/>
    </row>
    <row r="136" spans="1:39" x14ac:dyDescent="0.2">
      <c r="A136" s="9"/>
      <c r="B136" s="14"/>
      <c r="C136" s="7"/>
      <c r="D136" s="10"/>
      <c r="E136" s="10"/>
      <c r="F136" s="10"/>
      <c r="G136" s="10"/>
      <c r="H136" s="10"/>
      <c r="I136" s="10"/>
      <c r="J136" s="10"/>
      <c r="K136" s="10"/>
      <c r="L136" s="10"/>
      <c r="M136" s="10"/>
      <c r="N136" s="10"/>
      <c r="O136" s="10"/>
      <c r="P136" s="10"/>
      <c r="Q136" s="10"/>
      <c r="R136" s="10"/>
      <c r="S136" s="10"/>
      <c r="T136" s="10"/>
      <c r="U136" s="10"/>
      <c r="V136" s="10"/>
      <c r="W136" s="19"/>
      <c r="X136" s="7"/>
      <c r="Y136" s="7"/>
      <c r="Z136" s="7"/>
      <c r="AA136" s="7"/>
      <c r="AB136" s="7"/>
      <c r="AC136" s="7"/>
      <c r="AD136" s="7"/>
      <c r="AE136" s="7"/>
      <c r="AF136" s="7"/>
      <c r="AG136" s="7"/>
      <c r="AH136" s="7"/>
      <c r="AI136" s="7"/>
      <c r="AJ136" s="7"/>
      <c r="AK136" s="7"/>
      <c r="AL136" s="7"/>
      <c r="AM136" s="7"/>
    </row>
    <row r="137" spans="1:39" x14ac:dyDescent="0.2">
      <c r="A137" s="9"/>
      <c r="B137" s="14"/>
      <c r="C137" s="7"/>
      <c r="D137" s="10"/>
      <c r="E137" s="10"/>
      <c r="F137" s="10"/>
      <c r="G137" s="10"/>
      <c r="H137" s="10"/>
      <c r="I137" s="10"/>
      <c r="J137" s="10"/>
      <c r="K137" s="10"/>
      <c r="L137" s="10"/>
      <c r="M137" s="10"/>
      <c r="N137" s="10"/>
      <c r="O137" s="10"/>
      <c r="P137" s="10"/>
      <c r="Q137" s="10"/>
      <c r="R137" s="10"/>
      <c r="S137" s="10"/>
      <c r="T137" s="10"/>
      <c r="U137" s="10"/>
      <c r="V137" s="10"/>
      <c r="W137" s="19"/>
      <c r="X137" s="7"/>
      <c r="Y137" s="7"/>
      <c r="Z137" s="7"/>
      <c r="AA137" s="7"/>
      <c r="AB137" s="7"/>
      <c r="AC137" s="7"/>
      <c r="AD137" s="7"/>
      <c r="AE137" s="7"/>
      <c r="AF137" s="7"/>
      <c r="AG137" s="7"/>
      <c r="AH137" s="7"/>
      <c r="AI137" s="7"/>
      <c r="AJ137" s="7"/>
      <c r="AK137" s="7"/>
      <c r="AL137" s="7"/>
      <c r="AM137" s="7"/>
    </row>
    <row r="138" spans="1:39" x14ac:dyDescent="0.2">
      <c r="A138" s="9"/>
      <c r="B138" s="14"/>
      <c r="C138" s="7"/>
      <c r="D138" s="10"/>
      <c r="E138" s="10"/>
      <c r="F138" s="10"/>
      <c r="G138" s="10"/>
      <c r="H138" s="10"/>
      <c r="I138" s="10"/>
      <c r="J138" s="10"/>
      <c r="K138" s="10"/>
      <c r="L138" s="10"/>
      <c r="M138" s="10"/>
      <c r="N138" s="10"/>
      <c r="O138" s="10"/>
      <c r="P138" s="10"/>
      <c r="Q138" s="10"/>
      <c r="R138" s="10"/>
      <c r="S138" s="10"/>
      <c r="T138" s="10"/>
      <c r="U138" s="10"/>
      <c r="V138" s="10"/>
      <c r="W138" s="19"/>
      <c r="X138" s="7"/>
      <c r="Y138" s="7"/>
      <c r="Z138" s="7"/>
      <c r="AA138" s="7"/>
      <c r="AB138" s="7"/>
      <c r="AC138" s="7"/>
      <c r="AD138" s="7"/>
      <c r="AE138" s="7"/>
      <c r="AF138" s="7"/>
      <c r="AG138" s="7"/>
      <c r="AH138" s="7"/>
      <c r="AI138" s="7"/>
      <c r="AJ138" s="7"/>
      <c r="AK138" s="7"/>
      <c r="AL138" s="7"/>
      <c r="AM138" s="7"/>
    </row>
    <row r="139" spans="1:39" x14ac:dyDescent="0.2">
      <c r="A139" s="9"/>
      <c r="B139" s="14"/>
      <c r="C139" s="7"/>
      <c r="D139" s="10"/>
      <c r="E139" s="10"/>
      <c r="F139" s="10"/>
      <c r="G139" s="10"/>
      <c r="H139" s="10"/>
      <c r="I139" s="10"/>
      <c r="J139" s="10"/>
      <c r="K139" s="10"/>
      <c r="L139" s="10"/>
      <c r="M139" s="10"/>
      <c r="N139" s="10"/>
      <c r="O139" s="10"/>
      <c r="P139" s="10"/>
      <c r="Q139" s="10"/>
      <c r="R139" s="10"/>
      <c r="S139" s="10"/>
      <c r="T139" s="10"/>
      <c r="U139" s="10"/>
      <c r="V139" s="10"/>
      <c r="W139" s="19"/>
      <c r="X139" s="7"/>
      <c r="Y139" s="7"/>
      <c r="Z139" s="7"/>
      <c r="AA139" s="7"/>
      <c r="AB139" s="7"/>
      <c r="AC139" s="7"/>
      <c r="AD139" s="7"/>
      <c r="AE139" s="7"/>
      <c r="AF139" s="7"/>
      <c r="AG139" s="7"/>
      <c r="AH139" s="7"/>
      <c r="AI139" s="7"/>
      <c r="AJ139" s="7"/>
      <c r="AK139" s="7"/>
      <c r="AL139" s="7"/>
      <c r="AM139" s="7"/>
    </row>
    <row r="140" spans="1:39" x14ac:dyDescent="0.2">
      <c r="A140" s="9"/>
      <c r="B140" s="14"/>
      <c r="C140" s="7"/>
      <c r="D140" s="10"/>
      <c r="E140" s="10"/>
      <c r="F140" s="10"/>
      <c r="G140" s="10"/>
      <c r="H140" s="10"/>
      <c r="I140" s="10"/>
      <c r="J140" s="10"/>
      <c r="K140" s="10"/>
      <c r="L140" s="10"/>
      <c r="M140" s="10"/>
      <c r="N140" s="10"/>
      <c r="O140" s="10"/>
      <c r="P140" s="10"/>
      <c r="Q140" s="10"/>
      <c r="R140" s="10"/>
      <c r="S140" s="10"/>
      <c r="T140" s="10"/>
      <c r="U140" s="10"/>
      <c r="V140" s="10"/>
      <c r="W140" s="19"/>
      <c r="X140" s="7"/>
      <c r="Y140" s="7"/>
      <c r="Z140" s="7"/>
      <c r="AA140" s="7"/>
      <c r="AB140" s="7"/>
      <c r="AC140" s="7"/>
      <c r="AD140" s="7"/>
      <c r="AE140" s="7"/>
      <c r="AF140" s="7"/>
      <c r="AG140" s="7"/>
      <c r="AH140" s="7"/>
      <c r="AI140" s="7"/>
      <c r="AJ140" s="7"/>
      <c r="AK140" s="7"/>
      <c r="AL140" s="7"/>
      <c r="AM140" s="7"/>
    </row>
    <row r="141" spans="1:39" x14ac:dyDescent="0.2">
      <c r="A141" s="9"/>
      <c r="B141" s="14"/>
      <c r="C141" s="7"/>
      <c r="D141" s="10"/>
      <c r="E141" s="10"/>
      <c r="F141" s="10"/>
      <c r="G141" s="10"/>
      <c r="H141" s="10"/>
      <c r="I141" s="10"/>
      <c r="J141" s="10"/>
      <c r="K141" s="10"/>
      <c r="L141" s="10"/>
      <c r="M141" s="10"/>
      <c r="N141" s="10"/>
      <c r="O141" s="10"/>
      <c r="P141" s="10"/>
      <c r="Q141" s="10"/>
      <c r="R141" s="10"/>
      <c r="S141" s="10"/>
      <c r="T141" s="10"/>
      <c r="U141" s="10"/>
      <c r="V141" s="10"/>
      <c r="W141" s="19"/>
      <c r="X141" s="7"/>
      <c r="Y141" s="7"/>
      <c r="Z141" s="7"/>
      <c r="AA141" s="7"/>
      <c r="AB141" s="7"/>
      <c r="AC141" s="7"/>
      <c r="AD141" s="7"/>
      <c r="AE141" s="7"/>
      <c r="AF141" s="7"/>
      <c r="AG141" s="7"/>
      <c r="AH141" s="7"/>
      <c r="AI141" s="7"/>
      <c r="AJ141" s="7"/>
      <c r="AK141" s="7"/>
      <c r="AL141" s="7"/>
      <c r="AM141" s="7"/>
    </row>
    <row r="142" spans="1:39" x14ac:dyDescent="0.2">
      <c r="A142" s="9"/>
      <c r="B142" s="14"/>
      <c r="C142" s="7"/>
      <c r="D142" s="10"/>
      <c r="E142" s="10"/>
      <c r="F142" s="10"/>
      <c r="G142" s="10"/>
      <c r="H142" s="10"/>
      <c r="I142" s="10"/>
      <c r="J142" s="10"/>
      <c r="K142" s="10"/>
      <c r="L142" s="10"/>
      <c r="M142" s="10"/>
      <c r="N142" s="10"/>
      <c r="O142" s="10"/>
      <c r="P142" s="10"/>
      <c r="Q142" s="10"/>
      <c r="R142" s="10"/>
      <c r="S142" s="10"/>
      <c r="T142" s="10"/>
      <c r="U142" s="10"/>
      <c r="V142" s="10"/>
      <c r="W142" s="19"/>
      <c r="X142" s="7"/>
      <c r="Y142" s="7"/>
      <c r="Z142" s="7"/>
      <c r="AA142" s="7"/>
      <c r="AB142" s="7"/>
      <c r="AC142" s="7"/>
      <c r="AD142" s="7"/>
      <c r="AE142" s="7"/>
      <c r="AF142" s="7"/>
      <c r="AG142" s="7"/>
      <c r="AH142" s="7"/>
      <c r="AI142" s="7"/>
      <c r="AJ142" s="7"/>
      <c r="AK142" s="7"/>
      <c r="AL142" s="7"/>
      <c r="AM142" s="7"/>
    </row>
    <row r="143" spans="1:39" x14ac:dyDescent="0.2">
      <c r="A143" s="9"/>
      <c r="B143" s="14"/>
      <c r="C143" s="7"/>
      <c r="D143" s="10"/>
      <c r="E143" s="10"/>
      <c r="F143" s="10"/>
      <c r="G143" s="10"/>
      <c r="H143" s="10"/>
      <c r="I143" s="10"/>
      <c r="J143" s="10"/>
      <c r="K143" s="10"/>
      <c r="L143" s="10"/>
      <c r="M143" s="10"/>
      <c r="N143" s="10"/>
      <c r="O143" s="10"/>
      <c r="P143" s="10"/>
      <c r="Q143" s="10"/>
      <c r="R143" s="10"/>
      <c r="S143" s="10"/>
      <c r="T143" s="10"/>
      <c r="U143" s="10"/>
      <c r="V143" s="10"/>
      <c r="W143" s="19"/>
      <c r="X143" s="7"/>
      <c r="Y143" s="7"/>
      <c r="Z143" s="7"/>
      <c r="AA143" s="7"/>
      <c r="AB143" s="7"/>
      <c r="AC143" s="7"/>
      <c r="AD143" s="7"/>
      <c r="AE143" s="7"/>
      <c r="AF143" s="7"/>
      <c r="AG143" s="7"/>
      <c r="AH143" s="7"/>
      <c r="AI143" s="7"/>
      <c r="AJ143" s="7"/>
      <c r="AK143" s="7"/>
      <c r="AL143" s="7"/>
      <c r="AM143" s="7"/>
    </row>
    <row r="144" spans="1:39" x14ac:dyDescent="0.2">
      <c r="A144" s="9"/>
      <c r="B144" s="14"/>
      <c r="C144" s="7"/>
      <c r="D144" s="10"/>
      <c r="E144" s="10"/>
      <c r="F144" s="10"/>
      <c r="G144" s="10"/>
      <c r="H144" s="10"/>
      <c r="I144" s="10"/>
      <c r="J144" s="10"/>
      <c r="K144" s="10"/>
      <c r="L144" s="10"/>
      <c r="M144" s="10"/>
      <c r="N144" s="10"/>
      <c r="O144" s="10"/>
      <c r="P144" s="10"/>
      <c r="Q144" s="10"/>
      <c r="R144" s="10"/>
      <c r="S144" s="10"/>
      <c r="T144" s="10"/>
      <c r="U144" s="10"/>
      <c r="V144" s="10"/>
      <c r="W144" s="19"/>
      <c r="X144" s="7"/>
      <c r="Y144" s="7"/>
      <c r="Z144" s="7"/>
      <c r="AA144" s="7"/>
      <c r="AB144" s="7"/>
      <c r="AC144" s="7"/>
      <c r="AD144" s="7"/>
      <c r="AE144" s="7"/>
      <c r="AF144" s="7"/>
      <c r="AG144" s="7"/>
      <c r="AH144" s="7"/>
      <c r="AI144" s="7"/>
      <c r="AJ144" s="7"/>
      <c r="AK144" s="7"/>
      <c r="AL144" s="7"/>
      <c r="AM144" s="7"/>
    </row>
    <row r="145" spans="1:39" x14ac:dyDescent="0.2">
      <c r="A145" s="9"/>
      <c r="B145" s="14"/>
      <c r="C145" s="7"/>
      <c r="D145" s="10"/>
      <c r="E145" s="10"/>
      <c r="F145" s="10"/>
      <c r="G145" s="10"/>
      <c r="H145" s="10"/>
      <c r="I145" s="10"/>
      <c r="J145" s="10"/>
      <c r="K145" s="10"/>
      <c r="L145" s="10"/>
      <c r="M145" s="10"/>
      <c r="N145" s="10"/>
      <c r="O145" s="10"/>
      <c r="P145" s="10"/>
      <c r="Q145" s="10"/>
      <c r="R145" s="10"/>
      <c r="S145" s="10"/>
      <c r="T145" s="10"/>
      <c r="U145" s="10"/>
      <c r="V145" s="10"/>
      <c r="W145" s="19"/>
      <c r="X145" s="7"/>
      <c r="Y145" s="7"/>
      <c r="Z145" s="7"/>
      <c r="AA145" s="7"/>
      <c r="AB145" s="7"/>
      <c r="AC145" s="7"/>
      <c r="AD145" s="7"/>
      <c r="AE145" s="7"/>
      <c r="AF145" s="7"/>
      <c r="AG145" s="7"/>
      <c r="AH145" s="7"/>
      <c r="AI145" s="7"/>
      <c r="AJ145" s="7"/>
      <c r="AK145" s="7"/>
      <c r="AL145" s="7"/>
      <c r="AM145" s="7"/>
    </row>
    <row r="146" spans="1:39" x14ac:dyDescent="0.2">
      <c r="A146" s="9"/>
      <c r="B146" s="14"/>
      <c r="C146" s="7"/>
      <c r="D146" s="10"/>
      <c r="E146" s="10"/>
      <c r="F146" s="10"/>
      <c r="G146" s="10"/>
      <c r="H146" s="10"/>
      <c r="I146" s="10"/>
      <c r="J146" s="10"/>
      <c r="K146" s="10"/>
      <c r="L146" s="10"/>
      <c r="M146" s="10"/>
      <c r="N146" s="10"/>
      <c r="O146" s="10"/>
      <c r="P146" s="10"/>
      <c r="Q146" s="10"/>
      <c r="R146" s="10"/>
      <c r="S146" s="10"/>
      <c r="T146" s="10"/>
      <c r="U146" s="10"/>
      <c r="V146" s="10"/>
      <c r="W146" s="19"/>
      <c r="X146" s="7"/>
      <c r="Y146" s="7"/>
      <c r="Z146" s="7"/>
      <c r="AA146" s="7"/>
      <c r="AB146" s="7"/>
      <c r="AC146" s="7"/>
      <c r="AD146" s="7"/>
      <c r="AE146" s="7"/>
      <c r="AF146" s="7"/>
      <c r="AG146" s="7"/>
      <c r="AH146" s="7"/>
      <c r="AI146" s="7"/>
      <c r="AJ146" s="7"/>
      <c r="AK146" s="7"/>
      <c r="AL146" s="7"/>
      <c r="AM146" s="7"/>
    </row>
    <row r="147" spans="1:39" x14ac:dyDescent="0.2">
      <c r="A147" s="9"/>
      <c r="B147" s="14"/>
      <c r="C147" s="7"/>
      <c r="D147" s="10"/>
      <c r="E147" s="10"/>
      <c r="F147" s="10"/>
      <c r="G147" s="10"/>
      <c r="H147" s="10"/>
      <c r="I147" s="10"/>
      <c r="J147" s="10"/>
      <c r="K147" s="10"/>
      <c r="L147" s="10"/>
      <c r="M147" s="10"/>
      <c r="N147" s="10"/>
      <c r="O147" s="10"/>
      <c r="P147" s="10"/>
      <c r="Q147" s="10"/>
      <c r="R147" s="10"/>
      <c r="S147" s="10"/>
      <c r="T147" s="10"/>
      <c r="U147" s="10"/>
      <c r="V147" s="10"/>
      <c r="W147" s="19"/>
      <c r="X147" s="7"/>
      <c r="Y147" s="7"/>
      <c r="Z147" s="7"/>
      <c r="AA147" s="7"/>
      <c r="AB147" s="7"/>
      <c r="AC147" s="7"/>
      <c r="AD147" s="7"/>
      <c r="AE147" s="7"/>
      <c r="AF147" s="7"/>
      <c r="AG147" s="7"/>
      <c r="AH147" s="7"/>
      <c r="AI147" s="7"/>
      <c r="AJ147" s="7"/>
      <c r="AK147" s="7"/>
      <c r="AL147" s="7"/>
      <c r="AM147" s="7"/>
    </row>
    <row r="148" spans="1:39" x14ac:dyDescent="0.2">
      <c r="A148" s="9"/>
      <c r="B148" s="14"/>
      <c r="C148" s="7"/>
      <c r="D148" s="10"/>
      <c r="E148" s="10"/>
      <c r="F148" s="10"/>
      <c r="G148" s="10"/>
      <c r="H148" s="10"/>
      <c r="I148" s="10"/>
      <c r="J148" s="10"/>
      <c r="K148" s="10"/>
      <c r="L148" s="10"/>
      <c r="M148" s="10"/>
      <c r="N148" s="10"/>
      <c r="O148" s="10"/>
      <c r="P148" s="10"/>
      <c r="Q148" s="10"/>
      <c r="R148" s="10"/>
      <c r="S148" s="10"/>
      <c r="T148" s="10"/>
      <c r="U148" s="10"/>
      <c r="V148" s="10"/>
      <c r="W148" s="19"/>
      <c r="X148" s="7"/>
      <c r="Y148" s="7"/>
      <c r="Z148" s="7"/>
      <c r="AA148" s="7"/>
      <c r="AB148" s="7"/>
      <c r="AC148" s="7"/>
      <c r="AD148" s="7"/>
      <c r="AE148" s="7"/>
      <c r="AF148" s="7"/>
      <c r="AG148" s="7"/>
      <c r="AH148" s="7"/>
      <c r="AI148" s="7"/>
      <c r="AJ148" s="7"/>
      <c r="AK148" s="7"/>
      <c r="AL148" s="7"/>
      <c r="AM148" s="7"/>
    </row>
    <row r="149" spans="1:39" x14ac:dyDescent="0.2">
      <c r="A149" s="9"/>
      <c r="B149" s="14"/>
      <c r="C149" s="7"/>
      <c r="D149" s="10"/>
      <c r="E149" s="10"/>
      <c r="F149" s="10"/>
      <c r="G149" s="10"/>
      <c r="H149" s="10"/>
      <c r="I149" s="10"/>
      <c r="J149" s="10"/>
      <c r="K149" s="10"/>
      <c r="L149" s="10"/>
      <c r="M149" s="10"/>
      <c r="N149" s="10"/>
      <c r="O149" s="10"/>
      <c r="P149" s="10"/>
      <c r="Q149" s="10"/>
      <c r="R149" s="10"/>
      <c r="S149" s="10"/>
      <c r="T149" s="10"/>
      <c r="U149" s="10"/>
      <c r="V149" s="10"/>
      <c r="W149" s="19"/>
      <c r="X149" s="7"/>
      <c r="Y149" s="7"/>
      <c r="Z149" s="7"/>
      <c r="AA149" s="7"/>
      <c r="AB149" s="7"/>
      <c r="AC149" s="7"/>
      <c r="AD149" s="7"/>
      <c r="AE149" s="7"/>
      <c r="AF149" s="7"/>
      <c r="AG149" s="7"/>
      <c r="AH149" s="7"/>
      <c r="AI149" s="7"/>
      <c r="AJ149" s="7"/>
      <c r="AK149" s="7"/>
      <c r="AL149" s="7"/>
      <c r="AM149" s="7"/>
    </row>
    <row r="150" spans="1:39" x14ac:dyDescent="0.2">
      <c r="A150" s="9"/>
      <c r="B150" s="14"/>
      <c r="C150" s="7"/>
      <c r="D150" s="10"/>
      <c r="E150" s="10"/>
      <c r="F150" s="10"/>
      <c r="G150" s="10"/>
      <c r="H150" s="10"/>
      <c r="I150" s="10"/>
      <c r="J150" s="10"/>
      <c r="K150" s="10"/>
      <c r="L150" s="10"/>
      <c r="M150" s="10"/>
      <c r="N150" s="10"/>
      <c r="O150" s="10"/>
      <c r="P150" s="10"/>
      <c r="Q150" s="10"/>
      <c r="R150" s="10"/>
      <c r="S150" s="10"/>
      <c r="T150" s="10"/>
      <c r="U150" s="10"/>
      <c r="V150" s="10"/>
      <c r="W150" s="19"/>
      <c r="X150" s="7"/>
      <c r="Y150" s="7"/>
      <c r="Z150" s="7"/>
      <c r="AA150" s="7"/>
      <c r="AB150" s="7"/>
      <c r="AC150" s="7"/>
      <c r="AD150" s="7"/>
      <c r="AE150" s="7"/>
      <c r="AF150" s="7"/>
      <c r="AG150" s="7"/>
      <c r="AH150" s="7"/>
      <c r="AI150" s="7"/>
      <c r="AJ150" s="7"/>
      <c r="AK150" s="7"/>
      <c r="AL150" s="7"/>
      <c r="AM150" s="7"/>
    </row>
    <row r="151" spans="1:39" x14ac:dyDescent="0.2">
      <c r="A151" s="9"/>
      <c r="B151" s="14"/>
      <c r="C151" s="7"/>
      <c r="D151" s="10"/>
      <c r="E151" s="10"/>
      <c r="F151" s="10"/>
      <c r="G151" s="10"/>
      <c r="H151" s="10"/>
      <c r="I151" s="10"/>
      <c r="J151" s="10"/>
      <c r="K151" s="10"/>
      <c r="L151" s="10"/>
      <c r="M151" s="10"/>
      <c r="N151" s="10"/>
      <c r="O151" s="10"/>
      <c r="P151" s="10"/>
      <c r="Q151" s="10"/>
      <c r="R151" s="10"/>
      <c r="S151" s="10"/>
      <c r="T151" s="10"/>
      <c r="U151" s="10"/>
      <c r="V151" s="10"/>
      <c r="W151" s="19"/>
      <c r="X151" s="7"/>
      <c r="Y151" s="7"/>
      <c r="Z151" s="7"/>
      <c r="AA151" s="7"/>
      <c r="AB151" s="7"/>
      <c r="AC151" s="7"/>
      <c r="AD151" s="7"/>
      <c r="AE151" s="7"/>
      <c r="AF151" s="7"/>
      <c r="AG151" s="7"/>
      <c r="AH151" s="7"/>
      <c r="AI151" s="7"/>
      <c r="AJ151" s="7"/>
      <c r="AK151" s="7"/>
      <c r="AL151" s="7"/>
      <c r="AM151" s="7"/>
    </row>
    <row r="152" spans="1:39" x14ac:dyDescent="0.2">
      <c r="A152" s="9"/>
      <c r="B152" s="14"/>
      <c r="C152" s="7"/>
      <c r="D152" s="10"/>
      <c r="E152" s="10"/>
      <c r="F152" s="10"/>
      <c r="G152" s="10"/>
      <c r="H152" s="10"/>
      <c r="I152" s="10"/>
      <c r="J152" s="10"/>
      <c r="K152" s="10"/>
      <c r="L152" s="10"/>
      <c r="M152" s="10"/>
      <c r="N152" s="10"/>
      <c r="O152" s="10"/>
      <c r="P152" s="10"/>
      <c r="Q152" s="10"/>
      <c r="R152" s="10"/>
      <c r="S152" s="10"/>
      <c r="T152" s="10"/>
      <c r="U152" s="10"/>
      <c r="V152" s="10"/>
      <c r="W152" s="19"/>
      <c r="X152" s="7"/>
      <c r="Y152" s="7"/>
      <c r="Z152" s="7"/>
      <c r="AA152" s="7"/>
      <c r="AB152" s="7"/>
      <c r="AC152" s="7"/>
      <c r="AD152" s="7"/>
      <c r="AE152" s="7"/>
      <c r="AF152" s="7"/>
      <c r="AG152" s="7"/>
      <c r="AH152" s="7"/>
      <c r="AI152" s="7"/>
      <c r="AJ152" s="7"/>
      <c r="AK152" s="7"/>
      <c r="AL152" s="7"/>
      <c r="AM152" s="7"/>
    </row>
    <row r="153" spans="1:39" x14ac:dyDescent="0.2">
      <c r="A153" s="9"/>
      <c r="B153" s="14"/>
      <c r="C153" s="7"/>
      <c r="D153" s="10"/>
      <c r="E153" s="10"/>
      <c r="F153" s="10"/>
      <c r="G153" s="10"/>
      <c r="H153" s="10"/>
      <c r="I153" s="10"/>
      <c r="J153" s="10"/>
      <c r="K153" s="10"/>
      <c r="L153" s="10"/>
      <c r="M153" s="10"/>
      <c r="N153" s="10"/>
      <c r="O153" s="10"/>
      <c r="P153" s="10"/>
      <c r="Q153" s="10"/>
      <c r="R153" s="10"/>
      <c r="S153" s="10"/>
      <c r="T153" s="10"/>
      <c r="U153" s="10"/>
      <c r="V153" s="10"/>
      <c r="W153" s="19"/>
      <c r="X153" s="7"/>
      <c r="Y153" s="7"/>
      <c r="Z153" s="7"/>
      <c r="AA153" s="7"/>
      <c r="AB153" s="7"/>
      <c r="AC153" s="7"/>
      <c r="AD153" s="7"/>
      <c r="AE153" s="7"/>
      <c r="AF153" s="7"/>
      <c r="AG153" s="7"/>
      <c r="AH153" s="7"/>
      <c r="AI153" s="7"/>
      <c r="AJ153" s="7"/>
      <c r="AK153" s="7"/>
      <c r="AL153" s="7"/>
      <c r="AM153" s="7"/>
    </row>
    <row r="154" spans="1:39" x14ac:dyDescent="0.2">
      <c r="A154" s="9"/>
      <c r="B154" s="14"/>
      <c r="C154" s="7"/>
      <c r="D154" s="10"/>
      <c r="E154" s="10"/>
      <c r="F154" s="10"/>
      <c r="G154" s="10"/>
      <c r="H154" s="10"/>
      <c r="I154" s="10"/>
      <c r="J154" s="10"/>
      <c r="K154" s="10"/>
      <c r="L154" s="10"/>
      <c r="M154" s="10"/>
      <c r="N154" s="10"/>
      <c r="O154" s="10"/>
      <c r="P154" s="10"/>
      <c r="Q154" s="10"/>
      <c r="R154" s="10"/>
      <c r="S154" s="10"/>
      <c r="T154" s="10"/>
      <c r="U154" s="10"/>
      <c r="V154" s="10"/>
      <c r="W154" s="19"/>
      <c r="X154" s="7"/>
      <c r="Y154" s="7"/>
      <c r="Z154" s="7"/>
      <c r="AA154" s="7"/>
      <c r="AB154" s="7"/>
      <c r="AC154" s="7"/>
      <c r="AD154" s="7"/>
      <c r="AE154" s="7"/>
      <c r="AF154" s="7"/>
      <c r="AG154" s="7"/>
      <c r="AH154" s="7"/>
      <c r="AI154" s="7"/>
      <c r="AJ154" s="7"/>
      <c r="AK154" s="7"/>
      <c r="AL154" s="7"/>
      <c r="AM154" s="7"/>
    </row>
    <row r="155" spans="1:39" x14ac:dyDescent="0.2">
      <c r="A155" s="9"/>
      <c r="B155" s="14"/>
      <c r="C155" s="7"/>
      <c r="D155" s="10"/>
      <c r="E155" s="10"/>
      <c r="F155" s="10"/>
      <c r="G155" s="10"/>
      <c r="H155" s="10"/>
      <c r="I155" s="10"/>
      <c r="J155" s="10"/>
      <c r="K155" s="10"/>
      <c r="L155" s="10"/>
      <c r="M155" s="10"/>
      <c r="N155" s="10"/>
      <c r="O155" s="10"/>
      <c r="P155" s="10"/>
      <c r="Q155" s="10"/>
      <c r="R155" s="10"/>
      <c r="S155" s="10"/>
      <c r="T155" s="10"/>
      <c r="U155" s="10"/>
      <c r="V155" s="10"/>
      <c r="W155" s="19"/>
      <c r="X155" s="7"/>
      <c r="Y155" s="7"/>
      <c r="Z155" s="7"/>
      <c r="AA155" s="7"/>
      <c r="AB155" s="7"/>
      <c r="AC155" s="7"/>
      <c r="AD155" s="7"/>
      <c r="AE155" s="7"/>
      <c r="AF155" s="7"/>
      <c r="AG155" s="7"/>
      <c r="AH155" s="7"/>
      <c r="AI155" s="7"/>
      <c r="AJ155" s="7"/>
      <c r="AK155" s="7"/>
      <c r="AL155" s="7"/>
      <c r="AM155" s="7"/>
    </row>
    <row r="156" spans="1:39" x14ac:dyDescent="0.2">
      <c r="A156" s="9"/>
      <c r="B156" s="14"/>
      <c r="C156" s="7"/>
      <c r="D156" s="10"/>
      <c r="E156" s="10"/>
      <c r="F156" s="10"/>
      <c r="G156" s="10"/>
      <c r="H156" s="10"/>
      <c r="I156" s="10"/>
      <c r="J156" s="10"/>
      <c r="K156" s="10"/>
      <c r="L156" s="10"/>
      <c r="M156" s="10"/>
      <c r="N156" s="10"/>
      <c r="O156" s="10"/>
      <c r="P156" s="10"/>
      <c r="Q156" s="10"/>
      <c r="R156" s="10"/>
      <c r="S156" s="10"/>
      <c r="T156" s="10"/>
      <c r="U156" s="10"/>
      <c r="V156" s="10"/>
      <c r="W156" s="19"/>
      <c r="X156" s="7"/>
      <c r="Y156" s="7"/>
      <c r="Z156" s="7"/>
      <c r="AA156" s="7"/>
      <c r="AB156" s="7"/>
      <c r="AC156" s="7"/>
      <c r="AD156" s="7"/>
      <c r="AE156" s="7"/>
      <c r="AF156" s="7"/>
      <c r="AG156" s="7"/>
      <c r="AH156" s="7"/>
      <c r="AI156" s="7"/>
      <c r="AJ156" s="7"/>
      <c r="AK156" s="7"/>
      <c r="AL156" s="7"/>
      <c r="AM156" s="7"/>
    </row>
    <row r="157" spans="1:39" x14ac:dyDescent="0.2">
      <c r="A157" s="9"/>
      <c r="B157" s="14"/>
      <c r="C157" s="7"/>
      <c r="D157" s="10"/>
      <c r="E157" s="10"/>
      <c r="F157" s="10"/>
      <c r="G157" s="10"/>
      <c r="H157" s="10"/>
      <c r="I157" s="10"/>
      <c r="J157" s="10"/>
      <c r="K157" s="10"/>
      <c r="L157" s="10"/>
      <c r="M157" s="10"/>
      <c r="N157" s="10"/>
      <c r="O157" s="10"/>
      <c r="P157" s="10"/>
      <c r="Q157" s="10"/>
      <c r="R157" s="10"/>
      <c r="S157" s="10"/>
      <c r="T157" s="10"/>
      <c r="U157" s="10"/>
      <c r="V157" s="10"/>
      <c r="W157" s="19"/>
      <c r="X157" s="7"/>
      <c r="Y157" s="7"/>
      <c r="Z157" s="7"/>
      <c r="AA157" s="7"/>
      <c r="AB157" s="7"/>
      <c r="AC157" s="7"/>
      <c r="AD157" s="7"/>
      <c r="AE157" s="7"/>
      <c r="AF157" s="7"/>
      <c r="AG157" s="7"/>
      <c r="AH157" s="7"/>
      <c r="AI157" s="7"/>
      <c r="AJ157" s="7"/>
      <c r="AK157" s="7"/>
      <c r="AL157" s="7"/>
      <c r="AM157" s="7"/>
    </row>
    <row r="158" spans="1:39" x14ac:dyDescent="0.2">
      <c r="A158" s="9"/>
      <c r="B158" s="14"/>
      <c r="C158" s="7"/>
      <c r="D158" s="10"/>
      <c r="E158" s="10"/>
      <c r="F158" s="10"/>
      <c r="G158" s="10"/>
      <c r="H158" s="10"/>
      <c r="I158" s="10"/>
      <c r="J158" s="10"/>
      <c r="K158" s="10"/>
      <c r="L158" s="10"/>
      <c r="M158" s="10"/>
      <c r="N158" s="10"/>
      <c r="O158" s="10"/>
      <c r="P158" s="10"/>
      <c r="Q158" s="10"/>
      <c r="R158" s="10"/>
      <c r="S158" s="10"/>
      <c r="T158" s="10"/>
      <c r="U158" s="10"/>
      <c r="V158" s="10"/>
      <c r="W158" s="19"/>
      <c r="X158" s="7"/>
      <c r="Y158" s="7"/>
      <c r="Z158" s="7"/>
      <c r="AA158" s="7"/>
      <c r="AB158" s="7"/>
      <c r="AC158" s="7"/>
      <c r="AD158" s="7"/>
      <c r="AE158" s="7"/>
      <c r="AF158" s="7"/>
      <c r="AG158" s="7"/>
      <c r="AH158" s="7"/>
      <c r="AI158" s="7"/>
      <c r="AJ158" s="7"/>
      <c r="AK158" s="7"/>
      <c r="AL158" s="7"/>
      <c r="AM158" s="7"/>
    </row>
    <row r="159" spans="1:39" x14ac:dyDescent="0.2">
      <c r="A159" s="9"/>
      <c r="B159" s="14"/>
      <c r="C159" s="7"/>
      <c r="D159" s="10"/>
      <c r="E159" s="10"/>
      <c r="F159" s="10"/>
      <c r="G159" s="10"/>
      <c r="H159" s="10"/>
      <c r="I159" s="10"/>
      <c r="J159" s="10"/>
      <c r="K159" s="10"/>
      <c r="L159" s="10"/>
      <c r="M159" s="10"/>
      <c r="N159" s="10"/>
      <c r="O159" s="10"/>
      <c r="P159" s="10"/>
      <c r="Q159" s="10"/>
      <c r="R159" s="10"/>
      <c r="S159" s="10"/>
      <c r="T159" s="10"/>
      <c r="U159" s="10"/>
      <c r="V159" s="10"/>
      <c r="W159" s="19"/>
      <c r="X159" s="7"/>
      <c r="Y159" s="7"/>
      <c r="Z159" s="7"/>
      <c r="AA159" s="7"/>
      <c r="AB159" s="7"/>
      <c r="AC159" s="7"/>
      <c r="AD159" s="7"/>
      <c r="AE159" s="7"/>
      <c r="AF159" s="7"/>
      <c r="AG159" s="7"/>
      <c r="AH159" s="7"/>
      <c r="AI159" s="7"/>
      <c r="AJ159" s="7"/>
      <c r="AK159" s="7"/>
      <c r="AL159" s="7"/>
      <c r="AM159" s="7"/>
    </row>
    <row r="160" spans="1:39" x14ac:dyDescent="0.2">
      <c r="A160" s="9"/>
      <c r="B160" s="14"/>
      <c r="C160" s="7"/>
      <c r="D160" s="10"/>
      <c r="E160" s="10"/>
      <c r="F160" s="10"/>
      <c r="G160" s="10"/>
      <c r="H160" s="10"/>
      <c r="I160" s="10"/>
      <c r="J160" s="10"/>
      <c r="K160" s="10"/>
      <c r="L160" s="10"/>
      <c r="M160" s="10"/>
      <c r="N160" s="10"/>
      <c r="O160" s="10"/>
      <c r="P160" s="10"/>
      <c r="Q160" s="10"/>
      <c r="R160" s="10"/>
      <c r="S160" s="10"/>
      <c r="T160" s="10"/>
      <c r="U160" s="10"/>
      <c r="V160" s="10"/>
      <c r="W160" s="19"/>
      <c r="X160" s="7"/>
      <c r="Y160" s="7"/>
      <c r="Z160" s="7"/>
      <c r="AA160" s="7"/>
      <c r="AB160" s="7"/>
      <c r="AC160" s="7"/>
      <c r="AD160" s="7"/>
      <c r="AE160" s="7"/>
      <c r="AF160" s="7"/>
      <c r="AG160" s="7"/>
      <c r="AH160" s="7"/>
      <c r="AI160" s="7"/>
      <c r="AJ160" s="7"/>
      <c r="AK160" s="7"/>
      <c r="AL160" s="7"/>
      <c r="AM160" s="7"/>
    </row>
    <row r="161" spans="1:39" x14ac:dyDescent="0.2">
      <c r="A161" s="9"/>
      <c r="B161" s="14"/>
      <c r="C161" s="7"/>
      <c r="D161" s="10"/>
      <c r="E161" s="10"/>
      <c r="F161" s="10"/>
      <c r="G161" s="10"/>
      <c r="H161" s="10"/>
      <c r="I161" s="10"/>
      <c r="J161" s="10"/>
      <c r="K161" s="10"/>
      <c r="L161" s="10"/>
      <c r="M161" s="10"/>
      <c r="N161" s="10"/>
      <c r="O161" s="10"/>
      <c r="P161" s="10"/>
      <c r="Q161" s="10"/>
      <c r="R161" s="10"/>
      <c r="S161" s="10"/>
      <c r="T161" s="10"/>
      <c r="U161" s="10"/>
      <c r="V161" s="10"/>
      <c r="W161" s="19"/>
      <c r="X161" s="7"/>
      <c r="Y161" s="7"/>
      <c r="Z161" s="7"/>
      <c r="AA161" s="7"/>
      <c r="AB161" s="7"/>
      <c r="AC161" s="7"/>
      <c r="AD161" s="7"/>
      <c r="AE161" s="7"/>
      <c r="AF161" s="7"/>
      <c r="AG161" s="7"/>
      <c r="AH161" s="7"/>
      <c r="AI161" s="7"/>
      <c r="AJ161" s="7"/>
      <c r="AK161" s="7"/>
      <c r="AL161" s="7"/>
      <c r="AM161" s="7"/>
    </row>
    <row r="162" spans="1:39" x14ac:dyDescent="0.2">
      <c r="A162" s="9"/>
      <c r="B162" s="14"/>
      <c r="C162" s="7"/>
      <c r="D162" s="10"/>
      <c r="E162" s="10"/>
      <c r="F162" s="10"/>
      <c r="G162" s="10"/>
      <c r="H162" s="10"/>
      <c r="I162" s="10"/>
      <c r="J162" s="10"/>
      <c r="K162" s="10"/>
      <c r="L162" s="10"/>
      <c r="M162" s="10"/>
      <c r="N162" s="10"/>
      <c r="O162" s="10"/>
      <c r="P162" s="10"/>
      <c r="Q162" s="10"/>
      <c r="R162" s="10"/>
      <c r="S162" s="10"/>
      <c r="T162" s="10"/>
      <c r="U162" s="10"/>
      <c r="V162" s="10"/>
      <c r="W162" s="19"/>
      <c r="X162" s="7"/>
      <c r="Y162" s="7"/>
      <c r="Z162" s="7"/>
      <c r="AA162" s="7"/>
      <c r="AB162" s="7"/>
      <c r="AC162" s="7"/>
      <c r="AD162" s="7"/>
      <c r="AE162" s="7"/>
      <c r="AF162" s="7"/>
      <c r="AG162" s="7"/>
      <c r="AH162" s="7"/>
      <c r="AI162" s="7"/>
      <c r="AJ162" s="7"/>
      <c r="AK162" s="7"/>
      <c r="AL162" s="7"/>
      <c r="AM162" s="7"/>
    </row>
    <row r="163" spans="1:39" x14ac:dyDescent="0.2">
      <c r="A163" s="9"/>
      <c r="B163" s="14"/>
      <c r="C163" s="7"/>
      <c r="D163" s="10"/>
      <c r="E163" s="10"/>
      <c r="F163" s="10"/>
      <c r="G163" s="10"/>
      <c r="H163" s="10"/>
      <c r="I163" s="10"/>
      <c r="J163" s="10"/>
      <c r="K163" s="10"/>
      <c r="L163" s="10"/>
      <c r="M163" s="10"/>
      <c r="N163" s="10"/>
      <c r="O163" s="10"/>
      <c r="P163" s="10"/>
      <c r="Q163" s="10"/>
      <c r="R163" s="10"/>
      <c r="S163" s="10"/>
      <c r="T163" s="10"/>
      <c r="U163" s="10"/>
      <c r="V163" s="10"/>
      <c r="W163" s="19"/>
      <c r="X163" s="7"/>
      <c r="Y163" s="7"/>
      <c r="Z163" s="7"/>
      <c r="AA163" s="7"/>
      <c r="AB163" s="7"/>
      <c r="AC163" s="7"/>
      <c r="AD163" s="7"/>
      <c r="AE163" s="7"/>
      <c r="AF163" s="7"/>
      <c r="AG163" s="7"/>
      <c r="AH163" s="7"/>
      <c r="AI163" s="7"/>
      <c r="AJ163" s="7"/>
      <c r="AK163" s="7"/>
      <c r="AL163" s="7"/>
      <c r="AM163" s="7"/>
    </row>
    <row r="164" spans="1:39" x14ac:dyDescent="0.2">
      <c r="A164" s="9"/>
      <c r="B164" s="14"/>
      <c r="C164" s="7"/>
      <c r="D164" s="10"/>
      <c r="E164" s="10"/>
      <c r="F164" s="10"/>
      <c r="G164" s="10"/>
      <c r="H164" s="10"/>
      <c r="I164" s="10"/>
      <c r="J164" s="10"/>
      <c r="K164" s="10"/>
      <c r="L164" s="10"/>
      <c r="M164" s="10"/>
      <c r="N164" s="10"/>
      <c r="O164" s="10"/>
      <c r="P164" s="10"/>
      <c r="Q164" s="10"/>
      <c r="R164" s="10"/>
      <c r="S164" s="10"/>
      <c r="T164" s="10"/>
      <c r="U164" s="10"/>
      <c r="V164" s="10"/>
      <c r="W164" s="19"/>
      <c r="X164" s="7"/>
      <c r="Y164" s="7"/>
      <c r="Z164" s="7"/>
      <c r="AA164" s="7"/>
      <c r="AB164" s="7"/>
      <c r="AC164" s="7"/>
      <c r="AD164" s="7"/>
      <c r="AE164" s="7"/>
      <c r="AF164" s="7"/>
      <c r="AG164" s="7"/>
      <c r="AH164" s="7"/>
      <c r="AI164" s="7"/>
      <c r="AJ164" s="7"/>
      <c r="AK164" s="7"/>
      <c r="AL164" s="7"/>
      <c r="AM164" s="7"/>
    </row>
    <row r="165" spans="1:39" x14ac:dyDescent="0.2">
      <c r="A165" s="9"/>
      <c r="B165" s="14"/>
      <c r="C165" s="7"/>
      <c r="D165" s="10"/>
      <c r="E165" s="10"/>
      <c r="F165" s="10"/>
      <c r="G165" s="10"/>
      <c r="H165" s="10"/>
      <c r="I165" s="10"/>
      <c r="J165" s="10"/>
      <c r="K165" s="10"/>
      <c r="L165" s="10"/>
      <c r="M165" s="10"/>
      <c r="N165" s="10"/>
      <c r="O165" s="10"/>
      <c r="P165" s="10"/>
      <c r="Q165" s="10"/>
      <c r="R165" s="10"/>
      <c r="S165" s="10"/>
      <c r="T165" s="10"/>
      <c r="U165" s="10"/>
      <c r="V165" s="10"/>
      <c r="W165" s="19"/>
      <c r="X165" s="7"/>
      <c r="Y165" s="7"/>
      <c r="Z165" s="7"/>
      <c r="AA165" s="7"/>
      <c r="AB165" s="7"/>
      <c r="AC165" s="7"/>
      <c r="AD165" s="7"/>
      <c r="AE165" s="7"/>
      <c r="AF165" s="7"/>
      <c r="AG165" s="7"/>
      <c r="AH165" s="7"/>
      <c r="AI165" s="7"/>
      <c r="AJ165" s="7"/>
      <c r="AK165" s="7"/>
      <c r="AL165" s="7"/>
      <c r="AM165" s="7"/>
    </row>
    <row r="166" spans="1:39" x14ac:dyDescent="0.2">
      <c r="A166" s="9"/>
      <c r="B166" s="14"/>
      <c r="C166" s="7"/>
      <c r="D166" s="10"/>
      <c r="E166" s="10"/>
      <c r="F166" s="10"/>
      <c r="G166" s="10"/>
      <c r="H166" s="10"/>
      <c r="I166" s="10"/>
      <c r="J166" s="10"/>
      <c r="K166" s="10"/>
      <c r="L166" s="10"/>
      <c r="M166" s="10"/>
      <c r="N166" s="10"/>
      <c r="O166" s="10"/>
      <c r="P166" s="10"/>
      <c r="Q166" s="10"/>
      <c r="R166" s="10"/>
      <c r="S166" s="10"/>
      <c r="T166" s="10"/>
      <c r="U166" s="10"/>
      <c r="V166" s="10"/>
      <c r="W166" s="19"/>
      <c r="X166" s="7"/>
      <c r="Y166" s="7"/>
      <c r="Z166" s="7"/>
      <c r="AA166" s="7"/>
      <c r="AB166" s="7"/>
      <c r="AC166" s="7"/>
      <c r="AD166" s="7"/>
      <c r="AE166" s="7"/>
      <c r="AF166" s="7"/>
      <c r="AG166" s="7"/>
      <c r="AH166" s="7"/>
      <c r="AI166" s="7"/>
      <c r="AJ166" s="7"/>
      <c r="AK166" s="7"/>
      <c r="AL166" s="7"/>
      <c r="AM166" s="7"/>
    </row>
    <row r="167" spans="1:39" x14ac:dyDescent="0.2">
      <c r="A167" s="9"/>
      <c r="B167" s="14"/>
      <c r="C167" s="7"/>
      <c r="D167" s="10"/>
      <c r="E167" s="10"/>
      <c r="F167" s="10"/>
      <c r="G167" s="10"/>
      <c r="H167" s="10"/>
      <c r="I167" s="10"/>
      <c r="J167" s="10"/>
      <c r="K167" s="10"/>
      <c r="L167" s="10"/>
      <c r="M167" s="10"/>
      <c r="N167" s="10"/>
      <c r="O167" s="10"/>
      <c r="P167" s="10"/>
      <c r="Q167" s="10"/>
      <c r="R167" s="10"/>
      <c r="S167" s="10"/>
      <c r="T167" s="10"/>
      <c r="U167" s="10"/>
      <c r="V167" s="10"/>
      <c r="W167" s="19"/>
      <c r="X167" s="7"/>
      <c r="Y167" s="7"/>
      <c r="Z167" s="7"/>
      <c r="AA167" s="7"/>
      <c r="AB167" s="7"/>
      <c r="AC167" s="7"/>
      <c r="AD167" s="7"/>
      <c r="AE167" s="7"/>
      <c r="AF167" s="7"/>
      <c r="AG167" s="7"/>
      <c r="AH167" s="7"/>
      <c r="AI167" s="7"/>
      <c r="AJ167" s="7"/>
      <c r="AK167" s="7"/>
      <c r="AL167" s="7"/>
      <c r="AM167" s="7"/>
    </row>
    <row r="168" spans="1:39" x14ac:dyDescent="0.2">
      <c r="A168" s="9"/>
      <c r="B168" s="14"/>
      <c r="C168" s="7"/>
      <c r="D168" s="10"/>
      <c r="E168" s="10"/>
      <c r="F168" s="10"/>
      <c r="G168" s="10"/>
      <c r="H168" s="10"/>
      <c r="I168" s="10"/>
      <c r="J168" s="10"/>
      <c r="K168" s="10"/>
      <c r="L168" s="10"/>
      <c r="M168" s="10"/>
      <c r="N168" s="10"/>
      <c r="O168" s="10"/>
      <c r="P168" s="10"/>
      <c r="Q168" s="10"/>
      <c r="R168" s="10"/>
      <c r="S168" s="10"/>
      <c r="T168" s="10"/>
      <c r="U168" s="10"/>
      <c r="V168" s="10"/>
      <c r="W168" s="19"/>
      <c r="X168" s="7"/>
      <c r="Y168" s="7"/>
      <c r="Z168" s="7"/>
      <c r="AA168" s="7"/>
      <c r="AB168" s="7"/>
      <c r="AC168" s="7"/>
      <c r="AD168" s="7"/>
      <c r="AE168" s="7"/>
      <c r="AF168" s="7"/>
      <c r="AG168" s="7"/>
      <c r="AH168" s="7"/>
      <c r="AI168" s="7"/>
      <c r="AJ168" s="7"/>
      <c r="AK168" s="7"/>
      <c r="AL168" s="7"/>
      <c r="AM168" s="7"/>
    </row>
    <row r="169" spans="1:39" x14ac:dyDescent="0.2">
      <c r="A169" s="9"/>
      <c r="B169" s="14"/>
      <c r="C169" s="7"/>
      <c r="D169" s="10"/>
      <c r="E169" s="10"/>
      <c r="F169" s="10"/>
      <c r="G169" s="10"/>
      <c r="H169" s="10"/>
      <c r="I169" s="10"/>
      <c r="J169" s="10"/>
      <c r="K169" s="10"/>
      <c r="L169" s="10"/>
      <c r="M169" s="10"/>
      <c r="N169" s="10"/>
      <c r="O169" s="10"/>
      <c r="P169" s="10"/>
      <c r="Q169" s="10"/>
      <c r="R169" s="10"/>
      <c r="S169" s="10"/>
      <c r="T169" s="10"/>
      <c r="U169" s="10"/>
      <c r="V169" s="10"/>
      <c r="W169" s="19"/>
      <c r="X169" s="7"/>
      <c r="Y169" s="7"/>
      <c r="Z169" s="7"/>
      <c r="AA169" s="7"/>
      <c r="AB169" s="7"/>
      <c r="AC169" s="7"/>
      <c r="AD169" s="7"/>
      <c r="AE169" s="7"/>
      <c r="AF169" s="7"/>
      <c r="AG169" s="7"/>
      <c r="AH169" s="7"/>
      <c r="AI169" s="7"/>
      <c r="AJ169" s="7"/>
      <c r="AK169" s="7"/>
      <c r="AL169" s="7"/>
      <c r="AM169" s="7"/>
    </row>
    <row r="170" spans="1:39" x14ac:dyDescent="0.2">
      <c r="A170" s="9"/>
      <c r="B170" s="14"/>
      <c r="C170" s="7"/>
      <c r="D170" s="10"/>
      <c r="E170" s="10"/>
      <c r="F170" s="10"/>
      <c r="G170" s="10"/>
      <c r="H170" s="10"/>
      <c r="I170" s="10"/>
      <c r="J170" s="10"/>
      <c r="K170" s="10"/>
      <c r="L170" s="10"/>
      <c r="M170" s="10"/>
      <c r="N170" s="10"/>
      <c r="O170" s="10"/>
      <c r="P170" s="10"/>
      <c r="Q170" s="10"/>
      <c r="R170" s="10"/>
      <c r="S170" s="10"/>
      <c r="T170" s="10"/>
      <c r="U170" s="10"/>
      <c r="V170" s="10"/>
      <c r="W170" s="19"/>
      <c r="X170" s="7"/>
      <c r="Y170" s="7"/>
      <c r="Z170" s="7"/>
      <c r="AA170" s="7"/>
      <c r="AB170" s="7"/>
      <c r="AC170" s="7"/>
      <c r="AD170" s="7"/>
      <c r="AE170" s="7"/>
      <c r="AF170" s="7"/>
      <c r="AG170" s="7"/>
      <c r="AH170" s="7"/>
      <c r="AI170" s="7"/>
      <c r="AJ170" s="7"/>
      <c r="AK170" s="7"/>
      <c r="AL170" s="7"/>
      <c r="AM170" s="7"/>
    </row>
    <row r="171" spans="1:39" x14ac:dyDescent="0.2">
      <c r="A171" s="9"/>
      <c r="B171" s="14"/>
      <c r="C171" s="7"/>
      <c r="D171" s="10"/>
      <c r="E171" s="10"/>
      <c r="F171" s="10"/>
      <c r="G171" s="10"/>
      <c r="H171" s="10"/>
      <c r="I171" s="10"/>
      <c r="J171" s="10"/>
      <c r="K171" s="10"/>
      <c r="L171" s="10"/>
      <c r="M171" s="10"/>
      <c r="N171" s="10"/>
      <c r="O171" s="10"/>
      <c r="P171" s="10"/>
      <c r="Q171" s="10"/>
      <c r="R171" s="10"/>
      <c r="S171" s="10"/>
      <c r="T171" s="10"/>
      <c r="U171" s="10"/>
      <c r="V171" s="10"/>
      <c r="W171" s="19"/>
      <c r="X171" s="7"/>
      <c r="Y171" s="7"/>
      <c r="Z171" s="7"/>
      <c r="AA171" s="7"/>
      <c r="AB171" s="7"/>
      <c r="AC171" s="7"/>
      <c r="AD171" s="7"/>
      <c r="AE171" s="7"/>
      <c r="AF171" s="7"/>
      <c r="AG171" s="7"/>
      <c r="AH171" s="7"/>
      <c r="AI171" s="7"/>
      <c r="AJ171" s="7"/>
      <c r="AK171" s="7"/>
      <c r="AL171" s="7"/>
      <c r="AM171" s="7"/>
    </row>
    <row r="172" spans="1:39" x14ac:dyDescent="0.2">
      <c r="A172" s="9"/>
      <c r="B172" s="14"/>
      <c r="C172" s="7"/>
      <c r="D172" s="10"/>
      <c r="E172" s="10"/>
      <c r="F172" s="10"/>
      <c r="G172" s="10"/>
      <c r="H172" s="10"/>
      <c r="I172" s="10"/>
      <c r="J172" s="10"/>
      <c r="K172" s="10"/>
      <c r="L172" s="10"/>
      <c r="M172" s="10"/>
      <c r="N172" s="10"/>
      <c r="O172" s="10"/>
      <c r="P172" s="10"/>
      <c r="Q172" s="10"/>
      <c r="R172" s="10"/>
      <c r="S172" s="10"/>
      <c r="T172" s="10"/>
      <c r="U172" s="10"/>
      <c r="V172" s="10"/>
      <c r="W172" s="19"/>
      <c r="X172" s="7"/>
      <c r="Y172" s="7"/>
      <c r="Z172" s="7"/>
      <c r="AA172" s="7"/>
      <c r="AB172" s="7"/>
      <c r="AC172" s="7"/>
      <c r="AD172" s="7"/>
      <c r="AE172" s="7"/>
      <c r="AF172" s="7"/>
      <c r="AG172" s="7"/>
      <c r="AH172" s="7"/>
      <c r="AI172" s="7"/>
      <c r="AJ172" s="7"/>
      <c r="AK172" s="7"/>
      <c r="AL172" s="7"/>
      <c r="AM172" s="7"/>
    </row>
    <row r="173" spans="1:39" x14ac:dyDescent="0.2">
      <c r="A173" s="12"/>
      <c r="B173" s="62"/>
      <c r="C173" s="18"/>
      <c r="D173" s="19"/>
      <c r="E173" s="19"/>
      <c r="F173" s="19"/>
      <c r="G173" s="19"/>
      <c r="H173" s="19"/>
      <c r="I173" s="19"/>
      <c r="J173" s="19"/>
      <c r="K173" s="19"/>
      <c r="L173" s="19"/>
      <c r="M173" s="19"/>
      <c r="N173" s="19"/>
      <c r="O173" s="19"/>
      <c r="P173" s="19"/>
      <c r="Q173" s="10"/>
      <c r="R173" s="10"/>
      <c r="S173" s="10"/>
      <c r="T173" s="10"/>
      <c r="U173" s="10"/>
      <c r="V173" s="10"/>
      <c r="W173" s="19"/>
      <c r="X173" s="7"/>
      <c r="Y173" s="7"/>
      <c r="Z173" s="7"/>
      <c r="AA173" s="7"/>
      <c r="AB173" s="7"/>
      <c r="AC173" s="7"/>
      <c r="AD173" s="7"/>
      <c r="AE173" s="7"/>
      <c r="AF173" s="7"/>
      <c r="AG173" s="7"/>
      <c r="AH173" s="7"/>
      <c r="AI173" s="7"/>
      <c r="AJ173" s="7"/>
      <c r="AK173" s="7"/>
      <c r="AL173" s="7"/>
      <c r="AM173" s="7"/>
    </row>
    <row r="174" spans="1:39" x14ac:dyDescent="0.2">
      <c r="A174" s="12"/>
      <c r="B174" s="62"/>
      <c r="C174" s="18"/>
      <c r="D174" s="19"/>
      <c r="E174" s="19"/>
      <c r="F174" s="19"/>
      <c r="G174" s="19"/>
      <c r="H174" s="19"/>
      <c r="I174" s="19"/>
      <c r="J174" s="19"/>
      <c r="K174" s="19"/>
      <c r="L174" s="19"/>
      <c r="M174" s="19"/>
      <c r="N174" s="19"/>
      <c r="O174" s="19"/>
      <c r="P174" s="19"/>
      <c r="Q174" s="10"/>
      <c r="R174" s="10"/>
      <c r="S174" s="10"/>
      <c r="T174" s="10"/>
      <c r="U174" s="10"/>
      <c r="V174" s="10"/>
      <c r="W174" s="19"/>
      <c r="X174" s="7"/>
      <c r="Y174" s="7"/>
      <c r="Z174" s="7"/>
      <c r="AA174" s="7"/>
      <c r="AB174" s="7"/>
      <c r="AC174" s="7"/>
      <c r="AD174" s="7"/>
      <c r="AE174" s="7"/>
      <c r="AF174" s="7"/>
      <c r="AG174" s="7"/>
      <c r="AH174" s="7"/>
      <c r="AI174" s="7"/>
      <c r="AJ174" s="7"/>
      <c r="AK174" s="7"/>
      <c r="AL174" s="7"/>
      <c r="AM174" s="7"/>
    </row>
    <row r="175" spans="1:39" x14ac:dyDescent="0.2">
      <c r="A175" s="12"/>
      <c r="B175" s="62"/>
      <c r="C175" s="18"/>
      <c r="D175" s="19"/>
      <c r="E175" s="19"/>
      <c r="F175" s="19"/>
      <c r="G175" s="19"/>
      <c r="H175" s="19"/>
      <c r="I175" s="19"/>
      <c r="J175" s="19"/>
      <c r="K175" s="19"/>
      <c r="L175" s="19"/>
      <c r="M175" s="19"/>
      <c r="N175" s="19"/>
      <c r="O175" s="19"/>
      <c r="P175" s="19"/>
      <c r="Q175" s="10"/>
      <c r="R175" s="10"/>
      <c r="S175" s="10"/>
      <c r="T175" s="10"/>
      <c r="U175" s="10"/>
      <c r="V175" s="10"/>
      <c r="W175" s="19"/>
      <c r="X175" s="7"/>
      <c r="Y175" s="7"/>
      <c r="Z175" s="7"/>
      <c r="AA175" s="7"/>
      <c r="AB175" s="7"/>
      <c r="AC175" s="7"/>
      <c r="AD175" s="7"/>
      <c r="AE175" s="7"/>
      <c r="AF175" s="7"/>
      <c r="AG175" s="7"/>
      <c r="AH175" s="7"/>
      <c r="AI175" s="7"/>
      <c r="AJ175" s="7"/>
      <c r="AK175" s="7"/>
      <c r="AL175" s="7"/>
      <c r="AM175" s="7"/>
    </row>
    <row r="176" spans="1:39" x14ac:dyDescent="0.2">
      <c r="A176" s="12"/>
      <c r="B176" s="62"/>
      <c r="C176" s="18"/>
      <c r="D176" s="19"/>
      <c r="E176" s="19"/>
      <c r="F176" s="19"/>
      <c r="G176" s="19"/>
      <c r="H176" s="19"/>
      <c r="I176" s="19"/>
      <c r="J176" s="19"/>
      <c r="K176" s="19"/>
      <c r="L176" s="19"/>
      <c r="M176" s="19"/>
      <c r="N176" s="19"/>
      <c r="O176" s="19"/>
      <c r="P176" s="19"/>
      <c r="Q176" s="10"/>
      <c r="R176" s="10"/>
      <c r="S176" s="10"/>
      <c r="T176" s="10"/>
      <c r="U176" s="10"/>
      <c r="V176" s="10"/>
      <c r="W176" s="19"/>
      <c r="X176" s="7"/>
      <c r="Y176" s="7"/>
      <c r="Z176" s="7"/>
      <c r="AA176" s="7"/>
      <c r="AB176" s="7"/>
      <c r="AC176" s="7"/>
      <c r="AD176" s="7"/>
      <c r="AE176" s="7"/>
      <c r="AF176" s="7"/>
      <c r="AG176" s="7"/>
      <c r="AH176" s="7"/>
      <c r="AI176" s="7"/>
      <c r="AJ176" s="7"/>
      <c r="AK176" s="7"/>
      <c r="AL176" s="7"/>
      <c r="AM176" s="7"/>
    </row>
    <row r="177" spans="1:39" x14ac:dyDescent="0.2">
      <c r="A177" s="12"/>
      <c r="B177" s="62"/>
      <c r="C177" s="18"/>
      <c r="D177" s="19"/>
      <c r="E177" s="19"/>
      <c r="F177" s="19"/>
      <c r="G177" s="19"/>
      <c r="H177" s="19"/>
      <c r="I177" s="19"/>
      <c r="J177" s="19"/>
      <c r="K177" s="19"/>
      <c r="L177" s="19"/>
      <c r="M177" s="19"/>
      <c r="N177" s="19"/>
      <c r="O177" s="19"/>
      <c r="P177" s="19"/>
      <c r="Q177" s="10"/>
      <c r="R177" s="10"/>
      <c r="S177" s="10"/>
      <c r="T177" s="10"/>
      <c r="U177" s="10"/>
      <c r="V177" s="10"/>
      <c r="W177" s="19"/>
      <c r="X177" s="7"/>
      <c r="Y177" s="7"/>
      <c r="Z177" s="7"/>
      <c r="AA177" s="7"/>
      <c r="AB177" s="7"/>
      <c r="AC177" s="7"/>
      <c r="AD177" s="7"/>
      <c r="AE177" s="7"/>
      <c r="AF177" s="7"/>
      <c r="AG177" s="7"/>
      <c r="AH177" s="7"/>
      <c r="AI177" s="7"/>
      <c r="AJ177" s="7"/>
      <c r="AK177" s="7"/>
      <c r="AL177" s="7"/>
      <c r="AM177" s="7"/>
    </row>
    <row r="178" spans="1:39" x14ac:dyDescent="0.2">
      <c r="A178" s="12"/>
      <c r="B178" s="62"/>
      <c r="C178" s="18"/>
      <c r="D178" s="19"/>
      <c r="E178" s="19"/>
      <c r="F178" s="19"/>
      <c r="G178" s="19"/>
      <c r="H178" s="19"/>
      <c r="I178" s="19"/>
      <c r="J178" s="19"/>
      <c r="K178" s="19"/>
      <c r="L178" s="19"/>
      <c r="M178" s="19"/>
      <c r="N178" s="19"/>
      <c r="O178" s="19"/>
      <c r="P178" s="19"/>
      <c r="Q178" s="10"/>
      <c r="R178" s="10"/>
      <c r="S178" s="10"/>
      <c r="T178" s="10"/>
      <c r="U178" s="10"/>
      <c r="V178" s="10"/>
      <c r="W178" s="19"/>
      <c r="X178" s="7"/>
      <c r="Y178" s="7"/>
      <c r="Z178" s="7"/>
      <c r="AA178" s="7"/>
      <c r="AB178" s="7"/>
      <c r="AC178" s="7"/>
      <c r="AD178" s="7"/>
      <c r="AE178" s="7"/>
      <c r="AF178" s="7"/>
      <c r="AG178" s="7"/>
      <c r="AH178" s="7"/>
      <c r="AI178" s="7"/>
      <c r="AJ178" s="7"/>
      <c r="AK178" s="7"/>
      <c r="AL178" s="7"/>
      <c r="AM178" s="7"/>
    </row>
    <row r="179" spans="1:39" x14ac:dyDescent="0.2">
      <c r="A179" s="12"/>
      <c r="B179" s="62"/>
      <c r="C179" s="18"/>
      <c r="D179" s="19"/>
      <c r="E179" s="19"/>
      <c r="F179" s="19"/>
      <c r="G179" s="19"/>
      <c r="H179" s="19"/>
      <c r="I179" s="19"/>
      <c r="J179" s="19"/>
      <c r="K179" s="19"/>
      <c r="L179" s="19"/>
      <c r="M179" s="19"/>
      <c r="N179" s="19"/>
      <c r="O179" s="19"/>
      <c r="P179" s="19"/>
      <c r="Q179" s="10"/>
      <c r="R179" s="10"/>
      <c r="S179" s="10"/>
      <c r="T179" s="10"/>
      <c r="U179" s="10"/>
      <c r="V179" s="10"/>
      <c r="W179" s="19"/>
      <c r="X179" s="7"/>
      <c r="Y179" s="7"/>
      <c r="Z179" s="7"/>
      <c r="AA179" s="7"/>
      <c r="AB179" s="7"/>
      <c r="AC179" s="7"/>
      <c r="AD179" s="7"/>
      <c r="AE179" s="7"/>
      <c r="AF179" s="7"/>
      <c r="AG179" s="7"/>
      <c r="AH179" s="7"/>
      <c r="AI179" s="7"/>
      <c r="AJ179" s="7"/>
      <c r="AK179" s="7"/>
      <c r="AL179" s="7"/>
      <c r="AM179" s="7"/>
    </row>
    <row r="180" spans="1:39" x14ac:dyDescent="0.2">
      <c r="A180" s="12"/>
      <c r="B180" s="62"/>
      <c r="C180" s="18"/>
      <c r="D180" s="19"/>
      <c r="E180" s="19"/>
      <c r="F180" s="19"/>
      <c r="G180" s="19"/>
      <c r="H180" s="19"/>
      <c r="I180" s="19"/>
      <c r="J180" s="19"/>
      <c r="K180" s="19"/>
      <c r="L180" s="19"/>
      <c r="M180" s="19"/>
      <c r="N180" s="19"/>
      <c r="O180" s="19"/>
      <c r="P180" s="19"/>
      <c r="Q180" s="10"/>
      <c r="R180" s="10"/>
      <c r="S180" s="10"/>
      <c r="T180" s="10"/>
      <c r="U180" s="10"/>
      <c r="V180" s="10"/>
      <c r="W180" s="19"/>
      <c r="X180" s="7"/>
      <c r="Y180" s="7"/>
      <c r="Z180" s="7"/>
      <c r="AA180" s="7"/>
      <c r="AB180" s="7"/>
      <c r="AC180" s="7"/>
      <c r="AD180" s="7"/>
      <c r="AE180" s="7"/>
      <c r="AF180" s="7"/>
      <c r="AG180" s="7"/>
      <c r="AH180" s="7"/>
      <c r="AI180" s="7"/>
      <c r="AJ180" s="7"/>
      <c r="AK180" s="7"/>
      <c r="AL180" s="7"/>
      <c r="AM180" s="7"/>
    </row>
    <row r="181" spans="1:39" x14ac:dyDescent="0.2">
      <c r="A181" s="12"/>
      <c r="B181" s="62"/>
      <c r="C181" s="18"/>
      <c r="D181" s="18"/>
      <c r="E181" s="18"/>
      <c r="F181" s="18"/>
      <c r="G181" s="18"/>
      <c r="H181" s="18"/>
      <c r="I181" s="18"/>
      <c r="J181" s="18"/>
      <c r="K181" s="18"/>
      <c r="L181" s="18"/>
      <c r="M181" s="18"/>
      <c r="N181" s="18"/>
      <c r="O181" s="18"/>
      <c r="P181" s="18"/>
      <c r="Q181" s="7"/>
      <c r="R181" s="7"/>
      <c r="S181" s="7"/>
      <c r="T181" s="7"/>
      <c r="U181" s="7"/>
      <c r="V181" s="7"/>
      <c r="W181" s="19"/>
      <c r="X181" s="7"/>
      <c r="Y181" s="7"/>
      <c r="Z181" s="7"/>
      <c r="AA181" s="7"/>
      <c r="AB181" s="7"/>
      <c r="AC181" s="7"/>
      <c r="AD181" s="7"/>
      <c r="AE181" s="7"/>
      <c r="AF181" s="7"/>
      <c r="AG181" s="7"/>
      <c r="AH181" s="7"/>
      <c r="AI181" s="7"/>
      <c r="AJ181" s="7"/>
      <c r="AK181" s="7"/>
      <c r="AL181" s="7"/>
      <c r="AM181" s="7"/>
    </row>
    <row r="182" spans="1:39" x14ac:dyDescent="0.2">
      <c r="A182" s="12"/>
      <c r="B182" s="62"/>
      <c r="C182" s="18"/>
      <c r="D182" s="18"/>
      <c r="E182" s="18"/>
      <c r="F182" s="18"/>
      <c r="G182" s="18"/>
      <c r="H182" s="18"/>
      <c r="I182" s="18"/>
      <c r="J182" s="18"/>
      <c r="K182" s="18"/>
      <c r="L182" s="18"/>
      <c r="M182" s="18"/>
      <c r="N182" s="18"/>
      <c r="O182" s="18"/>
      <c r="P182" s="18"/>
      <c r="Q182" s="7"/>
      <c r="R182" s="7"/>
      <c r="S182" s="7"/>
      <c r="T182" s="7"/>
      <c r="U182" s="7"/>
      <c r="V182" s="7"/>
      <c r="W182" s="19"/>
      <c r="X182" s="7"/>
      <c r="Y182" s="7"/>
      <c r="Z182" s="7"/>
      <c r="AA182" s="7"/>
      <c r="AB182" s="7"/>
      <c r="AC182" s="7"/>
      <c r="AD182" s="7"/>
      <c r="AE182" s="7"/>
      <c r="AF182" s="7"/>
      <c r="AG182" s="7"/>
      <c r="AH182" s="7"/>
      <c r="AI182" s="7"/>
      <c r="AJ182" s="7"/>
      <c r="AK182" s="7"/>
      <c r="AL182" s="7"/>
      <c r="AM182" s="7"/>
    </row>
    <row r="183" spans="1:39" x14ac:dyDescent="0.2">
      <c r="A183" s="12"/>
      <c r="B183" s="62"/>
      <c r="C183" s="18"/>
      <c r="D183" s="18"/>
      <c r="E183" s="18"/>
      <c r="F183" s="18"/>
      <c r="G183" s="18"/>
      <c r="H183" s="18"/>
      <c r="I183" s="18"/>
      <c r="J183" s="18"/>
      <c r="K183" s="18"/>
      <c r="L183" s="18"/>
      <c r="M183" s="18"/>
      <c r="N183" s="18"/>
      <c r="O183" s="18"/>
      <c r="P183" s="18"/>
      <c r="Q183" s="7"/>
      <c r="R183" s="7"/>
      <c r="S183" s="7"/>
      <c r="T183" s="7"/>
      <c r="U183" s="7"/>
      <c r="V183" s="7"/>
      <c r="W183" s="19"/>
      <c r="X183" s="7"/>
      <c r="Y183" s="7"/>
      <c r="Z183" s="7"/>
      <c r="AA183" s="7"/>
      <c r="AB183" s="7"/>
      <c r="AC183" s="7"/>
      <c r="AD183" s="7"/>
      <c r="AE183" s="7"/>
      <c r="AF183" s="7"/>
      <c r="AG183" s="7"/>
      <c r="AH183" s="7"/>
      <c r="AI183" s="7"/>
      <c r="AJ183" s="7"/>
      <c r="AK183" s="7"/>
      <c r="AL183" s="7"/>
      <c r="AM183" s="7"/>
    </row>
    <row r="184" spans="1:39" x14ac:dyDescent="0.2">
      <c r="A184" s="12"/>
      <c r="B184" s="62"/>
      <c r="C184" s="18"/>
      <c r="D184" s="18"/>
      <c r="E184" s="18"/>
      <c r="F184" s="18"/>
      <c r="G184" s="18"/>
      <c r="H184" s="18"/>
      <c r="I184" s="18"/>
      <c r="J184" s="18"/>
      <c r="K184" s="18"/>
      <c r="L184" s="18"/>
      <c r="M184" s="18"/>
      <c r="N184" s="18"/>
      <c r="O184" s="18"/>
      <c r="P184" s="18"/>
      <c r="Q184" s="7"/>
      <c r="R184" s="7"/>
      <c r="S184" s="7"/>
      <c r="T184" s="7"/>
      <c r="U184" s="7"/>
      <c r="V184" s="7"/>
      <c r="W184" s="19"/>
      <c r="X184" s="7"/>
      <c r="Y184" s="7"/>
      <c r="Z184" s="7"/>
      <c r="AA184" s="7"/>
      <c r="AB184" s="7"/>
      <c r="AC184" s="7"/>
      <c r="AD184" s="7"/>
      <c r="AE184" s="7"/>
      <c r="AF184" s="7"/>
      <c r="AG184" s="7"/>
      <c r="AH184" s="7"/>
      <c r="AI184" s="7"/>
      <c r="AJ184" s="7"/>
      <c r="AK184" s="7"/>
      <c r="AL184" s="7"/>
      <c r="AM184" s="7"/>
    </row>
    <row r="185" spans="1:39" x14ac:dyDescent="0.2">
      <c r="A185" s="12"/>
      <c r="B185" s="62"/>
      <c r="C185" s="18"/>
      <c r="D185" s="18"/>
      <c r="E185" s="18"/>
      <c r="F185" s="18"/>
      <c r="G185" s="18"/>
      <c r="H185" s="18"/>
      <c r="I185" s="18"/>
      <c r="J185" s="18"/>
      <c r="K185" s="18"/>
      <c r="L185" s="18"/>
      <c r="M185" s="18"/>
      <c r="N185" s="18"/>
      <c r="O185" s="18"/>
      <c r="P185" s="18"/>
      <c r="Q185" s="7"/>
      <c r="R185" s="7"/>
      <c r="S185" s="7"/>
      <c r="T185" s="7"/>
      <c r="U185" s="7"/>
      <c r="V185" s="7"/>
      <c r="W185" s="19"/>
      <c r="X185" s="7"/>
      <c r="Y185" s="7"/>
      <c r="Z185" s="7"/>
      <c r="AA185" s="7"/>
      <c r="AB185" s="7"/>
      <c r="AC185" s="7"/>
      <c r="AD185" s="7"/>
      <c r="AE185" s="7"/>
      <c r="AF185" s="7"/>
      <c r="AG185" s="7"/>
      <c r="AH185" s="7"/>
      <c r="AI185" s="7"/>
      <c r="AJ185" s="7"/>
      <c r="AK185" s="7"/>
      <c r="AL185" s="7"/>
      <c r="AM185" s="7"/>
    </row>
    <row r="186" spans="1:39" x14ac:dyDescent="0.2">
      <c r="A186" s="12"/>
      <c r="B186" s="62"/>
      <c r="C186" s="18"/>
      <c r="D186" s="18"/>
      <c r="E186" s="18"/>
      <c r="F186" s="18"/>
      <c r="G186" s="18"/>
      <c r="H186" s="18"/>
      <c r="I186" s="18"/>
      <c r="J186" s="18"/>
      <c r="K186" s="18"/>
      <c r="L186" s="18"/>
      <c r="M186" s="18"/>
      <c r="N186" s="18"/>
      <c r="O186" s="18"/>
      <c r="P186" s="18"/>
      <c r="Q186" s="7"/>
      <c r="R186" s="7"/>
      <c r="S186" s="7"/>
      <c r="T186" s="7"/>
      <c r="U186" s="7"/>
      <c r="V186" s="7"/>
      <c r="W186" s="19"/>
      <c r="X186" s="7"/>
      <c r="Y186" s="7"/>
      <c r="Z186" s="7"/>
      <c r="AA186" s="7"/>
      <c r="AB186" s="7"/>
      <c r="AC186" s="7"/>
      <c r="AD186" s="7"/>
      <c r="AE186" s="7"/>
      <c r="AF186" s="7"/>
      <c r="AG186" s="7"/>
      <c r="AH186" s="7"/>
      <c r="AI186" s="7"/>
      <c r="AJ186" s="7"/>
      <c r="AK186" s="7"/>
      <c r="AL186" s="7"/>
      <c r="AM186" s="7"/>
    </row>
    <row r="187" spans="1:39" x14ac:dyDescent="0.2">
      <c r="A187" s="12"/>
      <c r="B187" s="62"/>
      <c r="C187" s="18"/>
      <c r="D187" s="18"/>
      <c r="E187" s="18"/>
      <c r="F187" s="18"/>
      <c r="G187" s="18"/>
      <c r="H187" s="18"/>
      <c r="I187" s="18"/>
      <c r="J187" s="18"/>
      <c r="K187" s="18"/>
      <c r="L187" s="18"/>
      <c r="M187" s="18"/>
      <c r="N187" s="18"/>
      <c r="O187" s="18"/>
      <c r="P187" s="18"/>
      <c r="Q187" s="7"/>
      <c r="R187" s="7"/>
      <c r="S187" s="7"/>
      <c r="T187" s="7"/>
      <c r="U187" s="7"/>
      <c r="V187" s="7"/>
      <c r="W187" s="19"/>
      <c r="X187" s="7"/>
      <c r="Y187" s="7"/>
      <c r="Z187" s="7"/>
      <c r="AA187" s="7"/>
      <c r="AB187" s="7"/>
      <c r="AC187" s="7"/>
      <c r="AD187" s="7"/>
      <c r="AE187" s="7"/>
      <c r="AF187" s="7"/>
      <c r="AG187" s="7"/>
      <c r="AH187" s="7"/>
      <c r="AI187" s="7"/>
      <c r="AJ187" s="7"/>
      <c r="AK187" s="7"/>
      <c r="AL187" s="7"/>
      <c r="AM187" s="7"/>
    </row>
    <row r="188" spans="1:39" x14ac:dyDescent="0.2">
      <c r="A188" s="12"/>
      <c r="B188" s="62"/>
      <c r="C188" s="18"/>
      <c r="D188" s="18"/>
      <c r="E188" s="18"/>
      <c r="F188" s="18"/>
      <c r="G188" s="18"/>
      <c r="H188" s="18"/>
      <c r="I188" s="18"/>
      <c r="J188" s="18"/>
      <c r="K188" s="18"/>
      <c r="L188" s="18"/>
      <c r="M188" s="18"/>
      <c r="N188" s="18"/>
      <c r="O188" s="18"/>
      <c r="P188" s="18"/>
      <c r="Q188" s="7"/>
      <c r="R188" s="7"/>
      <c r="S188" s="7"/>
      <c r="T188" s="7"/>
      <c r="U188" s="7"/>
      <c r="V188" s="7"/>
      <c r="W188" s="19"/>
      <c r="X188" s="7"/>
      <c r="Y188" s="7"/>
      <c r="Z188" s="7"/>
      <c r="AA188" s="7"/>
      <c r="AB188" s="7"/>
      <c r="AC188" s="7"/>
      <c r="AD188" s="7"/>
      <c r="AE188" s="7"/>
      <c r="AF188" s="7"/>
      <c r="AG188" s="7"/>
      <c r="AH188" s="7"/>
      <c r="AI188" s="7"/>
      <c r="AJ188" s="7"/>
      <c r="AK188" s="7"/>
      <c r="AL188" s="7"/>
      <c r="AM188" s="7"/>
    </row>
    <row r="189" spans="1:39" x14ac:dyDescent="0.2">
      <c r="A189" s="12"/>
      <c r="B189" s="62"/>
      <c r="C189" s="18"/>
      <c r="D189" s="18"/>
      <c r="E189" s="18"/>
      <c r="F189" s="18"/>
      <c r="G189" s="18"/>
      <c r="H189" s="18"/>
      <c r="I189" s="18"/>
      <c r="J189" s="18"/>
      <c r="K189" s="18"/>
      <c r="L189" s="18"/>
      <c r="M189" s="18"/>
      <c r="N189" s="18"/>
      <c r="O189" s="18"/>
      <c r="P189" s="18"/>
      <c r="Q189" s="7"/>
      <c r="R189" s="7"/>
      <c r="S189" s="7"/>
      <c r="T189" s="7"/>
      <c r="U189" s="7"/>
      <c r="V189" s="7"/>
      <c r="W189" s="19"/>
      <c r="X189" s="7"/>
      <c r="Y189" s="7"/>
      <c r="Z189" s="7"/>
      <c r="AA189" s="7"/>
      <c r="AB189" s="7"/>
      <c r="AC189" s="7"/>
      <c r="AD189" s="7"/>
      <c r="AE189" s="7"/>
      <c r="AF189" s="7"/>
      <c r="AG189" s="7"/>
      <c r="AH189" s="7"/>
      <c r="AI189" s="7"/>
      <c r="AJ189" s="7"/>
      <c r="AK189" s="7"/>
      <c r="AL189" s="7"/>
      <c r="AM189" s="7"/>
    </row>
    <row r="190" spans="1:39" x14ac:dyDescent="0.2">
      <c r="A190" s="12"/>
      <c r="B190" s="62"/>
      <c r="C190" s="18"/>
      <c r="D190" s="18"/>
      <c r="E190" s="18"/>
      <c r="F190" s="18"/>
      <c r="G190" s="18"/>
      <c r="H190" s="18"/>
      <c r="I190" s="18"/>
      <c r="J190" s="18"/>
      <c r="K190" s="18"/>
      <c r="L190" s="18"/>
      <c r="M190" s="18"/>
      <c r="N190" s="18"/>
      <c r="O190" s="18"/>
      <c r="P190" s="18"/>
      <c r="Q190" s="7"/>
      <c r="R190" s="7"/>
      <c r="S190" s="7"/>
      <c r="T190" s="7"/>
      <c r="U190" s="7"/>
      <c r="V190" s="7"/>
      <c r="W190" s="19"/>
      <c r="X190" s="7"/>
      <c r="Y190" s="7"/>
      <c r="Z190" s="7"/>
      <c r="AA190" s="7"/>
      <c r="AB190" s="7"/>
      <c r="AC190" s="7"/>
      <c r="AD190" s="7"/>
      <c r="AE190" s="7"/>
      <c r="AF190" s="7"/>
      <c r="AG190" s="7"/>
      <c r="AH190" s="7"/>
      <c r="AI190" s="7"/>
      <c r="AJ190" s="7"/>
      <c r="AK190" s="7"/>
      <c r="AL190" s="7"/>
      <c r="AM190" s="7"/>
    </row>
    <row r="191" spans="1:39" x14ac:dyDescent="0.2">
      <c r="A191" s="12"/>
      <c r="B191" s="62"/>
      <c r="C191" s="18"/>
      <c r="D191" s="18"/>
      <c r="E191" s="18"/>
      <c r="F191" s="18"/>
      <c r="G191" s="18"/>
      <c r="H191" s="18"/>
      <c r="I191" s="18"/>
      <c r="J191" s="18"/>
      <c r="K191" s="18"/>
      <c r="L191" s="18"/>
      <c r="M191" s="18"/>
      <c r="N191" s="18"/>
      <c r="O191" s="18"/>
      <c r="P191" s="18"/>
      <c r="Q191" s="7"/>
      <c r="R191" s="7"/>
      <c r="S191" s="7"/>
      <c r="T191" s="7"/>
      <c r="U191" s="7"/>
      <c r="V191" s="7"/>
      <c r="W191" s="19"/>
      <c r="X191" s="7"/>
      <c r="Y191" s="7"/>
      <c r="Z191" s="7"/>
      <c r="AA191" s="7"/>
      <c r="AB191" s="7"/>
      <c r="AC191" s="7"/>
      <c r="AD191" s="7"/>
      <c r="AE191" s="7"/>
      <c r="AF191" s="7"/>
      <c r="AG191" s="7"/>
      <c r="AH191" s="7"/>
      <c r="AI191" s="7"/>
      <c r="AJ191" s="7"/>
      <c r="AK191" s="7"/>
      <c r="AL191" s="7"/>
      <c r="AM191" s="7"/>
    </row>
    <row r="192" spans="1:39" x14ac:dyDescent="0.2">
      <c r="A192" s="12"/>
      <c r="B192" s="62"/>
      <c r="C192" s="18"/>
      <c r="D192" s="18"/>
      <c r="E192" s="18"/>
      <c r="F192" s="18"/>
      <c r="G192" s="18"/>
      <c r="H192" s="18"/>
      <c r="I192" s="18"/>
      <c r="J192" s="18"/>
      <c r="K192" s="18"/>
      <c r="L192" s="18"/>
      <c r="M192" s="18"/>
      <c r="N192" s="18"/>
      <c r="O192" s="18"/>
      <c r="P192" s="18"/>
      <c r="Q192" s="7"/>
      <c r="R192" s="7"/>
      <c r="S192" s="7"/>
      <c r="T192" s="7"/>
      <c r="U192" s="7"/>
      <c r="V192" s="7"/>
      <c r="W192" s="19"/>
      <c r="X192" s="7"/>
      <c r="Y192" s="7"/>
      <c r="Z192" s="7"/>
      <c r="AA192" s="7"/>
      <c r="AB192" s="7"/>
      <c r="AC192" s="7"/>
      <c r="AD192" s="7"/>
      <c r="AE192" s="7"/>
      <c r="AF192" s="7"/>
      <c r="AG192" s="7"/>
      <c r="AH192" s="7"/>
      <c r="AI192" s="7"/>
      <c r="AJ192" s="7"/>
      <c r="AK192" s="7"/>
      <c r="AL192" s="7"/>
      <c r="AM192" s="7"/>
    </row>
    <row r="193" spans="1:39" x14ac:dyDescent="0.2">
      <c r="A193" s="12"/>
      <c r="B193" s="62"/>
      <c r="C193" s="18"/>
      <c r="D193" s="18"/>
      <c r="E193" s="18"/>
      <c r="F193" s="18"/>
      <c r="G193" s="18"/>
      <c r="H193" s="18"/>
      <c r="I193" s="18"/>
      <c r="J193" s="18"/>
      <c r="K193" s="18"/>
      <c r="L193" s="18"/>
      <c r="M193" s="18"/>
      <c r="N193" s="18"/>
      <c r="O193" s="18"/>
      <c r="P193" s="18"/>
      <c r="Q193" s="7"/>
      <c r="R193" s="7"/>
      <c r="S193" s="7"/>
      <c r="T193" s="7"/>
      <c r="U193" s="7"/>
      <c r="V193" s="7"/>
      <c r="W193" s="19"/>
      <c r="X193" s="7"/>
      <c r="Y193" s="7"/>
      <c r="Z193" s="7"/>
      <c r="AA193" s="7"/>
      <c r="AB193" s="7"/>
      <c r="AC193" s="7"/>
      <c r="AD193" s="7"/>
      <c r="AE193" s="7"/>
      <c r="AF193" s="7"/>
      <c r="AG193" s="7"/>
      <c r="AH193" s="7"/>
      <c r="AI193" s="7"/>
      <c r="AJ193" s="7"/>
      <c r="AK193" s="7"/>
      <c r="AL193" s="7"/>
      <c r="AM193" s="7"/>
    </row>
    <row r="194" spans="1:39" x14ac:dyDescent="0.2">
      <c r="A194" s="12"/>
      <c r="B194" s="62"/>
      <c r="C194" s="18"/>
      <c r="D194" s="18"/>
      <c r="E194" s="18"/>
      <c r="F194" s="18"/>
      <c r="G194" s="18"/>
      <c r="H194" s="18"/>
      <c r="I194" s="18"/>
      <c r="J194" s="18"/>
      <c r="K194" s="18"/>
      <c r="L194" s="18"/>
      <c r="M194" s="18"/>
      <c r="N194" s="18"/>
      <c r="O194" s="18"/>
      <c r="P194" s="18"/>
      <c r="Q194" s="7"/>
      <c r="R194" s="7"/>
      <c r="S194" s="7"/>
      <c r="T194" s="7"/>
      <c r="U194" s="7"/>
      <c r="V194" s="7"/>
      <c r="W194" s="19"/>
      <c r="X194" s="7"/>
      <c r="Y194" s="7"/>
      <c r="Z194" s="7"/>
      <c r="AA194" s="7"/>
      <c r="AB194" s="7"/>
      <c r="AC194" s="7"/>
      <c r="AD194" s="7"/>
      <c r="AE194" s="7"/>
      <c r="AF194" s="7"/>
      <c r="AG194" s="7"/>
      <c r="AH194" s="7"/>
      <c r="AI194" s="7"/>
      <c r="AJ194" s="7"/>
      <c r="AK194" s="7"/>
      <c r="AL194" s="7"/>
      <c r="AM194" s="7"/>
    </row>
    <row r="195" spans="1:39" x14ac:dyDescent="0.2">
      <c r="A195" s="12"/>
      <c r="B195" s="62"/>
      <c r="C195" s="18"/>
      <c r="D195" s="18"/>
      <c r="E195" s="18"/>
      <c r="F195" s="18"/>
      <c r="G195" s="18"/>
      <c r="H195" s="18"/>
      <c r="I195" s="18"/>
      <c r="J195" s="18"/>
      <c r="K195" s="18"/>
      <c r="L195" s="18"/>
      <c r="M195" s="18"/>
      <c r="N195" s="18"/>
      <c r="O195" s="18"/>
      <c r="P195" s="18"/>
      <c r="Q195" s="7"/>
      <c r="R195" s="7"/>
      <c r="S195" s="7"/>
      <c r="T195" s="7"/>
      <c r="U195" s="7"/>
      <c r="V195" s="7"/>
      <c r="W195" s="19"/>
      <c r="X195" s="7"/>
      <c r="Y195" s="7"/>
      <c r="Z195" s="7"/>
      <c r="AA195" s="7"/>
      <c r="AB195" s="7"/>
      <c r="AC195" s="7"/>
      <c r="AD195" s="7"/>
      <c r="AE195" s="7"/>
      <c r="AF195" s="7"/>
      <c r="AG195" s="7"/>
      <c r="AH195" s="7"/>
      <c r="AI195" s="7"/>
      <c r="AJ195" s="7"/>
      <c r="AK195" s="7"/>
      <c r="AL195" s="7"/>
      <c r="AM195" s="7"/>
    </row>
    <row r="196" spans="1:39" x14ac:dyDescent="0.2">
      <c r="A196" s="12"/>
      <c r="B196" s="62"/>
      <c r="C196" s="18"/>
      <c r="D196" s="18"/>
      <c r="E196" s="18"/>
      <c r="F196" s="18"/>
      <c r="G196" s="18"/>
      <c r="H196" s="18"/>
      <c r="I196" s="18"/>
      <c r="J196" s="18"/>
      <c r="K196" s="18"/>
      <c r="L196" s="18"/>
      <c r="M196" s="18"/>
      <c r="N196" s="18"/>
      <c r="O196" s="18"/>
      <c r="P196" s="18"/>
      <c r="Q196" s="7"/>
      <c r="R196" s="7"/>
      <c r="S196" s="7"/>
      <c r="T196" s="7"/>
      <c r="U196" s="7"/>
      <c r="V196" s="7"/>
      <c r="W196" s="19"/>
      <c r="X196" s="7"/>
      <c r="Y196" s="7"/>
      <c r="Z196" s="7"/>
      <c r="AA196" s="7"/>
      <c r="AB196" s="7"/>
      <c r="AC196" s="7"/>
      <c r="AD196" s="7"/>
      <c r="AE196" s="7"/>
      <c r="AF196" s="7"/>
      <c r="AG196" s="7"/>
      <c r="AH196" s="7"/>
      <c r="AI196" s="7"/>
      <c r="AJ196" s="7"/>
      <c r="AK196" s="7"/>
      <c r="AL196" s="7"/>
      <c r="AM196" s="7"/>
    </row>
    <row r="197" spans="1:39" x14ac:dyDescent="0.2">
      <c r="A197" s="12"/>
      <c r="B197" s="62"/>
      <c r="C197" s="18"/>
      <c r="D197" s="18"/>
      <c r="E197" s="18"/>
      <c r="F197" s="18"/>
      <c r="G197" s="18"/>
      <c r="H197" s="18"/>
      <c r="I197" s="18"/>
      <c r="J197" s="18"/>
      <c r="K197" s="18"/>
      <c r="L197" s="18"/>
      <c r="M197" s="18"/>
      <c r="N197" s="18"/>
      <c r="O197" s="18"/>
      <c r="P197" s="18"/>
      <c r="Q197" s="7"/>
      <c r="R197" s="7"/>
      <c r="S197" s="7"/>
      <c r="T197" s="7"/>
      <c r="U197" s="7"/>
      <c r="V197" s="7"/>
      <c r="W197" s="19"/>
      <c r="X197" s="7"/>
      <c r="Y197" s="7"/>
      <c r="Z197" s="7"/>
      <c r="AA197" s="7"/>
      <c r="AB197" s="7"/>
      <c r="AC197" s="7"/>
      <c r="AD197" s="7"/>
      <c r="AE197" s="7"/>
      <c r="AF197" s="7"/>
      <c r="AG197" s="7"/>
      <c r="AH197" s="7"/>
      <c r="AI197" s="7"/>
      <c r="AJ197" s="7"/>
      <c r="AK197" s="7"/>
      <c r="AL197" s="7"/>
      <c r="AM197" s="7"/>
    </row>
    <row r="198" spans="1:39" x14ac:dyDescent="0.2">
      <c r="A198" s="12"/>
      <c r="B198" s="62"/>
      <c r="C198" s="18"/>
      <c r="D198" s="18"/>
      <c r="E198" s="18"/>
      <c r="F198" s="18"/>
      <c r="G198" s="18"/>
      <c r="H198" s="18"/>
      <c r="I198" s="18"/>
      <c r="J198" s="18"/>
      <c r="K198" s="18"/>
      <c r="L198" s="18"/>
      <c r="M198" s="18"/>
      <c r="N198" s="18"/>
      <c r="O198" s="18"/>
      <c r="P198" s="18"/>
      <c r="Q198" s="7"/>
      <c r="R198" s="7"/>
      <c r="S198" s="7"/>
      <c r="T198" s="7"/>
      <c r="U198" s="7"/>
      <c r="V198" s="7"/>
      <c r="W198" s="19"/>
      <c r="X198" s="7"/>
      <c r="Y198" s="7"/>
      <c r="Z198" s="7"/>
      <c r="AA198" s="7"/>
      <c r="AB198" s="7"/>
      <c r="AC198" s="7"/>
      <c r="AD198" s="7"/>
      <c r="AE198" s="7"/>
      <c r="AF198" s="7"/>
      <c r="AG198" s="7"/>
      <c r="AH198" s="7"/>
      <c r="AI198" s="7"/>
      <c r="AJ198" s="7"/>
      <c r="AK198" s="7"/>
      <c r="AL198" s="7"/>
      <c r="AM198" s="7"/>
    </row>
    <row r="199" spans="1:39" x14ac:dyDescent="0.2">
      <c r="A199" s="12"/>
      <c r="B199" s="62"/>
      <c r="C199" s="18"/>
      <c r="D199" s="18"/>
      <c r="E199" s="18"/>
      <c r="F199" s="18"/>
      <c r="G199" s="18"/>
      <c r="H199" s="18"/>
      <c r="I199" s="18"/>
      <c r="J199" s="18"/>
      <c r="K199" s="18"/>
      <c r="L199" s="18"/>
      <c r="M199" s="18"/>
      <c r="N199" s="18"/>
      <c r="O199" s="18"/>
      <c r="P199" s="18"/>
      <c r="Q199" s="7"/>
      <c r="R199" s="7"/>
      <c r="S199" s="7"/>
      <c r="T199" s="7"/>
      <c r="U199" s="7"/>
      <c r="V199" s="7"/>
      <c r="W199" s="19"/>
      <c r="X199" s="7"/>
      <c r="Y199" s="7"/>
      <c r="Z199" s="7"/>
      <c r="AA199" s="7"/>
      <c r="AB199" s="7"/>
      <c r="AC199" s="7"/>
      <c r="AD199" s="7"/>
      <c r="AE199" s="7"/>
      <c r="AF199" s="7"/>
      <c r="AG199" s="7"/>
      <c r="AH199" s="7"/>
      <c r="AI199" s="7"/>
      <c r="AJ199" s="7"/>
      <c r="AK199" s="7"/>
      <c r="AL199" s="7"/>
      <c r="AM199" s="7"/>
    </row>
    <row r="200" spans="1:39" x14ac:dyDescent="0.2">
      <c r="A200" s="12"/>
      <c r="B200" s="62"/>
      <c r="C200" s="18"/>
      <c r="D200" s="18"/>
      <c r="E200" s="18"/>
      <c r="F200" s="18"/>
      <c r="G200" s="18"/>
      <c r="H200" s="18"/>
      <c r="I200" s="18"/>
      <c r="J200" s="18"/>
      <c r="K200" s="18"/>
      <c r="L200" s="18"/>
      <c r="M200" s="18"/>
      <c r="N200" s="18"/>
      <c r="O200" s="18"/>
      <c r="P200" s="18"/>
      <c r="Q200" s="7"/>
      <c r="R200" s="7"/>
      <c r="S200" s="7"/>
      <c r="T200" s="7"/>
      <c r="U200" s="7"/>
      <c r="V200" s="7"/>
      <c r="W200" s="19"/>
      <c r="X200" s="7"/>
      <c r="Y200" s="7"/>
      <c r="Z200" s="7"/>
      <c r="AA200" s="7"/>
      <c r="AB200" s="7"/>
      <c r="AC200" s="7"/>
      <c r="AD200" s="7"/>
      <c r="AE200" s="7"/>
      <c r="AF200" s="7"/>
      <c r="AG200" s="7"/>
      <c r="AH200" s="7"/>
      <c r="AI200" s="7"/>
      <c r="AJ200" s="7"/>
      <c r="AK200" s="7"/>
      <c r="AL200" s="7"/>
      <c r="AM200" s="7"/>
    </row>
    <row r="201" spans="1:39" x14ac:dyDescent="0.2">
      <c r="A201" s="12"/>
      <c r="B201" s="62"/>
      <c r="C201" s="18"/>
      <c r="D201" s="18"/>
      <c r="E201" s="18"/>
      <c r="F201" s="18"/>
      <c r="G201" s="18"/>
      <c r="H201" s="18"/>
      <c r="I201" s="18"/>
      <c r="J201" s="18"/>
      <c r="K201" s="18"/>
      <c r="L201" s="18"/>
      <c r="M201" s="18"/>
      <c r="N201" s="18"/>
      <c r="O201" s="18"/>
      <c r="P201" s="18"/>
      <c r="Q201" s="7"/>
      <c r="R201" s="7"/>
      <c r="S201" s="7"/>
      <c r="T201" s="7"/>
      <c r="U201" s="7"/>
      <c r="V201" s="7"/>
      <c r="W201" s="19"/>
      <c r="X201" s="7"/>
      <c r="Y201" s="7"/>
      <c r="Z201" s="7"/>
      <c r="AA201" s="7"/>
      <c r="AB201" s="7"/>
      <c r="AC201" s="7"/>
      <c r="AD201" s="7"/>
      <c r="AE201" s="7"/>
      <c r="AF201" s="7"/>
      <c r="AG201" s="7"/>
      <c r="AH201" s="7"/>
      <c r="AI201" s="7"/>
      <c r="AJ201" s="7"/>
      <c r="AK201" s="7"/>
      <c r="AL201" s="7"/>
      <c r="AM201" s="7"/>
    </row>
    <row r="202" spans="1:39" x14ac:dyDescent="0.2">
      <c r="A202" s="12"/>
      <c r="B202" s="62"/>
      <c r="C202" s="18"/>
      <c r="D202" s="18"/>
      <c r="E202" s="18"/>
      <c r="F202" s="18"/>
      <c r="G202" s="18"/>
      <c r="H202" s="18"/>
      <c r="I202" s="18"/>
      <c r="J202" s="18"/>
      <c r="K202" s="18"/>
      <c r="L202" s="18"/>
      <c r="M202" s="18"/>
      <c r="N202" s="18"/>
      <c r="O202" s="18"/>
      <c r="P202" s="18"/>
      <c r="Q202" s="7"/>
      <c r="R202" s="7"/>
      <c r="S202" s="7"/>
      <c r="T202" s="7"/>
      <c r="U202" s="7"/>
      <c r="V202" s="7"/>
      <c r="W202" s="19"/>
      <c r="X202" s="7"/>
      <c r="Y202" s="7"/>
      <c r="Z202" s="7"/>
      <c r="AA202" s="7"/>
      <c r="AB202" s="7"/>
      <c r="AC202" s="7"/>
      <c r="AD202" s="7"/>
      <c r="AE202" s="7"/>
      <c r="AF202" s="7"/>
      <c r="AG202" s="7"/>
      <c r="AH202" s="7"/>
      <c r="AI202" s="7"/>
      <c r="AJ202" s="7"/>
      <c r="AK202" s="7"/>
      <c r="AL202" s="7"/>
      <c r="AM202" s="7"/>
    </row>
    <row r="203" spans="1:39" x14ac:dyDescent="0.2">
      <c r="A203" s="12"/>
      <c r="B203" s="62"/>
      <c r="C203" s="18"/>
      <c r="D203" s="18"/>
      <c r="E203" s="18"/>
      <c r="F203" s="18"/>
      <c r="G203" s="18"/>
      <c r="H203" s="18"/>
      <c r="I203" s="18"/>
      <c r="J203" s="18"/>
      <c r="K203" s="18"/>
      <c r="L203" s="18"/>
      <c r="M203" s="18"/>
      <c r="N203" s="18"/>
      <c r="O203" s="18"/>
      <c r="P203" s="18"/>
      <c r="Q203" s="7"/>
      <c r="R203" s="7"/>
      <c r="S203" s="7"/>
      <c r="T203" s="7"/>
      <c r="U203" s="7"/>
      <c r="V203" s="7"/>
      <c r="W203" s="19"/>
      <c r="X203" s="7"/>
      <c r="Y203" s="7"/>
      <c r="Z203" s="7"/>
      <c r="AA203" s="7"/>
      <c r="AB203" s="7"/>
      <c r="AC203" s="7"/>
      <c r="AD203" s="7"/>
      <c r="AE203" s="7"/>
      <c r="AF203" s="7"/>
      <c r="AG203" s="7"/>
      <c r="AH203" s="7"/>
      <c r="AI203" s="7"/>
      <c r="AJ203" s="7"/>
      <c r="AK203" s="7"/>
      <c r="AL203" s="7"/>
      <c r="AM203" s="7"/>
    </row>
    <row r="204" spans="1:39" x14ac:dyDescent="0.2">
      <c r="A204" s="12"/>
      <c r="B204" s="62"/>
      <c r="C204" s="18"/>
      <c r="D204" s="18"/>
      <c r="E204" s="18"/>
      <c r="F204" s="18"/>
      <c r="G204" s="18"/>
      <c r="H204" s="18"/>
      <c r="I204" s="18"/>
      <c r="J204" s="18"/>
      <c r="K204" s="18"/>
      <c r="L204" s="18"/>
      <c r="M204" s="18"/>
      <c r="N204" s="18"/>
      <c r="O204" s="18"/>
      <c r="P204" s="18"/>
      <c r="Q204" s="7"/>
      <c r="R204" s="7"/>
      <c r="S204" s="7"/>
      <c r="T204" s="7"/>
      <c r="U204" s="7"/>
      <c r="V204" s="7"/>
      <c r="W204" s="19"/>
      <c r="X204" s="7"/>
      <c r="Y204" s="7"/>
      <c r="Z204" s="7"/>
      <c r="AA204" s="7"/>
      <c r="AB204" s="7"/>
      <c r="AC204" s="7"/>
      <c r="AD204" s="7"/>
      <c r="AE204" s="7"/>
      <c r="AF204" s="7"/>
      <c r="AG204" s="7"/>
      <c r="AH204" s="7"/>
      <c r="AI204" s="7"/>
      <c r="AJ204" s="7"/>
      <c r="AK204" s="7"/>
      <c r="AL204" s="7"/>
      <c r="AM204" s="7"/>
    </row>
    <row r="205" spans="1:39" x14ac:dyDescent="0.2">
      <c r="A205" s="12"/>
      <c r="B205" s="62"/>
      <c r="C205" s="18"/>
      <c r="D205" s="18"/>
      <c r="E205" s="18"/>
      <c r="F205" s="18"/>
      <c r="G205" s="18"/>
      <c r="H205" s="18"/>
      <c r="I205" s="18"/>
      <c r="J205" s="18"/>
      <c r="K205" s="18"/>
      <c r="L205" s="18"/>
      <c r="M205" s="18"/>
      <c r="N205" s="18"/>
      <c r="O205" s="18"/>
      <c r="P205" s="18"/>
      <c r="Q205" s="7"/>
      <c r="R205" s="7"/>
      <c r="S205" s="7"/>
      <c r="T205" s="7"/>
      <c r="U205" s="7"/>
      <c r="V205" s="7"/>
      <c r="W205" s="19"/>
      <c r="X205" s="7"/>
      <c r="Y205" s="7"/>
      <c r="Z205" s="7"/>
      <c r="AA205" s="7"/>
      <c r="AB205" s="7"/>
      <c r="AC205" s="7"/>
      <c r="AD205" s="7"/>
      <c r="AE205" s="7"/>
      <c r="AF205" s="7"/>
      <c r="AG205" s="7"/>
      <c r="AH205" s="7"/>
      <c r="AI205" s="7"/>
      <c r="AJ205" s="7"/>
      <c r="AK205" s="7"/>
      <c r="AL205" s="7"/>
      <c r="AM205" s="7"/>
    </row>
    <row r="206" spans="1:39" x14ac:dyDescent="0.2">
      <c r="A206" s="12"/>
      <c r="B206" s="62"/>
      <c r="C206" s="18"/>
      <c r="D206" s="18"/>
      <c r="E206" s="18"/>
      <c r="F206" s="18"/>
      <c r="G206" s="18"/>
      <c r="H206" s="18"/>
      <c r="I206" s="18"/>
      <c r="J206" s="18"/>
      <c r="K206" s="18"/>
      <c r="L206" s="18"/>
      <c r="M206" s="18"/>
      <c r="N206" s="18"/>
      <c r="O206" s="18"/>
      <c r="P206" s="18"/>
      <c r="Q206" s="7"/>
      <c r="R206" s="7"/>
      <c r="S206" s="7"/>
      <c r="T206" s="7"/>
      <c r="U206" s="7"/>
      <c r="V206" s="7"/>
      <c r="W206" s="19"/>
      <c r="X206" s="7"/>
      <c r="Y206" s="7"/>
      <c r="Z206" s="7"/>
      <c r="AA206" s="7"/>
      <c r="AB206" s="7"/>
      <c r="AC206" s="7"/>
      <c r="AD206" s="7"/>
      <c r="AE206" s="7"/>
      <c r="AF206" s="7"/>
      <c r="AG206" s="7"/>
      <c r="AH206" s="7"/>
      <c r="AI206" s="7"/>
      <c r="AJ206" s="7"/>
      <c r="AK206" s="7"/>
      <c r="AL206" s="7"/>
      <c r="AM206" s="7"/>
    </row>
    <row r="207" spans="1:39" x14ac:dyDescent="0.2">
      <c r="A207" s="12"/>
      <c r="B207" s="62"/>
      <c r="C207" s="18"/>
      <c r="D207" s="18"/>
      <c r="E207" s="18"/>
      <c r="F207" s="18"/>
      <c r="G207" s="18"/>
      <c r="H207" s="18"/>
      <c r="I207" s="18"/>
      <c r="J207" s="18"/>
      <c r="K207" s="18"/>
      <c r="L207" s="18"/>
      <c r="M207" s="18"/>
      <c r="N207" s="18"/>
      <c r="O207" s="18"/>
      <c r="P207" s="18"/>
      <c r="Q207" s="7"/>
      <c r="R207" s="7"/>
      <c r="S207" s="7"/>
      <c r="T207" s="7"/>
      <c r="U207" s="7"/>
      <c r="V207" s="7"/>
      <c r="W207" s="19"/>
      <c r="X207" s="7"/>
      <c r="Y207" s="7"/>
      <c r="Z207" s="7"/>
      <c r="AA207" s="7"/>
      <c r="AB207" s="7"/>
      <c r="AC207" s="7"/>
      <c r="AD207" s="7"/>
      <c r="AE207" s="7"/>
      <c r="AF207" s="7"/>
      <c r="AG207" s="7"/>
      <c r="AH207" s="7"/>
      <c r="AI207" s="7"/>
      <c r="AJ207" s="7"/>
      <c r="AK207" s="7"/>
      <c r="AL207" s="7"/>
      <c r="AM207" s="7"/>
    </row>
    <row r="208" spans="1:39" x14ac:dyDescent="0.2">
      <c r="A208" s="12"/>
      <c r="B208" s="62"/>
      <c r="C208" s="18"/>
      <c r="D208" s="18"/>
      <c r="E208" s="18"/>
      <c r="F208" s="18"/>
      <c r="G208" s="18"/>
      <c r="H208" s="18"/>
      <c r="I208" s="18"/>
      <c r="J208" s="18"/>
      <c r="K208" s="18"/>
      <c r="L208" s="18"/>
      <c r="M208" s="18"/>
      <c r="N208" s="18"/>
      <c r="O208" s="18"/>
      <c r="P208" s="18"/>
      <c r="Q208" s="7"/>
      <c r="R208" s="7"/>
      <c r="S208" s="7"/>
      <c r="T208" s="7"/>
      <c r="U208" s="7"/>
      <c r="V208" s="7"/>
      <c r="W208" s="19"/>
      <c r="X208" s="7"/>
      <c r="Y208" s="7"/>
      <c r="Z208" s="7"/>
      <c r="AA208" s="7"/>
      <c r="AB208" s="7"/>
      <c r="AC208" s="7"/>
      <c r="AD208" s="7"/>
      <c r="AE208" s="7"/>
      <c r="AF208" s="7"/>
      <c r="AG208" s="7"/>
      <c r="AH208" s="7"/>
      <c r="AI208" s="7"/>
      <c r="AJ208" s="7"/>
      <c r="AK208" s="7"/>
      <c r="AL208" s="7"/>
      <c r="AM208" s="7"/>
    </row>
    <row r="209" spans="1:39" x14ac:dyDescent="0.2">
      <c r="A209" s="12"/>
      <c r="B209" s="62"/>
      <c r="C209" s="18"/>
      <c r="D209" s="18"/>
      <c r="E209" s="18"/>
      <c r="F209" s="18"/>
      <c r="G209" s="18"/>
      <c r="H209" s="18"/>
      <c r="I209" s="18"/>
      <c r="J209" s="18"/>
      <c r="K209" s="18"/>
      <c r="L209" s="18"/>
      <c r="M209" s="18"/>
      <c r="N209" s="18"/>
      <c r="O209" s="18"/>
      <c r="P209" s="18"/>
      <c r="Q209" s="7"/>
      <c r="R209" s="7"/>
      <c r="S209" s="7"/>
      <c r="T209" s="7"/>
      <c r="U209" s="7"/>
      <c r="V209" s="7"/>
      <c r="W209" s="19"/>
      <c r="X209" s="7"/>
      <c r="Y209" s="7"/>
      <c r="Z209" s="7"/>
      <c r="AA209" s="7"/>
      <c r="AB209" s="7"/>
      <c r="AC209" s="7"/>
      <c r="AD209" s="7"/>
      <c r="AE209" s="7"/>
      <c r="AF209" s="7"/>
      <c r="AG209" s="7"/>
      <c r="AH209" s="7"/>
      <c r="AI209" s="7"/>
      <c r="AJ209" s="7"/>
      <c r="AK209" s="7"/>
      <c r="AL209" s="7"/>
      <c r="AM209" s="7"/>
    </row>
    <row r="210" spans="1:39" x14ac:dyDescent="0.2">
      <c r="A210" s="12"/>
      <c r="B210" s="62"/>
      <c r="C210" s="18"/>
      <c r="D210" s="18"/>
      <c r="E210" s="18"/>
      <c r="F210" s="18"/>
      <c r="G210" s="18"/>
      <c r="H210" s="18"/>
      <c r="I210" s="18"/>
      <c r="J210" s="18"/>
      <c r="K210" s="18"/>
      <c r="L210" s="18"/>
      <c r="M210" s="18"/>
      <c r="N210" s="18"/>
      <c r="O210" s="18"/>
      <c r="P210" s="18"/>
      <c r="Q210" s="7"/>
      <c r="R210" s="7"/>
      <c r="S210" s="7"/>
      <c r="T210" s="7"/>
      <c r="U210" s="7"/>
      <c r="V210" s="7"/>
      <c r="W210" s="19"/>
      <c r="X210" s="7"/>
      <c r="Y210" s="7"/>
      <c r="Z210" s="7"/>
      <c r="AA210" s="7"/>
      <c r="AB210" s="7"/>
      <c r="AC210" s="7"/>
      <c r="AD210" s="7"/>
      <c r="AE210" s="7"/>
      <c r="AF210" s="7"/>
      <c r="AG210" s="7"/>
      <c r="AH210" s="7"/>
      <c r="AI210" s="7"/>
      <c r="AJ210" s="7"/>
      <c r="AK210" s="7"/>
      <c r="AL210" s="7"/>
      <c r="AM210" s="7"/>
    </row>
    <row r="211" spans="1:39" x14ac:dyDescent="0.2">
      <c r="A211" s="12"/>
      <c r="B211" s="62"/>
      <c r="C211" s="18"/>
      <c r="D211" s="18"/>
      <c r="E211" s="18"/>
      <c r="F211" s="18"/>
      <c r="G211" s="18"/>
      <c r="H211" s="18"/>
      <c r="I211" s="18"/>
      <c r="J211" s="18"/>
      <c r="K211" s="18"/>
      <c r="L211" s="18"/>
      <c r="M211" s="18"/>
      <c r="N211" s="18"/>
      <c r="O211" s="18"/>
      <c r="P211" s="18"/>
      <c r="Q211" s="7"/>
      <c r="R211" s="7"/>
      <c r="S211" s="7"/>
      <c r="T211" s="7"/>
      <c r="U211" s="7"/>
      <c r="V211" s="7"/>
      <c r="W211" s="19"/>
      <c r="X211" s="7"/>
      <c r="Y211" s="7"/>
      <c r="Z211" s="7"/>
      <c r="AA211" s="7"/>
      <c r="AB211" s="7"/>
      <c r="AC211" s="7"/>
      <c r="AD211" s="7"/>
      <c r="AE211" s="7"/>
      <c r="AF211" s="7"/>
      <c r="AG211" s="7"/>
      <c r="AH211" s="7"/>
      <c r="AI211" s="7"/>
      <c r="AJ211" s="7"/>
      <c r="AK211" s="7"/>
      <c r="AL211" s="7"/>
      <c r="AM211" s="7"/>
    </row>
    <row r="212" spans="1:39" x14ac:dyDescent="0.2">
      <c r="A212" s="12"/>
      <c r="B212" s="62"/>
      <c r="C212" s="18"/>
      <c r="D212" s="18"/>
      <c r="E212" s="18"/>
      <c r="F212" s="18"/>
      <c r="G212" s="18"/>
      <c r="H212" s="18"/>
      <c r="I212" s="18"/>
      <c r="J212" s="18"/>
      <c r="K212" s="18"/>
      <c r="L212" s="18"/>
      <c r="M212" s="18"/>
      <c r="N212" s="18"/>
      <c r="O212" s="18"/>
      <c r="P212" s="18"/>
      <c r="Q212" s="7"/>
      <c r="R212" s="7"/>
      <c r="S212" s="7"/>
      <c r="T212" s="7"/>
      <c r="U212" s="7"/>
      <c r="V212" s="7"/>
      <c r="W212" s="19"/>
      <c r="X212" s="7"/>
      <c r="Y212" s="7"/>
      <c r="Z212" s="7"/>
      <c r="AA212" s="7"/>
      <c r="AB212" s="7"/>
      <c r="AC212" s="7"/>
      <c r="AD212" s="7"/>
      <c r="AE212" s="7"/>
      <c r="AF212" s="7"/>
      <c r="AG212" s="7"/>
      <c r="AH212" s="7"/>
      <c r="AI212" s="7"/>
      <c r="AJ212" s="7"/>
      <c r="AK212" s="7"/>
      <c r="AL212" s="7"/>
      <c r="AM212" s="7"/>
    </row>
    <row r="213" spans="1:39" x14ac:dyDescent="0.2">
      <c r="A213" s="12"/>
      <c r="B213" s="62"/>
      <c r="C213" s="18"/>
      <c r="D213" s="18"/>
      <c r="E213" s="18"/>
      <c r="F213" s="18"/>
      <c r="G213" s="18"/>
      <c r="H213" s="18"/>
      <c r="I213" s="18"/>
      <c r="J213" s="18"/>
      <c r="K213" s="18"/>
      <c r="L213" s="18"/>
      <c r="M213" s="18"/>
      <c r="N213" s="18"/>
      <c r="O213" s="18"/>
      <c r="P213" s="18"/>
      <c r="Q213" s="7"/>
      <c r="R213" s="7"/>
      <c r="S213" s="7"/>
      <c r="T213" s="7"/>
      <c r="U213" s="7"/>
      <c r="V213" s="7"/>
      <c r="W213" s="19"/>
      <c r="X213" s="7"/>
      <c r="Y213" s="7"/>
      <c r="Z213" s="7"/>
      <c r="AA213" s="7"/>
      <c r="AB213" s="7"/>
      <c r="AC213" s="7"/>
      <c r="AD213" s="7"/>
      <c r="AE213" s="7"/>
      <c r="AF213" s="7"/>
      <c r="AG213" s="7"/>
      <c r="AH213" s="7"/>
      <c r="AI213" s="7"/>
      <c r="AJ213" s="7"/>
      <c r="AK213" s="7"/>
      <c r="AL213" s="7"/>
      <c r="AM213" s="7"/>
    </row>
    <row r="214" spans="1:39" x14ac:dyDescent="0.2">
      <c r="A214" s="12"/>
      <c r="B214" s="62"/>
      <c r="C214" s="18"/>
      <c r="D214" s="18"/>
      <c r="E214" s="18"/>
      <c r="F214" s="18"/>
      <c r="G214" s="18"/>
      <c r="H214" s="18"/>
      <c r="I214" s="18"/>
      <c r="J214" s="18"/>
      <c r="K214" s="18"/>
      <c r="L214" s="18"/>
      <c r="M214" s="18"/>
      <c r="N214" s="18"/>
      <c r="O214" s="18"/>
      <c r="P214" s="18"/>
      <c r="Q214" s="7"/>
      <c r="R214" s="7"/>
      <c r="S214" s="7"/>
      <c r="T214" s="7"/>
      <c r="U214" s="7"/>
      <c r="V214" s="7"/>
      <c r="W214" s="19"/>
      <c r="X214" s="7"/>
      <c r="Y214" s="7"/>
      <c r="Z214" s="7"/>
      <c r="AA214" s="7"/>
      <c r="AB214" s="7"/>
      <c r="AC214" s="7"/>
      <c r="AD214" s="7"/>
      <c r="AE214" s="7"/>
      <c r="AF214" s="7"/>
      <c r="AG214" s="7"/>
      <c r="AH214" s="7"/>
      <c r="AI214" s="7"/>
      <c r="AJ214" s="7"/>
      <c r="AK214" s="7"/>
      <c r="AL214" s="7"/>
      <c r="AM214" s="7"/>
    </row>
    <row r="215" spans="1:39" x14ac:dyDescent="0.2">
      <c r="A215" s="12"/>
      <c r="B215" s="62"/>
      <c r="C215" s="18"/>
      <c r="D215" s="18"/>
      <c r="E215" s="18"/>
      <c r="F215" s="18"/>
      <c r="G215" s="18"/>
      <c r="H215" s="18"/>
      <c r="I215" s="18"/>
      <c r="J215" s="18"/>
      <c r="K215" s="18"/>
      <c r="L215" s="18"/>
      <c r="M215" s="18"/>
      <c r="N215" s="18"/>
      <c r="O215" s="18"/>
      <c r="P215" s="18"/>
      <c r="Q215" s="7"/>
      <c r="R215" s="7"/>
      <c r="S215" s="7"/>
      <c r="T215" s="7"/>
      <c r="U215" s="7"/>
      <c r="V215" s="7"/>
      <c r="W215" s="19"/>
      <c r="X215" s="7"/>
      <c r="Y215" s="7"/>
      <c r="Z215" s="7"/>
      <c r="AA215" s="7"/>
      <c r="AB215" s="7"/>
      <c r="AC215" s="7"/>
      <c r="AD215" s="7"/>
      <c r="AE215" s="7"/>
      <c r="AF215" s="7"/>
      <c r="AG215" s="7"/>
      <c r="AH215" s="7"/>
      <c r="AI215" s="7"/>
      <c r="AJ215" s="7"/>
      <c r="AK215" s="7"/>
      <c r="AL215" s="7"/>
      <c r="AM215" s="7"/>
    </row>
    <row r="216" spans="1:39" x14ac:dyDescent="0.2">
      <c r="A216" s="12"/>
      <c r="B216" s="62"/>
      <c r="C216" s="18"/>
      <c r="D216" s="18"/>
      <c r="E216" s="18"/>
      <c r="F216" s="18"/>
      <c r="G216" s="18"/>
      <c r="H216" s="18"/>
      <c r="I216" s="18"/>
      <c r="J216" s="18"/>
      <c r="K216" s="18"/>
      <c r="L216" s="18"/>
      <c r="M216" s="18"/>
      <c r="N216" s="18"/>
      <c r="O216" s="18"/>
      <c r="P216" s="18"/>
      <c r="Q216" s="7"/>
      <c r="R216" s="7"/>
      <c r="S216" s="7"/>
      <c r="T216" s="7"/>
      <c r="U216" s="7"/>
      <c r="V216" s="7"/>
      <c r="W216" s="19"/>
      <c r="X216" s="7"/>
      <c r="Y216" s="7"/>
      <c r="Z216" s="7"/>
      <c r="AA216" s="7"/>
      <c r="AB216" s="7"/>
      <c r="AC216" s="7"/>
      <c r="AD216" s="7"/>
      <c r="AE216" s="7"/>
      <c r="AF216" s="7"/>
      <c r="AG216" s="7"/>
      <c r="AH216" s="7"/>
      <c r="AI216" s="7"/>
      <c r="AJ216" s="7"/>
      <c r="AK216" s="7"/>
      <c r="AL216" s="7"/>
      <c r="AM216" s="7"/>
    </row>
    <row r="217" spans="1:39" x14ac:dyDescent="0.2">
      <c r="A217" s="12"/>
      <c r="B217" s="62"/>
      <c r="C217" s="18"/>
      <c r="D217" s="18"/>
      <c r="E217" s="18"/>
      <c r="F217" s="18"/>
      <c r="G217" s="18"/>
      <c r="H217" s="18"/>
      <c r="I217" s="18"/>
      <c r="J217" s="18"/>
      <c r="K217" s="18"/>
      <c r="L217" s="18"/>
      <c r="M217" s="18"/>
      <c r="N217" s="18"/>
      <c r="O217" s="18"/>
      <c r="P217" s="18"/>
      <c r="Q217" s="7"/>
      <c r="R217" s="7"/>
      <c r="S217" s="7"/>
      <c r="T217" s="7"/>
      <c r="U217" s="7"/>
      <c r="V217" s="7"/>
      <c r="W217" s="19"/>
      <c r="X217" s="7"/>
      <c r="Y217" s="7"/>
      <c r="Z217" s="7"/>
      <c r="AA217" s="7"/>
      <c r="AB217" s="7"/>
      <c r="AC217" s="7"/>
      <c r="AD217" s="7"/>
      <c r="AE217" s="7"/>
      <c r="AF217" s="7"/>
      <c r="AG217" s="7"/>
      <c r="AH217" s="7"/>
      <c r="AI217" s="7"/>
      <c r="AJ217" s="7"/>
      <c r="AK217" s="7"/>
      <c r="AL217" s="7"/>
      <c r="AM217" s="7"/>
    </row>
    <row r="218" spans="1:39" x14ac:dyDescent="0.2">
      <c r="A218" s="12"/>
      <c r="B218" s="62"/>
      <c r="C218" s="18"/>
      <c r="D218" s="18"/>
      <c r="E218" s="18"/>
      <c r="F218" s="18"/>
      <c r="G218" s="18"/>
      <c r="H218" s="18"/>
      <c r="I218" s="18"/>
      <c r="J218" s="18"/>
      <c r="K218" s="18"/>
      <c r="L218" s="18"/>
      <c r="M218" s="18"/>
      <c r="N218" s="18"/>
      <c r="O218" s="18"/>
      <c r="P218" s="18"/>
      <c r="Q218" s="7"/>
      <c r="R218" s="7"/>
      <c r="S218" s="7"/>
      <c r="T218" s="7"/>
      <c r="U218" s="7"/>
      <c r="V218" s="7"/>
      <c r="W218" s="19"/>
      <c r="X218" s="7"/>
      <c r="Y218" s="7"/>
      <c r="Z218" s="7"/>
      <c r="AA218" s="7"/>
      <c r="AB218" s="7"/>
      <c r="AC218" s="7"/>
      <c r="AD218" s="7"/>
      <c r="AE218" s="7"/>
      <c r="AF218" s="7"/>
      <c r="AG218" s="7"/>
      <c r="AH218" s="7"/>
      <c r="AI218" s="7"/>
      <c r="AJ218" s="7"/>
      <c r="AK218" s="7"/>
      <c r="AL218" s="7"/>
      <c r="AM218" s="7"/>
    </row>
    <row r="219" spans="1:39" x14ac:dyDescent="0.2">
      <c r="A219" s="12"/>
      <c r="B219" s="62"/>
      <c r="C219" s="18"/>
      <c r="D219" s="18"/>
      <c r="E219" s="18"/>
      <c r="F219" s="18"/>
      <c r="G219" s="18"/>
      <c r="H219" s="18"/>
      <c r="I219" s="18"/>
      <c r="J219" s="18"/>
      <c r="K219" s="18"/>
      <c r="L219" s="18"/>
      <c r="M219" s="18"/>
      <c r="N219" s="18"/>
      <c r="O219" s="18"/>
      <c r="P219" s="18"/>
      <c r="Q219" s="7"/>
      <c r="R219" s="7"/>
      <c r="S219" s="7"/>
      <c r="T219" s="7"/>
      <c r="U219" s="7"/>
      <c r="V219" s="7"/>
      <c r="W219" s="19"/>
      <c r="X219" s="7"/>
      <c r="Y219" s="7"/>
      <c r="Z219" s="7"/>
      <c r="AA219" s="7"/>
      <c r="AB219" s="7"/>
      <c r="AC219" s="7"/>
      <c r="AD219" s="7"/>
      <c r="AE219" s="7"/>
      <c r="AF219" s="7"/>
      <c r="AG219" s="7"/>
      <c r="AH219" s="7"/>
      <c r="AI219" s="7"/>
      <c r="AJ219" s="7"/>
      <c r="AK219" s="7"/>
      <c r="AL219" s="7"/>
      <c r="AM219" s="7"/>
    </row>
    <row r="220" spans="1:39" x14ac:dyDescent="0.2">
      <c r="A220" s="12"/>
      <c r="B220" s="62"/>
      <c r="C220" s="18"/>
      <c r="D220" s="18"/>
      <c r="E220" s="18"/>
      <c r="F220" s="18"/>
      <c r="G220" s="18"/>
      <c r="H220" s="18"/>
      <c r="I220" s="18"/>
      <c r="J220" s="18"/>
      <c r="K220" s="18"/>
      <c r="L220" s="18"/>
      <c r="M220" s="18"/>
      <c r="N220" s="18"/>
      <c r="O220" s="18"/>
      <c r="P220" s="18"/>
      <c r="Q220" s="7"/>
      <c r="R220" s="7"/>
      <c r="S220" s="7"/>
      <c r="T220" s="7"/>
      <c r="U220" s="7"/>
      <c r="V220" s="7"/>
      <c r="W220" s="19"/>
      <c r="X220" s="7"/>
      <c r="Y220" s="7"/>
      <c r="Z220" s="7"/>
      <c r="AA220" s="7"/>
      <c r="AB220" s="7"/>
      <c r="AC220" s="7"/>
      <c r="AD220" s="7"/>
      <c r="AE220" s="7"/>
      <c r="AF220" s="7"/>
      <c r="AG220" s="7"/>
      <c r="AH220" s="7"/>
      <c r="AI220" s="7"/>
      <c r="AJ220" s="7"/>
      <c r="AK220" s="7"/>
      <c r="AL220" s="7"/>
      <c r="AM220" s="7"/>
    </row>
    <row r="221" spans="1:39" x14ac:dyDescent="0.2">
      <c r="A221" s="12"/>
      <c r="B221" s="62"/>
      <c r="C221" s="18"/>
      <c r="D221" s="18"/>
      <c r="E221" s="18"/>
      <c r="F221" s="18"/>
      <c r="G221" s="18"/>
      <c r="H221" s="18"/>
      <c r="I221" s="18"/>
      <c r="J221" s="18"/>
      <c r="K221" s="18"/>
      <c r="L221" s="18"/>
      <c r="M221" s="18"/>
      <c r="N221" s="18"/>
      <c r="O221" s="18"/>
      <c r="P221" s="18"/>
      <c r="Q221" s="7"/>
      <c r="R221" s="7"/>
      <c r="S221" s="7"/>
      <c r="T221" s="7"/>
      <c r="U221" s="7"/>
      <c r="V221" s="7"/>
      <c r="W221" s="19"/>
      <c r="X221" s="7"/>
      <c r="Y221" s="7"/>
      <c r="Z221" s="7"/>
      <c r="AA221" s="7"/>
      <c r="AB221" s="7"/>
      <c r="AC221" s="7"/>
      <c r="AD221" s="7"/>
      <c r="AE221" s="7"/>
      <c r="AF221" s="7"/>
      <c r="AG221" s="7"/>
      <c r="AH221" s="7"/>
      <c r="AI221" s="7"/>
      <c r="AJ221" s="7"/>
      <c r="AK221" s="7"/>
      <c r="AL221" s="7"/>
      <c r="AM221" s="7"/>
    </row>
    <row r="222" spans="1:39" x14ac:dyDescent="0.2">
      <c r="A222" s="12"/>
      <c r="B222" s="62"/>
      <c r="C222" s="18"/>
      <c r="D222" s="18"/>
      <c r="E222" s="18"/>
      <c r="F222" s="18"/>
      <c r="G222" s="18"/>
      <c r="H222" s="18"/>
      <c r="I222" s="18"/>
      <c r="J222" s="18"/>
      <c r="K222" s="18"/>
      <c r="L222" s="18"/>
      <c r="M222" s="18"/>
      <c r="N222" s="18"/>
      <c r="O222" s="18"/>
      <c r="P222" s="18"/>
      <c r="Q222" s="7"/>
      <c r="R222" s="7"/>
      <c r="S222" s="7"/>
      <c r="T222" s="7"/>
      <c r="U222" s="7"/>
      <c r="V222" s="7"/>
      <c r="W222" s="19"/>
      <c r="X222" s="7"/>
      <c r="Y222" s="7"/>
      <c r="Z222" s="7"/>
      <c r="AA222" s="7"/>
      <c r="AB222" s="7"/>
      <c r="AC222" s="7"/>
      <c r="AD222" s="7"/>
      <c r="AE222" s="7"/>
      <c r="AF222" s="7"/>
      <c r="AG222" s="7"/>
      <c r="AH222" s="7"/>
      <c r="AI222" s="7"/>
      <c r="AJ222" s="7"/>
      <c r="AK222" s="7"/>
      <c r="AL222" s="7"/>
      <c r="AM222" s="7"/>
    </row>
    <row r="223" spans="1:39" x14ac:dyDescent="0.2">
      <c r="A223" s="12"/>
      <c r="B223" s="62"/>
      <c r="C223" s="18"/>
      <c r="D223" s="18"/>
      <c r="E223" s="18"/>
      <c r="F223" s="18"/>
      <c r="G223" s="18"/>
      <c r="H223" s="18"/>
      <c r="I223" s="18"/>
      <c r="J223" s="18"/>
      <c r="K223" s="18"/>
      <c r="L223" s="18"/>
      <c r="M223" s="18"/>
      <c r="N223" s="18"/>
      <c r="O223" s="21"/>
      <c r="P223" s="18"/>
      <c r="Q223" s="7"/>
      <c r="R223" s="7"/>
      <c r="S223" s="7"/>
      <c r="T223" s="7"/>
      <c r="U223" s="7"/>
      <c r="V223" s="7"/>
      <c r="W223" s="19"/>
      <c r="X223" s="7"/>
      <c r="Y223" s="7"/>
      <c r="Z223" s="7"/>
      <c r="AA223" s="7"/>
      <c r="AB223" s="7"/>
      <c r="AC223" s="7"/>
      <c r="AD223" s="7"/>
      <c r="AE223" s="7"/>
      <c r="AF223" s="7"/>
      <c r="AG223" s="7"/>
      <c r="AH223" s="7"/>
      <c r="AI223" s="7"/>
      <c r="AJ223" s="7"/>
      <c r="AK223" s="7"/>
      <c r="AL223" s="7"/>
      <c r="AM223" s="7"/>
    </row>
    <row r="224" spans="1:39" x14ac:dyDescent="0.2">
      <c r="A224" s="12"/>
      <c r="B224" s="62"/>
      <c r="C224" s="18"/>
      <c r="D224" s="18"/>
      <c r="E224" s="18"/>
      <c r="F224" s="18"/>
      <c r="G224" s="18"/>
      <c r="H224" s="18"/>
      <c r="I224" s="18"/>
      <c r="J224" s="18"/>
      <c r="K224" s="18"/>
      <c r="L224" s="18"/>
      <c r="M224" s="18"/>
      <c r="N224" s="18"/>
      <c r="O224" s="18"/>
      <c r="P224" s="18"/>
      <c r="Q224" s="7"/>
      <c r="R224" s="7"/>
      <c r="S224" s="7"/>
      <c r="T224" s="7"/>
      <c r="U224" s="7"/>
      <c r="V224" s="7"/>
      <c r="W224" s="19"/>
      <c r="X224" s="7"/>
      <c r="Y224" s="7"/>
      <c r="Z224" s="7"/>
      <c r="AA224" s="7"/>
      <c r="AB224" s="7"/>
      <c r="AC224" s="7"/>
      <c r="AD224" s="7"/>
      <c r="AE224" s="7"/>
      <c r="AF224" s="7"/>
      <c r="AG224" s="7"/>
      <c r="AH224" s="7"/>
      <c r="AI224" s="7"/>
      <c r="AJ224" s="7"/>
      <c r="AK224" s="7"/>
      <c r="AL224" s="7"/>
      <c r="AM224" s="7"/>
    </row>
    <row r="225" spans="1:39" x14ac:dyDescent="0.2">
      <c r="A225" s="12"/>
      <c r="B225" s="62"/>
      <c r="C225" s="18"/>
      <c r="D225" s="18"/>
      <c r="E225" s="18"/>
      <c r="F225" s="18"/>
      <c r="G225" s="18"/>
      <c r="H225" s="18"/>
      <c r="I225" s="18"/>
      <c r="J225" s="18"/>
      <c r="K225" s="18"/>
      <c r="L225" s="18"/>
      <c r="M225" s="18"/>
      <c r="N225" s="18"/>
      <c r="O225" s="18"/>
      <c r="P225" s="18"/>
      <c r="Q225" s="7"/>
      <c r="R225" s="7"/>
      <c r="S225" s="7"/>
      <c r="T225" s="7"/>
      <c r="U225" s="7"/>
      <c r="V225" s="7"/>
      <c r="W225" s="19"/>
      <c r="X225" s="7"/>
      <c r="Y225" s="7"/>
      <c r="Z225" s="7"/>
      <c r="AA225" s="7"/>
      <c r="AB225" s="7"/>
      <c r="AC225" s="7"/>
      <c r="AD225" s="7"/>
      <c r="AE225" s="7"/>
      <c r="AF225" s="7"/>
      <c r="AG225" s="7"/>
      <c r="AH225" s="7"/>
      <c r="AI225" s="7"/>
      <c r="AJ225" s="7"/>
      <c r="AK225" s="7"/>
      <c r="AL225" s="7"/>
      <c r="AM225" s="7"/>
    </row>
    <row r="226" spans="1:39" x14ac:dyDescent="0.2">
      <c r="A226" s="12"/>
      <c r="B226" s="62"/>
      <c r="C226" s="18"/>
      <c r="D226" s="18"/>
      <c r="E226" s="18"/>
      <c r="F226" s="18"/>
      <c r="G226" s="18"/>
      <c r="H226" s="18"/>
      <c r="I226" s="18"/>
      <c r="J226" s="18"/>
      <c r="K226" s="18"/>
      <c r="L226" s="18"/>
      <c r="M226" s="18"/>
      <c r="N226" s="18"/>
      <c r="O226" s="18"/>
      <c r="P226" s="18"/>
      <c r="Q226" s="7"/>
      <c r="R226" s="7"/>
      <c r="S226" s="7"/>
      <c r="T226" s="7"/>
      <c r="U226" s="7"/>
      <c r="V226" s="7"/>
      <c r="W226" s="19"/>
      <c r="X226" s="7"/>
      <c r="Y226" s="7"/>
      <c r="Z226" s="7"/>
      <c r="AA226" s="7"/>
      <c r="AB226" s="7"/>
      <c r="AC226" s="7"/>
      <c r="AD226" s="7"/>
      <c r="AE226" s="7"/>
      <c r="AF226" s="7"/>
      <c r="AG226" s="7"/>
      <c r="AH226" s="7"/>
      <c r="AI226" s="7"/>
      <c r="AJ226" s="7"/>
      <c r="AK226" s="7"/>
      <c r="AL226" s="7"/>
      <c r="AM226" s="7"/>
    </row>
    <row r="227" spans="1:39" x14ac:dyDescent="0.2">
      <c r="A227" s="12"/>
      <c r="B227" s="62"/>
      <c r="C227" s="18"/>
      <c r="D227" s="18"/>
      <c r="E227" s="18"/>
      <c r="F227" s="18"/>
      <c r="G227" s="18"/>
      <c r="H227" s="18"/>
      <c r="I227" s="18"/>
      <c r="J227" s="18"/>
      <c r="K227" s="18"/>
      <c r="L227" s="18"/>
      <c r="M227" s="18"/>
      <c r="N227" s="18"/>
      <c r="O227" s="18"/>
      <c r="P227" s="18"/>
      <c r="Q227" s="7"/>
      <c r="R227" s="7"/>
      <c r="S227" s="7"/>
      <c r="T227" s="7"/>
      <c r="U227" s="7"/>
      <c r="V227" s="7"/>
      <c r="W227" s="19"/>
      <c r="X227" s="7"/>
      <c r="Y227" s="7"/>
      <c r="Z227" s="7"/>
      <c r="AA227" s="7"/>
      <c r="AB227" s="7"/>
      <c r="AC227" s="7"/>
      <c r="AD227" s="7"/>
      <c r="AE227" s="7"/>
      <c r="AF227" s="7"/>
      <c r="AG227" s="7"/>
      <c r="AH227" s="7"/>
      <c r="AI227" s="7"/>
      <c r="AJ227" s="7"/>
      <c r="AK227" s="7"/>
      <c r="AL227" s="7"/>
      <c r="AM227" s="7"/>
    </row>
    <row r="228" spans="1:39" x14ac:dyDescent="0.2">
      <c r="A228" s="12"/>
      <c r="B228" s="62"/>
      <c r="C228" s="18"/>
      <c r="D228" s="18"/>
      <c r="E228" s="18"/>
      <c r="F228" s="18"/>
      <c r="G228" s="18"/>
      <c r="H228" s="18"/>
      <c r="I228" s="18"/>
      <c r="J228" s="18"/>
      <c r="K228" s="18"/>
      <c r="L228" s="18"/>
      <c r="M228" s="18"/>
      <c r="N228" s="18"/>
      <c r="O228" s="18"/>
      <c r="P228" s="18"/>
      <c r="Q228" s="7"/>
      <c r="R228" s="7"/>
      <c r="S228" s="7"/>
      <c r="T228" s="7"/>
      <c r="U228" s="7"/>
      <c r="V228" s="7"/>
      <c r="W228" s="19"/>
      <c r="X228" s="7"/>
      <c r="Y228" s="7"/>
      <c r="Z228" s="7"/>
      <c r="AA228" s="7"/>
      <c r="AB228" s="7"/>
      <c r="AC228" s="7"/>
      <c r="AD228" s="7"/>
      <c r="AE228" s="7"/>
      <c r="AF228" s="7"/>
      <c r="AG228" s="7"/>
      <c r="AH228" s="7"/>
      <c r="AI228" s="7"/>
      <c r="AJ228" s="7"/>
      <c r="AK228" s="7"/>
      <c r="AL228" s="7"/>
      <c r="AM228" s="7"/>
    </row>
    <row r="229" spans="1:39" x14ac:dyDescent="0.2">
      <c r="A229" s="12"/>
      <c r="B229" s="62"/>
      <c r="C229" s="18"/>
      <c r="D229" s="18"/>
      <c r="E229" s="18"/>
      <c r="F229" s="18"/>
      <c r="G229" s="18"/>
      <c r="H229" s="18"/>
      <c r="I229" s="18"/>
      <c r="J229" s="18"/>
      <c r="K229" s="18"/>
      <c r="L229" s="18"/>
      <c r="M229" s="18"/>
      <c r="N229" s="18"/>
      <c r="O229" s="18"/>
      <c r="P229" s="18"/>
      <c r="Q229" s="7"/>
      <c r="R229" s="7"/>
      <c r="S229" s="7"/>
      <c r="T229" s="7"/>
      <c r="U229" s="7"/>
      <c r="V229" s="7"/>
      <c r="W229" s="19"/>
      <c r="X229" s="7"/>
      <c r="Y229" s="7"/>
      <c r="Z229" s="7"/>
      <c r="AA229" s="7"/>
      <c r="AB229" s="7"/>
      <c r="AC229" s="7"/>
      <c r="AD229" s="7"/>
      <c r="AE229" s="7"/>
      <c r="AF229" s="7"/>
      <c r="AG229" s="7"/>
      <c r="AH229" s="7"/>
      <c r="AI229" s="7"/>
      <c r="AJ229" s="7"/>
      <c r="AK229" s="7"/>
      <c r="AL229" s="7"/>
      <c r="AM229" s="7"/>
    </row>
    <row r="230" spans="1:39" x14ac:dyDescent="0.2">
      <c r="A230" s="12"/>
      <c r="B230" s="62"/>
      <c r="C230" s="18"/>
      <c r="D230" s="18"/>
      <c r="E230" s="18"/>
      <c r="F230" s="18"/>
      <c r="G230" s="18"/>
      <c r="H230" s="18"/>
      <c r="I230" s="18"/>
      <c r="J230" s="18"/>
      <c r="K230" s="18"/>
      <c r="L230" s="18"/>
      <c r="M230" s="18"/>
      <c r="N230" s="18"/>
      <c r="O230" s="18"/>
      <c r="P230" s="18"/>
      <c r="Q230" s="7"/>
      <c r="R230" s="7"/>
      <c r="S230" s="7"/>
      <c r="T230" s="7"/>
      <c r="U230" s="7"/>
      <c r="V230" s="7"/>
      <c r="W230" s="19"/>
      <c r="X230" s="7"/>
      <c r="Y230" s="7"/>
      <c r="Z230" s="7"/>
      <c r="AA230" s="7"/>
      <c r="AB230" s="7"/>
      <c r="AC230" s="7"/>
      <c r="AD230" s="7"/>
      <c r="AE230" s="7"/>
      <c r="AF230" s="7"/>
      <c r="AG230" s="7"/>
      <c r="AH230" s="7"/>
      <c r="AI230" s="7"/>
      <c r="AJ230" s="7"/>
      <c r="AK230" s="7"/>
      <c r="AL230" s="7"/>
      <c r="AM230" s="7"/>
    </row>
    <row r="231" spans="1:39" x14ac:dyDescent="0.2">
      <c r="A231" s="12"/>
      <c r="B231" s="62"/>
      <c r="C231" s="18"/>
      <c r="D231" s="18"/>
      <c r="E231" s="18"/>
      <c r="F231" s="18"/>
      <c r="G231" s="18"/>
      <c r="H231" s="18"/>
      <c r="I231" s="18"/>
      <c r="J231" s="18"/>
      <c r="K231" s="18"/>
      <c r="L231" s="18"/>
      <c r="M231" s="18"/>
      <c r="N231" s="18"/>
      <c r="O231" s="18"/>
      <c r="P231" s="18"/>
      <c r="Q231" s="7"/>
      <c r="R231" s="7"/>
      <c r="S231" s="7"/>
      <c r="T231" s="7"/>
      <c r="U231" s="7"/>
      <c r="V231" s="7"/>
      <c r="W231" s="19"/>
      <c r="X231" s="7"/>
      <c r="Y231" s="7"/>
      <c r="Z231" s="7"/>
      <c r="AA231" s="7"/>
      <c r="AB231" s="7"/>
      <c r="AC231" s="7"/>
      <c r="AD231" s="7"/>
      <c r="AE231" s="7"/>
      <c r="AF231" s="7"/>
      <c r="AG231" s="7"/>
      <c r="AH231" s="7"/>
      <c r="AI231" s="7"/>
      <c r="AJ231" s="7"/>
      <c r="AK231" s="7"/>
      <c r="AL231" s="7"/>
      <c r="AM231" s="7"/>
    </row>
    <row r="232" spans="1:39" x14ac:dyDescent="0.2">
      <c r="A232" s="12"/>
      <c r="B232" s="62"/>
      <c r="C232" s="18"/>
      <c r="D232" s="18"/>
      <c r="E232" s="18"/>
      <c r="F232" s="18"/>
      <c r="G232" s="18"/>
      <c r="H232" s="18"/>
      <c r="I232" s="18"/>
      <c r="J232" s="18"/>
      <c r="K232" s="18"/>
      <c r="L232" s="18"/>
      <c r="M232" s="18"/>
      <c r="N232" s="18"/>
      <c r="O232" s="18"/>
      <c r="P232" s="18"/>
      <c r="Q232" s="7"/>
      <c r="R232" s="7"/>
      <c r="S232" s="7"/>
      <c r="T232" s="7"/>
      <c r="U232" s="7"/>
      <c r="V232" s="7"/>
      <c r="W232" s="19"/>
      <c r="X232" s="7"/>
      <c r="Y232" s="7"/>
      <c r="Z232" s="7"/>
      <c r="AA232" s="7"/>
      <c r="AB232" s="7"/>
      <c r="AC232" s="7"/>
      <c r="AD232" s="7"/>
      <c r="AE232" s="7"/>
      <c r="AF232" s="7"/>
      <c r="AG232" s="7"/>
      <c r="AH232" s="7"/>
      <c r="AI232" s="7"/>
      <c r="AJ232" s="7"/>
      <c r="AK232" s="7"/>
      <c r="AL232" s="7"/>
      <c r="AM232" s="7"/>
    </row>
    <row r="233" spans="1:39" x14ac:dyDescent="0.2">
      <c r="A233" s="12"/>
      <c r="B233" s="62"/>
      <c r="C233" s="18"/>
      <c r="D233" s="18"/>
      <c r="E233" s="18"/>
      <c r="F233" s="18"/>
      <c r="G233" s="18"/>
      <c r="H233" s="18"/>
      <c r="I233" s="18"/>
      <c r="J233" s="18"/>
      <c r="K233" s="18"/>
      <c r="L233" s="18"/>
      <c r="M233" s="18"/>
      <c r="N233" s="18"/>
      <c r="O233" s="18"/>
      <c r="P233" s="18"/>
      <c r="Q233" s="7"/>
      <c r="R233" s="7"/>
      <c r="S233" s="7"/>
      <c r="T233" s="7"/>
      <c r="U233" s="7"/>
      <c r="V233" s="7"/>
      <c r="W233" s="19"/>
      <c r="X233" s="7"/>
      <c r="Y233" s="7"/>
      <c r="Z233" s="7"/>
      <c r="AA233" s="7"/>
      <c r="AB233" s="7"/>
      <c r="AC233" s="7"/>
      <c r="AD233" s="7"/>
      <c r="AE233" s="7"/>
      <c r="AF233" s="7"/>
      <c r="AG233" s="7"/>
      <c r="AH233" s="7"/>
      <c r="AI233" s="7"/>
      <c r="AJ233" s="7"/>
      <c r="AK233" s="7"/>
      <c r="AL233" s="7"/>
      <c r="AM233" s="7"/>
    </row>
    <row r="234" spans="1:39" x14ac:dyDescent="0.2">
      <c r="A234" s="12"/>
      <c r="B234" s="62"/>
      <c r="C234" s="18"/>
      <c r="D234" s="18"/>
      <c r="E234" s="18"/>
      <c r="F234" s="18"/>
      <c r="G234" s="18"/>
      <c r="H234" s="18"/>
      <c r="I234" s="18"/>
      <c r="J234" s="18"/>
      <c r="K234" s="18"/>
      <c r="L234" s="18"/>
      <c r="M234" s="18"/>
      <c r="N234" s="18"/>
      <c r="O234" s="18"/>
      <c r="P234" s="18"/>
      <c r="Q234" s="7"/>
      <c r="R234" s="7"/>
      <c r="S234" s="7"/>
      <c r="T234" s="7"/>
      <c r="U234" s="7"/>
      <c r="V234" s="7"/>
      <c r="W234" s="19"/>
      <c r="X234" s="7"/>
      <c r="Y234" s="7"/>
      <c r="Z234" s="7"/>
      <c r="AA234" s="7"/>
      <c r="AB234" s="7"/>
      <c r="AC234" s="7"/>
      <c r="AD234" s="7"/>
      <c r="AE234" s="7"/>
      <c r="AF234" s="7"/>
      <c r="AG234" s="7"/>
      <c r="AH234" s="7"/>
      <c r="AI234" s="7"/>
      <c r="AJ234" s="7"/>
      <c r="AK234" s="7"/>
      <c r="AL234" s="7"/>
      <c r="AM234" s="7"/>
    </row>
    <row r="235" spans="1:39" x14ac:dyDescent="0.2">
      <c r="A235" s="12"/>
      <c r="B235" s="62"/>
      <c r="C235" s="18"/>
      <c r="D235" s="18"/>
      <c r="E235" s="18"/>
      <c r="F235" s="18"/>
      <c r="G235" s="18"/>
      <c r="H235" s="18"/>
      <c r="I235" s="18"/>
      <c r="J235" s="18"/>
      <c r="K235" s="18"/>
      <c r="L235" s="18"/>
      <c r="M235" s="18"/>
      <c r="N235" s="18"/>
      <c r="O235" s="18"/>
      <c r="P235" s="18"/>
      <c r="Q235" s="7"/>
      <c r="R235" s="7"/>
      <c r="S235" s="7"/>
      <c r="T235" s="7"/>
      <c r="U235" s="7"/>
      <c r="V235" s="7"/>
      <c r="W235" s="19"/>
      <c r="X235" s="7"/>
      <c r="Y235" s="7"/>
      <c r="Z235" s="7"/>
      <c r="AA235" s="7"/>
      <c r="AB235" s="7"/>
      <c r="AC235" s="7"/>
      <c r="AD235" s="7"/>
      <c r="AE235" s="7"/>
      <c r="AF235" s="7"/>
      <c r="AG235" s="7"/>
      <c r="AH235" s="7"/>
      <c r="AI235" s="7"/>
      <c r="AJ235" s="7"/>
      <c r="AK235" s="7"/>
      <c r="AL235" s="7"/>
      <c r="AM235" s="7"/>
    </row>
    <row r="236" spans="1:39" x14ac:dyDescent="0.2">
      <c r="A236" s="12"/>
      <c r="B236" s="62"/>
      <c r="C236" s="18"/>
      <c r="D236" s="18"/>
      <c r="E236" s="18"/>
      <c r="F236" s="18"/>
      <c r="G236" s="18"/>
      <c r="H236" s="18"/>
      <c r="I236" s="18"/>
      <c r="J236" s="18"/>
      <c r="K236" s="18"/>
      <c r="L236" s="18"/>
      <c r="M236" s="18"/>
      <c r="N236" s="18"/>
      <c r="O236" s="18"/>
      <c r="P236" s="18"/>
      <c r="Q236" s="7"/>
      <c r="R236" s="7"/>
      <c r="S236" s="7"/>
      <c r="T236" s="7"/>
      <c r="U236" s="7"/>
      <c r="V236" s="7"/>
      <c r="W236" s="19"/>
      <c r="X236" s="7"/>
      <c r="Y236" s="7"/>
      <c r="Z236" s="7"/>
      <c r="AA236" s="7"/>
      <c r="AB236" s="7"/>
      <c r="AC236" s="7"/>
      <c r="AD236" s="7"/>
      <c r="AE236" s="7"/>
      <c r="AF236" s="7"/>
      <c r="AG236" s="7"/>
      <c r="AH236" s="7"/>
      <c r="AI236" s="7"/>
      <c r="AJ236" s="7"/>
      <c r="AK236" s="7"/>
      <c r="AL236" s="7"/>
      <c r="AM236" s="7"/>
    </row>
    <row r="237" spans="1:39" x14ac:dyDescent="0.2">
      <c r="A237" s="12"/>
      <c r="B237" s="62"/>
      <c r="C237" s="18"/>
      <c r="D237" s="18"/>
      <c r="E237" s="18"/>
      <c r="F237" s="18"/>
      <c r="G237" s="18"/>
      <c r="H237" s="18"/>
      <c r="I237" s="18"/>
      <c r="J237" s="18"/>
      <c r="K237" s="18"/>
      <c r="L237" s="18"/>
      <c r="M237" s="18"/>
      <c r="N237" s="18"/>
      <c r="O237" s="18"/>
      <c r="P237" s="18"/>
      <c r="Q237" s="7"/>
      <c r="R237" s="7"/>
      <c r="S237" s="7"/>
      <c r="T237" s="7"/>
      <c r="U237" s="7"/>
      <c r="V237" s="7"/>
      <c r="W237" s="19"/>
      <c r="X237" s="7"/>
      <c r="Y237" s="7"/>
      <c r="Z237" s="7"/>
      <c r="AA237" s="7"/>
      <c r="AB237" s="7"/>
      <c r="AC237" s="7"/>
      <c r="AD237" s="7"/>
      <c r="AE237" s="7"/>
      <c r="AF237" s="7"/>
      <c r="AG237" s="7"/>
      <c r="AH237" s="7"/>
      <c r="AI237" s="7"/>
      <c r="AJ237" s="7"/>
      <c r="AK237" s="7"/>
      <c r="AL237" s="7"/>
      <c r="AM237" s="7"/>
    </row>
    <row r="238" spans="1:39" x14ac:dyDescent="0.2">
      <c r="A238" s="12"/>
      <c r="B238" s="62"/>
      <c r="C238" s="18"/>
      <c r="D238" s="18"/>
      <c r="E238" s="18"/>
      <c r="F238" s="18"/>
      <c r="G238" s="18"/>
      <c r="H238" s="18"/>
      <c r="I238" s="18"/>
      <c r="J238" s="18"/>
      <c r="K238" s="18"/>
      <c r="L238" s="18"/>
      <c r="M238" s="18"/>
      <c r="N238" s="18"/>
      <c r="O238" s="18"/>
      <c r="P238" s="18"/>
      <c r="Q238" s="7"/>
      <c r="R238" s="7"/>
      <c r="S238" s="7"/>
      <c r="T238" s="7"/>
      <c r="U238" s="7"/>
      <c r="V238" s="7"/>
      <c r="W238" s="19"/>
      <c r="X238" s="7"/>
      <c r="Y238" s="7"/>
      <c r="Z238" s="7"/>
      <c r="AA238" s="7"/>
      <c r="AB238" s="7"/>
      <c r="AC238" s="7"/>
      <c r="AD238" s="7"/>
      <c r="AE238" s="7"/>
      <c r="AF238" s="7"/>
      <c r="AG238" s="7"/>
      <c r="AH238" s="7"/>
      <c r="AI238" s="7"/>
      <c r="AJ238" s="7"/>
      <c r="AK238" s="7"/>
      <c r="AL238" s="7"/>
      <c r="AM238" s="7"/>
    </row>
    <row r="239" spans="1:39" x14ac:dyDescent="0.2">
      <c r="A239" s="12"/>
      <c r="B239" s="62"/>
      <c r="C239" s="18"/>
      <c r="D239" s="18"/>
      <c r="E239" s="18"/>
      <c r="F239" s="18"/>
      <c r="G239" s="18"/>
      <c r="H239" s="18"/>
      <c r="I239" s="18"/>
      <c r="J239" s="18"/>
      <c r="K239" s="18"/>
      <c r="L239" s="18"/>
      <c r="M239" s="18"/>
      <c r="N239" s="18"/>
      <c r="O239" s="18"/>
      <c r="P239" s="18"/>
      <c r="Q239" s="7"/>
      <c r="R239" s="7"/>
      <c r="S239" s="7"/>
      <c r="T239" s="7"/>
      <c r="U239" s="7"/>
      <c r="V239" s="7"/>
      <c r="W239" s="19"/>
      <c r="X239" s="7"/>
      <c r="Y239" s="7"/>
      <c r="Z239" s="7"/>
      <c r="AA239" s="7"/>
      <c r="AB239" s="7"/>
      <c r="AC239" s="7"/>
      <c r="AD239" s="7"/>
      <c r="AE239" s="7"/>
      <c r="AF239" s="7"/>
      <c r="AG239" s="7"/>
      <c r="AH239" s="7"/>
      <c r="AI239" s="7"/>
      <c r="AJ239" s="7"/>
      <c r="AK239" s="7"/>
      <c r="AL239" s="7"/>
      <c r="AM239" s="7"/>
    </row>
    <row r="240" spans="1:39" x14ac:dyDescent="0.2">
      <c r="A240" s="12"/>
      <c r="B240" s="62"/>
      <c r="C240" s="18"/>
      <c r="D240" s="18"/>
      <c r="E240" s="18"/>
      <c r="F240" s="18"/>
      <c r="G240" s="18"/>
      <c r="H240" s="18"/>
      <c r="I240" s="18"/>
      <c r="J240" s="18"/>
      <c r="K240" s="18"/>
      <c r="L240" s="18"/>
      <c r="M240" s="18"/>
      <c r="N240" s="18"/>
      <c r="O240" s="18"/>
      <c r="P240" s="18"/>
      <c r="Q240" s="7"/>
      <c r="R240" s="7"/>
      <c r="S240" s="7"/>
      <c r="T240" s="7"/>
      <c r="U240" s="7"/>
      <c r="V240" s="7"/>
      <c r="W240" s="19"/>
      <c r="X240" s="7"/>
      <c r="Y240" s="7"/>
      <c r="Z240" s="7"/>
      <c r="AA240" s="7"/>
      <c r="AB240" s="7"/>
      <c r="AC240" s="7"/>
      <c r="AD240" s="7"/>
      <c r="AE240" s="7"/>
      <c r="AF240" s="7"/>
      <c r="AG240" s="7"/>
      <c r="AH240" s="7"/>
      <c r="AI240" s="7"/>
      <c r="AJ240" s="7"/>
      <c r="AK240" s="7"/>
      <c r="AL240" s="7"/>
      <c r="AM240" s="7"/>
    </row>
    <row r="241" spans="1:39" x14ac:dyDescent="0.2">
      <c r="A241" s="12"/>
      <c r="B241" s="62"/>
      <c r="C241" s="18"/>
      <c r="D241" s="18"/>
      <c r="E241" s="18"/>
      <c r="F241" s="18"/>
      <c r="G241" s="18"/>
      <c r="H241" s="18"/>
      <c r="I241" s="18"/>
      <c r="J241" s="18"/>
      <c r="K241" s="18"/>
      <c r="L241" s="18"/>
      <c r="M241" s="18"/>
      <c r="N241" s="18"/>
      <c r="O241" s="18"/>
      <c r="P241" s="18"/>
      <c r="Q241" s="7"/>
      <c r="R241" s="7"/>
      <c r="S241" s="7"/>
      <c r="T241" s="7"/>
      <c r="U241" s="7"/>
      <c r="V241" s="7"/>
      <c r="W241" s="19"/>
      <c r="X241" s="7"/>
      <c r="Y241" s="7"/>
      <c r="Z241" s="7"/>
      <c r="AA241" s="7"/>
      <c r="AB241" s="7"/>
      <c r="AC241" s="7"/>
      <c r="AD241" s="7"/>
      <c r="AE241" s="7"/>
      <c r="AF241" s="7"/>
      <c r="AG241" s="7"/>
      <c r="AH241" s="7"/>
      <c r="AI241" s="7"/>
      <c r="AJ241" s="7"/>
      <c r="AK241" s="7"/>
      <c r="AL241" s="7"/>
      <c r="AM241" s="7"/>
    </row>
    <row r="242" spans="1:39" x14ac:dyDescent="0.2">
      <c r="A242" s="12"/>
      <c r="B242" s="62"/>
      <c r="C242" s="18"/>
      <c r="D242" s="18"/>
      <c r="E242" s="18"/>
      <c r="F242" s="18"/>
      <c r="G242" s="18"/>
      <c r="H242" s="18"/>
      <c r="I242" s="18"/>
      <c r="J242" s="18"/>
      <c r="K242" s="18"/>
      <c r="L242" s="18"/>
      <c r="M242" s="18"/>
      <c r="N242" s="18"/>
      <c r="O242" s="18"/>
      <c r="P242" s="18"/>
      <c r="Q242" s="7"/>
      <c r="R242" s="7"/>
      <c r="S242" s="7"/>
      <c r="T242" s="7"/>
      <c r="U242" s="7"/>
      <c r="V242" s="7"/>
      <c r="W242" s="19"/>
      <c r="X242" s="7"/>
      <c r="Y242" s="7"/>
      <c r="Z242" s="7"/>
      <c r="AA242" s="7"/>
      <c r="AB242" s="7"/>
      <c r="AC242" s="7"/>
      <c r="AD242" s="7"/>
      <c r="AE242" s="7"/>
      <c r="AF242" s="7"/>
      <c r="AG242" s="7"/>
      <c r="AH242" s="7"/>
      <c r="AI242" s="7"/>
      <c r="AJ242" s="7"/>
      <c r="AK242" s="7"/>
      <c r="AL242" s="7"/>
      <c r="AM242" s="7"/>
    </row>
    <row r="243" spans="1:39" x14ac:dyDescent="0.2">
      <c r="A243" s="12"/>
      <c r="B243" s="62"/>
      <c r="C243" s="18"/>
      <c r="D243" s="18"/>
      <c r="E243" s="18"/>
      <c r="F243" s="18"/>
      <c r="G243" s="18"/>
      <c r="H243" s="18"/>
      <c r="I243" s="18"/>
      <c r="J243" s="18"/>
      <c r="K243" s="18"/>
      <c r="L243" s="18"/>
      <c r="M243" s="18"/>
      <c r="N243" s="18"/>
      <c r="O243" s="18"/>
      <c r="P243" s="18"/>
      <c r="Q243" s="7"/>
      <c r="R243" s="7"/>
      <c r="S243" s="7"/>
      <c r="T243" s="7"/>
      <c r="U243" s="7"/>
      <c r="V243" s="7"/>
      <c r="W243" s="19"/>
      <c r="X243" s="7"/>
      <c r="Y243" s="7"/>
      <c r="Z243" s="7"/>
      <c r="AA243" s="7"/>
      <c r="AB243" s="7"/>
      <c r="AC243" s="7"/>
      <c r="AD243" s="7"/>
      <c r="AE243" s="7"/>
      <c r="AF243" s="7"/>
      <c r="AG243" s="7"/>
      <c r="AH243" s="7"/>
      <c r="AI243" s="7"/>
      <c r="AJ243" s="7"/>
      <c r="AK243" s="7"/>
      <c r="AL243" s="7"/>
      <c r="AM243" s="7"/>
    </row>
    <row r="244" spans="1:39" x14ac:dyDescent="0.2">
      <c r="A244" s="12"/>
      <c r="B244" s="62"/>
      <c r="C244" s="18"/>
      <c r="D244" s="18"/>
      <c r="E244" s="18"/>
      <c r="F244" s="18"/>
      <c r="G244" s="18"/>
      <c r="H244" s="18"/>
      <c r="I244" s="18"/>
      <c r="J244" s="18"/>
      <c r="K244" s="18"/>
      <c r="L244" s="18"/>
      <c r="M244" s="18"/>
      <c r="N244" s="18"/>
      <c r="O244" s="18"/>
      <c r="P244" s="18"/>
      <c r="Q244" s="7"/>
      <c r="R244" s="7"/>
      <c r="S244" s="7"/>
      <c r="T244" s="7"/>
      <c r="U244" s="7"/>
      <c r="V244" s="7"/>
      <c r="W244" s="19"/>
      <c r="X244" s="7"/>
      <c r="Y244" s="7"/>
      <c r="Z244" s="7"/>
      <c r="AA244" s="7"/>
      <c r="AB244" s="7"/>
      <c r="AC244" s="7"/>
      <c r="AD244" s="7"/>
      <c r="AE244" s="7"/>
      <c r="AF244" s="7"/>
      <c r="AG244" s="7"/>
      <c r="AH244" s="7"/>
      <c r="AI244" s="7"/>
      <c r="AJ244" s="7"/>
      <c r="AK244" s="7"/>
      <c r="AL244" s="7"/>
      <c r="AM244" s="7"/>
    </row>
    <row r="245" spans="1:39" x14ac:dyDescent="0.2">
      <c r="A245" s="12"/>
      <c r="B245" s="62"/>
      <c r="C245" s="18"/>
      <c r="D245" s="18"/>
      <c r="E245" s="18"/>
      <c r="F245" s="18"/>
      <c r="G245" s="18"/>
      <c r="H245" s="18"/>
      <c r="I245" s="18"/>
      <c r="J245" s="18"/>
      <c r="K245" s="18"/>
      <c r="L245" s="18"/>
      <c r="M245" s="18"/>
      <c r="N245" s="18"/>
      <c r="O245" s="18"/>
      <c r="P245" s="18"/>
      <c r="Q245" s="7"/>
      <c r="R245" s="7"/>
      <c r="S245" s="7"/>
      <c r="T245" s="7"/>
      <c r="U245" s="7"/>
      <c r="V245" s="7"/>
      <c r="W245" s="19"/>
      <c r="X245" s="7"/>
      <c r="Y245" s="7"/>
      <c r="Z245" s="7"/>
      <c r="AA245" s="7"/>
      <c r="AB245" s="7"/>
      <c r="AC245" s="7"/>
      <c r="AD245" s="7"/>
      <c r="AE245" s="7"/>
      <c r="AF245" s="7"/>
      <c r="AG245" s="7"/>
      <c r="AH245" s="7"/>
      <c r="AI245" s="7"/>
      <c r="AJ245" s="7"/>
      <c r="AK245" s="7"/>
      <c r="AL245" s="7"/>
      <c r="AM245" s="7"/>
    </row>
    <row r="246" spans="1:39" x14ac:dyDescent="0.2">
      <c r="A246" s="12"/>
      <c r="B246" s="62"/>
      <c r="C246" s="18"/>
      <c r="D246" s="18"/>
      <c r="E246" s="18"/>
      <c r="F246" s="18"/>
      <c r="G246" s="18"/>
      <c r="H246" s="18"/>
      <c r="I246" s="18"/>
      <c r="J246" s="18"/>
      <c r="K246" s="18"/>
      <c r="L246" s="18"/>
      <c r="M246" s="18"/>
      <c r="N246" s="18"/>
      <c r="O246" s="18"/>
      <c r="P246" s="18"/>
      <c r="Q246" s="7"/>
      <c r="R246" s="7"/>
      <c r="S246" s="7"/>
      <c r="T246" s="7"/>
      <c r="U246" s="7"/>
      <c r="V246" s="7"/>
      <c r="W246" s="19"/>
      <c r="X246" s="7"/>
      <c r="Y246" s="7"/>
      <c r="Z246" s="7"/>
      <c r="AA246" s="7"/>
      <c r="AB246" s="7"/>
      <c r="AC246" s="7"/>
      <c r="AD246" s="7"/>
      <c r="AE246" s="7"/>
      <c r="AF246" s="7"/>
      <c r="AG246" s="7"/>
      <c r="AH246" s="7"/>
      <c r="AI246" s="7"/>
      <c r="AJ246" s="7"/>
      <c r="AK246" s="7"/>
      <c r="AL246" s="7"/>
      <c r="AM246" s="7"/>
    </row>
    <row r="247" spans="1:39" x14ac:dyDescent="0.2">
      <c r="A247" s="12"/>
      <c r="B247" s="62"/>
      <c r="C247" s="18"/>
      <c r="D247" s="18"/>
      <c r="E247" s="18"/>
      <c r="F247" s="18"/>
      <c r="G247" s="18"/>
      <c r="H247" s="18"/>
      <c r="I247" s="18"/>
      <c r="J247" s="18"/>
      <c r="K247" s="18"/>
      <c r="L247" s="18"/>
      <c r="M247" s="18"/>
      <c r="N247" s="18"/>
      <c r="O247" s="18"/>
      <c r="P247" s="18"/>
      <c r="Q247" s="7"/>
      <c r="R247" s="7"/>
      <c r="S247" s="7"/>
      <c r="T247" s="7"/>
      <c r="U247" s="7"/>
      <c r="V247" s="7"/>
      <c r="W247" s="19"/>
      <c r="X247" s="7"/>
      <c r="Y247" s="7"/>
      <c r="Z247" s="7"/>
      <c r="AA247" s="7"/>
      <c r="AB247" s="7"/>
      <c r="AC247" s="7"/>
      <c r="AD247" s="7"/>
      <c r="AE247" s="7"/>
      <c r="AF247" s="7"/>
      <c r="AG247" s="7"/>
      <c r="AH247" s="7"/>
      <c r="AI247" s="7"/>
      <c r="AJ247" s="7"/>
      <c r="AK247" s="7"/>
      <c r="AL247" s="7"/>
      <c r="AM247" s="7"/>
    </row>
    <row r="248" spans="1:39" x14ac:dyDescent="0.2">
      <c r="A248" s="12"/>
      <c r="B248" s="62"/>
      <c r="C248" s="18"/>
      <c r="D248" s="18"/>
      <c r="E248" s="18"/>
      <c r="F248" s="18"/>
      <c r="G248" s="18"/>
      <c r="H248" s="18"/>
      <c r="I248" s="18"/>
      <c r="J248" s="18"/>
      <c r="K248" s="18"/>
      <c r="L248" s="18"/>
      <c r="M248" s="18"/>
      <c r="N248" s="18"/>
      <c r="O248" s="18"/>
      <c r="P248" s="18"/>
      <c r="Q248" s="7"/>
      <c r="R248" s="7"/>
      <c r="S248" s="7"/>
      <c r="T248" s="7"/>
      <c r="U248" s="7"/>
      <c r="V248" s="7"/>
      <c r="W248" s="19"/>
      <c r="X248" s="7"/>
      <c r="Y248" s="7"/>
      <c r="Z248" s="7"/>
      <c r="AA248" s="7"/>
      <c r="AB248" s="7"/>
      <c r="AC248" s="7"/>
      <c r="AD248" s="7"/>
      <c r="AE248" s="7"/>
      <c r="AF248" s="7"/>
      <c r="AG248" s="7"/>
      <c r="AH248" s="7"/>
      <c r="AI248" s="7"/>
      <c r="AJ248" s="7"/>
      <c r="AK248" s="7"/>
      <c r="AL248" s="7"/>
      <c r="AM248" s="7"/>
    </row>
    <row r="249" spans="1:39" x14ac:dyDescent="0.2">
      <c r="A249" s="12"/>
      <c r="B249" s="62"/>
      <c r="C249" s="18"/>
      <c r="D249" s="18"/>
      <c r="E249" s="18"/>
      <c r="F249" s="18"/>
      <c r="G249" s="18"/>
      <c r="H249" s="18"/>
      <c r="I249" s="18"/>
      <c r="J249" s="18"/>
      <c r="K249" s="18"/>
      <c r="L249" s="18"/>
      <c r="M249" s="18"/>
      <c r="N249" s="18"/>
      <c r="O249" s="18"/>
      <c r="P249" s="18"/>
      <c r="Q249" s="7"/>
      <c r="R249" s="7"/>
      <c r="S249" s="7"/>
      <c r="T249" s="7"/>
      <c r="U249" s="7"/>
      <c r="V249" s="7"/>
      <c r="W249" s="19"/>
      <c r="X249" s="7"/>
      <c r="Y249" s="7"/>
      <c r="Z249" s="7"/>
      <c r="AA249" s="7"/>
      <c r="AB249" s="7"/>
      <c r="AC249" s="7"/>
      <c r="AD249" s="7"/>
      <c r="AE249" s="7"/>
      <c r="AF249" s="7"/>
      <c r="AG249" s="7"/>
      <c r="AH249" s="7"/>
      <c r="AI249" s="7"/>
      <c r="AJ249" s="7"/>
      <c r="AK249" s="7"/>
      <c r="AL249" s="7"/>
      <c r="AM249" s="7"/>
    </row>
    <row r="250" spans="1:39" x14ac:dyDescent="0.2">
      <c r="A250" s="62"/>
      <c r="B250" s="62"/>
      <c r="C250" s="18"/>
      <c r="D250" s="18"/>
      <c r="E250" s="18"/>
      <c r="F250" s="18"/>
      <c r="G250" s="18"/>
      <c r="H250" s="18"/>
      <c r="I250" s="18"/>
      <c r="J250" s="18"/>
      <c r="K250" s="18"/>
      <c r="L250" s="18"/>
      <c r="M250" s="18"/>
      <c r="N250" s="18"/>
      <c r="O250" s="18"/>
      <c r="P250" s="18"/>
      <c r="Q250" s="7"/>
      <c r="R250" s="7"/>
      <c r="S250" s="7"/>
      <c r="T250" s="7"/>
      <c r="U250" s="7"/>
      <c r="V250" s="7"/>
      <c r="W250" s="19"/>
      <c r="X250" s="7"/>
      <c r="Y250" s="7"/>
      <c r="Z250" s="7"/>
      <c r="AA250" s="7"/>
      <c r="AB250" s="7"/>
      <c r="AC250" s="7"/>
      <c r="AD250" s="7"/>
      <c r="AE250" s="7"/>
      <c r="AF250" s="7"/>
      <c r="AG250" s="7"/>
      <c r="AH250" s="7"/>
      <c r="AI250" s="7"/>
      <c r="AJ250" s="7"/>
      <c r="AK250" s="7"/>
      <c r="AL250" s="7"/>
      <c r="AM250" s="7"/>
    </row>
    <row r="251" spans="1:39" x14ac:dyDescent="0.2">
      <c r="A251" s="62"/>
      <c r="B251" s="62"/>
      <c r="C251" s="18"/>
      <c r="D251" s="18"/>
      <c r="E251" s="18"/>
      <c r="F251" s="18"/>
      <c r="G251" s="18"/>
      <c r="H251" s="18"/>
      <c r="I251" s="18"/>
      <c r="J251" s="18"/>
      <c r="K251" s="18"/>
      <c r="L251" s="18"/>
      <c r="M251" s="18"/>
      <c r="N251" s="18"/>
      <c r="O251" s="18"/>
      <c r="P251" s="18"/>
      <c r="Q251" s="7"/>
      <c r="R251" s="7"/>
      <c r="S251" s="7"/>
      <c r="T251" s="7"/>
      <c r="U251" s="7"/>
      <c r="V251" s="7"/>
      <c r="W251" s="19"/>
      <c r="X251" s="7"/>
      <c r="Y251" s="7"/>
      <c r="Z251" s="7"/>
      <c r="AA251" s="7"/>
      <c r="AB251" s="7"/>
      <c r="AC251" s="7"/>
      <c r="AD251" s="7"/>
      <c r="AE251" s="7"/>
      <c r="AF251" s="7"/>
      <c r="AG251" s="7"/>
      <c r="AH251" s="7"/>
      <c r="AI251" s="7"/>
      <c r="AJ251" s="7"/>
      <c r="AK251" s="7"/>
      <c r="AL251" s="7"/>
      <c r="AM251" s="7"/>
    </row>
    <row r="252" spans="1:39" x14ac:dyDescent="0.2">
      <c r="A252" s="62"/>
      <c r="B252" s="62"/>
      <c r="C252" s="18"/>
      <c r="D252" s="18"/>
      <c r="E252" s="18"/>
      <c r="F252" s="18"/>
      <c r="G252" s="18"/>
      <c r="H252" s="18"/>
      <c r="I252" s="18"/>
      <c r="J252" s="18"/>
      <c r="K252" s="18"/>
      <c r="L252" s="18"/>
      <c r="M252" s="18"/>
      <c r="N252" s="18"/>
      <c r="O252" s="18"/>
      <c r="P252" s="18"/>
      <c r="Q252" s="7"/>
      <c r="R252" s="7"/>
      <c r="S252" s="7"/>
      <c r="T252" s="7"/>
      <c r="U252" s="7"/>
      <c r="V252" s="7"/>
      <c r="W252" s="19"/>
      <c r="X252" s="7"/>
      <c r="Y252" s="7"/>
      <c r="Z252" s="7"/>
      <c r="AA252" s="7"/>
      <c r="AB252" s="7"/>
      <c r="AC252" s="7"/>
      <c r="AD252" s="7"/>
      <c r="AE252" s="7"/>
      <c r="AF252" s="7"/>
      <c r="AG252" s="7"/>
      <c r="AH252" s="7"/>
      <c r="AI252" s="7"/>
      <c r="AJ252" s="7"/>
      <c r="AK252" s="7"/>
      <c r="AL252" s="7"/>
      <c r="AM252" s="7"/>
    </row>
    <row r="253" spans="1:39" x14ac:dyDescent="0.2">
      <c r="A253" s="62"/>
      <c r="B253" s="62"/>
      <c r="C253" s="18"/>
      <c r="D253" s="18"/>
      <c r="E253" s="18"/>
      <c r="F253" s="18"/>
      <c r="G253" s="18"/>
      <c r="H253" s="18"/>
      <c r="I253" s="18"/>
      <c r="J253" s="18"/>
      <c r="K253" s="18"/>
      <c r="L253" s="18"/>
      <c r="M253" s="18"/>
      <c r="N253" s="18"/>
      <c r="O253" s="18"/>
      <c r="P253" s="18"/>
      <c r="Q253" s="7"/>
      <c r="R253" s="7"/>
      <c r="S253" s="7"/>
      <c r="T253" s="7"/>
      <c r="U253" s="7"/>
      <c r="V253" s="7"/>
      <c r="W253" s="19"/>
      <c r="X253" s="7"/>
      <c r="Y253" s="7"/>
      <c r="Z253" s="7"/>
      <c r="AA253" s="7"/>
      <c r="AB253" s="7"/>
      <c r="AC253" s="7"/>
      <c r="AD253" s="7"/>
      <c r="AE253" s="7"/>
      <c r="AF253" s="7"/>
      <c r="AG253" s="7"/>
      <c r="AH253" s="7"/>
      <c r="AI253" s="7"/>
      <c r="AJ253" s="7"/>
      <c r="AK253" s="7"/>
      <c r="AL253" s="7"/>
      <c r="AM253" s="7"/>
    </row>
    <row r="254" spans="1:39" x14ac:dyDescent="0.2">
      <c r="A254" s="62"/>
      <c r="B254" s="62"/>
      <c r="C254" s="18"/>
      <c r="D254" s="18"/>
      <c r="E254" s="18"/>
      <c r="F254" s="18"/>
      <c r="G254" s="18"/>
      <c r="H254" s="18"/>
      <c r="I254" s="18"/>
      <c r="J254" s="18"/>
      <c r="K254" s="18"/>
      <c r="L254" s="18"/>
      <c r="M254" s="18"/>
      <c r="N254" s="18"/>
      <c r="O254" s="18"/>
      <c r="P254" s="18"/>
      <c r="Q254" s="7"/>
      <c r="R254" s="7"/>
      <c r="S254" s="7"/>
      <c r="T254" s="7"/>
      <c r="U254" s="7"/>
      <c r="V254" s="7"/>
      <c r="W254" s="19"/>
      <c r="X254" s="7"/>
      <c r="Y254" s="7"/>
      <c r="Z254" s="7"/>
      <c r="AA254" s="7"/>
      <c r="AB254" s="7"/>
      <c r="AC254" s="7"/>
      <c r="AD254" s="7"/>
      <c r="AE254" s="7"/>
      <c r="AF254" s="7"/>
      <c r="AG254" s="7"/>
      <c r="AH254" s="7"/>
      <c r="AI254" s="7"/>
      <c r="AJ254" s="7"/>
      <c r="AK254" s="7"/>
      <c r="AL254" s="7"/>
      <c r="AM254" s="7"/>
    </row>
    <row r="255" spans="1:39" x14ac:dyDescent="0.2">
      <c r="A255" s="62"/>
      <c r="B255" s="62"/>
      <c r="C255" s="18"/>
      <c r="D255" s="18"/>
      <c r="E255" s="18"/>
      <c r="F255" s="18"/>
      <c r="G255" s="18"/>
      <c r="H255" s="18"/>
      <c r="I255" s="18"/>
      <c r="J255" s="18"/>
      <c r="K255" s="18"/>
      <c r="L255" s="18"/>
      <c r="M255" s="18"/>
      <c r="N255" s="18"/>
      <c r="O255" s="18"/>
      <c r="P255" s="18"/>
      <c r="Q255" s="7"/>
      <c r="R255" s="7"/>
      <c r="S255" s="7"/>
      <c r="T255" s="7"/>
      <c r="U255" s="7"/>
      <c r="V255" s="7"/>
      <c r="W255" s="19"/>
      <c r="X255" s="7"/>
      <c r="Y255" s="7"/>
      <c r="Z255" s="7"/>
      <c r="AA255" s="7"/>
      <c r="AB255" s="7"/>
      <c r="AC255" s="7"/>
      <c r="AD255" s="7"/>
      <c r="AE255" s="7"/>
      <c r="AF255" s="7"/>
      <c r="AG255" s="7"/>
      <c r="AH255" s="7"/>
      <c r="AI255" s="7"/>
      <c r="AJ255" s="7"/>
      <c r="AK255" s="7"/>
      <c r="AL255" s="7"/>
      <c r="AM255" s="7"/>
    </row>
    <row r="256" spans="1:39" x14ac:dyDescent="0.2">
      <c r="A256" s="62"/>
      <c r="B256" s="62"/>
      <c r="C256" s="18"/>
      <c r="D256" s="18"/>
      <c r="E256" s="18"/>
      <c r="F256" s="18"/>
      <c r="G256" s="18"/>
      <c r="H256" s="18"/>
      <c r="I256" s="18"/>
      <c r="J256" s="18"/>
      <c r="K256" s="18"/>
      <c r="L256" s="18"/>
      <c r="M256" s="18"/>
      <c r="N256" s="18"/>
      <c r="O256" s="18"/>
      <c r="P256" s="18"/>
      <c r="Q256" s="7"/>
      <c r="R256" s="7"/>
      <c r="S256" s="7"/>
      <c r="T256" s="7"/>
      <c r="U256" s="7"/>
      <c r="V256" s="7"/>
      <c r="W256" s="19"/>
      <c r="X256" s="7"/>
      <c r="Y256" s="7"/>
      <c r="Z256" s="7"/>
      <c r="AA256" s="7"/>
      <c r="AB256" s="7"/>
      <c r="AC256" s="7"/>
      <c r="AD256" s="7"/>
      <c r="AE256" s="7"/>
      <c r="AF256" s="7"/>
      <c r="AG256" s="7"/>
      <c r="AH256" s="7"/>
      <c r="AI256" s="7"/>
      <c r="AJ256" s="7"/>
      <c r="AK256" s="7"/>
      <c r="AL256" s="7"/>
      <c r="AM256" s="7"/>
    </row>
    <row r="257" spans="1:39" x14ac:dyDescent="0.2">
      <c r="A257" s="62"/>
      <c r="B257" s="62"/>
      <c r="C257" s="18"/>
      <c r="D257" s="18"/>
      <c r="E257" s="18"/>
      <c r="F257" s="18"/>
      <c r="G257" s="18"/>
      <c r="H257" s="18"/>
      <c r="I257" s="18"/>
      <c r="J257" s="18"/>
      <c r="K257" s="18"/>
      <c r="L257" s="18"/>
      <c r="M257" s="18"/>
      <c r="N257" s="18"/>
      <c r="O257" s="18"/>
      <c r="P257" s="18"/>
      <c r="Q257" s="7"/>
      <c r="R257" s="7"/>
      <c r="S257" s="7"/>
      <c r="T257" s="7"/>
      <c r="U257" s="7"/>
      <c r="V257" s="7"/>
      <c r="W257" s="19"/>
      <c r="X257" s="7"/>
      <c r="Y257" s="7"/>
      <c r="Z257" s="7"/>
      <c r="AA257" s="7"/>
      <c r="AB257" s="7"/>
      <c r="AC257" s="7"/>
      <c r="AD257" s="7"/>
      <c r="AE257" s="7"/>
      <c r="AF257" s="7"/>
      <c r="AG257" s="7"/>
      <c r="AH257" s="7"/>
      <c r="AI257" s="7"/>
      <c r="AJ257" s="7"/>
      <c r="AK257" s="7"/>
      <c r="AL257" s="7"/>
      <c r="AM257" s="7"/>
    </row>
    <row r="258" spans="1:39" x14ac:dyDescent="0.2">
      <c r="A258" s="62"/>
      <c r="B258" s="62"/>
      <c r="C258" s="18"/>
      <c r="D258" s="18"/>
      <c r="E258" s="18"/>
      <c r="F258" s="18"/>
      <c r="G258" s="18"/>
      <c r="H258" s="18"/>
      <c r="I258" s="18"/>
      <c r="J258" s="18"/>
      <c r="K258" s="18"/>
      <c r="L258" s="18"/>
      <c r="M258" s="18"/>
      <c r="N258" s="18"/>
      <c r="O258" s="18"/>
      <c r="P258" s="18"/>
      <c r="Q258" s="7"/>
      <c r="R258" s="7"/>
      <c r="S258" s="7"/>
      <c r="T258" s="7"/>
      <c r="U258" s="7"/>
      <c r="V258" s="7"/>
      <c r="W258" s="19"/>
      <c r="X258" s="7"/>
      <c r="Y258" s="7"/>
      <c r="Z258" s="7"/>
      <c r="AA258" s="7"/>
      <c r="AB258" s="7"/>
      <c r="AC258" s="7"/>
      <c r="AD258" s="7"/>
      <c r="AE258" s="7"/>
      <c r="AF258" s="7"/>
      <c r="AG258" s="7"/>
      <c r="AH258" s="7"/>
      <c r="AI258" s="7"/>
      <c r="AJ258" s="7"/>
      <c r="AK258" s="7"/>
      <c r="AL258" s="7"/>
      <c r="AM258" s="7"/>
    </row>
    <row r="259" spans="1:39" x14ac:dyDescent="0.2">
      <c r="A259" s="62"/>
      <c r="B259" s="62"/>
      <c r="C259" s="18"/>
      <c r="D259" s="18"/>
      <c r="E259" s="18"/>
      <c r="F259" s="18"/>
      <c r="G259" s="18"/>
      <c r="H259" s="18"/>
      <c r="I259" s="18"/>
      <c r="J259" s="18"/>
      <c r="K259" s="18"/>
      <c r="L259" s="18"/>
      <c r="M259" s="18"/>
      <c r="N259" s="18"/>
      <c r="O259" s="18"/>
      <c r="P259" s="18"/>
      <c r="Q259" s="7"/>
      <c r="R259" s="7"/>
      <c r="S259" s="7"/>
      <c r="T259" s="7"/>
      <c r="U259" s="7"/>
      <c r="V259" s="7"/>
      <c r="W259" s="19"/>
      <c r="X259" s="7"/>
      <c r="Y259" s="7"/>
      <c r="Z259" s="7"/>
      <c r="AA259" s="7"/>
      <c r="AB259" s="7"/>
      <c r="AC259" s="7"/>
      <c r="AD259" s="7"/>
      <c r="AE259" s="7"/>
      <c r="AF259" s="7"/>
      <c r="AG259" s="7"/>
      <c r="AH259" s="7"/>
      <c r="AI259" s="7"/>
      <c r="AJ259" s="7"/>
      <c r="AK259" s="7"/>
      <c r="AL259" s="7"/>
      <c r="AM259" s="7"/>
    </row>
    <row r="260" spans="1:39" x14ac:dyDescent="0.2">
      <c r="A260" s="62"/>
      <c r="B260" s="62"/>
      <c r="C260" s="18"/>
      <c r="D260" s="18"/>
      <c r="E260" s="18"/>
      <c r="F260" s="18"/>
      <c r="G260" s="18"/>
      <c r="H260" s="18"/>
      <c r="I260" s="18"/>
      <c r="J260" s="18"/>
      <c r="K260" s="18"/>
      <c r="L260" s="18"/>
      <c r="M260" s="18"/>
      <c r="N260" s="18"/>
      <c r="O260" s="18"/>
      <c r="P260" s="18"/>
      <c r="Q260" s="7"/>
      <c r="R260" s="7"/>
      <c r="S260" s="7"/>
      <c r="T260" s="7"/>
      <c r="U260" s="7"/>
      <c r="V260" s="7"/>
      <c r="W260" s="19"/>
      <c r="X260" s="7"/>
      <c r="Y260" s="7"/>
      <c r="Z260" s="7"/>
      <c r="AA260" s="7"/>
      <c r="AB260" s="7"/>
      <c r="AC260" s="7"/>
      <c r="AD260" s="7"/>
      <c r="AE260" s="7"/>
      <c r="AF260" s="7"/>
      <c r="AG260" s="7"/>
      <c r="AH260" s="7"/>
      <c r="AI260" s="7"/>
      <c r="AJ260" s="7"/>
      <c r="AK260" s="7"/>
      <c r="AL260" s="7"/>
      <c r="AM260" s="7"/>
    </row>
    <row r="261" spans="1:39" x14ac:dyDescent="0.2">
      <c r="A261" s="62"/>
      <c r="B261" s="62"/>
      <c r="C261" s="18"/>
      <c r="D261" s="18"/>
      <c r="E261" s="18"/>
      <c r="F261" s="18"/>
      <c r="G261" s="18"/>
      <c r="H261" s="18"/>
      <c r="I261" s="18"/>
      <c r="J261" s="18"/>
      <c r="K261" s="18"/>
      <c r="L261" s="18"/>
      <c r="M261" s="18"/>
      <c r="N261" s="18"/>
      <c r="O261" s="18"/>
      <c r="P261" s="18"/>
      <c r="Q261" s="7"/>
      <c r="R261" s="7"/>
      <c r="S261" s="7"/>
      <c r="T261" s="7"/>
      <c r="U261" s="7"/>
      <c r="V261" s="7"/>
      <c r="W261" s="19"/>
      <c r="X261" s="7"/>
      <c r="Y261" s="7"/>
      <c r="Z261" s="7"/>
      <c r="AA261" s="7"/>
      <c r="AB261" s="7"/>
      <c r="AC261" s="7"/>
      <c r="AD261" s="7"/>
      <c r="AE261" s="7"/>
      <c r="AF261" s="7"/>
      <c r="AG261" s="7"/>
      <c r="AH261" s="7"/>
      <c r="AI261" s="7"/>
      <c r="AJ261" s="7"/>
      <c r="AK261" s="7"/>
      <c r="AL261" s="7"/>
      <c r="AM261" s="7"/>
    </row>
    <row r="262" spans="1:39" x14ac:dyDescent="0.2">
      <c r="A262" s="62"/>
      <c r="B262" s="62"/>
      <c r="C262" s="18"/>
      <c r="D262" s="18"/>
      <c r="E262" s="18"/>
      <c r="F262" s="18"/>
      <c r="G262" s="18"/>
      <c r="H262" s="18"/>
      <c r="I262" s="18"/>
      <c r="J262" s="18"/>
      <c r="K262" s="18"/>
      <c r="L262" s="18"/>
      <c r="M262" s="18"/>
      <c r="N262" s="18"/>
      <c r="O262" s="18"/>
      <c r="P262" s="18"/>
      <c r="Q262" s="7"/>
      <c r="R262" s="7"/>
      <c r="S262" s="7"/>
      <c r="T262" s="7"/>
      <c r="U262" s="7"/>
      <c r="V262" s="7"/>
      <c r="W262" s="19"/>
      <c r="X262" s="7"/>
      <c r="Y262" s="7"/>
      <c r="Z262" s="7"/>
      <c r="AA262" s="7"/>
      <c r="AB262" s="7"/>
      <c r="AC262" s="7"/>
      <c r="AD262" s="7"/>
      <c r="AE262" s="7"/>
      <c r="AF262" s="7"/>
      <c r="AG262" s="7"/>
      <c r="AH262" s="7"/>
      <c r="AI262" s="7"/>
      <c r="AJ262" s="7"/>
      <c r="AK262" s="7"/>
      <c r="AL262" s="7"/>
      <c r="AM262" s="7"/>
    </row>
    <row r="263" spans="1:39" x14ac:dyDescent="0.2">
      <c r="A263" s="62"/>
      <c r="B263" s="62"/>
      <c r="C263" s="18"/>
      <c r="D263" s="18"/>
      <c r="E263" s="18"/>
      <c r="F263" s="18"/>
      <c r="G263" s="18"/>
      <c r="H263" s="18"/>
      <c r="I263" s="18"/>
      <c r="J263" s="18"/>
      <c r="K263" s="18"/>
      <c r="L263" s="18"/>
      <c r="M263" s="18"/>
      <c r="N263" s="18"/>
      <c r="O263" s="18"/>
      <c r="P263" s="18"/>
      <c r="Q263" s="7"/>
      <c r="R263" s="7"/>
      <c r="S263" s="7"/>
      <c r="T263" s="7"/>
      <c r="U263" s="7"/>
      <c r="V263" s="7"/>
      <c r="W263" s="19"/>
      <c r="X263" s="7"/>
      <c r="Y263" s="7"/>
      <c r="Z263" s="7"/>
      <c r="AA263" s="7"/>
      <c r="AB263" s="7"/>
      <c r="AC263" s="7"/>
      <c r="AD263" s="7"/>
      <c r="AE263" s="7"/>
      <c r="AF263" s="7"/>
      <c r="AG263" s="7"/>
      <c r="AH263" s="7"/>
      <c r="AI263" s="7"/>
      <c r="AJ263" s="7"/>
      <c r="AK263" s="7"/>
      <c r="AL263" s="7"/>
      <c r="AM263" s="7"/>
    </row>
    <row r="264" spans="1:39" x14ac:dyDescent="0.2">
      <c r="A264" s="62"/>
      <c r="B264" s="62"/>
      <c r="C264" s="18"/>
      <c r="D264" s="18"/>
      <c r="E264" s="18"/>
      <c r="F264" s="18"/>
      <c r="G264" s="18"/>
      <c r="H264" s="18"/>
      <c r="I264" s="18"/>
      <c r="J264" s="18"/>
      <c r="K264" s="18"/>
      <c r="L264" s="18"/>
      <c r="M264" s="18"/>
      <c r="N264" s="18"/>
      <c r="O264" s="18"/>
      <c r="P264" s="18"/>
      <c r="Q264" s="7"/>
      <c r="R264" s="7"/>
      <c r="S264" s="7"/>
      <c r="T264" s="7"/>
      <c r="U264" s="7"/>
      <c r="V264" s="7"/>
      <c r="W264" s="19"/>
      <c r="X264" s="7"/>
      <c r="Y264" s="7"/>
      <c r="Z264" s="7"/>
      <c r="AA264" s="7"/>
      <c r="AB264" s="7"/>
      <c r="AC264" s="7"/>
      <c r="AD264" s="7"/>
      <c r="AE264" s="7"/>
      <c r="AF264" s="7"/>
      <c r="AG264" s="7"/>
      <c r="AH264" s="7"/>
      <c r="AI264" s="7"/>
      <c r="AJ264" s="7"/>
      <c r="AK264" s="7"/>
      <c r="AL264" s="7"/>
      <c r="AM264" s="7"/>
    </row>
    <row r="265" spans="1:39" x14ac:dyDescent="0.2">
      <c r="A265" s="62"/>
      <c r="B265" s="62"/>
      <c r="C265" s="18"/>
      <c r="D265" s="18"/>
      <c r="E265" s="18"/>
      <c r="F265" s="18"/>
      <c r="G265" s="18"/>
      <c r="H265" s="18"/>
      <c r="I265" s="18"/>
      <c r="J265" s="18"/>
      <c r="K265" s="18"/>
      <c r="L265" s="18"/>
      <c r="M265" s="18"/>
      <c r="N265" s="18"/>
      <c r="O265" s="18"/>
      <c r="P265" s="18"/>
      <c r="Q265" s="7"/>
      <c r="R265" s="7"/>
      <c r="S265" s="7"/>
      <c r="T265" s="7"/>
      <c r="U265" s="7"/>
      <c r="V265" s="7"/>
      <c r="W265" s="19"/>
      <c r="X265" s="7"/>
      <c r="Y265" s="7"/>
      <c r="Z265" s="7"/>
      <c r="AA265" s="7"/>
      <c r="AB265" s="7"/>
      <c r="AC265" s="7"/>
      <c r="AD265" s="7"/>
      <c r="AE265" s="7"/>
      <c r="AF265" s="7"/>
      <c r="AG265" s="7"/>
      <c r="AH265" s="7"/>
      <c r="AI265" s="7"/>
      <c r="AJ265" s="7"/>
      <c r="AK265" s="7"/>
      <c r="AL265" s="7"/>
      <c r="AM265" s="7"/>
    </row>
    <row r="266" spans="1:39" x14ac:dyDescent="0.2">
      <c r="A266" s="62"/>
      <c r="B266" s="62"/>
      <c r="C266" s="18"/>
      <c r="D266" s="18"/>
      <c r="E266" s="18"/>
      <c r="F266" s="18"/>
      <c r="G266" s="18"/>
      <c r="H266" s="18"/>
      <c r="I266" s="18"/>
      <c r="J266" s="18"/>
      <c r="K266" s="18"/>
      <c r="L266" s="18"/>
      <c r="M266" s="18"/>
      <c r="N266" s="18"/>
      <c r="O266" s="18"/>
      <c r="P266" s="18"/>
      <c r="Q266" s="7"/>
      <c r="R266" s="7"/>
      <c r="S266" s="7"/>
      <c r="T266" s="7"/>
      <c r="U266" s="7"/>
      <c r="V266" s="7"/>
      <c r="W266" s="19"/>
      <c r="X266" s="7"/>
      <c r="Y266" s="7"/>
      <c r="Z266" s="7"/>
      <c r="AA266" s="7"/>
      <c r="AB266" s="7"/>
      <c r="AC266" s="7"/>
      <c r="AD266" s="7"/>
      <c r="AE266" s="7"/>
      <c r="AF266" s="7"/>
      <c r="AG266" s="7"/>
      <c r="AH266" s="7"/>
      <c r="AI266" s="7"/>
      <c r="AJ266" s="7"/>
      <c r="AK266" s="7"/>
      <c r="AL266" s="7"/>
      <c r="AM266" s="7"/>
    </row>
    <row r="267" spans="1:39" x14ac:dyDescent="0.2">
      <c r="A267" s="62"/>
      <c r="B267" s="62"/>
      <c r="C267" s="18"/>
      <c r="D267" s="18"/>
      <c r="E267" s="18"/>
      <c r="F267" s="18"/>
      <c r="G267" s="18"/>
      <c r="H267" s="18"/>
      <c r="I267" s="18"/>
      <c r="J267" s="18"/>
      <c r="K267" s="18"/>
      <c r="L267" s="18"/>
      <c r="M267" s="18"/>
      <c r="N267" s="18"/>
      <c r="O267" s="18"/>
      <c r="P267" s="18"/>
      <c r="Q267" s="7"/>
      <c r="R267" s="7"/>
      <c r="S267" s="7"/>
      <c r="T267" s="7"/>
      <c r="U267" s="7"/>
      <c r="V267" s="7"/>
      <c r="W267" s="19"/>
      <c r="X267" s="7"/>
      <c r="Y267" s="7"/>
      <c r="Z267" s="7"/>
      <c r="AA267" s="7"/>
      <c r="AB267" s="7"/>
      <c r="AC267" s="7"/>
      <c r="AD267" s="7"/>
      <c r="AE267" s="7"/>
      <c r="AF267" s="7"/>
      <c r="AG267" s="7"/>
      <c r="AH267" s="7"/>
      <c r="AI267" s="7"/>
      <c r="AJ267" s="7"/>
      <c r="AK267" s="7"/>
      <c r="AL267" s="7"/>
      <c r="AM267" s="7"/>
    </row>
    <row r="268" spans="1:39" x14ac:dyDescent="0.2">
      <c r="A268" s="62"/>
      <c r="B268" s="62"/>
      <c r="C268" s="18"/>
      <c r="D268" s="18"/>
      <c r="E268" s="18"/>
      <c r="F268" s="18"/>
      <c r="G268" s="18"/>
      <c r="H268" s="18"/>
      <c r="I268" s="18"/>
      <c r="J268" s="18"/>
      <c r="K268" s="18"/>
      <c r="L268" s="18"/>
      <c r="M268" s="18"/>
      <c r="N268" s="18"/>
      <c r="O268" s="18"/>
      <c r="P268" s="18"/>
      <c r="Q268" s="7"/>
      <c r="R268" s="7"/>
      <c r="S268" s="7"/>
      <c r="T268" s="7"/>
      <c r="U268" s="7"/>
      <c r="V268" s="7"/>
      <c r="W268" s="19"/>
      <c r="X268" s="7"/>
      <c r="Y268" s="7"/>
      <c r="Z268" s="7"/>
      <c r="AA268" s="7"/>
      <c r="AB268" s="7"/>
      <c r="AC268" s="7"/>
      <c r="AD268" s="7"/>
      <c r="AE268" s="7"/>
      <c r="AF268" s="7"/>
      <c r="AG268" s="7"/>
      <c r="AH268" s="7"/>
      <c r="AI268" s="7"/>
      <c r="AJ268" s="7"/>
      <c r="AK268" s="7"/>
      <c r="AL268" s="7"/>
      <c r="AM268" s="7"/>
    </row>
    <row r="269" spans="1:39" x14ac:dyDescent="0.2">
      <c r="A269" s="62"/>
      <c r="B269" s="62"/>
      <c r="C269" s="18"/>
      <c r="D269" s="18"/>
      <c r="E269" s="18"/>
      <c r="F269" s="18"/>
      <c r="G269" s="18"/>
      <c r="H269" s="18"/>
      <c r="I269" s="18"/>
      <c r="J269" s="18"/>
      <c r="K269" s="18"/>
      <c r="L269" s="18"/>
      <c r="M269" s="18"/>
      <c r="N269" s="18"/>
      <c r="O269" s="18"/>
      <c r="P269" s="18"/>
      <c r="Q269" s="7"/>
      <c r="R269" s="7"/>
      <c r="S269" s="7"/>
      <c r="T269" s="7"/>
      <c r="U269" s="7"/>
      <c r="V269" s="7"/>
      <c r="W269" s="19"/>
      <c r="X269" s="7"/>
      <c r="Y269" s="7"/>
      <c r="Z269" s="7"/>
      <c r="AA269" s="7"/>
      <c r="AB269" s="7"/>
      <c r="AC269" s="7"/>
      <c r="AD269" s="7"/>
      <c r="AE269" s="7"/>
      <c r="AF269" s="7"/>
      <c r="AG269" s="7"/>
      <c r="AH269" s="7"/>
      <c r="AI269" s="7"/>
      <c r="AJ269" s="7"/>
      <c r="AK269" s="7"/>
      <c r="AL269" s="7"/>
      <c r="AM269" s="7"/>
    </row>
    <row r="270" spans="1:39" x14ac:dyDescent="0.2">
      <c r="A270" s="62"/>
      <c r="B270" s="62"/>
      <c r="C270" s="18"/>
      <c r="D270" s="18"/>
      <c r="E270" s="18"/>
      <c r="F270" s="18"/>
      <c r="G270" s="18"/>
      <c r="H270" s="18"/>
      <c r="I270" s="18"/>
      <c r="J270" s="18"/>
      <c r="K270" s="18"/>
      <c r="L270" s="18"/>
      <c r="M270" s="18"/>
      <c r="N270" s="18"/>
      <c r="O270" s="18"/>
      <c r="P270" s="18"/>
      <c r="Q270" s="7"/>
      <c r="R270" s="7"/>
      <c r="S270" s="7"/>
      <c r="T270" s="7"/>
      <c r="U270" s="7"/>
      <c r="V270" s="7"/>
      <c r="W270" s="19"/>
      <c r="X270" s="7"/>
      <c r="Y270" s="7"/>
      <c r="Z270" s="7"/>
      <c r="AA270" s="7"/>
      <c r="AB270" s="7"/>
      <c r="AC270" s="7"/>
      <c r="AD270" s="7"/>
      <c r="AE270" s="7"/>
      <c r="AF270" s="7"/>
      <c r="AG270" s="7"/>
      <c r="AH270" s="7"/>
      <c r="AI270" s="7"/>
      <c r="AJ270" s="7"/>
      <c r="AK270" s="7"/>
      <c r="AL270" s="7"/>
      <c r="AM270" s="7"/>
    </row>
    <row r="271" spans="1:39" x14ac:dyDescent="0.2">
      <c r="A271" s="62"/>
      <c r="B271" s="62"/>
      <c r="C271" s="18"/>
      <c r="D271" s="18"/>
      <c r="E271" s="18"/>
      <c r="F271" s="18"/>
      <c r="G271" s="18"/>
      <c r="H271" s="18"/>
      <c r="I271" s="18"/>
      <c r="J271" s="18"/>
      <c r="K271" s="18"/>
      <c r="L271" s="18"/>
      <c r="M271" s="18"/>
      <c r="N271" s="18"/>
      <c r="O271" s="18"/>
      <c r="P271" s="18"/>
      <c r="Q271" s="7"/>
      <c r="R271" s="7"/>
      <c r="S271" s="7"/>
      <c r="T271" s="7"/>
      <c r="U271" s="7"/>
      <c r="V271" s="7"/>
      <c r="W271" s="19"/>
      <c r="X271" s="7"/>
      <c r="Y271" s="7"/>
      <c r="Z271" s="7"/>
      <c r="AA271" s="7"/>
      <c r="AB271" s="7"/>
      <c r="AC271" s="7"/>
      <c r="AD271" s="7"/>
      <c r="AE271" s="7"/>
      <c r="AF271" s="7"/>
      <c r="AG271" s="7"/>
      <c r="AH271" s="7"/>
      <c r="AI271" s="7"/>
      <c r="AJ271" s="7"/>
      <c r="AK271" s="7"/>
      <c r="AL271" s="7"/>
      <c r="AM271" s="7"/>
    </row>
    <row r="272" spans="1:39" x14ac:dyDescent="0.2">
      <c r="A272" s="62"/>
      <c r="B272" s="62"/>
      <c r="C272" s="18"/>
      <c r="D272" s="18"/>
      <c r="E272" s="18"/>
      <c r="F272" s="18"/>
      <c r="G272" s="18"/>
      <c r="H272" s="18"/>
      <c r="I272" s="18"/>
      <c r="J272" s="18"/>
      <c r="K272" s="18"/>
      <c r="L272" s="18"/>
      <c r="M272" s="18"/>
      <c r="N272" s="18"/>
      <c r="O272" s="18"/>
      <c r="P272" s="18"/>
      <c r="Q272" s="7"/>
      <c r="R272" s="7"/>
      <c r="S272" s="7"/>
      <c r="T272" s="7"/>
      <c r="U272" s="7"/>
      <c r="V272" s="7"/>
      <c r="W272" s="19"/>
      <c r="X272" s="7"/>
      <c r="Y272" s="7"/>
      <c r="Z272" s="7"/>
      <c r="AA272" s="7"/>
      <c r="AB272" s="7"/>
      <c r="AC272" s="7"/>
      <c r="AD272" s="7"/>
      <c r="AE272" s="7"/>
      <c r="AF272" s="7"/>
      <c r="AG272" s="7"/>
      <c r="AH272" s="7"/>
      <c r="AI272" s="7"/>
      <c r="AJ272" s="7"/>
      <c r="AK272" s="7"/>
      <c r="AL272" s="7"/>
      <c r="AM272" s="7"/>
    </row>
    <row r="273" spans="1:39" x14ac:dyDescent="0.2">
      <c r="A273" s="62"/>
      <c r="B273" s="62"/>
      <c r="C273" s="18"/>
      <c r="D273" s="18"/>
      <c r="E273" s="18"/>
      <c r="F273" s="18"/>
      <c r="G273" s="18"/>
      <c r="H273" s="18"/>
      <c r="I273" s="18"/>
      <c r="J273" s="18"/>
      <c r="K273" s="18"/>
      <c r="L273" s="18"/>
      <c r="M273" s="18"/>
      <c r="N273" s="18"/>
      <c r="O273" s="18"/>
      <c r="P273" s="18"/>
      <c r="Q273" s="7"/>
      <c r="R273" s="7"/>
      <c r="S273" s="7"/>
      <c r="T273" s="7"/>
      <c r="U273" s="7"/>
      <c r="V273" s="7"/>
      <c r="W273" s="19"/>
      <c r="X273" s="7"/>
      <c r="Y273" s="7"/>
      <c r="Z273" s="7"/>
      <c r="AA273" s="7"/>
      <c r="AB273" s="7"/>
      <c r="AC273" s="7"/>
      <c r="AD273" s="7"/>
      <c r="AE273" s="7"/>
      <c r="AF273" s="7"/>
      <c r="AG273" s="7"/>
      <c r="AH273" s="7"/>
      <c r="AI273" s="7"/>
      <c r="AJ273" s="7"/>
      <c r="AK273" s="7"/>
      <c r="AL273" s="7"/>
      <c r="AM273" s="7"/>
    </row>
    <row r="274" spans="1:39" x14ac:dyDescent="0.2">
      <c r="A274" s="62"/>
      <c r="B274" s="62"/>
      <c r="C274" s="18"/>
      <c r="D274" s="18"/>
      <c r="E274" s="18"/>
      <c r="F274" s="18"/>
      <c r="G274" s="18"/>
      <c r="H274" s="18"/>
      <c r="I274" s="18"/>
      <c r="J274" s="18"/>
      <c r="K274" s="18"/>
      <c r="L274" s="18"/>
      <c r="M274" s="18"/>
      <c r="N274" s="18"/>
      <c r="O274" s="18"/>
      <c r="P274" s="18"/>
      <c r="Q274" s="7"/>
      <c r="R274" s="7"/>
      <c r="S274" s="7"/>
      <c r="T274" s="7"/>
      <c r="U274" s="7"/>
      <c r="V274" s="7"/>
      <c r="W274" s="19"/>
      <c r="X274" s="7"/>
      <c r="Y274" s="7"/>
      <c r="Z274" s="7"/>
      <c r="AA274" s="7"/>
      <c r="AB274" s="7"/>
      <c r="AC274" s="7"/>
      <c r="AD274" s="7"/>
      <c r="AE274" s="7"/>
      <c r="AF274" s="7"/>
      <c r="AG274" s="7"/>
      <c r="AH274" s="7"/>
      <c r="AI274" s="7"/>
      <c r="AJ274" s="7"/>
      <c r="AK274" s="7"/>
      <c r="AL274" s="7"/>
      <c r="AM274" s="7"/>
    </row>
    <row r="275" spans="1:39" x14ac:dyDescent="0.2">
      <c r="A275" s="62"/>
      <c r="B275" s="62"/>
      <c r="C275" s="18"/>
      <c r="D275" s="18"/>
      <c r="E275" s="18"/>
      <c r="F275" s="18"/>
      <c r="G275" s="18"/>
      <c r="H275" s="18"/>
      <c r="I275" s="18"/>
      <c r="J275" s="18"/>
      <c r="K275" s="18"/>
      <c r="L275" s="18"/>
      <c r="M275" s="18"/>
      <c r="N275" s="18"/>
      <c r="O275" s="18"/>
      <c r="P275" s="18"/>
      <c r="Q275" s="7"/>
      <c r="R275" s="7"/>
      <c r="S275" s="7"/>
      <c r="T275" s="7"/>
      <c r="U275" s="7"/>
      <c r="V275" s="7"/>
      <c r="W275" s="19"/>
      <c r="X275" s="7"/>
      <c r="Y275" s="7"/>
      <c r="Z275" s="7"/>
      <c r="AA275" s="7"/>
      <c r="AB275" s="7"/>
      <c r="AC275" s="7"/>
      <c r="AD275" s="7"/>
      <c r="AE275" s="7"/>
      <c r="AF275" s="7"/>
      <c r="AG275" s="7"/>
      <c r="AH275" s="7"/>
      <c r="AI275" s="7"/>
      <c r="AJ275" s="7"/>
      <c r="AK275" s="7"/>
      <c r="AL275" s="7"/>
      <c r="AM275" s="7"/>
    </row>
    <row r="276" spans="1:39" x14ac:dyDescent="0.2">
      <c r="A276" s="62"/>
      <c r="B276" s="62"/>
      <c r="C276" s="18"/>
      <c r="D276" s="18"/>
      <c r="E276" s="18"/>
      <c r="F276" s="18"/>
      <c r="G276" s="18"/>
      <c r="H276" s="18"/>
      <c r="I276" s="18"/>
      <c r="J276" s="18"/>
      <c r="K276" s="18"/>
      <c r="L276" s="18"/>
      <c r="M276" s="18"/>
      <c r="N276" s="18"/>
      <c r="O276" s="18"/>
      <c r="P276" s="18"/>
      <c r="Q276" s="7"/>
      <c r="R276" s="7"/>
      <c r="S276" s="7"/>
      <c r="T276" s="7"/>
      <c r="U276" s="7"/>
      <c r="V276" s="7"/>
      <c r="W276" s="19"/>
      <c r="X276" s="7"/>
      <c r="Y276" s="7"/>
      <c r="Z276" s="7"/>
      <c r="AA276" s="7"/>
      <c r="AB276" s="7"/>
      <c r="AC276" s="7"/>
      <c r="AD276" s="7"/>
      <c r="AE276" s="7"/>
      <c r="AF276" s="7"/>
      <c r="AG276" s="7"/>
      <c r="AH276" s="7"/>
      <c r="AI276" s="7"/>
      <c r="AJ276" s="7"/>
      <c r="AK276" s="7"/>
      <c r="AL276" s="7"/>
      <c r="AM276" s="7"/>
    </row>
    <row r="277" spans="1:39" x14ac:dyDescent="0.2">
      <c r="A277" s="62"/>
      <c r="B277" s="62"/>
      <c r="C277" s="18"/>
      <c r="D277" s="18"/>
      <c r="E277" s="18"/>
      <c r="F277" s="18"/>
      <c r="G277" s="18"/>
      <c r="H277" s="18"/>
      <c r="I277" s="18"/>
      <c r="J277" s="18"/>
      <c r="K277" s="18"/>
      <c r="L277" s="18"/>
      <c r="M277" s="18"/>
      <c r="N277" s="18"/>
      <c r="O277" s="21"/>
      <c r="P277" s="18"/>
      <c r="Q277" s="7"/>
      <c r="R277" s="7"/>
      <c r="S277" s="7"/>
      <c r="T277" s="7"/>
      <c r="U277" s="7"/>
      <c r="V277" s="7"/>
      <c r="W277" s="19"/>
      <c r="X277" s="7"/>
      <c r="Y277" s="7"/>
      <c r="Z277" s="7"/>
      <c r="AA277" s="7"/>
      <c r="AB277" s="7"/>
      <c r="AC277" s="7"/>
      <c r="AD277" s="7"/>
      <c r="AE277" s="7"/>
      <c r="AF277" s="7"/>
      <c r="AG277" s="7"/>
      <c r="AH277" s="7"/>
      <c r="AI277" s="7"/>
      <c r="AJ277" s="7"/>
      <c r="AK277" s="7"/>
      <c r="AL277" s="7"/>
      <c r="AM277" s="7"/>
    </row>
    <row r="278" spans="1:39" ht="25.5" customHeight="1" x14ac:dyDescent="0.2">
      <c r="A278" s="62"/>
      <c r="B278" s="62"/>
      <c r="C278" s="18"/>
      <c r="D278" s="18"/>
      <c r="E278" s="18"/>
      <c r="F278" s="18"/>
      <c r="G278" s="18"/>
      <c r="H278" s="18"/>
      <c r="I278" s="18"/>
      <c r="J278" s="18"/>
      <c r="K278" s="18"/>
      <c r="L278" s="18"/>
      <c r="M278" s="18"/>
      <c r="N278" s="18"/>
      <c r="O278" s="18"/>
      <c r="P278" s="18"/>
      <c r="Q278" s="7"/>
      <c r="R278" s="7"/>
      <c r="S278" s="7"/>
      <c r="T278" s="7"/>
      <c r="U278" s="7"/>
      <c r="V278" s="7"/>
      <c r="W278" s="19"/>
      <c r="X278" s="7"/>
      <c r="Y278" s="7"/>
      <c r="Z278" s="7"/>
      <c r="AA278" s="7"/>
      <c r="AB278" s="7"/>
      <c r="AC278" s="7"/>
      <c r="AD278" s="7"/>
      <c r="AE278" s="7"/>
      <c r="AF278" s="7"/>
      <c r="AG278" s="7"/>
      <c r="AH278" s="7"/>
      <c r="AI278" s="7"/>
      <c r="AJ278" s="7"/>
      <c r="AK278" s="7"/>
      <c r="AL278" s="7"/>
      <c r="AM278" s="7"/>
    </row>
    <row r="279" spans="1:39" x14ac:dyDescent="0.2">
      <c r="A279" s="62"/>
      <c r="B279" s="62"/>
      <c r="C279" s="18"/>
      <c r="D279" s="18"/>
      <c r="E279" s="18"/>
      <c r="F279" s="18"/>
      <c r="G279" s="18"/>
      <c r="H279" s="18"/>
      <c r="I279" s="18"/>
      <c r="J279" s="18"/>
      <c r="K279" s="18"/>
      <c r="L279" s="18"/>
      <c r="M279" s="18"/>
      <c r="N279" s="18"/>
      <c r="O279" s="18"/>
      <c r="P279" s="18"/>
      <c r="Q279" s="7"/>
      <c r="R279" s="7"/>
      <c r="S279" s="7"/>
      <c r="T279" s="7"/>
      <c r="U279" s="7"/>
      <c r="V279" s="7"/>
      <c r="W279" s="19"/>
      <c r="X279" s="7"/>
      <c r="Y279" s="7"/>
      <c r="Z279" s="7"/>
      <c r="AA279" s="7"/>
      <c r="AB279" s="7"/>
      <c r="AC279" s="7"/>
      <c r="AD279" s="7"/>
      <c r="AE279" s="7"/>
      <c r="AF279" s="7"/>
      <c r="AG279" s="7"/>
      <c r="AH279" s="7"/>
      <c r="AI279" s="7"/>
      <c r="AJ279" s="7"/>
      <c r="AK279" s="7"/>
      <c r="AL279" s="7"/>
      <c r="AM279" s="7"/>
    </row>
    <row r="280" spans="1:39" x14ac:dyDescent="0.2">
      <c r="A280" s="62"/>
      <c r="B280" s="62"/>
      <c r="C280" s="18"/>
      <c r="D280" s="18"/>
      <c r="E280" s="18"/>
      <c r="F280" s="18"/>
      <c r="G280" s="18"/>
      <c r="H280" s="18"/>
      <c r="I280" s="18"/>
      <c r="J280" s="18"/>
      <c r="K280" s="18"/>
      <c r="L280" s="18"/>
      <c r="M280" s="18"/>
      <c r="N280" s="18"/>
      <c r="O280" s="18"/>
      <c r="P280" s="18"/>
      <c r="Q280" s="7"/>
      <c r="R280" s="7"/>
      <c r="S280" s="7"/>
      <c r="T280" s="7"/>
      <c r="U280" s="7"/>
      <c r="V280" s="7"/>
      <c r="W280" s="19"/>
      <c r="X280" s="7"/>
      <c r="Y280" s="7"/>
      <c r="Z280" s="7"/>
      <c r="AA280" s="7"/>
      <c r="AB280" s="7"/>
      <c r="AC280" s="7"/>
      <c r="AD280" s="7"/>
      <c r="AE280" s="7"/>
      <c r="AF280" s="7"/>
      <c r="AG280" s="7"/>
      <c r="AH280" s="7"/>
      <c r="AI280" s="7"/>
      <c r="AJ280" s="7"/>
      <c r="AK280" s="7"/>
      <c r="AL280" s="7"/>
      <c r="AM280" s="7"/>
    </row>
    <row r="281" spans="1:39" x14ac:dyDescent="0.2">
      <c r="A281" s="62"/>
      <c r="B281" s="62"/>
      <c r="C281" s="18"/>
      <c r="D281" s="18"/>
      <c r="E281" s="18"/>
      <c r="F281" s="18"/>
      <c r="G281" s="18"/>
      <c r="H281" s="18"/>
      <c r="I281" s="18"/>
      <c r="J281" s="18"/>
      <c r="K281" s="18"/>
      <c r="L281" s="18"/>
      <c r="M281" s="18"/>
      <c r="N281" s="18"/>
      <c r="O281" s="18"/>
      <c r="P281" s="18"/>
      <c r="Q281" s="7"/>
      <c r="R281" s="7"/>
      <c r="S281" s="7"/>
      <c r="T281" s="7"/>
      <c r="U281" s="7"/>
      <c r="V281" s="7"/>
      <c r="W281" s="19"/>
      <c r="X281" s="7"/>
      <c r="Y281" s="7"/>
      <c r="Z281" s="7"/>
      <c r="AA281" s="7"/>
      <c r="AB281" s="7"/>
      <c r="AC281" s="7"/>
      <c r="AD281" s="7"/>
      <c r="AE281" s="7"/>
      <c r="AF281" s="7"/>
      <c r="AG281" s="7"/>
      <c r="AH281" s="7"/>
      <c r="AI281" s="7"/>
      <c r="AJ281" s="7"/>
      <c r="AK281" s="7"/>
      <c r="AL281" s="7"/>
      <c r="AM281" s="7"/>
    </row>
    <row r="282" spans="1:39" x14ac:dyDescent="0.2">
      <c r="A282" s="62"/>
      <c r="B282" s="62"/>
      <c r="C282" s="18"/>
      <c r="D282" s="18"/>
      <c r="E282" s="18"/>
      <c r="F282" s="18"/>
      <c r="G282" s="18"/>
      <c r="H282" s="18"/>
      <c r="I282" s="18"/>
      <c r="J282" s="18"/>
      <c r="K282" s="18"/>
      <c r="L282" s="18"/>
      <c r="M282" s="18"/>
      <c r="N282" s="18"/>
      <c r="O282" s="18"/>
      <c r="P282" s="18"/>
      <c r="Q282" s="7"/>
      <c r="R282" s="7"/>
      <c r="S282" s="7"/>
      <c r="T282" s="7"/>
      <c r="U282" s="7"/>
      <c r="V282" s="7"/>
      <c r="W282" s="19"/>
      <c r="X282" s="7"/>
      <c r="Y282" s="7"/>
      <c r="Z282" s="7"/>
      <c r="AA282" s="7"/>
      <c r="AB282" s="7"/>
      <c r="AC282" s="7"/>
      <c r="AD282" s="7"/>
      <c r="AE282" s="7"/>
      <c r="AF282" s="7"/>
      <c r="AG282" s="7"/>
      <c r="AH282" s="7"/>
      <c r="AI282" s="7"/>
      <c r="AJ282" s="7"/>
      <c r="AK282" s="7"/>
      <c r="AL282" s="7"/>
      <c r="AM282" s="7"/>
    </row>
    <row r="283" spans="1:39" x14ac:dyDescent="0.2">
      <c r="A283" s="62"/>
      <c r="B283" s="62"/>
      <c r="C283" s="18"/>
      <c r="D283" s="18"/>
      <c r="E283" s="18"/>
      <c r="F283" s="18"/>
      <c r="G283" s="18"/>
      <c r="H283" s="18"/>
      <c r="I283" s="18"/>
      <c r="J283" s="18"/>
      <c r="K283" s="18"/>
      <c r="L283" s="18"/>
      <c r="M283" s="18"/>
      <c r="N283" s="18"/>
      <c r="O283" s="18"/>
      <c r="P283" s="18"/>
      <c r="Q283" s="7"/>
      <c r="R283" s="7"/>
      <c r="S283" s="7"/>
      <c r="T283" s="7"/>
      <c r="U283" s="7"/>
      <c r="V283" s="7"/>
      <c r="W283" s="19"/>
      <c r="X283" s="7"/>
      <c r="Y283" s="7"/>
      <c r="Z283" s="7"/>
      <c r="AA283" s="7"/>
      <c r="AB283" s="7"/>
      <c r="AC283" s="7"/>
      <c r="AD283" s="7"/>
      <c r="AE283" s="7"/>
      <c r="AF283" s="7"/>
      <c r="AG283" s="7"/>
      <c r="AH283" s="7"/>
      <c r="AI283" s="7"/>
      <c r="AJ283" s="7"/>
      <c r="AK283" s="7"/>
      <c r="AL283" s="7"/>
      <c r="AM283" s="7"/>
    </row>
    <row r="284" spans="1:39" x14ac:dyDescent="0.2">
      <c r="A284" s="62"/>
      <c r="B284" s="62"/>
      <c r="C284" s="18"/>
      <c r="D284" s="18"/>
      <c r="E284" s="18"/>
      <c r="F284" s="18"/>
      <c r="G284" s="18"/>
      <c r="H284" s="18"/>
      <c r="I284" s="18"/>
      <c r="J284" s="18"/>
      <c r="K284" s="18"/>
      <c r="L284" s="18"/>
      <c r="M284" s="18"/>
      <c r="N284" s="18"/>
      <c r="O284" s="18"/>
      <c r="P284" s="18"/>
      <c r="Q284" s="7"/>
      <c r="R284" s="7"/>
      <c r="S284" s="7"/>
      <c r="T284" s="7"/>
      <c r="U284" s="7"/>
      <c r="V284" s="7"/>
      <c r="W284" s="19"/>
      <c r="X284" s="7"/>
      <c r="Y284" s="7"/>
      <c r="Z284" s="7"/>
      <c r="AA284" s="7"/>
      <c r="AB284" s="7"/>
      <c r="AC284" s="7"/>
      <c r="AD284" s="7"/>
      <c r="AE284" s="7"/>
      <c r="AF284" s="7"/>
      <c r="AG284" s="7"/>
      <c r="AH284" s="7"/>
      <c r="AI284" s="7"/>
      <c r="AJ284" s="7"/>
      <c r="AK284" s="7"/>
      <c r="AL284" s="7"/>
      <c r="AM284" s="7"/>
    </row>
    <row r="285" spans="1:39" x14ac:dyDescent="0.2">
      <c r="A285" s="62"/>
      <c r="B285" s="62"/>
      <c r="C285" s="18"/>
      <c r="D285" s="18"/>
      <c r="E285" s="18"/>
      <c r="F285" s="18"/>
      <c r="G285" s="18"/>
      <c r="H285" s="18"/>
      <c r="I285" s="18"/>
      <c r="J285" s="18"/>
      <c r="K285" s="18"/>
      <c r="L285" s="18"/>
      <c r="M285" s="18"/>
      <c r="N285" s="18"/>
      <c r="O285" s="18"/>
      <c r="P285" s="18"/>
      <c r="Q285" s="7"/>
      <c r="R285" s="7"/>
      <c r="S285" s="7"/>
      <c r="T285" s="7"/>
      <c r="U285" s="7"/>
      <c r="V285" s="7"/>
      <c r="W285" s="19"/>
      <c r="X285" s="7"/>
      <c r="Y285" s="7"/>
      <c r="Z285" s="7"/>
      <c r="AA285" s="7"/>
      <c r="AB285" s="7"/>
      <c r="AC285" s="7"/>
      <c r="AD285" s="7"/>
      <c r="AE285" s="7"/>
      <c r="AF285" s="7"/>
      <c r="AG285" s="7"/>
      <c r="AH285" s="7"/>
      <c r="AI285" s="7"/>
      <c r="AJ285" s="7"/>
      <c r="AK285" s="7"/>
      <c r="AL285" s="7"/>
      <c r="AM285" s="7"/>
    </row>
    <row r="286" spans="1:39" x14ac:dyDescent="0.2">
      <c r="A286" s="62"/>
      <c r="B286" s="62"/>
      <c r="C286" s="18"/>
      <c r="D286" s="18"/>
      <c r="E286" s="18"/>
      <c r="F286" s="18"/>
      <c r="G286" s="18"/>
      <c r="H286" s="18"/>
      <c r="I286" s="18"/>
      <c r="J286" s="18"/>
      <c r="K286" s="18"/>
      <c r="L286" s="18"/>
      <c r="M286" s="18"/>
      <c r="N286" s="18"/>
      <c r="O286" s="18"/>
      <c r="P286" s="18"/>
      <c r="Q286" s="7"/>
      <c r="R286" s="7"/>
      <c r="S286" s="7"/>
      <c r="T286" s="7"/>
      <c r="U286" s="7"/>
      <c r="V286" s="7"/>
      <c r="W286" s="19"/>
      <c r="X286" s="7"/>
      <c r="Y286" s="7"/>
      <c r="Z286" s="7"/>
      <c r="AA286" s="7"/>
      <c r="AB286" s="7"/>
      <c r="AC286" s="7"/>
      <c r="AD286" s="7"/>
      <c r="AE286" s="7"/>
      <c r="AF286" s="7"/>
      <c r="AG286" s="7"/>
      <c r="AH286" s="7"/>
      <c r="AI286" s="7"/>
      <c r="AJ286" s="7"/>
      <c r="AK286" s="7"/>
      <c r="AL286" s="7"/>
      <c r="AM286" s="7"/>
    </row>
    <row r="287" spans="1:39" x14ac:dyDescent="0.2">
      <c r="A287" s="62"/>
      <c r="B287" s="62"/>
      <c r="C287" s="18"/>
      <c r="D287" s="18"/>
      <c r="E287" s="18"/>
      <c r="F287" s="18"/>
      <c r="G287" s="18"/>
      <c r="H287" s="18"/>
      <c r="I287" s="18"/>
      <c r="J287" s="18"/>
      <c r="K287" s="18"/>
      <c r="L287" s="18"/>
      <c r="M287" s="18"/>
      <c r="N287" s="18"/>
      <c r="O287" s="18"/>
      <c r="P287" s="18"/>
      <c r="Q287" s="7"/>
      <c r="R287" s="7"/>
      <c r="S287" s="7"/>
      <c r="T287" s="7"/>
      <c r="U287" s="7"/>
      <c r="V287" s="7"/>
      <c r="W287" s="19"/>
      <c r="X287" s="7"/>
      <c r="Y287" s="7"/>
      <c r="Z287" s="7"/>
      <c r="AA287" s="7"/>
      <c r="AB287" s="7"/>
      <c r="AC287" s="7"/>
      <c r="AD287" s="7"/>
      <c r="AE287" s="7"/>
      <c r="AF287" s="7"/>
      <c r="AG287" s="7"/>
      <c r="AH287" s="7"/>
      <c r="AI287" s="7"/>
      <c r="AJ287" s="7"/>
      <c r="AK287" s="7"/>
      <c r="AL287" s="7"/>
      <c r="AM287" s="7"/>
    </row>
    <row r="288" spans="1:39" x14ac:dyDescent="0.2">
      <c r="A288" s="62"/>
      <c r="B288" s="62"/>
      <c r="C288" s="18"/>
      <c r="D288" s="18"/>
      <c r="E288" s="18"/>
      <c r="F288" s="18"/>
      <c r="G288" s="18"/>
      <c r="H288" s="18"/>
      <c r="I288" s="18"/>
      <c r="J288" s="18"/>
      <c r="K288" s="18"/>
      <c r="L288" s="18"/>
      <c r="M288" s="18"/>
      <c r="N288" s="18"/>
      <c r="O288" s="18"/>
      <c r="P288" s="18"/>
      <c r="Q288" s="7"/>
      <c r="R288" s="7"/>
      <c r="S288" s="7"/>
      <c r="T288" s="7"/>
      <c r="U288" s="7"/>
      <c r="V288" s="7"/>
      <c r="W288" s="19"/>
      <c r="X288" s="7"/>
      <c r="Y288" s="7"/>
      <c r="Z288" s="7"/>
      <c r="AA288" s="7"/>
      <c r="AB288" s="7"/>
      <c r="AC288" s="7"/>
      <c r="AD288" s="7"/>
      <c r="AE288" s="7"/>
      <c r="AF288" s="7"/>
      <c r="AG288" s="7"/>
      <c r="AH288" s="7"/>
      <c r="AI288" s="7"/>
      <c r="AJ288" s="7"/>
      <c r="AK288" s="7"/>
      <c r="AL288" s="7"/>
      <c r="AM288" s="7"/>
    </row>
    <row r="289" spans="1:39" x14ac:dyDescent="0.2">
      <c r="A289" s="62"/>
      <c r="B289" s="62"/>
      <c r="C289" s="18"/>
      <c r="D289" s="18"/>
      <c r="E289" s="18"/>
      <c r="F289" s="18"/>
      <c r="G289" s="18"/>
      <c r="H289" s="18"/>
      <c r="I289" s="18"/>
      <c r="J289" s="18"/>
      <c r="K289" s="18"/>
      <c r="L289" s="18"/>
      <c r="M289" s="18"/>
      <c r="N289" s="18"/>
      <c r="O289" s="18"/>
      <c r="P289" s="18"/>
      <c r="Q289" s="7"/>
      <c r="R289" s="7"/>
      <c r="S289" s="7"/>
      <c r="T289" s="7"/>
      <c r="U289" s="7"/>
      <c r="V289" s="7"/>
      <c r="W289" s="19"/>
      <c r="X289" s="7"/>
      <c r="Y289" s="7"/>
      <c r="Z289" s="7"/>
      <c r="AA289" s="7"/>
      <c r="AB289" s="7"/>
      <c r="AC289" s="7"/>
      <c r="AD289" s="7"/>
      <c r="AE289" s="7"/>
      <c r="AF289" s="7"/>
      <c r="AG289" s="7"/>
      <c r="AH289" s="7"/>
      <c r="AI289" s="7"/>
      <c r="AJ289" s="7"/>
      <c r="AK289" s="7"/>
      <c r="AL289" s="7"/>
      <c r="AM289" s="7"/>
    </row>
    <row r="290" spans="1:39" x14ac:dyDescent="0.2">
      <c r="A290" s="62"/>
      <c r="B290" s="62"/>
      <c r="C290" s="18"/>
      <c r="D290" s="18"/>
      <c r="E290" s="18"/>
      <c r="F290" s="18"/>
      <c r="G290" s="18"/>
      <c r="H290" s="18"/>
      <c r="I290" s="18"/>
      <c r="J290" s="18"/>
      <c r="K290" s="18"/>
      <c r="L290" s="18"/>
      <c r="M290" s="18"/>
      <c r="N290" s="18"/>
      <c r="O290" s="18"/>
      <c r="P290" s="18"/>
      <c r="Q290" s="7"/>
      <c r="R290" s="7"/>
      <c r="S290" s="7"/>
      <c r="T290" s="7"/>
      <c r="U290" s="7"/>
      <c r="V290" s="7"/>
      <c r="W290" s="19"/>
      <c r="X290" s="7"/>
      <c r="Y290" s="7"/>
      <c r="Z290" s="7"/>
      <c r="AA290" s="7"/>
      <c r="AB290" s="7"/>
      <c r="AC290" s="7"/>
      <c r="AD290" s="7"/>
      <c r="AE290" s="7"/>
      <c r="AF290" s="7"/>
      <c r="AG290" s="7"/>
      <c r="AH290" s="7"/>
      <c r="AI290" s="7"/>
      <c r="AJ290" s="7"/>
      <c r="AK290" s="7"/>
      <c r="AL290" s="7"/>
      <c r="AM290" s="7"/>
    </row>
    <row r="291" spans="1:39" x14ac:dyDescent="0.2">
      <c r="A291" s="62"/>
      <c r="B291" s="62"/>
      <c r="C291" s="18"/>
      <c r="D291" s="18"/>
      <c r="E291" s="18"/>
      <c r="F291" s="18"/>
      <c r="G291" s="18"/>
      <c r="H291" s="18"/>
      <c r="I291" s="18"/>
      <c r="J291" s="18"/>
      <c r="K291" s="18"/>
      <c r="L291" s="18"/>
      <c r="M291" s="18"/>
      <c r="N291" s="18"/>
      <c r="O291" s="18"/>
      <c r="P291" s="18"/>
      <c r="Q291" s="7"/>
      <c r="R291" s="7"/>
      <c r="S291" s="7"/>
      <c r="T291" s="7"/>
      <c r="U291" s="7"/>
      <c r="V291" s="7"/>
      <c r="W291" s="19"/>
      <c r="X291" s="7"/>
      <c r="Y291" s="7"/>
      <c r="Z291" s="7"/>
      <c r="AA291" s="7"/>
      <c r="AB291" s="7"/>
      <c r="AC291" s="7"/>
      <c r="AD291" s="7"/>
      <c r="AE291" s="7"/>
      <c r="AF291" s="7"/>
      <c r="AG291" s="7"/>
      <c r="AH291" s="7"/>
      <c r="AI291" s="7"/>
      <c r="AJ291" s="7"/>
      <c r="AK291" s="7"/>
      <c r="AL291" s="7"/>
      <c r="AM291" s="7"/>
    </row>
    <row r="292" spans="1:39" x14ac:dyDescent="0.2">
      <c r="A292" s="62"/>
      <c r="B292" s="62"/>
      <c r="C292" s="18"/>
      <c r="D292" s="18"/>
      <c r="E292" s="18"/>
      <c r="F292" s="18"/>
      <c r="G292" s="18"/>
      <c r="H292" s="18"/>
      <c r="I292" s="18"/>
      <c r="J292" s="18"/>
      <c r="K292" s="18"/>
      <c r="L292" s="18"/>
      <c r="M292" s="18"/>
      <c r="N292" s="18"/>
      <c r="O292" s="18"/>
      <c r="P292" s="18"/>
      <c r="Q292" s="7"/>
      <c r="R292" s="7"/>
      <c r="S292" s="7"/>
      <c r="T292" s="7"/>
      <c r="U292" s="7"/>
      <c r="V292" s="7"/>
      <c r="W292" s="19"/>
      <c r="X292" s="7"/>
      <c r="Y292" s="7"/>
      <c r="Z292" s="7"/>
      <c r="AA292" s="7"/>
      <c r="AB292" s="7"/>
      <c r="AC292" s="7"/>
      <c r="AD292" s="7"/>
      <c r="AE292" s="7"/>
      <c r="AF292" s="7"/>
      <c r="AG292" s="7"/>
      <c r="AH292" s="7"/>
      <c r="AI292" s="7"/>
      <c r="AJ292" s="7"/>
      <c r="AK292" s="7"/>
      <c r="AL292" s="7"/>
      <c r="AM292" s="7"/>
    </row>
    <row r="293" spans="1:39" x14ac:dyDescent="0.2">
      <c r="A293" s="62"/>
      <c r="B293" s="62"/>
      <c r="C293" s="18"/>
      <c r="D293" s="18"/>
      <c r="E293" s="18"/>
      <c r="F293" s="18"/>
      <c r="G293" s="18"/>
      <c r="H293" s="18"/>
      <c r="I293" s="18"/>
      <c r="J293" s="18"/>
      <c r="K293" s="18"/>
      <c r="L293" s="18"/>
      <c r="M293" s="18"/>
      <c r="N293" s="18"/>
      <c r="O293" s="18"/>
      <c r="P293" s="18"/>
      <c r="Q293" s="7"/>
      <c r="R293" s="7"/>
      <c r="S293" s="7"/>
      <c r="T293" s="7"/>
      <c r="U293" s="7"/>
      <c r="V293" s="7"/>
      <c r="W293" s="19"/>
      <c r="X293" s="7"/>
      <c r="Y293" s="7"/>
      <c r="Z293" s="7"/>
      <c r="AA293" s="7"/>
      <c r="AB293" s="7"/>
      <c r="AC293" s="7"/>
      <c r="AD293" s="7"/>
      <c r="AE293" s="7"/>
      <c r="AF293" s="7"/>
      <c r="AG293" s="7"/>
      <c r="AH293" s="7"/>
      <c r="AI293" s="7"/>
      <c r="AJ293" s="7"/>
      <c r="AK293" s="7"/>
      <c r="AL293" s="7"/>
      <c r="AM293" s="7"/>
    </row>
    <row r="294" spans="1:39" x14ac:dyDescent="0.2">
      <c r="A294" s="62"/>
      <c r="B294" s="62"/>
      <c r="C294" s="18"/>
      <c r="D294" s="18"/>
      <c r="E294" s="18"/>
      <c r="F294" s="18"/>
      <c r="G294" s="18"/>
      <c r="H294" s="18"/>
      <c r="I294" s="18"/>
      <c r="J294" s="18"/>
      <c r="K294" s="18"/>
      <c r="L294" s="18"/>
      <c r="M294" s="18"/>
      <c r="N294" s="18"/>
      <c r="O294" s="18"/>
      <c r="P294" s="18"/>
      <c r="Q294" s="7"/>
      <c r="R294" s="7"/>
      <c r="S294" s="7"/>
      <c r="T294" s="7"/>
      <c r="U294" s="7"/>
      <c r="V294" s="7"/>
      <c r="W294" s="19"/>
      <c r="X294" s="7"/>
      <c r="Y294" s="7"/>
      <c r="Z294" s="7"/>
      <c r="AA294" s="7"/>
      <c r="AB294" s="7"/>
      <c r="AC294" s="7"/>
      <c r="AD294" s="7"/>
      <c r="AE294" s="7"/>
      <c r="AF294" s="7"/>
      <c r="AG294" s="7"/>
      <c r="AH294" s="7"/>
      <c r="AI294" s="7"/>
      <c r="AJ294" s="7"/>
      <c r="AK294" s="7"/>
      <c r="AL294" s="7"/>
      <c r="AM294" s="7"/>
    </row>
    <row r="295" spans="1:39" x14ac:dyDescent="0.2">
      <c r="A295" s="62"/>
      <c r="B295" s="62"/>
      <c r="C295" s="18"/>
      <c r="D295" s="18"/>
      <c r="E295" s="18"/>
      <c r="F295" s="18"/>
      <c r="G295" s="18"/>
      <c r="H295" s="18"/>
      <c r="I295" s="18"/>
      <c r="J295" s="18"/>
      <c r="K295" s="18"/>
      <c r="L295" s="18"/>
      <c r="M295" s="18"/>
      <c r="N295" s="18"/>
      <c r="O295" s="18"/>
      <c r="P295" s="18"/>
      <c r="Q295" s="7"/>
      <c r="R295" s="7"/>
      <c r="S295" s="7"/>
      <c r="T295" s="7"/>
      <c r="U295" s="7"/>
      <c r="V295" s="7"/>
      <c r="W295" s="19"/>
      <c r="X295" s="7"/>
      <c r="Y295" s="7"/>
      <c r="Z295" s="7"/>
      <c r="AA295" s="7"/>
      <c r="AB295" s="7"/>
      <c r="AC295" s="7"/>
      <c r="AD295" s="7"/>
      <c r="AE295" s="7"/>
      <c r="AF295" s="7"/>
      <c r="AG295" s="7"/>
      <c r="AH295" s="7"/>
      <c r="AI295" s="7"/>
      <c r="AJ295" s="7"/>
      <c r="AK295" s="7"/>
      <c r="AL295" s="7"/>
      <c r="AM295" s="7"/>
    </row>
    <row r="296" spans="1:39" x14ac:dyDescent="0.2">
      <c r="A296" s="62"/>
      <c r="B296" s="62"/>
      <c r="C296" s="18"/>
      <c r="D296" s="18"/>
      <c r="E296" s="18"/>
      <c r="F296" s="18"/>
      <c r="G296" s="18"/>
      <c r="H296" s="18"/>
      <c r="I296" s="18"/>
      <c r="J296" s="18"/>
      <c r="K296" s="18"/>
      <c r="L296" s="18"/>
      <c r="M296" s="18"/>
      <c r="N296" s="18"/>
      <c r="O296" s="18"/>
      <c r="P296" s="18"/>
      <c r="Q296" s="7"/>
      <c r="R296" s="7"/>
      <c r="S296" s="7"/>
      <c r="T296" s="7"/>
      <c r="U296" s="7"/>
      <c r="V296" s="7"/>
      <c r="W296" s="19"/>
      <c r="X296" s="7"/>
      <c r="Y296" s="7"/>
      <c r="Z296" s="7"/>
      <c r="AA296" s="7"/>
      <c r="AB296" s="7"/>
      <c r="AC296" s="7"/>
      <c r="AD296" s="7"/>
      <c r="AE296" s="7"/>
      <c r="AF296" s="7"/>
      <c r="AG296" s="7"/>
      <c r="AH296" s="7"/>
      <c r="AI296" s="7"/>
      <c r="AJ296" s="7"/>
      <c r="AK296" s="7"/>
      <c r="AL296" s="7"/>
      <c r="AM296" s="7"/>
    </row>
    <row r="297" spans="1:39" x14ac:dyDescent="0.2">
      <c r="A297" s="62"/>
      <c r="B297" s="62"/>
      <c r="C297" s="18"/>
      <c r="D297" s="18"/>
      <c r="E297" s="18"/>
      <c r="F297" s="18"/>
      <c r="G297" s="18"/>
      <c r="H297" s="18"/>
      <c r="I297" s="18"/>
      <c r="J297" s="18"/>
      <c r="K297" s="18"/>
      <c r="L297" s="18"/>
      <c r="M297" s="18"/>
      <c r="N297" s="18"/>
      <c r="O297" s="18"/>
      <c r="P297" s="18"/>
      <c r="Q297" s="7"/>
      <c r="R297" s="7"/>
      <c r="S297" s="7"/>
      <c r="T297" s="7"/>
      <c r="U297" s="7"/>
      <c r="V297" s="7"/>
      <c r="W297" s="19"/>
      <c r="X297" s="7"/>
      <c r="Y297" s="7"/>
      <c r="Z297" s="7"/>
      <c r="AA297" s="7"/>
      <c r="AB297" s="7"/>
      <c r="AC297" s="7"/>
      <c r="AD297" s="7"/>
      <c r="AE297" s="7"/>
      <c r="AF297" s="7"/>
      <c r="AG297" s="7"/>
      <c r="AH297" s="7"/>
      <c r="AI297" s="7"/>
      <c r="AJ297" s="7"/>
      <c r="AK297" s="7"/>
      <c r="AL297" s="7"/>
      <c r="AM297" s="7"/>
    </row>
    <row r="298" spans="1:39" x14ac:dyDescent="0.2">
      <c r="A298" s="62"/>
      <c r="B298" s="62"/>
      <c r="C298" s="18"/>
      <c r="D298" s="18"/>
      <c r="E298" s="18"/>
      <c r="F298" s="18"/>
      <c r="G298" s="18"/>
      <c r="H298" s="18"/>
      <c r="I298" s="18"/>
      <c r="J298" s="18"/>
      <c r="K298" s="18"/>
      <c r="L298" s="18"/>
      <c r="M298" s="18"/>
      <c r="N298" s="18"/>
      <c r="O298" s="18"/>
      <c r="P298" s="18"/>
      <c r="Q298" s="7"/>
      <c r="R298" s="7"/>
      <c r="S298" s="7"/>
      <c r="T298" s="7"/>
      <c r="U298" s="7"/>
      <c r="V298" s="7"/>
      <c r="W298" s="19"/>
      <c r="X298" s="7"/>
      <c r="Y298" s="7"/>
      <c r="Z298" s="7"/>
      <c r="AA298" s="7"/>
      <c r="AB298" s="7"/>
      <c r="AC298" s="7"/>
      <c r="AD298" s="7"/>
      <c r="AE298" s="7"/>
      <c r="AF298" s="7"/>
      <c r="AG298" s="7"/>
      <c r="AH298" s="7"/>
      <c r="AI298" s="7"/>
      <c r="AJ298" s="7"/>
      <c r="AK298" s="7"/>
      <c r="AL298" s="7"/>
      <c r="AM298" s="7"/>
    </row>
    <row r="299" spans="1:39" x14ac:dyDescent="0.2">
      <c r="A299" s="62"/>
      <c r="B299" s="62"/>
      <c r="C299" s="18"/>
      <c r="D299" s="18"/>
      <c r="E299" s="18"/>
      <c r="F299" s="18"/>
      <c r="G299" s="18"/>
      <c r="H299" s="18"/>
      <c r="I299" s="18"/>
      <c r="J299" s="18"/>
      <c r="K299" s="18"/>
      <c r="L299" s="18"/>
      <c r="M299" s="18"/>
      <c r="N299" s="18"/>
      <c r="O299" s="18"/>
      <c r="P299" s="18"/>
      <c r="Q299" s="7"/>
      <c r="R299" s="7"/>
      <c r="S299" s="7"/>
      <c r="T299" s="7"/>
      <c r="U299" s="7"/>
      <c r="V299" s="7"/>
      <c r="W299" s="19"/>
      <c r="X299" s="7"/>
      <c r="Y299" s="7"/>
      <c r="Z299" s="7"/>
      <c r="AA299" s="7"/>
      <c r="AB299" s="7"/>
      <c r="AC299" s="7"/>
      <c r="AD299" s="7"/>
      <c r="AE299" s="7"/>
      <c r="AF299" s="7"/>
      <c r="AG299" s="7"/>
      <c r="AH299" s="7"/>
      <c r="AI299" s="7"/>
      <c r="AJ299" s="7"/>
      <c r="AK299" s="7"/>
      <c r="AL299" s="7"/>
      <c r="AM299" s="7"/>
    </row>
    <row r="300" spans="1:39" x14ac:dyDescent="0.2">
      <c r="A300" s="62"/>
      <c r="B300" s="62"/>
      <c r="C300" s="18"/>
      <c r="D300" s="18"/>
      <c r="E300" s="18"/>
      <c r="F300" s="18"/>
      <c r="G300" s="18"/>
      <c r="H300" s="18"/>
      <c r="I300" s="18"/>
      <c r="J300" s="18"/>
      <c r="K300" s="18"/>
      <c r="L300" s="18"/>
      <c r="M300" s="18"/>
      <c r="N300" s="18"/>
      <c r="O300" s="18"/>
      <c r="P300" s="18"/>
      <c r="Q300" s="7"/>
      <c r="R300" s="7"/>
      <c r="S300" s="7"/>
      <c r="T300" s="7"/>
      <c r="U300" s="7"/>
      <c r="V300" s="7"/>
      <c r="W300" s="19"/>
      <c r="X300" s="7"/>
      <c r="Y300" s="7"/>
      <c r="Z300" s="7"/>
      <c r="AA300" s="7"/>
      <c r="AB300" s="7"/>
      <c r="AC300" s="7"/>
      <c r="AD300" s="7"/>
      <c r="AE300" s="7"/>
      <c r="AF300" s="7"/>
      <c r="AG300" s="7"/>
      <c r="AH300" s="7"/>
      <c r="AI300" s="7"/>
      <c r="AJ300" s="7"/>
      <c r="AK300" s="7"/>
      <c r="AL300" s="7"/>
      <c r="AM300" s="7"/>
    </row>
    <row r="301" spans="1:39" x14ac:dyDescent="0.2">
      <c r="A301" s="62"/>
      <c r="B301" s="62"/>
      <c r="C301" s="18"/>
      <c r="D301" s="18"/>
      <c r="E301" s="18"/>
      <c r="F301" s="18"/>
      <c r="G301" s="18"/>
      <c r="H301" s="18"/>
      <c r="I301" s="18"/>
      <c r="J301" s="18"/>
      <c r="K301" s="18"/>
      <c r="L301" s="18"/>
      <c r="M301" s="18"/>
      <c r="N301" s="18"/>
      <c r="O301" s="18"/>
      <c r="P301" s="18"/>
      <c r="Q301" s="7"/>
      <c r="R301" s="7"/>
      <c r="S301" s="7"/>
      <c r="T301" s="7"/>
      <c r="U301" s="7"/>
      <c r="V301" s="7"/>
      <c r="W301" s="19"/>
      <c r="X301" s="7"/>
      <c r="Y301" s="7"/>
      <c r="Z301" s="7"/>
      <c r="AA301" s="7"/>
      <c r="AB301" s="7"/>
      <c r="AC301" s="7"/>
      <c r="AD301" s="7"/>
      <c r="AE301" s="7"/>
      <c r="AF301" s="7"/>
      <c r="AG301" s="7"/>
      <c r="AH301" s="7"/>
      <c r="AI301" s="7"/>
      <c r="AJ301" s="7"/>
      <c r="AK301" s="7"/>
      <c r="AL301" s="7"/>
      <c r="AM301" s="7"/>
    </row>
    <row r="302" spans="1:39" x14ac:dyDescent="0.2">
      <c r="A302" s="62"/>
      <c r="B302" s="62"/>
      <c r="C302" s="18"/>
      <c r="D302" s="18"/>
      <c r="E302" s="18"/>
      <c r="F302" s="18"/>
      <c r="G302" s="18"/>
      <c r="H302" s="18"/>
      <c r="I302" s="18"/>
      <c r="J302" s="18"/>
      <c r="K302" s="18"/>
      <c r="L302" s="18"/>
      <c r="M302" s="18"/>
      <c r="N302" s="18"/>
      <c r="O302" s="18"/>
      <c r="P302" s="18"/>
      <c r="Q302" s="7"/>
      <c r="R302" s="7"/>
      <c r="S302" s="7"/>
      <c r="T302" s="7"/>
      <c r="U302" s="7"/>
      <c r="V302" s="7"/>
      <c r="W302" s="19"/>
      <c r="X302" s="7"/>
      <c r="Y302" s="7"/>
      <c r="Z302" s="7"/>
      <c r="AA302" s="7"/>
      <c r="AB302" s="7"/>
      <c r="AC302" s="7"/>
      <c r="AD302" s="7"/>
      <c r="AE302" s="7"/>
      <c r="AF302" s="7"/>
      <c r="AG302" s="7"/>
      <c r="AH302" s="7"/>
      <c r="AI302" s="7"/>
      <c r="AJ302" s="7"/>
      <c r="AK302" s="7"/>
      <c r="AL302" s="7"/>
      <c r="AM302" s="7"/>
    </row>
    <row r="303" spans="1:39" x14ac:dyDescent="0.2">
      <c r="A303" s="62"/>
      <c r="B303" s="62"/>
      <c r="C303" s="18"/>
      <c r="D303" s="18"/>
      <c r="E303" s="18"/>
      <c r="F303" s="18"/>
      <c r="G303" s="18"/>
      <c r="H303" s="18"/>
      <c r="I303" s="18"/>
      <c r="J303" s="18"/>
      <c r="K303" s="18"/>
      <c r="L303" s="18"/>
      <c r="M303" s="18"/>
      <c r="N303" s="18"/>
      <c r="O303" s="18"/>
      <c r="P303" s="18"/>
      <c r="Q303" s="7"/>
      <c r="R303" s="7"/>
      <c r="S303" s="7"/>
      <c r="T303" s="7"/>
      <c r="U303" s="7"/>
      <c r="V303" s="7"/>
      <c r="W303" s="19"/>
      <c r="X303" s="7"/>
      <c r="Y303" s="7"/>
      <c r="Z303" s="7"/>
      <c r="AA303" s="7"/>
      <c r="AB303" s="7"/>
      <c r="AC303" s="7"/>
      <c r="AD303" s="7"/>
      <c r="AE303" s="7"/>
      <c r="AF303" s="7"/>
      <c r="AG303" s="7"/>
      <c r="AH303" s="7"/>
      <c r="AI303" s="7"/>
      <c r="AJ303" s="7"/>
      <c r="AK303" s="7"/>
      <c r="AL303" s="7"/>
      <c r="AM303" s="7"/>
    </row>
    <row r="304" spans="1:39" x14ac:dyDescent="0.2">
      <c r="A304" s="62"/>
      <c r="B304" s="62"/>
      <c r="C304" s="18"/>
      <c r="D304" s="18"/>
      <c r="E304" s="18"/>
      <c r="F304" s="18"/>
      <c r="G304" s="18"/>
      <c r="H304" s="18"/>
      <c r="I304" s="18"/>
      <c r="J304" s="18"/>
      <c r="K304" s="18"/>
      <c r="L304" s="18"/>
      <c r="M304" s="18"/>
      <c r="N304" s="18"/>
      <c r="O304" s="18"/>
      <c r="P304" s="18"/>
      <c r="Q304" s="7"/>
      <c r="R304" s="7"/>
      <c r="S304" s="7"/>
      <c r="T304" s="7"/>
      <c r="U304" s="7"/>
      <c r="V304" s="7"/>
      <c r="W304" s="19"/>
      <c r="X304" s="7"/>
      <c r="Y304" s="7"/>
      <c r="Z304" s="7"/>
      <c r="AA304" s="7"/>
      <c r="AB304" s="7"/>
      <c r="AC304" s="7"/>
      <c r="AD304" s="7"/>
      <c r="AE304" s="7"/>
      <c r="AF304" s="7"/>
      <c r="AG304" s="7"/>
      <c r="AH304" s="7"/>
      <c r="AI304" s="7"/>
      <c r="AJ304" s="7"/>
      <c r="AK304" s="7"/>
      <c r="AL304" s="7"/>
      <c r="AM304" s="7"/>
    </row>
    <row r="305" spans="1:39" x14ac:dyDescent="0.2">
      <c r="A305" s="62"/>
      <c r="B305" s="62"/>
      <c r="C305" s="18"/>
      <c r="D305" s="18"/>
      <c r="E305" s="18"/>
      <c r="F305" s="18"/>
      <c r="G305" s="18"/>
      <c r="H305" s="18"/>
      <c r="I305" s="18"/>
      <c r="J305" s="18"/>
      <c r="K305" s="18"/>
      <c r="L305" s="18"/>
      <c r="M305" s="18"/>
      <c r="N305" s="18"/>
      <c r="O305" s="18"/>
      <c r="P305" s="18"/>
      <c r="Q305" s="7"/>
      <c r="R305" s="7"/>
      <c r="S305" s="7"/>
      <c r="T305" s="7"/>
      <c r="U305" s="7"/>
      <c r="V305" s="7"/>
      <c r="W305" s="19"/>
      <c r="X305" s="7"/>
      <c r="Y305" s="7"/>
      <c r="Z305" s="7"/>
      <c r="AA305" s="7"/>
      <c r="AB305" s="7"/>
      <c r="AC305" s="7"/>
      <c r="AD305" s="7"/>
      <c r="AE305" s="7"/>
      <c r="AF305" s="7"/>
      <c r="AG305" s="7"/>
      <c r="AH305" s="7"/>
      <c r="AI305" s="7"/>
      <c r="AJ305" s="7"/>
      <c r="AK305" s="7"/>
      <c r="AL305" s="7"/>
      <c r="AM305" s="7"/>
    </row>
    <row r="306" spans="1:39" x14ac:dyDescent="0.2">
      <c r="A306" s="62"/>
      <c r="B306" s="62"/>
      <c r="C306" s="18"/>
      <c r="D306" s="18"/>
      <c r="E306" s="18"/>
      <c r="F306" s="18"/>
      <c r="G306" s="18"/>
      <c r="H306" s="18"/>
      <c r="I306" s="18"/>
      <c r="J306" s="18"/>
      <c r="K306" s="18"/>
      <c r="L306" s="18"/>
      <c r="M306" s="18"/>
      <c r="N306" s="18"/>
      <c r="O306" s="18"/>
      <c r="P306" s="18"/>
      <c r="Q306" s="7"/>
      <c r="R306" s="7"/>
      <c r="S306" s="7"/>
      <c r="T306" s="7"/>
      <c r="U306" s="7"/>
      <c r="V306" s="7"/>
      <c r="W306" s="19"/>
      <c r="X306" s="7"/>
      <c r="Y306" s="7"/>
      <c r="Z306" s="7"/>
      <c r="AA306" s="7"/>
      <c r="AB306" s="7"/>
      <c r="AC306" s="7"/>
      <c r="AD306" s="7"/>
      <c r="AE306" s="7"/>
      <c r="AF306" s="7"/>
      <c r="AG306" s="7"/>
      <c r="AH306" s="7"/>
      <c r="AI306" s="7"/>
      <c r="AJ306" s="7"/>
      <c r="AK306" s="7"/>
      <c r="AL306" s="7"/>
      <c r="AM306" s="7"/>
    </row>
    <row r="307" spans="1:39" x14ac:dyDescent="0.2">
      <c r="A307" s="62"/>
      <c r="B307" s="62"/>
      <c r="C307" s="18"/>
      <c r="D307" s="18"/>
      <c r="E307" s="18"/>
      <c r="F307" s="18"/>
      <c r="G307" s="18"/>
      <c r="H307" s="18"/>
      <c r="I307" s="18"/>
      <c r="J307" s="18"/>
      <c r="K307" s="18"/>
      <c r="L307" s="18"/>
      <c r="M307" s="18"/>
      <c r="N307" s="18"/>
      <c r="O307" s="18"/>
      <c r="P307" s="18"/>
      <c r="Q307" s="7"/>
      <c r="R307" s="7"/>
      <c r="S307" s="7"/>
      <c r="T307" s="7"/>
      <c r="U307" s="7"/>
      <c r="V307" s="7"/>
      <c r="W307" s="19"/>
      <c r="X307" s="7"/>
      <c r="Y307" s="7"/>
      <c r="Z307" s="7"/>
      <c r="AA307" s="7"/>
      <c r="AB307" s="7"/>
      <c r="AC307" s="7"/>
      <c r="AD307" s="7"/>
      <c r="AE307" s="7"/>
      <c r="AF307" s="7"/>
      <c r="AG307" s="7"/>
      <c r="AH307" s="7"/>
      <c r="AI307" s="7"/>
      <c r="AJ307" s="7"/>
      <c r="AK307" s="7"/>
      <c r="AL307" s="7"/>
      <c r="AM307" s="7"/>
    </row>
    <row r="308" spans="1:39" x14ac:dyDescent="0.2">
      <c r="A308" s="62"/>
      <c r="B308" s="62"/>
      <c r="C308" s="18"/>
      <c r="D308" s="18"/>
      <c r="E308" s="18"/>
      <c r="F308" s="18"/>
      <c r="G308" s="18"/>
      <c r="H308" s="18"/>
      <c r="I308" s="18"/>
      <c r="J308" s="18"/>
      <c r="K308" s="18"/>
      <c r="L308" s="18"/>
      <c r="M308" s="18"/>
      <c r="N308" s="18"/>
      <c r="O308" s="18"/>
      <c r="P308" s="18"/>
      <c r="Q308" s="7"/>
      <c r="R308" s="7"/>
      <c r="S308" s="7"/>
      <c r="T308" s="7"/>
      <c r="U308" s="7"/>
      <c r="V308" s="7"/>
      <c r="W308" s="19"/>
      <c r="X308" s="7"/>
      <c r="Y308" s="7"/>
      <c r="Z308" s="7"/>
      <c r="AA308" s="7"/>
      <c r="AB308" s="7"/>
      <c r="AC308" s="7"/>
      <c r="AD308" s="7"/>
      <c r="AE308" s="7"/>
      <c r="AF308" s="7"/>
      <c r="AG308" s="7"/>
      <c r="AH308" s="7"/>
      <c r="AI308" s="7"/>
      <c r="AJ308" s="7"/>
      <c r="AK308" s="7"/>
      <c r="AL308" s="7"/>
      <c r="AM308" s="7"/>
    </row>
    <row r="309" spans="1:39" x14ac:dyDescent="0.2">
      <c r="A309" s="62"/>
      <c r="B309" s="62"/>
      <c r="C309" s="18"/>
      <c r="D309" s="18"/>
      <c r="E309" s="18"/>
      <c r="F309" s="18"/>
      <c r="G309" s="18"/>
      <c r="H309" s="18"/>
      <c r="I309" s="18"/>
      <c r="J309" s="18"/>
      <c r="K309" s="18"/>
      <c r="L309" s="18"/>
      <c r="M309" s="18"/>
      <c r="N309" s="18"/>
      <c r="O309" s="18"/>
      <c r="P309" s="18"/>
      <c r="Q309" s="7"/>
      <c r="R309" s="7"/>
      <c r="S309" s="7"/>
      <c r="T309" s="7"/>
      <c r="U309" s="7"/>
      <c r="V309" s="7"/>
      <c r="W309" s="19"/>
      <c r="X309" s="7"/>
      <c r="Y309" s="7"/>
      <c r="Z309" s="7"/>
      <c r="AA309" s="7"/>
      <c r="AB309" s="7"/>
      <c r="AC309" s="7"/>
      <c r="AD309" s="7"/>
      <c r="AE309" s="7"/>
      <c r="AF309" s="7"/>
      <c r="AG309" s="7"/>
      <c r="AH309" s="7"/>
      <c r="AI309" s="7"/>
      <c r="AJ309" s="7"/>
      <c r="AK309" s="7"/>
      <c r="AL309" s="7"/>
      <c r="AM309" s="7"/>
    </row>
    <row r="310" spans="1:39" x14ac:dyDescent="0.2">
      <c r="A310" s="62"/>
      <c r="B310" s="62"/>
      <c r="C310" s="18"/>
      <c r="D310" s="18"/>
      <c r="E310" s="18"/>
      <c r="F310" s="18"/>
      <c r="G310" s="18"/>
      <c r="H310" s="18"/>
      <c r="I310" s="18"/>
      <c r="J310" s="18"/>
      <c r="K310" s="18"/>
      <c r="L310" s="18"/>
      <c r="M310" s="18"/>
      <c r="N310" s="18"/>
      <c r="O310" s="18"/>
      <c r="P310" s="18"/>
      <c r="Q310" s="7"/>
      <c r="R310" s="7"/>
      <c r="S310" s="7"/>
      <c r="T310" s="7"/>
      <c r="U310" s="7"/>
      <c r="V310" s="7"/>
      <c r="W310" s="19"/>
      <c r="X310" s="7"/>
      <c r="Y310" s="7"/>
      <c r="Z310" s="7"/>
      <c r="AA310" s="7"/>
      <c r="AB310" s="7"/>
      <c r="AC310" s="7"/>
      <c r="AD310" s="7"/>
      <c r="AE310" s="7"/>
      <c r="AF310" s="7"/>
      <c r="AG310" s="7"/>
      <c r="AH310" s="7"/>
      <c r="AI310" s="7"/>
      <c r="AJ310" s="7"/>
      <c r="AK310" s="7"/>
      <c r="AL310" s="7"/>
      <c r="AM310" s="7"/>
    </row>
    <row r="311" spans="1:39" x14ac:dyDescent="0.2">
      <c r="A311" s="62"/>
      <c r="B311" s="62"/>
      <c r="C311" s="18"/>
      <c r="D311" s="18"/>
      <c r="E311" s="18"/>
      <c r="F311" s="18"/>
      <c r="G311" s="18"/>
      <c r="H311" s="18"/>
      <c r="I311" s="18"/>
      <c r="J311" s="18"/>
      <c r="K311" s="18"/>
      <c r="L311" s="18"/>
      <c r="M311" s="18"/>
      <c r="N311" s="18"/>
      <c r="O311" s="18"/>
      <c r="P311" s="18"/>
      <c r="Q311" s="7"/>
      <c r="R311" s="7"/>
      <c r="S311" s="7"/>
      <c r="T311" s="7"/>
      <c r="U311" s="7"/>
      <c r="V311" s="7"/>
      <c r="W311" s="19"/>
      <c r="X311" s="7"/>
      <c r="Y311" s="7"/>
      <c r="Z311" s="7"/>
      <c r="AA311" s="7"/>
      <c r="AB311" s="7"/>
      <c r="AC311" s="7"/>
      <c r="AD311" s="7"/>
      <c r="AE311" s="7"/>
      <c r="AF311" s="7"/>
      <c r="AG311" s="7"/>
      <c r="AH311" s="7"/>
      <c r="AI311" s="7"/>
      <c r="AJ311" s="7"/>
      <c r="AK311" s="7"/>
      <c r="AL311" s="7"/>
      <c r="AM311" s="7"/>
    </row>
    <row r="312" spans="1:39" x14ac:dyDescent="0.2">
      <c r="A312" s="62"/>
      <c r="B312" s="62"/>
      <c r="C312" s="18"/>
      <c r="D312" s="18"/>
      <c r="E312" s="18"/>
      <c r="F312" s="18"/>
      <c r="G312" s="18"/>
      <c r="H312" s="18"/>
      <c r="I312" s="18"/>
      <c r="J312" s="18"/>
      <c r="K312" s="18"/>
      <c r="L312" s="18"/>
      <c r="M312" s="18"/>
      <c r="N312" s="18"/>
      <c r="O312" s="18"/>
      <c r="P312" s="18"/>
      <c r="Q312" s="7"/>
      <c r="R312" s="7"/>
      <c r="S312" s="7"/>
      <c r="T312" s="7"/>
      <c r="U312" s="7"/>
      <c r="V312" s="7"/>
      <c r="W312" s="19"/>
      <c r="X312" s="7"/>
      <c r="Y312" s="7"/>
      <c r="Z312" s="7"/>
      <c r="AA312" s="7"/>
      <c r="AB312" s="7"/>
      <c r="AC312" s="7"/>
      <c r="AD312" s="7"/>
      <c r="AE312" s="7"/>
      <c r="AF312" s="7"/>
      <c r="AG312" s="7"/>
      <c r="AH312" s="7"/>
      <c r="AI312" s="7"/>
      <c r="AJ312" s="7"/>
      <c r="AK312" s="7"/>
      <c r="AL312" s="7"/>
      <c r="AM312" s="7"/>
    </row>
    <row r="313" spans="1:39" x14ac:dyDescent="0.2">
      <c r="A313" s="62"/>
      <c r="B313" s="62"/>
      <c r="C313" s="18"/>
      <c r="D313" s="18"/>
      <c r="E313" s="18"/>
      <c r="F313" s="18"/>
      <c r="G313" s="18"/>
      <c r="H313" s="18"/>
      <c r="I313" s="18"/>
      <c r="J313" s="18"/>
      <c r="K313" s="18"/>
      <c r="L313" s="18"/>
      <c r="M313" s="18"/>
      <c r="N313" s="18"/>
      <c r="O313" s="18"/>
      <c r="P313" s="18"/>
      <c r="Q313" s="7"/>
      <c r="R313" s="7"/>
      <c r="S313" s="7"/>
      <c r="T313" s="7"/>
      <c r="U313" s="7"/>
      <c r="V313" s="7"/>
      <c r="W313" s="19"/>
      <c r="X313" s="7"/>
      <c r="Y313" s="7"/>
      <c r="Z313" s="7"/>
      <c r="AA313" s="7"/>
      <c r="AB313" s="7"/>
      <c r="AC313" s="7"/>
      <c r="AD313" s="7"/>
      <c r="AE313" s="7"/>
      <c r="AF313" s="7"/>
      <c r="AG313" s="7"/>
      <c r="AH313" s="7"/>
      <c r="AI313" s="7"/>
      <c r="AJ313" s="7"/>
      <c r="AK313" s="7"/>
      <c r="AL313" s="7"/>
      <c r="AM313" s="7"/>
    </row>
    <row r="314" spans="1:39" x14ac:dyDescent="0.2">
      <c r="A314" s="62"/>
      <c r="B314" s="62"/>
      <c r="C314" s="18"/>
      <c r="D314" s="18"/>
      <c r="E314" s="18"/>
      <c r="F314" s="18"/>
      <c r="G314" s="18"/>
      <c r="H314" s="18"/>
      <c r="I314" s="18"/>
      <c r="J314" s="18"/>
      <c r="K314" s="18"/>
      <c r="L314" s="18"/>
      <c r="M314" s="18"/>
      <c r="N314" s="18"/>
      <c r="O314" s="18"/>
      <c r="P314" s="18"/>
      <c r="Q314" s="7"/>
      <c r="R314" s="7"/>
      <c r="S314" s="7"/>
      <c r="T314" s="7"/>
      <c r="U314" s="7"/>
      <c r="V314" s="7"/>
      <c r="W314" s="19"/>
      <c r="X314" s="7"/>
      <c r="Y314" s="7"/>
      <c r="Z314" s="7"/>
      <c r="AA314" s="7"/>
      <c r="AB314" s="7"/>
      <c r="AC314" s="7"/>
      <c r="AD314" s="7"/>
      <c r="AE314" s="7"/>
      <c r="AF314" s="7"/>
      <c r="AG314" s="7"/>
      <c r="AH314" s="7"/>
      <c r="AI314" s="7"/>
      <c r="AJ314" s="7"/>
      <c r="AK314" s="7"/>
      <c r="AL314" s="7"/>
      <c r="AM314" s="7"/>
    </row>
    <row r="315" spans="1:39" x14ac:dyDescent="0.2">
      <c r="A315" s="62"/>
      <c r="B315" s="62"/>
      <c r="C315" s="18"/>
      <c r="D315" s="18"/>
      <c r="E315" s="18"/>
      <c r="F315" s="18"/>
      <c r="G315" s="18"/>
      <c r="H315" s="18"/>
      <c r="I315" s="18"/>
      <c r="J315" s="18"/>
      <c r="K315" s="18"/>
      <c r="L315" s="18"/>
      <c r="M315" s="18"/>
      <c r="N315" s="18"/>
      <c r="O315" s="18"/>
      <c r="P315" s="18"/>
      <c r="Q315" s="7"/>
      <c r="R315" s="7"/>
      <c r="S315" s="7"/>
      <c r="T315" s="7"/>
      <c r="U315" s="7"/>
      <c r="V315" s="7"/>
      <c r="W315" s="19"/>
      <c r="X315" s="7"/>
      <c r="Y315" s="7"/>
      <c r="Z315" s="7"/>
      <c r="AA315" s="7"/>
      <c r="AB315" s="7"/>
      <c r="AC315" s="7"/>
      <c r="AD315" s="7"/>
      <c r="AE315" s="7"/>
      <c r="AF315" s="7"/>
      <c r="AG315" s="7"/>
      <c r="AH315" s="7"/>
      <c r="AI315" s="7"/>
      <c r="AJ315" s="7"/>
      <c r="AK315" s="7"/>
      <c r="AL315" s="7"/>
      <c r="AM315" s="7"/>
    </row>
    <row r="316" spans="1:39" x14ac:dyDescent="0.2">
      <c r="A316" s="62"/>
      <c r="B316" s="62"/>
      <c r="C316" s="18"/>
      <c r="D316" s="18"/>
      <c r="E316" s="18"/>
      <c r="F316" s="18"/>
      <c r="G316" s="18"/>
      <c r="H316" s="18"/>
      <c r="I316" s="18"/>
      <c r="J316" s="18"/>
      <c r="K316" s="18"/>
      <c r="L316" s="18"/>
      <c r="M316" s="18"/>
      <c r="N316" s="18"/>
      <c r="O316" s="18"/>
      <c r="P316" s="18"/>
      <c r="Q316" s="7"/>
      <c r="R316" s="7"/>
      <c r="S316" s="7"/>
      <c r="T316" s="7"/>
      <c r="U316" s="7"/>
      <c r="V316" s="7"/>
      <c r="W316" s="19"/>
      <c r="X316" s="7"/>
      <c r="Y316" s="7"/>
      <c r="Z316" s="7"/>
      <c r="AA316" s="7"/>
      <c r="AB316" s="7"/>
      <c r="AC316" s="7"/>
      <c r="AD316" s="7"/>
      <c r="AE316" s="7"/>
      <c r="AF316" s="7"/>
      <c r="AG316" s="7"/>
      <c r="AH316" s="7"/>
      <c r="AI316" s="7"/>
      <c r="AJ316" s="7"/>
      <c r="AK316" s="7"/>
      <c r="AL316" s="7"/>
      <c r="AM316" s="7"/>
    </row>
    <row r="317" spans="1:39" x14ac:dyDescent="0.2">
      <c r="A317" s="62"/>
      <c r="B317" s="62"/>
      <c r="C317" s="18"/>
      <c r="D317" s="18"/>
      <c r="E317" s="18"/>
      <c r="F317" s="18"/>
      <c r="G317" s="18"/>
      <c r="H317" s="18"/>
      <c r="I317" s="18"/>
      <c r="J317" s="18"/>
      <c r="K317" s="18"/>
      <c r="L317" s="18"/>
      <c r="M317" s="18"/>
      <c r="N317" s="18"/>
      <c r="O317" s="18"/>
      <c r="P317" s="18"/>
      <c r="Q317" s="7"/>
      <c r="R317" s="7"/>
      <c r="S317" s="7"/>
      <c r="T317" s="7"/>
      <c r="U317" s="7"/>
      <c r="V317" s="7"/>
      <c r="W317" s="19"/>
      <c r="X317" s="7"/>
      <c r="Y317" s="7"/>
      <c r="Z317" s="7"/>
      <c r="AA317" s="7"/>
      <c r="AB317" s="7"/>
      <c r="AC317" s="7"/>
      <c r="AD317" s="7"/>
      <c r="AE317" s="7"/>
      <c r="AF317" s="7"/>
      <c r="AG317" s="7"/>
      <c r="AH317" s="7"/>
      <c r="AI317" s="7"/>
      <c r="AJ317" s="7"/>
      <c r="AK317" s="7"/>
      <c r="AL317" s="7"/>
      <c r="AM317" s="7"/>
    </row>
    <row r="318" spans="1:39" x14ac:dyDescent="0.2">
      <c r="A318" s="62"/>
      <c r="B318" s="62"/>
      <c r="C318" s="18"/>
      <c r="D318" s="18"/>
      <c r="E318" s="18"/>
      <c r="F318" s="18"/>
      <c r="G318" s="18"/>
      <c r="H318" s="18"/>
      <c r="I318" s="18"/>
      <c r="J318" s="18"/>
      <c r="K318" s="18"/>
      <c r="L318" s="18"/>
      <c r="M318" s="18"/>
      <c r="N318" s="18"/>
      <c r="O318" s="18"/>
      <c r="P318" s="18"/>
      <c r="Q318" s="7"/>
      <c r="R318" s="7"/>
      <c r="S318" s="7"/>
      <c r="T318" s="7"/>
      <c r="U318" s="7"/>
      <c r="V318" s="7"/>
      <c r="W318" s="19"/>
      <c r="X318" s="7"/>
      <c r="Y318" s="7"/>
      <c r="Z318" s="7"/>
      <c r="AA318" s="7"/>
      <c r="AB318" s="7"/>
      <c r="AC318" s="7"/>
      <c r="AD318" s="7"/>
      <c r="AE318" s="7"/>
      <c r="AF318" s="7"/>
      <c r="AG318" s="7"/>
      <c r="AH318" s="7"/>
      <c r="AI318" s="7"/>
      <c r="AJ318" s="7"/>
      <c r="AK318" s="7"/>
      <c r="AL318" s="7"/>
      <c r="AM318" s="7"/>
    </row>
    <row r="319" spans="1:39" x14ac:dyDescent="0.2">
      <c r="A319" s="62"/>
      <c r="B319" s="62"/>
      <c r="C319" s="18"/>
      <c r="D319" s="18"/>
      <c r="E319" s="18"/>
      <c r="F319" s="18"/>
      <c r="G319" s="18"/>
      <c r="H319" s="18"/>
      <c r="I319" s="18"/>
      <c r="J319" s="18"/>
      <c r="K319" s="18"/>
      <c r="L319" s="18"/>
      <c r="M319" s="18"/>
      <c r="N319" s="18"/>
      <c r="O319" s="18"/>
      <c r="P319" s="18"/>
      <c r="Q319" s="7"/>
      <c r="R319" s="7"/>
      <c r="S319" s="7"/>
      <c r="T319" s="7"/>
      <c r="U319" s="7"/>
      <c r="V319" s="7"/>
      <c r="W319" s="19"/>
      <c r="X319" s="7"/>
      <c r="Y319" s="7"/>
      <c r="Z319" s="7"/>
      <c r="AA319" s="7"/>
      <c r="AB319" s="7"/>
      <c r="AC319" s="7"/>
      <c r="AD319" s="7"/>
      <c r="AE319" s="7"/>
      <c r="AF319" s="7"/>
      <c r="AG319" s="7"/>
      <c r="AH319" s="7"/>
      <c r="AI319" s="7"/>
      <c r="AJ319" s="7"/>
      <c r="AK319" s="7"/>
      <c r="AL319" s="7"/>
      <c r="AM319" s="7"/>
    </row>
    <row r="320" spans="1:39" x14ac:dyDescent="0.2">
      <c r="A320" s="62"/>
      <c r="B320" s="62"/>
      <c r="C320" s="18"/>
      <c r="D320" s="18"/>
      <c r="E320" s="18"/>
      <c r="F320" s="18"/>
      <c r="G320" s="18"/>
      <c r="H320" s="18"/>
      <c r="I320" s="18"/>
      <c r="J320" s="18"/>
      <c r="K320" s="18"/>
      <c r="L320" s="18"/>
      <c r="M320" s="18"/>
      <c r="N320" s="18"/>
      <c r="O320" s="18"/>
      <c r="P320" s="18"/>
      <c r="Q320" s="7"/>
      <c r="R320" s="7"/>
      <c r="S320" s="7"/>
      <c r="T320" s="7"/>
      <c r="U320" s="7"/>
      <c r="V320" s="7"/>
      <c r="W320" s="19"/>
      <c r="X320" s="7"/>
      <c r="Y320" s="7"/>
      <c r="Z320" s="7"/>
      <c r="AA320" s="7"/>
      <c r="AB320" s="7"/>
      <c r="AC320" s="7"/>
      <c r="AD320" s="7"/>
      <c r="AE320" s="7"/>
      <c r="AF320" s="7"/>
      <c r="AG320" s="7"/>
      <c r="AH320" s="7"/>
      <c r="AI320" s="7"/>
      <c r="AJ320" s="7"/>
      <c r="AK320" s="7"/>
      <c r="AL320" s="7"/>
      <c r="AM320" s="7"/>
    </row>
    <row r="321" spans="1:39" x14ac:dyDescent="0.2">
      <c r="A321" s="62"/>
      <c r="B321" s="62"/>
      <c r="C321" s="18"/>
      <c r="D321" s="18"/>
      <c r="E321" s="18"/>
      <c r="F321" s="18"/>
      <c r="G321" s="18"/>
      <c r="H321" s="18"/>
      <c r="I321" s="18"/>
      <c r="J321" s="18"/>
      <c r="K321" s="18"/>
      <c r="L321" s="18"/>
      <c r="M321" s="18"/>
      <c r="N321" s="18"/>
      <c r="O321" s="18"/>
      <c r="P321" s="18"/>
      <c r="Q321" s="7"/>
      <c r="R321" s="7"/>
      <c r="S321" s="7"/>
      <c r="T321" s="7"/>
      <c r="U321" s="7"/>
      <c r="V321" s="7"/>
      <c r="W321" s="19"/>
      <c r="X321" s="7"/>
      <c r="Y321" s="7"/>
      <c r="Z321" s="7"/>
      <c r="AA321" s="7"/>
      <c r="AB321" s="7"/>
      <c r="AC321" s="7"/>
      <c r="AD321" s="7"/>
      <c r="AE321" s="7"/>
      <c r="AF321" s="7"/>
      <c r="AG321" s="7"/>
      <c r="AH321" s="7"/>
      <c r="AI321" s="7"/>
      <c r="AJ321" s="7"/>
      <c r="AK321" s="7"/>
      <c r="AL321" s="7"/>
      <c r="AM321" s="7"/>
    </row>
    <row r="322" spans="1:39" x14ac:dyDescent="0.2">
      <c r="A322" s="62"/>
      <c r="B322" s="62"/>
      <c r="C322" s="18"/>
      <c r="D322" s="18"/>
      <c r="E322" s="18"/>
      <c r="F322" s="18"/>
      <c r="G322" s="18"/>
      <c r="H322" s="18"/>
      <c r="I322" s="18"/>
      <c r="J322" s="18"/>
      <c r="K322" s="18"/>
      <c r="L322" s="18"/>
      <c r="M322" s="18"/>
      <c r="N322" s="18"/>
      <c r="O322" s="18"/>
      <c r="P322" s="18"/>
      <c r="Q322" s="7"/>
      <c r="R322" s="7"/>
      <c r="S322" s="7"/>
      <c r="T322" s="7"/>
      <c r="U322" s="7"/>
      <c r="V322" s="7"/>
      <c r="W322" s="19"/>
      <c r="X322" s="7"/>
      <c r="Y322" s="7"/>
      <c r="Z322" s="7"/>
      <c r="AA322" s="7"/>
      <c r="AB322" s="7"/>
      <c r="AC322" s="7"/>
      <c r="AD322" s="7"/>
      <c r="AE322" s="7"/>
      <c r="AF322" s="7"/>
      <c r="AG322" s="7"/>
      <c r="AH322" s="7"/>
      <c r="AI322" s="7"/>
      <c r="AJ322" s="7"/>
      <c r="AK322" s="7"/>
      <c r="AL322" s="7"/>
      <c r="AM322" s="7"/>
    </row>
    <row r="323" spans="1:39" x14ac:dyDescent="0.2">
      <c r="A323" s="62"/>
      <c r="B323" s="62"/>
      <c r="C323" s="18"/>
      <c r="D323" s="18"/>
      <c r="E323" s="18"/>
      <c r="F323" s="18"/>
      <c r="G323" s="18"/>
      <c r="H323" s="18"/>
      <c r="I323" s="18"/>
      <c r="J323" s="18"/>
      <c r="K323" s="18"/>
      <c r="L323" s="18"/>
      <c r="M323" s="18"/>
      <c r="N323" s="18"/>
      <c r="O323" s="18"/>
      <c r="P323" s="18"/>
      <c r="Q323" s="7"/>
      <c r="R323" s="7"/>
      <c r="S323" s="7"/>
      <c r="T323" s="7"/>
      <c r="U323" s="7"/>
      <c r="V323" s="7"/>
      <c r="W323" s="19"/>
      <c r="X323" s="7"/>
      <c r="Y323" s="7"/>
      <c r="Z323" s="7"/>
      <c r="AA323" s="7"/>
      <c r="AB323" s="7"/>
      <c r="AC323" s="7"/>
      <c r="AD323" s="7"/>
      <c r="AE323" s="7"/>
      <c r="AF323" s="7"/>
      <c r="AG323" s="7"/>
      <c r="AH323" s="7"/>
      <c r="AI323" s="7"/>
      <c r="AJ323" s="7"/>
      <c r="AK323" s="7"/>
      <c r="AL323" s="7"/>
      <c r="AM323" s="7"/>
    </row>
    <row r="324" spans="1:39" x14ac:dyDescent="0.2">
      <c r="A324" s="62"/>
      <c r="B324" s="62"/>
      <c r="C324" s="18"/>
      <c r="D324" s="18"/>
      <c r="E324" s="18"/>
      <c r="F324" s="18"/>
      <c r="G324" s="18"/>
      <c r="H324" s="18"/>
      <c r="I324" s="18"/>
      <c r="J324" s="18"/>
      <c r="K324" s="18"/>
      <c r="L324" s="18"/>
      <c r="M324" s="18"/>
      <c r="N324" s="18"/>
      <c r="O324" s="18"/>
      <c r="P324" s="18"/>
      <c r="Q324" s="7"/>
      <c r="R324" s="7"/>
      <c r="S324" s="7"/>
      <c r="T324" s="7"/>
      <c r="U324" s="7"/>
      <c r="V324" s="7"/>
      <c r="W324" s="19"/>
      <c r="X324" s="7"/>
      <c r="Y324" s="7"/>
      <c r="Z324" s="7"/>
      <c r="AA324" s="7"/>
      <c r="AB324" s="7"/>
      <c r="AC324" s="7"/>
      <c r="AD324" s="7"/>
      <c r="AE324" s="7"/>
      <c r="AF324" s="7"/>
      <c r="AG324" s="7"/>
      <c r="AH324" s="7"/>
      <c r="AI324" s="7"/>
      <c r="AJ324" s="7"/>
      <c r="AK324" s="7"/>
      <c r="AL324" s="7"/>
      <c r="AM324" s="7"/>
    </row>
    <row r="325" spans="1:39" x14ac:dyDescent="0.2">
      <c r="A325" s="62"/>
      <c r="B325" s="62"/>
      <c r="C325" s="18"/>
      <c r="D325" s="18"/>
      <c r="E325" s="18"/>
      <c r="F325" s="18"/>
      <c r="G325" s="18"/>
      <c r="H325" s="18"/>
      <c r="I325" s="18"/>
      <c r="J325" s="18"/>
      <c r="K325" s="18"/>
      <c r="L325" s="18"/>
      <c r="M325" s="18"/>
      <c r="N325" s="18"/>
      <c r="O325" s="18"/>
      <c r="P325" s="18"/>
      <c r="Q325" s="7"/>
      <c r="R325" s="7"/>
      <c r="S325" s="7"/>
      <c r="T325" s="7"/>
      <c r="U325" s="7"/>
      <c r="V325" s="7"/>
      <c r="W325" s="19"/>
      <c r="X325" s="7"/>
      <c r="Y325" s="7"/>
      <c r="Z325" s="7"/>
      <c r="AA325" s="7"/>
      <c r="AB325" s="7"/>
      <c r="AC325" s="7"/>
      <c r="AD325" s="7"/>
      <c r="AE325" s="7"/>
      <c r="AF325" s="7"/>
      <c r="AG325" s="7"/>
      <c r="AH325" s="7"/>
      <c r="AI325" s="7"/>
      <c r="AJ325" s="7"/>
      <c r="AK325" s="7"/>
      <c r="AL325" s="7"/>
      <c r="AM325" s="7"/>
    </row>
    <row r="326" spans="1:39" x14ac:dyDescent="0.2">
      <c r="A326" s="62"/>
      <c r="B326" s="62"/>
      <c r="C326" s="18"/>
      <c r="D326" s="18"/>
      <c r="E326" s="18"/>
      <c r="F326" s="18"/>
      <c r="G326" s="18"/>
      <c r="H326" s="18"/>
      <c r="I326" s="18"/>
      <c r="J326" s="18"/>
      <c r="K326" s="18"/>
      <c r="L326" s="18"/>
      <c r="M326" s="18"/>
      <c r="N326" s="18"/>
      <c r="O326" s="18"/>
      <c r="P326" s="18"/>
      <c r="Q326" s="7"/>
      <c r="R326" s="7"/>
      <c r="S326" s="7"/>
      <c r="T326" s="7"/>
      <c r="U326" s="7"/>
      <c r="V326" s="7"/>
      <c r="W326" s="19"/>
      <c r="X326" s="7"/>
      <c r="Y326" s="7"/>
      <c r="Z326" s="7"/>
      <c r="AA326" s="7"/>
      <c r="AB326" s="7"/>
      <c r="AC326" s="7"/>
      <c r="AD326" s="7"/>
      <c r="AE326" s="7"/>
      <c r="AF326" s="7"/>
      <c r="AG326" s="7"/>
      <c r="AH326" s="7"/>
      <c r="AI326" s="7"/>
      <c r="AJ326" s="7"/>
      <c r="AK326" s="7"/>
      <c r="AL326" s="7"/>
      <c r="AM326" s="7"/>
    </row>
    <row r="327" spans="1:39" x14ac:dyDescent="0.2">
      <c r="A327" s="62"/>
      <c r="B327" s="62"/>
      <c r="C327" s="18"/>
      <c r="D327" s="18"/>
      <c r="E327" s="18"/>
      <c r="F327" s="18"/>
      <c r="G327" s="18"/>
      <c r="H327" s="18"/>
      <c r="I327" s="18"/>
      <c r="J327" s="18"/>
      <c r="K327" s="18"/>
      <c r="L327" s="18"/>
      <c r="M327" s="18"/>
      <c r="N327" s="18"/>
      <c r="O327" s="18"/>
      <c r="P327" s="18"/>
      <c r="Q327" s="7"/>
      <c r="R327" s="7"/>
      <c r="S327" s="7"/>
      <c r="T327" s="7"/>
      <c r="U327" s="7"/>
      <c r="V327" s="7"/>
      <c r="W327" s="19"/>
      <c r="X327" s="7"/>
      <c r="Y327" s="7"/>
      <c r="Z327" s="7"/>
      <c r="AA327" s="7"/>
      <c r="AB327" s="7"/>
      <c r="AC327" s="7"/>
      <c r="AD327" s="7"/>
      <c r="AE327" s="7"/>
      <c r="AF327" s="7"/>
      <c r="AG327" s="7"/>
      <c r="AH327" s="7"/>
      <c r="AI327" s="7"/>
      <c r="AJ327" s="7"/>
      <c r="AK327" s="7"/>
      <c r="AL327" s="7"/>
      <c r="AM327" s="7"/>
    </row>
    <row r="328" spans="1:39" x14ac:dyDescent="0.2">
      <c r="A328" s="62"/>
      <c r="B328" s="62"/>
      <c r="C328" s="18"/>
      <c r="D328" s="18"/>
      <c r="E328" s="18"/>
      <c r="F328" s="18"/>
      <c r="G328" s="18"/>
      <c r="H328" s="18"/>
      <c r="I328" s="18"/>
      <c r="J328" s="18"/>
      <c r="K328" s="18"/>
      <c r="L328" s="18"/>
      <c r="M328" s="18"/>
      <c r="N328" s="18"/>
      <c r="O328" s="18"/>
      <c r="P328" s="18"/>
      <c r="Q328" s="7"/>
      <c r="R328" s="7"/>
      <c r="S328" s="7"/>
      <c r="T328" s="7"/>
      <c r="U328" s="7"/>
      <c r="V328" s="7"/>
      <c r="W328" s="19"/>
      <c r="X328" s="7"/>
      <c r="Y328" s="7"/>
      <c r="Z328" s="7"/>
      <c r="AA328" s="7"/>
      <c r="AB328" s="7"/>
      <c r="AC328" s="7"/>
      <c r="AD328" s="7"/>
      <c r="AE328" s="7"/>
      <c r="AF328" s="7"/>
      <c r="AG328" s="7"/>
      <c r="AH328" s="7"/>
      <c r="AI328" s="7"/>
      <c r="AJ328" s="7"/>
      <c r="AK328" s="7"/>
      <c r="AL328" s="7"/>
      <c r="AM328" s="7"/>
    </row>
    <row r="329" spans="1:39" x14ac:dyDescent="0.2">
      <c r="A329" s="62"/>
      <c r="B329" s="62"/>
      <c r="C329" s="18"/>
      <c r="D329" s="18"/>
      <c r="E329" s="18"/>
      <c r="F329" s="18"/>
      <c r="G329" s="18"/>
      <c r="H329" s="18"/>
      <c r="I329" s="18"/>
      <c r="J329" s="18"/>
      <c r="K329" s="18"/>
      <c r="L329" s="18"/>
      <c r="M329" s="18"/>
      <c r="N329" s="18"/>
      <c r="O329" s="18"/>
      <c r="P329" s="18"/>
      <c r="Q329" s="7"/>
      <c r="R329" s="7"/>
      <c r="S329" s="7"/>
      <c r="T329" s="7"/>
      <c r="U329" s="7"/>
      <c r="V329" s="7"/>
      <c r="W329" s="19"/>
      <c r="X329" s="7"/>
      <c r="Y329" s="7"/>
      <c r="Z329" s="7"/>
      <c r="AA329" s="7"/>
      <c r="AB329" s="7"/>
      <c r="AC329" s="7"/>
      <c r="AD329" s="7"/>
      <c r="AE329" s="7"/>
      <c r="AF329" s="7"/>
      <c r="AG329" s="7"/>
      <c r="AH329" s="7"/>
      <c r="AI329" s="7"/>
      <c r="AJ329" s="7"/>
      <c r="AK329" s="7"/>
      <c r="AL329" s="7"/>
      <c r="AM329" s="7"/>
    </row>
    <row r="330" spans="1:39" x14ac:dyDescent="0.2">
      <c r="A330" s="62"/>
      <c r="B330" s="62"/>
      <c r="C330" s="18"/>
      <c r="D330" s="18"/>
      <c r="E330" s="18"/>
      <c r="F330" s="18"/>
      <c r="G330" s="18"/>
      <c r="H330" s="18"/>
      <c r="I330" s="18"/>
      <c r="J330" s="18"/>
      <c r="K330" s="18"/>
      <c r="L330" s="18"/>
      <c r="M330" s="18"/>
      <c r="N330" s="18"/>
      <c r="O330" s="18"/>
      <c r="P330" s="18"/>
      <c r="Q330" s="7"/>
      <c r="R330" s="7"/>
      <c r="S330" s="7"/>
      <c r="T330" s="7"/>
      <c r="U330" s="7"/>
      <c r="V330" s="7"/>
      <c r="W330" s="19"/>
      <c r="X330" s="7"/>
      <c r="Y330" s="7"/>
      <c r="Z330" s="7"/>
      <c r="AA330" s="7"/>
      <c r="AB330" s="7"/>
      <c r="AC330" s="7"/>
      <c r="AD330" s="7"/>
      <c r="AE330" s="7"/>
      <c r="AF330" s="7"/>
      <c r="AG330" s="7"/>
      <c r="AH330" s="7"/>
      <c r="AI330" s="7"/>
      <c r="AJ330" s="7"/>
      <c r="AK330" s="7"/>
      <c r="AL330" s="7"/>
      <c r="AM330" s="7"/>
    </row>
    <row r="331" spans="1:39" x14ac:dyDescent="0.2">
      <c r="A331" s="62"/>
      <c r="B331" s="62"/>
      <c r="C331" s="18"/>
      <c r="D331" s="18"/>
      <c r="E331" s="18"/>
      <c r="F331" s="18"/>
      <c r="G331" s="18"/>
      <c r="H331" s="18"/>
      <c r="I331" s="18"/>
      <c r="J331" s="18"/>
      <c r="K331" s="18"/>
      <c r="L331" s="18"/>
      <c r="M331" s="18"/>
      <c r="N331" s="18"/>
      <c r="O331" s="18"/>
      <c r="P331" s="18"/>
      <c r="Q331" s="7"/>
      <c r="R331" s="7"/>
      <c r="S331" s="7"/>
      <c r="T331" s="7"/>
      <c r="U331" s="7"/>
      <c r="V331" s="7"/>
      <c r="W331" s="19"/>
      <c r="X331" s="7"/>
      <c r="Y331" s="7"/>
      <c r="Z331" s="7"/>
      <c r="AA331" s="7"/>
      <c r="AB331" s="7"/>
      <c r="AC331" s="7"/>
      <c r="AD331" s="7"/>
      <c r="AE331" s="7"/>
      <c r="AF331" s="7"/>
      <c r="AG331" s="7"/>
      <c r="AH331" s="7"/>
      <c r="AI331" s="7"/>
      <c r="AJ331" s="7"/>
      <c r="AK331" s="7"/>
      <c r="AL331" s="7"/>
      <c r="AM331" s="7"/>
    </row>
    <row r="332" spans="1:39" x14ac:dyDescent="0.2">
      <c r="A332" s="62"/>
      <c r="B332" s="62"/>
      <c r="C332" s="18"/>
      <c r="D332" s="18"/>
      <c r="E332" s="18"/>
      <c r="F332" s="18"/>
      <c r="G332" s="18"/>
      <c r="H332" s="18"/>
      <c r="I332" s="18"/>
      <c r="J332" s="18"/>
      <c r="K332" s="18"/>
      <c r="L332" s="18"/>
      <c r="M332" s="18"/>
      <c r="N332" s="18"/>
      <c r="O332" s="18"/>
      <c r="P332" s="18"/>
      <c r="Q332" s="7"/>
      <c r="R332" s="7"/>
      <c r="S332" s="7"/>
      <c r="T332" s="7"/>
      <c r="U332" s="7"/>
      <c r="V332" s="7"/>
      <c r="W332" s="19"/>
      <c r="X332" s="7"/>
      <c r="Y332" s="7"/>
      <c r="Z332" s="7"/>
      <c r="AA332" s="7"/>
      <c r="AB332" s="7"/>
      <c r="AC332" s="7"/>
      <c r="AD332" s="7"/>
      <c r="AE332" s="7"/>
      <c r="AF332" s="7"/>
      <c r="AG332" s="7"/>
      <c r="AH332" s="7"/>
      <c r="AI332" s="7"/>
      <c r="AJ332" s="7"/>
      <c r="AK332" s="7"/>
      <c r="AL332" s="7"/>
      <c r="AM332" s="7"/>
    </row>
    <row r="333" spans="1:39" x14ac:dyDescent="0.2">
      <c r="A333" s="62"/>
      <c r="B333" s="62"/>
      <c r="C333" s="18"/>
      <c r="D333" s="18"/>
      <c r="E333" s="18"/>
      <c r="F333" s="18"/>
      <c r="G333" s="18"/>
      <c r="H333" s="18"/>
      <c r="I333" s="18"/>
      <c r="J333" s="18"/>
      <c r="K333" s="18"/>
      <c r="L333" s="18"/>
      <c r="M333" s="18"/>
      <c r="N333" s="18"/>
      <c r="O333" s="18"/>
      <c r="P333" s="18"/>
      <c r="Q333" s="7"/>
      <c r="R333" s="7"/>
      <c r="S333" s="7"/>
      <c r="T333" s="7"/>
      <c r="U333" s="7"/>
      <c r="V333" s="7"/>
      <c r="W333" s="19"/>
      <c r="X333" s="7"/>
      <c r="Y333" s="7"/>
      <c r="Z333" s="7"/>
      <c r="AA333" s="7"/>
      <c r="AB333" s="7"/>
      <c r="AC333" s="7"/>
      <c r="AD333" s="7"/>
      <c r="AE333" s="7"/>
      <c r="AF333" s="7"/>
      <c r="AG333" s="7"/>
      <c r="AH333" s="7"/>
      <c r="AI333" s="7"/>
      <c r="AJ333" s="7"/>
      <c r="AK333" s="7"/>
      <c r="AL333" s="7"/>
      <c r="AM333" s="7"/>
    </row>
    <row r="334" spans="1:39" x14ac:dyDescent="0.2">
      <c r="A334" s="62"/>
      <c r="B334" s="62"/>
      <c r="C334" s="18"/>
      <c r="D334" s="18"/>
      <c r="E334" s="18"/>
      <c r="F334" s="18"/>
      <c r="G334" s="18"/>
      <c r="H334" s="18"/>
      <c r="I334" s="18"/>
      <c r="J334" s="18"/>
      <c r="K334" s="18"/>
      <c r="L334" s="18"/>
      <c r="M334" s="18"/>
      <c r="N334" s="18"/>
      <c r="O334" s="18"/>
      <c r="P334" s="18"/>
      <c r="Q334" s="7"/>
      <c r="R334" s="7"/>
      <c r="S334" s="7"/>
      <c r="T334" s="7"/>
      <c r="U334" s="7"/>
      <c r="V334" s="7"/>
      <c r="W334" s="19"/>
      <c r="X334" s="7"/>
      <c r="Y334" s="7"/>
      <c r="Z334" s="7"/>
      <c r="AA334" s="7"/>
      <c r="AB334" s="7"/>
      <c r="AC334" s="7"/>
      <c r="AD334" s="7"/>
      <c r="AE334" s="7"/>
      <c r="AF334" s="7"/>
      <c r="AG334" s="7"/>
      <c r="AH334" s="7"/>
      <c r="AI334" s="7"/>
      <c r="AJ334" s="7"/>
      <c r="AK334" s="7"/>
      <c r="AL334" s="7"/>
      <c r="AM334" s="7"/>
    </row>
    <row r="335" spans="1:39" x14ac:dyDescent="0.2">
      <c r="A335" s="62"/>
      <c r="B335" s="62"/>
      <c r="C335" s="18"/>
      <c r="D335" s="18"/>
      <c r="E335" s="18"/>
      <c r="F335" s="18"/>
      <c r="G335" s="18"/>
      <c r="H335" s="18"/>
      <c r="I335" s="18"/>
      <c r="J335" s="18"/>
      <c r="K335" s="18"/>
      <c r="L335" s="18"/>
      <c r="M335" s="18"/>
      <c r="N335" s="18"/>
      <c r="O335" s="18"/>
      <c r="P335" s="18"/>
      <c r="Q335" s="7"/>
      <c r="R335" s="7"/>
      <c r="S335" s="7"/>
      <c r="T335" s="7"/>
      <c r="U335" s="7"/>
      <c r="V335" s="7"/>
      <c r="W335" s="19"/>
      <c r="X335" s="7"/>
      <c r="Y335" s="7"/>
      <c r="Z335" s="7"/>
      <c r="AA335" s="7"/>
      <c r="AB335" s="7"/>
      <c r="AC335" s="7"/>
      <c r="AD335" s="7"/>
      <c r="AE335" s="7"/>
      <c r="AF335" s="7"/>
      <c r="AG335" s="7"/>
      <c r="AH335" s="7"/>
      <c r="AI335" s="7"/>
      <c r="AJ335" s="7"/>
      <c r="AK335" s="7"/>
      <c r="AL335" s="7"/>
      <c r="AM335" s="7"/>
    </row>
    <row r="336" spans="1:39" x14ac:dyDescent="0.2">
      <c r="A336" s="62"/>
      <c r="B336" s="62"/>
      <c r="C336" s="18"/>
      <c r="D336" s="18"/>
      <c r="E336" s="18"/>
      <c r="F336" s="18"/>
      <c r="G336" s="18"/>
      <c r="H336" s="18"/>
      <c r="I336" s="18"/>
      <c r="J336" s="18"/>
      <c r="K336" s="18"/>
      <c r="L336" s="18"/>
      <c r="M336" s="18"/>
      <c r="N336" s="18"/>
      <c r="O336" s="18"/>
      <c r="P336" s="18"/>
      <c r="Q336" s="7"/>
      <c r="R336" s="7"/>
      <c r="S336" s="7"/>
      <c r="T336" s="7"/>
      <c r="U336" s="7"/>
      <c r="V336" s="7"/>
      <c r="W336" s="7"/>
      <c r="X336" s="7"/>
      <c r="Y336" s="7"/>
      <c r="Z336" s="7"/>
      <c r="AA336" s="7"/>
      <c r="AB336" s="7"/>
      <c r="AC336" s="7"/>
      <c r="AD336" s="7"/>
      <c r="AE336" s="7"/>
      <c r="AF336" s="7"/>
      <c r="AG336" s="7"/>
      <c r="AH336" s="7"/>
      <c r="AI336" s="7"/>
      <c r="AJ336" s="7"/>
      <c r="AK336" s="7"/>
      <c r="AL336" s="7"/>
      <c r="AM336" s="7"/>
    </row>
    <row r="337" spans="1:39" x14ac:dyDescent="0.2">
      <c r="A337" s="62"/>
      <c r="B337" s="62"/>
      <c r="C337" s="18"/>
      <c r="D337" s="18"/>
      <c r="E337" s="18"/>
      <c r="F337" s="18"/>
      <c r="G337" s="18"/>
      <c r="H337" s="18"/>
      <c r="I337" s="18"/>
      <c r="J337" s="18"/>
      <c r="K337" s="18"/>
      <c r="L337" s="18"/>
      <c r="M337" s="18"/>
      <c r="N337" s="18"/>
      <c r="O337" s="18"/>
      <c r="P337" s="18"/>
      <c r="Q337" s="7"/>
      <c r="R337" s="7"/>
      <c r="S337" s="7"/>
      <c r="T337" s="7"/>
      <c r="U337" s="7"/>
      <c r="V337" s="7"/>
      <c r="W337" s="7"/>
      <c r="X337" s="7"/>
      <c r="Y337" s="7"/>
      <c r="Z337" s="7"/>
      <c r="AA337" s="7"/>
      <c r="AB337" s="7"/>
      <c r="AC337" s="7"/>
      <c r="AD337" s="7"/>
      <c r="AE337" s="7"/>
      <c r="AF337" s="7"/>
      <c r="AG337" s="7"/>
      <c r="AH337" s="7"/>
      <c r="AI337" s="7"/>
      <c r="AJ337" s="7"/>
      <c r="AK337" s="7"/>
      <c r="AL337" s="7"/>
      <c r="AM337" s="7"/>
    </row>
    <row r="338" spans="1:39" x14ac:dyDescent="0.2">
      <c r="A338" s="62"/>
      <c r="B338" s="62"/>
      <c r="C338" s="18"/>
      <c r="D338" s="18"/>
      <c r="E338" s="18"/>
      <c r="F338" s="18"/>
      <c r="G338" s="18"/>
      <c r="H338" s="18"/>
      <c r="I338" s="18"/>
      <c r="J338" s="18"/>
      <c r="K338" s="18"/>
      <c r="L338" s="18"/>
      <c r="M338" s="18"/>
      <c r="N338" s="18"/>
      <c r="O338" s="18"/>
      <c r="P338" s="18"/>
      <c r="Q338" s="7"/>
      <c r="R338" s="7"/>
      <c r="S338" s="7"/>
      <c r="T338" s="7"/>
      <c r="U338" s="7"/>
      <c r="V338" s="7"/>
      <c r="W338" s="7"/>
      <c r="X338" s="7"/>
      <c r="Y338" s="7"/>
      <c r="Z338" s="7"/>
      <c r="AA338" s="7"/>
      <c r="AB338" s="7"/>
      <c r="AC338" s="7"/>
      <c r="AD338" s="7"/>
      <c r="AE338" s="7"/>
      <c r="AF338" s="7"/>
      <c r="AG338" s="7"/>
      <c r="AH338" s="7"/>
      <c r="AI338" s="7"/>
      <c r="AJ338" s="7"/>
      <c r="AK338" s="7"/>
      <c r="AL338" s="7"/>
      <c r="AM338" s="7"/>
    </row>
    <row r="339" spans="1:39" x14ac:dyDescent="0.2">
      <c r="A339" s="62"/>
      <c r="B339" s="62"/>
      <c r="C339" s="18"/>
      <c r="D339" s="18"/>
      <c r="E339" s="18"/>
      <c r="F339" s="18"/>
      <c r="G339" s="18"/>
      <c r="H339" s="18"/>
      <c r="I339" s="18"/>
      <c r="J339" s="18"/>
      <c r="K339" s="18"/>
      <c r="L339" s="18"/>
      <c r="M339" s="18"/>
      <c r="N339" s="18"/>
      <c r="O339" s="18"/>
      <c r="P339" s="18"/>
      <c r="Q339" s="7"/>
      <c r="R339" s="7"/>
      <c r="S339" s="7"/>
      <c r="T339" s="7"/>
      <c r="U339" s="7"/>
      <c r="V339" s="7"/>
      <c r="W339" s="7"/>
      <c r="X339" s="7"/>
      <c r="Y339" s="7"/>
      <c r="Z339" s="7"/>
      <c r="AA339" s="7"/>
      <c r="AB339" s="7"/>
      <c r="AC339" s="7"/>
      <c r="AD339" s="7"/>
      <c r="AE339" s="7"/>
      <c r="AF339" s="7"/>
      <c r="AG339" s="7"/>
      <c r="AH339" s="7"/>
      <c r="AI339" s="7"/>
      <c r="AJ339" s="7"/>
      <c r="AK339" s="7"/>
      <c r="AL339" s="7"/>
      <c r="AM339" s="7"/>
    </row>
    <row r="340" spans="1:39" x14ac:dyDescent="0.2">
      <c r="A340" s="62"/>
      <c r="B340" s="62"/>
      <c r="C340" s="18"/>
      <c r="D340" s="18"/>
      <c r="E340" s="18"/>
      <c r="F340" s="18"/>
      <c r="G340" s="18"/>
      <c r="H340" s="18"/>
      <c r="I340" s="18"/>
      <c r="J340" s="18"/>
      <c r="K340" s="18"/>
      <c r="L340" s="18"/>
      <c r="M340" s="18"/>
      <c r="N340" s="18"/>
      <c r="O340" s="18"/>
      <c r="P340" s="18"/>
      <c r="Q340" s="7"/>
      <c r="R340" s="7"/>
      <c r="S340" s="7"/>
      <c r="T340" s="7"/>
      <c r="U340" s="7"/>
      <c r="V340" s="7"/>
      <c r="W340" s="7"/>
      <c r="X340" s="7"/>
      <c r="Y340" s="7"/>
      <c r="Z340" s="7"/>
      <c r="AA340" s="7"/>
      <c r="AB340" s="7"/>
      <c r="AC340" s="7"/>
      <c r="AD340" s="7"/>
      <c r="AE340" s="7"/>
      <c r="AF340" s="7"/>
      <c r="AG340" s="7"/>
      <c r="AH340" s="7"/>
      <c r="AI340" s="7"/>
      <c r="AJ340" s="7"/>
      <c r="AK340" s="7"/>
      <c r="AL340" s="7"/>
      <c r="AM340" s="7"/>
    </row>
    <row r="341" spans="1:39" x14ac:dyDescent="0.2">
      <c r="A341" s="62"/>
      <c r="B341" s="62"/>
      <c r="C341" s="18"/>
      <c r="D341" s="18"/>
      <c r="E341" s="18"/>
      <c r="F341" s="18"/>
      <c r="G341" s="18"/>
      <c r="H341" s="18"/>
      <c r="I341" s="18"/>
      <c r="J341" s="18"/>
      <c r="K341" s="18"/>
      <c r="L341" s="18"/>
      <c r="M341" s="18"/>
      <c r="N341" s="18"/>
      <c r="O341" s="18"/>
      <c r="P341" s="18"/>
      <c r="Q341" s="7"/>
      <c r="R341" s="7"/>
      <c r="S341" s="7"/>
      <c r="T341" s="7"/>
      <c r="U341" s="7"/>
      <c r="V341" s="7"/>
      <c r="W341" s="7"/>
      <c r="X341" s="7"/>
      <c r="Y341" s="7"/>
      <c r="Z341" s="7"/>
      <c r="AA341" s="7"/>
      <c r="AB341" s="7"/>
      <c r="AC341" s="7"/>
      <c r="AD341" s="7"/>
      <c r="AE341" s="7"/>
      <c r="AF341" s="7"/>
      <c r="AG341" s="7"/>
      <c r="AH341" s="7"/>
      <c r="AI341" s="7"/>
      <c r="AJ341" s="7"/>
      <c r="AK341" s="7"/>
      <c r="AL341" s="7"/>
      <c r="AM341" s="7"/>
    </row>
    <row r="342" spans="1:39" x14ac:dyDescent="0.2">
      <c r="A342" s="62"/>
      <c r="B342" s="62"/>
      <c r="C342" s="18"/>
      <c r="D342" s="18"/>
      <c r="E342" s="18"/>
      <c r="F342" s="18"/>
      <c r="G342" s="18"/>
      <c r="H342" s="18"/>
      <c r="I342" s="18"/>
      <c r="J342" s="18"/>
      <c r="K342" s="18"/>
      <c r="L342" s="18"/>
      <c r="M342" s="18"/>
      <c r="N342" s="18"/>
      <c r="O342" s="18"/>
      <c r="P342" s="18"/>
      <c r="Q342" s="7"/>
      <c r="R342" s="7"/>
      <c r="S342" s="7"/>
      <c r="T342" s="7"/>
      <c r="U342" s="7"/>
      <c r="V342" s="7"/>
      <c r="W342" s="7"/>
      <c r="X342" s="7"/>
      <c r="Y342" s="7"/>
      <c r="Z342" s="7"/>
      <c r="AA342" s="7"/>
      <c r="AB342" s="7"/>
      <c r="AC342" s="7"/>
      <c r="AD342" s="7"/>
      <c r="AE342" s="7"/>
      <c r="AF342" s="7"/>
      <c r="AG342" s="7"/>
      <c r="AH342" s="7"/>
      <c r="AI342" s="7"/>
      <c r="AJ342" s="7"/>
      <c r="AK342" s="7"/>
      <c r="AL342" s="7"/>
      <c r="AM342" s="7"/>
    </row>
    <row r="343" spans="1:39" x14ac:dyDescent="0.2">
      <c r="A343" s="62"/>
      <c r="B343" s="62"/>
      <c r="C343" s="18"/>
      <c r="D343" s="18"/>
      <c r="E343" s="18"/>
      <c r="F343" s="18"/>
      <c r="G343" s="18"/>
      <c r="H343" s="18"/>
      <c r="I343" s="18"/>
      <c r="J343" s="18"/>
      <c r="K343" s="18"/>
      <c r="L343" s="18"/>
      <c r="M343" s="18"/>
      <c r="N343" s="18"/>
      <c r="O343" s="18"/>
      <c r="P343" s="18"/>
      <c r="Q343" s="7"/>
      <c r="R343" s="7"/>
      <c r="S343" s="7"/>
      <c r="T343" s="7"/>
      <c r="U343" s="7"/>
      <c r="V343" s="7"/>
      <c r="W343" s="7"/>
      <c r="X343" s="7"/>
      <c r="Y343" s="7"/>
      <c r="Z343" s="7"/>
      <c r="AA343" s="7"/>
      <c r="AB343" s="7"/>
      <c r="AC343" s="7"/>
      <c r="AD343" s="7"/>
      <c r="AE343" s="7"/>
      <c r="AF343" s="7"/>
      <c r="AG343" s="7"/>
      <c r="AH343" s="7"/>
      <c r="AI343" s="7"/>
      <c r="AJ343" s="7"/>
      <c r="AK343" s="7"/>
      <c r="AL343" s="7"/>
      <c r="AM343" s="7"/>
    </row>
    <row r="344" spans="1:39" x14ac:dyDescent="0.2">
      <c r="A344" s="62"/>
      <c r="B344" s="62"/>
      <c r="C344" s="18"/>
      <c r="D344" s="18"/>
      <c r="E344" s="18"/>
      <c r="F344" s="18"/>
      <c r="G344" s="18"/>
      <c r="H344" s="18"/>
      <c r="I344" s="18"/>
      <c r="J344" s="18"/>
      <c r="K344" s="18"/>
      <c r="L344" s="18"/>
      <c r="M344" s="18"/>
      <c r="N344" s="18"/>
      <c r="O344" s="18"/>
      <c r="P344" s="18"/>
      <c r="Q344" s="7"/>
      <c r="R344" s="7"/>
      <c r="S344" s="7"/>
      <c r="T344" s="7"/>
      <c r="U344" s="7"/>
      <c r="V344" s="7"/>
      <c r="W344" s="7"/>
      <c r="X344" s="7"/>
      <c r="Y344" s="7"/>
      <c r="Z344" s="7"/>
      <c r="AA344" s="7"/>
      <c r="AB344" s="7"/>
      <c r="AC344" s="7"/>
      <c r="AD344" s="7"/>
      <c r="AE344" s="7"/>
      <c r="AF344" s="7"/>
      <c r="AG344" s="7"/>
      <c r="AH344" s="7"/>
      <c r="AI344" s="7"/>
      <c r="AJ344" s="7"/>
      <c r="AK344" s="7"/>
      <c r="AL344" s="7"/>
      <c r="AM344" s="7"/>
    </row>
    <row r="345" spans="1:39" x14ac:dyDescent="0.2">
      <c r="A345" s="62"/>
      <c r="B345" s="62"/>
      <c r="C345" s="18"/>
      <c r="D345" s="18"/>
      <c r="E345" s="18"/>
      <c r="F345" s="18"/>
      <c r="G345" s="18"/>
      <c r="H345" s="18"/>
      <c r="I345" s="18"/>
      <c r="J345" s="18"/>
      <c r="K345" s="18"/>
      <c r="L345" s="18"/>
      <c r="M345" s="18"/>
      <c r="N345" s="18"/>
      <c r="O345" s="18"/>
      <c r="P345" s="18"/>
      <c r="Q345" s="7"/>
      <c r="R345" s="7"/>
      <c r="S345" s="7"/>
      <c r="T345" s="7"/>
      <c r="U345" s="7"/>
      <c r="V345" s="7"/>
      <c r="W345" s="7"/>
      <c r="X345" s="7"/>
      <c r="Y345" s="7"/>
      <c r="Z345" s="7"/>
      <c r="AA345" s="7"/>
      <c r="AB345" s="7"/>
      <c r="AC345" s="7"/>
      <c r="AD345" s="7"/>
      <c r="AE345" s="7"/>
      <c r="AF345" s="7"/>
      <c r="AG345" s="7"/>
      <c r="AH345" s="7"/>
      <c r="AI345" s="7"/>
      <c r="AJ345" s="7"/>
      <c r="AK345" s="7"/>
      <c r="AL345" s="7"/>
      <c r="AM345" s="7"/>
    </row>
    <row r="346" spans="1:39" x14ac:dyDescent="0.2">
      <c r="A346" s="62"/>
      <c r="B346" s="62"/>
      <c r="C346" s="18"/>
      <c r="D346" s="18"/>
      <c r="E346" s="18"/>
      <c r="F346" s="18"/>
      <c r="G346" s="18"/>
      <c r="H346" s="18"/>
      <c r="I346" s="18"/>
      <c r="J346" s="18"/>
      <c r="K346" s="18"/>
      <c r="L346" s="18"/>
      <c r="M346" s="18"/>
      <c r="N346" s="18"/>
      <c r="O346" s="18"/>
      <c r="P346" s="18"/>
      <c r="Q346" s="7"/>
      <c r="R346" s="7"/>
      <c r="S346" s="7"/>
      <c r="T346" s="7"/>
      <c r="U346" s="7"/>
      <c r="V346" s="7"/>
      <c r="W346" s="7"/>
      <c r="X346" s="7"/>
      <c r="Y346" s="7"/>
      <c r="Z346" s="7"/>
      <c r="AA346" s="7"/>
      <c r="AB346" s="7"/>
      <c r="AC346" s="7"/>
      <c r="AD346" s="7"/>
      <c r="AE346" s="7"/>
      <c r="AF346" s="7"/>
      <c r="AG346" s="7"/>
      <c r="AH346" s="7"/>
      <c r="AI346" s="7"/>
      <c r="AJ346" s="7"/>
      <c r="AK346" s="7"/>
      <c r="AL346" s="7"/>
      <c r="AM346" s="7"/>
    </row>
    <row r="347" spans="1:39" x14ac:dyDescent="0.2">
      <c r="A347" s="62"/>
      <c r="B347" s="62"/>
      <c r="C347" s="18"/>
      <c r="D347" s="18"/>
      <c r="E347" s="18"/>
      <c r="F347" s="18"/>
      <c r="G347" s="18"/>
      <c r="H347" s="18"/>
      <c r="I347" s="18"/>
      <c r="J347" s="18"/>
      <c r="K347" s="18"/>
      <c r="L347" s="18"/>
      <c r="M347" s="18"/>
      <c r="N347" s="18"/>
      <c r="O347" s="18"/>
      <c r="P347" s="18"/>
      <c r="Q347" s="7"/>
      <c r="R347" s="7"/>
      <c r="S347" s="7"/>
      <c r="T347" s="7"/>
      <c r="U347" s="7"/>
      <c r="V347" s="7"/>
      <c r="W347" s="7"/>
      <c r="X347" s="7"/>
      <c r="Y347" s="7"/>
      <c r="Z347" s="7"/>
      <c r="AA347" s="7"/>
      <c r="AB347" s="7"/>
      <c r="AC347" s="7"/>
      <c r="AD347" s="7"/>
      <c r="AE347" s="7"/>
      <c r="AF347" s="7"/>
      <c r="AG347" s="7"/>
      <c r="AH347" s="7"/>
      <c r="AI347" s="7"/>
      <c r="AJ347" s="7"/>
      <c r="AK347" s="7"/>
      <c r="AL347" s="7"/>
      <c r="AM347" s="7"/>
    </row>
    <row r="348" spans="1:39" x14ac:dyDescent="0.2">
      <c r="A348" s="62"/>
      <c r="B348" s="62"/>
      <c r="C348" s="18"/>
      <c r="D348" s="18"/>
      <c r="E348" s="18"/>
      <c r="F348" s="18"/>
      <c r="G348" s="18"/>
      <c r="H348" s="18"/>
      <c r="I348" s="18"/>
      <c r="J348" s="18"/>
      <c r="K348" s="18"/>
      <c r="L348" s="18"/>
      <c r="M348" s="18"/>
      <c r="N348" s="18"/>
      <c r="O348" s="18"/>
      <c r="P348" s="18"/>
      <c r="Q348" s="7"/>
      <c r="R348" s="7"/>
      <c r="S348" s="7"/>
      <c r="T348" s="7"/>
      <c r="U348" s="7"/>
      <c r="V348" s="7"/>
      <c r="W348" s="7"/>
      <c r="X348" s="7"/>
      <c r="Y348" s="7"/>
      <c r="Z348" s="7"/>
      <c r="AA348" s="7"/>
      <c r="AB348" s="7"/>
      <c r="AC348" s="7"/>
      <c r="AD348" s="7"/>
      <c r="AE348" s="7"/>
      <c r="AF348" s="7"/>
      <c r="AG348" s="7"/>
      <c r="AH348" s="7"/>
      <c r="AI348" s="7"/>
      <c r="AJ348" s="7"/>
      <c r="AK348" s="7"/>
      <c r="AL348" s="7"/>
      <c r="AM348" s="7"/>
    </row>
    <row r="349" spans="1:39" x14ac:dyDescent="0.2">
      <c r="A349" s="62"/>
      <c r="B349" s="62"/>
      <c r="C349" s="18"/>
      <c r="D349" s="18"/>
      <c r="E349" s="18"/>
      <c r="F349" s="18"/>
      <c r="G349" s="18"/>
      <c r="H349" s="18"/>
      <c r="I349" s="18"/>
      <c r="J349" s="18"/>
      <c r="K349" s="18"/>
      <c r="L349" s="18"/>
      <c r="M349" s="18"/>
      <c r="N349" s="18"/>
      <c r="O349" s="18"/>
      <c r="P349" s="18"/>
      <c r="Q349" s="7"/>
      <c r="R349" s="7"/>
      <c r="S349" s="7"/>
      <c r="T349" s="7"/>
      <c r="U349" s="7"/>
      <c r="V349" s="7"/>
      <c r="W349" s="7"/>
      <c r="X349" s="7"/>
      <c r="Y349" s="7"/>
      <c r="Z349" s="7"/>
      <c r="AA349" s="7"/>
      <c r="AB349" s="7"/>
      <c r="AC349" s="7"/>
      <c r="AD349" s="7"/>
      <c r="AE349" s="7"/>
      <c r="AF349" s="7"/>
      <c r="AG349" s="7"/>
      <c r="AH349" s="7"/>
      <c r="AI349" s="7"/>
      <c r="AJ349" s="7"/>
      <c r="AK349" s="7"/>
      <c r="AL349" s="7"/>
      <c r="AM349" s="7"/>
    </row>
    <row r="350" spans="1:39" x14ac:dyDescent="0.2">
      <c r="A350" s="62"/>
      <c r="B350" s="62"/>
      <c r="C350" s="18"/>
      <c r="D350" s="18"/>
      <c r="E350" s="18"/>
      <c r="F350" s="18"/>
      <c r="G350" s="18"/>
      <c r="H350" s="18"/>
      <c r="I350" s="18"/>
      <c r="J350" s="18"/>
      <c r="K350" s="18"/>
      <c r="L350" s="18"/>
      <c r="M350" s="18"/>
      <c r="N350" s="18"/>
      <c r="O350" s="18"/>
      <c r="P350" s="18"/>
      <c r="Q350" s="7"/>
      <c r="R350" s="7"/>
      <c r="S350" s="7"/>
      <c r="T350" s="7"/>
      <c r="U350" s="7"/>
      <c r="V350" s="7"/>
      <c r="W350" s="7"/>
      <c r="X350" s="7"/>
      <c r="Y350" s="7"/>
      <c r="Z350" s="7"/>
      <c r="AA350" s="7"/>
      <c r="AB350" s="7"/>
      <c r="AC350" s="7"/>
      <c r="AD350" s="7"/>
      <c r="AE350" s="7"/>
      <c r="AF350" s="7"/>
      <c r="AG350" s="7"/>
      <c r="AH350" s="7"/>
      <c r="AI350" s="7"/>
      <c r="AJ350" s="7"/>
      <c r="AK350" s="7"/>
      <c r="AL350" s="7"/>
      <c r="AM350" s="7"/>
    </row>
    <row r="351" spans="1:39" x14ac:dyDescent="0.2">
      <c r="A351" s="62"/>
      <c r="B351" s="62"/>
      <c r="C351" s="18"/>
      <c r="D351" s="18"/>
      <c r="E351" s="18"/>
      <c r="F351" s="18"/>
      <c r="G351" s="18"/>
      <c r="H351" s="18"/>
      <c r="I351" s="18"/>
      <c r="J351" s="18"/>
      <c r="K351" s="18"/>
      <c r="L351" s="18"/>
      <c r="M351" s="18"/>
      <c r="N351" s="18"/>
      <c r="O351" s="18"/>
      <c r="P351" s="18"/>
      <c r="Q351" s="7"/>
      <c r="R351" s="7"/>
      <c r="S351" s="7"/>
      <c r="T351" s="7"/>
      <c r="U351" s="7"/>
      <c r="V351" s="7"/>
      <c r="W351" s="7"/>
      <c r="X351" s="7"/>
      <c r="Y351" s="7"/>
      <c r="Z351" s="7"/>
      <c r="AA351" s="7"/>
      <c r="AB351" s="7"/>
      <c r="AC351" s="7"/>
      <c r="AD351" s="7"/>
      <c r="AE351" s="7"/>
      <c r="AF351" s="7"/>
      <c r="AG351" s="7"/>
      <c r="AH351" s="7"/>
      <c r="AI351" s="7"/>
      <c r="AJ351" s="7"/>
      <c r="AK351" s="7"/>
      <c r="AL351" s="7"/>
      <c r="AM351" s="7"/>
    </row>
    <row r="352" spans="1:39" x14ac:dyDescent="0.2">
      <c r="A352" s="62"/>
      <c r="B352" s="62"/>
      <c r="C352" s="18"/>
      <c r="D352" s="18"/>
      <c r="E352" s="18"/>
      <c r="F352" s="18"/>
      <c r="G352" s="18"/>
      <c r="H352" s="18"/>
      <c r="I352" s="18"/>
      <c r="J352" s="18"/>
      <c r="K352" s="18"/>
      <c r="L352" s="18"/>
      <c r="M352" s="18"/>
      <c r="N352" s="18"/>
      <c r="O352" s="18"/>
      <c r="P352" s="18"/>
      <c r="Q352" s="7"/>
      <c r="R352" s="7"/>
      <c r="S352" s="7"/>
      <c r="T352" s="7"/>
      <c r="U352" s="7"/>
      <c r="V352" s="7"/>
      <c r="W352" s="7"/>
      <c r="X352" s="7"/>
      <c r="Y352" s="7"/>
      <c r="Z352" s="7"/>
      <c r="AA352" s="7"/>
      <c r="AB352" s="7"/>
      <c r="AC352" s="7"/>
      <c r="AD352" s="7"/>
      <c r="AE352" s="7"/>
      <c r="AF352" s="7"/>
      <c r="AG352" s="7"/>
      <c r="AH352" s="7"/>
      <c r="AI352" s="7"/>
      <c r="AJ352" s="7"/>
      <c r="AK352" s="7"/>
      <c r="AL352" s="7"/>
      <c r="AM352" s="7"/>
    </row>
    <row r="353" spans="1:39" x14ac:dyDescent="0.2">
      <c r="A353" s="62"/>
      <c r="B353" s="62"/>
      <c r="C353" s="18"/>
      <c r="D353" s="18"/>
      <c r="E353" s="18"/>
      <c r="F353" s="18"/>
      <c r="G353" s="18"/>
      <c r="H353" s="18"/>
      <c r="I353" s="18"/>
      <c r="J353" s="18"/>
      <c r="K353" s="18"/>
      <c r="L353" s="18"/>
      <c r="M353" s="18"/>
      <c r="N353" s="18"/>
      <c r="O353" s="18"/>
      <c r="P353" s="18"/>
      <c r="Q353" s="7"/>
      <c r="R353" s="7"/>
      <c r="S353" s="7"/>
      <c r="T353" s="7"/>
      <c r="U353" s="7"/>
      <c r="V353" s="7"/>
      <c r="W353" s="7"/>
      <c r="X353" s="7"/>
      <c r="Y353" s="7"/>
      <c r="Z353" s="7"/>
      <c r="AA353" s="7"/>
      <c r="AB353" s="7"/>
      <c r="AC353" s="7"/>
      <c r="AD353" s="7"/>
      <c r="AE353" s="7"/>
      <c r="AF353" s="7"/>
      <c r="AG353" s="7"/>
      <c r="AH353" s="7"/>
      <c r="AI353" s="7"/>
      <c r="AJ353" s="7"/>
      <c r="AK353" s="7"/>
      <c r="AL353" s="7"/>
      <c r="AM353" s="7"/>
    </row>
    <row r="354" spans="1:39" x14ac:dyDescent="0.2">
      <c r="A354" s="62"/>
      <c r="B354" s="62"/>
      <c r="C354" s="18"/>
      <c r="D354" s="18"/>
      <c r="E354" s="18"/>
      <c r="F354" s="18"/>
      <c r="G354" s="18"/>
      <c r="H354" s="18"/>
      <c r="I354" s="18"/>
      <c r="J354" s="18"/>
      <c r="K354" s="18"/>
      <c r="L354" s="18"/>
      <c r="M354" s="18"/>
      <c r="N354" s="18"/>
      <c r="O354" s="18"/>
      <c r="P354" s="18"/>
      <c r="Q354" s="7"/>
      <c r="R354" s="7"/>
      <c r="S354" s="7"/>
      <c r="T354" s="7"/>
      <c r="U354" s="7"/>
      <c r="V354" s="7"/>
      <c r="W354" s="7"/>
      <c r="X354" s="7"/>
      <c r="Y354" s="7"/>
      <c r="Z354" s="7"/>
      <c r="AA354" s="7"/>
      <c r="AB354" s="7"/>
      <c r="AC354" s="7"/>
      <c r="AD354" s="7"/>
      <c r="AE354" s="7"/>
      <c r="AF354" s="7"/>
      <c r="AG354" s="7"/>
      <c r="AH354" s="7"/>
      <c r="AI354" s="7"/>
      <c r="AJ354" s="7"/>
      <c r="AK354" s="7"/>
      <c r="AL354" s="7"/>
      <c r="AM354" s="7"/>
    </row>
    <row r="355" spans="1:39" x14ac:dyDescent="0.2">
      <c r="A355" s="62"/>
      <c r="B355" s="62"/>
      <c r="C355" s="18"/>
      <c r="D355" s="18"/>
      <c r="E355" s="18"/>
      <c r="F355" s="18"/>
      <c r="G355" s="18"/>
      <c r="H355" s="18"/>
      <c r="I355" s="18"/>
      <c r="J355" s="18"/>
      <c r="K355" s="18"/>
      <c r="L355" s="18"/>
      <c r="M355" s="18"/>
      <c r="N355" s="18"/>
      <c r="O355" s="18"/>
      <c r="P355" s="18"/>
      <c r="Q355" s="7"/>
      <c r="R355" s="7"/>
      <c r="S355" s="7"/>
      <c r="T355" s="7"/>
      <c r="U355" s="7"/>
      <c r="V355" s="7"/>
      <c r="W355" s="7"/>
      <c r="X355" s="7"/>
      <c r="Y355" s="7"/>
      <c r="Z355" s="7"/>
      <c r="AA355" s="7"/>
      <c r="AB355" s="7"/>
      <c r="AC355" s="7"/>
      <c r="AD355" s="7"/>
      <c r="AE355" s="7"/>
      <c r="AF355" s="7"/>
      <c r="AG355" s="7"/>
      <c r="AH355" s="7"/>
      <c r="AI355" s="7"/>
      <c r="AJ355" s="7"/>
      <c r="AK355" s="7"/>
      <c r="AL355" s="7"/>
      <c r="AM355" s="7"/>
    </row>
    <row r="356" spans="1:39" x14ac:dyDescent="0.2">
      <c r="A356" s="62"/>
      <c r="B356" s="62"/>
      <c r="C356" s="18"/>
      <c r="D356" s="18"/>
      <c r="E356" s="18"/>
      <c r="F356" s="18"/>
      <c r="G356" s="18"/>
      <c r="H356" s="18"/>
      <c r="I356" s="18"/>
      <c r="J356" s="18"/>
      <c r="K356" s="18"/>
      <c r="L356" s="18"/>
      <c r="M356" s="18"/>
      <c r="N356" s="18"/>
      <c r="O356" s="18"/>
      <c r="P356" s="18"/>
      <c r="Q356" s="7"/>
      <c r="R356" s="7"/>
      <c r="S356" s="7"/>
      <c r="T356" s="7"/>
      <c r="U356" s="7"/>
      <c r="V356" s="7"/>
      <c r="W356" s="7"/>
      <c r="X356" s="7"/>
      <c r="Y356" s="7"/>
      <c r="Z356" s="7"/>
      <c r="AA356" s="7"/>
      <c r="AB356" s="7"/>
      <c r="AC356" s="7"/>
      <c r="AD356" s="7"/>
      <c r="AE356" s="7"/>
      <c r="AF356" s="7"/>
      <c r="AG356" s="7"/>
      <c r="AH356" s="7"/>
      <c r="AI356" s="7"/>
      <c r="AJ356" s="7"/>
      <c r="AK356" s="7"/>
      <c r="AL356" s="7"/>
      <c r="AM356" s="7"/>
    </row>
    <row r="357" spans="1:39" x14ac:dyDescent="0.2">
      <c r="A357" s="62"/>
      <c r="B357" s="62"/>
      <c r="C357" s="18"/>
      <c r="D357" s="18"/>
      <c r="E357" s="18"/>
      <c r="F357" s="18"/>
      <c r="G357" s="18"/>
      <c r="H357" s="18"/>
      <c r="I357" s="18"/>
      <c r="J357" s="18"/>
      <c r="K357" s="18"/>
      <c r="L357" s="18"/>
      <c r="M357" s="18"/>
      <c r="N357" s="18"/>
      <c r="O357" s="18"/>
      <c r="P357" s="18"/>
      <c r="Q357" s="7"/>
      <c r="R357" s="7"/>
      <c r="S357" s="7"/>
      <c r="T357" s="7"/>
      <c r="U357" s="7"/>
      <c r="V357" s="7"/>
      <c r="W357" s="7"/>
      <c r="X357" s="7"/>
      <c r="Y357" s="7"/>
      <c r="Z357" s="7"/>
      <c r="AA357" s="7"/>
      <c r="AB357" s="7"/>
      <c r="AC357" s="7"/>
      <c r="AD357" s="7"/>
      <c r="AE357" s="7"/>
      <c r="AF357" s="7"/>
      <c r="AG357" s="7"/>
      <c r="AH357" s="7"/>
      <c r="AI357" s="7"/>
      <c r="AJ357" s="7"/>
      <c r="AK357" s="7"/>
      <c r="AL357" s="7"/>
      <c r="AM357" s="7"/>
    </row>
    <row r="358" spans="1:39" x14ac:dyDescent="0.2">
      <c r="A358" s="62"/>
      <c r="B358" s="62"/>
      <c r="C358" s="18"/>
      <c r="D358" s="18"/>
      <c r="E358" s="18"/>
      <c r="F358" s="18"/>
      <c r="G358" s="18"/>
      <c r="H358" s="18"/>
      <c r="I358" s="18"/>
      <c r="J358" s="18"/>
      <c r="K358" s="18"/>
      <c r="L358" s="18"/>
      <c r="M358" s="18"/>
      <c r="N358" s="18"/>
      <c r="O358" s="18"/>
      <c r="P358" s="18"/>
      <c r="Q358" s="7"/>
      <c r="R358" s="7"/>
      <c r="S358" s="7"/>
      <c r="T358" s="7"/>
      <c r="U358" s="7"/>
      <c r="V358" s="7"/>
      <c r="W358" s="7"/>
      <c r="X358" s="7"/>
      <c r="Y358" s="7"/>
      <c r="Z358" s="7"/>
      <c r="AA358" s="7"/>
      <c r="AB358" s="7"/>
      <c r="AC358" s="7"/>
      <c r="AD358" s="7"/>
      <c r="AE358" s="7"/>
      <c r="AF358" s="7"/>
      <c r="AG358" s="7"/>
      <c r="AH358" s="7"/>
      <c r="AI358" s="7"/>
      <c r="AJ358" s="7"/>
      <c r="AK358" s="7"/>
      <c r="AL358" s="7"/>
      <c r="AM358" s="7"/>
    </row>
    <row r="359" spans="1:39" x14ac:dyDescent="0.2">
      <c r="A359" s="62"/>
      <c r="B359" s="62"/>
      <c r="C359" s="18"/>
      <c r="D359" s="18"/>
      <c r="E359" s="18"/>
      <c r="F359" s="18"/>
      <c r="G359" s="18"/>
      <c r="H359" s="18"/>
      <c r="I359" s="18"/>
      <c r="J359" s="18"/>
      <c r="K359" s="18"/>
      <c r="L359" s="18"/>
      <c r="M359" s="18"/>
      <c r="N359" s="18"/>
      <c r="O359" s="18"/>
      <c r="P359" s="18"/>
      <c r="Q359" s="7"/>
      <c r="R359" s="7"/>
      <c r="S359" s="7"/>
      <c r="T359" s="7"/>
      <c r="U359" s="7"/>
      <c r="V359" s="7"/>
      <c r="W359" s="7"/>
      <c r="X359" s="7"/>
      <c r="Y359" s="7"/>
      <c r="Z359" s="7"/>
      <c r="AA359" s="7"/>
      <c r="AB359" s="7"/>
      <c r="AC359" s="7"/>
      <c r="AD359" s="7"/>
      <c r="AE359" s="7"/>
      <c r="AF359" s="7"/>
      <c r="AG359" s="7"/>
      <c r="AH359" s="7"/>
      <c r="AI359" s="7"/>
      <c r="AJ359" s="7"/>
      <c r="AK359" s="7"/>
      <c r="AL359" s="7"/>
      <c r="AM359" s="7"/>
    </row>
    <row r="360" spans="1:39" x14ac:dyDescent="0.2">
      <c r="A360" s="62"/>
      <c r="B360" s="62"/>
      <c r="C360" s="18"/>
      <c r="D360" s="18"/>
      <c r="E360" s="18"/>
      <c r="F360" s="18"/>
      <c r="G360" s="18"/>
      <c r="H360" s="18"/>
      <c r="I360" s="18"/>
      <c r="J360" s="18"/>
      <c r="K360" s="18"/>
      <c r="L360" s="18"/>
      <c r="M360" s="18"/>
      <c r="N360" s="18"/>
      <c r="O360" s="18"/>
      <c r="P360" s="18"/>
      <c r="Q360" s="7"/>
      <c r="R360" s="7"/>
      <c r="S360" s="7"/>
      <c r="T360" s="7"/>
      <c r="U360" s="7"/>
      <c r="V360" s="7"/>
      <c r="W360" s="7"/>
      <c r="X360" s="7"/>
      <c r="Y360" s="7"/>
      <c r="Z360" s="7"/>
      <c r="AA360" s="7"/>
      <c r="AB360" s="7"/>
      <c r="AC360" s="7"/>
      <c r="AD360" s="7"/>
      <c r="AE360" s="7"/>
      <c r="AF360" s="7"/>
      <c r="AG360" s="7"/>
      <c r="AH360" s="7"/>
      <c r="AI360" s="7"/>
      <c r="AJ360" s="7"/>
      <c r="AK360" s="7"/>
      <c r="AL360" s="7"/>
      <c r="AM360" s="7"/>
    </row>
    <row r="361" spans="1:39" x14ac:dyDescent="0.2">
      <c r="A361" s="62"/>
      <c r="B361" s="62"/>
      <c r="C361" s="18"/>
      <c r="D361" s="18"/>
      <c r="E361" s="18"/>
      <c r="F361" s="18"/>
      <c r="G361" s="18"/>
      <c r="H361" s="18"/>
      <c r="I361" s="18"/>
      <c r="J361" s="18"/>
      <c r="K361" s="18"/>
      <c r="L361" s="18"/>
      <c r="M361" s="18"/>
      <c r="N361" s="18"/>
      <c r="O361" s="18"/>
      <c r="P361" s="18"/>
      <c r="Q361" s="7"/>
      <c r="R361" s="7"/>
      <c r="S361" s="7"/>
      <c r="T361" s="7"/>
      <c r="U361" s="7"/>
      <c r="V361" s="7"/>
      <c r="W361" s="7"/>
      <c r="X361" s="7"/>
      <c r="Y361" s="7"/>
      <c r="Z361" s="7"/>
      <c r="AA361" s="7"/>
      <c r="AB361" s="7"/>
      <c r="AC361" s="7"/>
      <c r="AD361" s="7"/>
      <c r="AE361" s="7"/>
      <c r="AF361" s="7"/>
      <c r="AG361" s="7"/>
      <c r="AH361" s="7"/>
      <c r="AI361" s="7"/>
      <c r="AJ361" s="7"/>
      <c r="AK361" s="7"/>
      <c r="AL361" s="7"/>
      <c r="AM361" s="7"/>
    </row>
    <row r="362" spans="1:39" x14ac:dyDescent="0.2">
      <c r="A362" s="62"/>
      <c r="B362" s="62"/>
      <c r="C362" s="18"/>
      <c r="D362" s="18"/>
      <c r="E362" s="18"/>
      <c r="F362" s="18"/>
      <c r="G362" s="18"/>
      <c r="H362" s="18"/>
      <c r="I362" s="18"/>
      <c r="J362" s="18"/>
      <c r="K362" s="18"/>
      <c r="L362" s="18"/>
      <c r="M362" s="18"/>
      <c r="N362" s="18"/>
      <c r="O362" s="18"/>
      <c r="P362" s="18"/>
      <c r="Q362" s="7"/>
      <c r="R362" s="7"/>
      <c r="S362" s="7"/>
      <c r="T362" s="7"/>
      <c r="U362" s="7"/>
      <c r="V362" s="7"/>
      <c r="W362" s="7"/>
      <c r="X362" s="7"/>
      <c r="Y362" s="7"/>
      <c r="Z362" s="7"/>
      <c r="AA362" s="7"/>
      <c r="AB362" s="7"/>
      <c r="AC362" s="7"/>
      <c r="AD362" s="7"/>
      <c r="AE362" s="7"/>
      <c r="AF362" s="7"/>
      <c r="AG362" s="7"/>
      <c r="AH362" s="7"/>
      <c r="AI362" s="7"/>
      <c r="AJ362" s="7"/>
      <c r="AK362" s="7"/>
      <c r="AL362" s="7"/>
      <c r="AM362" s="7"/>
    </row>
    <row r="363" spans="1:39" x14ac:dyDescent="0.2">
      <c r="A363" s="62"/>
      <c r="B363" s="62"/>
      <c r="C363" s="18"/>
      <c r="D363" s="18"/>
      <c r="E363" s="18"/>
      <c r="F363" s="18"/>
      <c r="G363" s="18"/>
      <c r="H363" s="18"/>
      <c r="I363" s="18"/>
      <c r="J363" s="18"/>
      <c r="K363" s="18"/>
      <c r="L363" s="18"/>
      <c r="M363" s="18"/>
      <c r="N363" s="18"/>
      <c r="O363" s="18"/>
      <c r="P363" s="18"/>
      <c r="Q363" s="7"/>
      <c r="R363" s="7"/>
      <c r="S363" s="7"/>
      <c r="T363" s="7"/>
      <c r="U363" s="7"/>
      <c r="V363" s="7"/>
      <c r="W363" s="7"/>
      <c r="X363" s="7"/>
      <c r="Y363" s="7"/>
      <c r="Z363" s="7"/>
      <c r="AA363" s="7"/>
      <c r="AB363" s="7"/>
      <c r="AC363" s="7"/>
      <c r="AD363" s="7"/>
      <c r="AE363" s="7"/>
      <c r="AF363" s="7"/>
      <c r="AG363" s="7"/>
      <c r="AH363" s="7"/>
      <c r="AI363" s="7"/>
      <c r="AJ363" s="7"/>
      <c r="AK363" s="7"/>
      <c r="AL363" s="7"/>
      <c r="AM363" s="7"/>
    </row>
    <row r="364" spans="1:39" x14ac:dyDescent="0.2">
      <c r="A364" s="62"/>
      <c r="B364" s="62"/>
      <c r="C364" s="18"/>
      <c r="D364" s="18"/>
      <c r="E364" s="18"/>
      <c r="F364" s="18"/>
      <c r="G364" s="18"/>
      <c r="H364" s="18"/>
      <c r="I364" s="18"/>
      <c r="J364" s="18"/>
      <c r="K364" s="18"/>
      <c r="L364" s="18"/>
      <c r="M364" s="18"/>
      <c r="N364" s="18"/>
      <c r="O364" s="18"/>
      <c r="P364" s="18"/>
      <c r="Q364" s="7"/>
      <c r="R364" s="7"/>
      <c r="S364" s="7"/>
      <c r="T364" s="7"/>
      <c r="U364" s="7"/>
      <c r="V364" s="7"/>
      <c r="W364" s="7"/>
      <c r="X364" s="7"/>
      <c r="Y364" s="7"/>
      <c r="Z364" s="7"/>
      <c r="AA364" s="7"/>
      <c r="AB364" s="7"/>
      <c r="AC364" s="7"/>
      <c r="AD364" s="7"/>
      <c r="AE364" s="7"/>
      <c r="AF364" s="7"/>
      <c r="AG364" s="7"/>
      <c r="AH364" s="7"/>
      <c r="AI364" s="7"/>
      <c r="AJ364" s="7"/>
      <c r="AK364" s="7"/>
      <c r="AL364" s="7"/>
      <c r="AM364" s="7"/>
    </row>
    <row r="365" spans="1:39" x14ac:dyDescent="0.2">
      <c r="A365" s="62"/>
      <c r="B365" s="62"/>
      <c r="C365" s="18"/>
      <c r="D365" s="18"/>
      <c r="E365" s="18"/>
      <c r="F365" s="18"/>
      <c r="G365" s="18"/>
      <c r="H365" s="18"/>
      <c r="I365" s="18"/>
      <c r="J365" s="18"/>
      <c r="K365" s="18"/>
      <c r="L365" s="18"/>
      <c r="M365" s="18"/>
      <c r="N365" s="18"/>
      <c r="O365" s="18"/>
      <c r="P365" s="18"/>
      <c r="Q365" s="7"/>
      <c r="R365" s="7"/>
      <c r="S365" s="7"/>
      <c r="T365" s="7"/>
      <c r="U365" s="7"/>
      <c r="V365" s="7"/>
      <c r="W365" s="7"/>
      <c r="X365" s="7"/>
      <c r="Y365" s="7"/>
      <c r="Z365" s="7"/>
      <c r="AA365" s="7"/>
      <c r="AB365" s="7"/>
      <c r="AC365" s="7"/>
      <c r="AD365" s="7"/>
      <c r="AE365" s="7"/>
      <c r="AF365" s="7"/>
      <c r="AG365" s="7"/>
      <c r="AH365" s="7"/>
      <c r="AI365" s="7"/>
      <c r="AJ365" s="7"/>
      <c r="AK365" s="7"/>
      <c r="AL365" s="7"/>
      <c r="AM365" s="7"/>
    </row>
    <row r="366" spans="1:39" x14ac:dyDescent="0.2">
      <c r="A366" s="62"/>
      <c r="B366" s="62"/>
      <c r="C366" s="18"/>
      <c r="D366" s="18"/>
      <c r="E366" s="18"/>
      <c r="F366" s="18"/>
      <c r="G366" s="18"/>
      <c r="H366" s="18"/>
      <c r="I366" s="18"/>
      <c r="J366" s="18"/>
      <c r="K366" s="18"/>
      <c r="L366" s="18"/>
      <c r="M366" s="18"/>
      <c r="N366" s="18"/>
      <c r="O366" s="18"/>
      <c r="P366" s="18"/>
      <c r="Q366" s="7"/>
      <c r="R366" s="7"/>
      <c r="S366" s="7"/>
      <c r="T366" s="7"/>
      <c r="U366" s="7"/>
      <c r="V366" s="7"/>
      <c r="W366" s="7"/>
      <c r="X366" s="7"/>
      <c r="Y366" s="7"/>
      <c r="Z366" s="7"/>
      <c r="AA366" s="7"/>
      <c r="AB366" s="7"/>
      <c r="AC366" s="7"/>
      <c r="AD366" s="7"/>
      <c r="AE366" s="7"/>
      <c r="AF366" s="7"/>
      <c r="AG366" s="7"/>
      <c r="AH366" s="7"/>
      <c r="AI366" s="7"/>
      <c r="AJ366" s="7"/>
      <c r="AK366" s="7"/>
      <c r="AL366" s="7"/>
      <c r="AM366" s="7"/>
    </row>
    <row r="367" spans="1:39" x14ac:dyDescent="0.2">
      <c r="A367" s="62"/>
      <c r="B367" s="62"/>
      <c r="C367" s="18"/>
      <c r="D367" s="18"/>
      <c r="E367" s="18"/>
      <c r="F367" s="18"/>
      <c r="G367" s="18"/>
      <c r="H367" s="18"/>
      <c r="I367" s="18"/>
      <c r="J367" s="18"/>
      <c r="K367" s="18"/>
      <c r="L367" s="18"/>
      <c r="M367" s="18"/>
      <c r="N367" s="18"/>
      <c r="O367" s="18"/>
      <c r="P367" s="18"/>
      <c r="Q367" s="7"/>
      <c r="R367" s="7"/>
      <c r="S367" s="7"/>
      <c r="T367" s="7"/>
      <c r="U367" s="7"/>
      <c r="V367" s="7"/>
      <c r="W367" s="7"/>
      <c r="X367" s="7"/>
      <c r="Y367" s="7"/>
      <c r="Z367" s="7"/>
      <c r="AA367" s="7"/>
      <c r="AB367" s="7"/>
      <c r="AC367" s="7"/>
      <c r="AD367" s="7"/>
      <c r="AE367" s="7"/>
      <c r="AF367" s="7"/>
      <c r="AG367" s="7"/>
      <c r="AH367" s="7"/>
      <c r="AI367" s="7"/>
      <c r="AJ367" s="7"/>
      <c r="AK367" s="7"/>
      <c r="AL367" s="7"/>
      <c r="AM367" s="7"/>
    </row>
    <row r="368" spans="1:39" x14ac:dyDescent="0.2">
      <c r="A368" s="62"/>
      <c r="B368" s="62"/>
      <c r="C368" s="18"/>
      <c r="D368" s="18"/>
      <c r="E368" s="18"/>
      <c r="F368" s="18"/>
      <c r="G368" s="18"/>
      <c r="H368" s="18"/>
      <c r="I368" s="18"/>
      <c r="J368" s="18"/>
      <c r="K368" s="18"/>
      <c r="L368" s="18"/>
      <c r="M368" s="18"/>
      <c r="N368" s="18"/>
      <c r="O368" s="18"/>
      <c r="P368" s="18"/>
      <c r="Q368" s="7"/>
      <c r="R368" s="7"/>
      <c r="S368" s="7"/>
      <c r="T368" s="7"/>
      <c r="U368" s="7"/>
      <c r="V368" s="7"/>
      <c r="W368" s="7"/>
      <c r="X368" s="7"/>
      <c r="Y368" s="7"/>
      <c r="Z368" s="7"/>
      <c r="AA368" s="7"/>
      <c r="AB368" s="7"/>
      <c r="AC368" s="7"/>
      <c r="AD368" s="7"/>
      <c r="AE368" s="7"/>
      <c r="AF368" s="7"/>
      <c r="AG368" s="7"/>
      <c r="AH368" s="7"/>
      <c r="AI368" s="7"/>
      <c r="AJ368" s="7"/>
      <c r="AK368" s="7"/>
      <c r="AL368" s="7"/>
      <c r="AM368" s="7"/>
    </row>
    <row r="369" spans="1:39" x14ac:dyDescent="0.2">
      <c r="A369" s="62"/>
      <c r="B369" s="62"/>
      <c r="C369" s="18"/>
      <c r="D369" s="18"/>
      <c r="E369" s="18"/>
      <c r="F369" s="18"/>
      <c r="G369" s="18"/>
      <c r="H369" s="18"/>
      <c r="I369" s="18"/>
      <c r="J369" s="18"/>
      <c r="K369" s="18"/>
      <c r="L369" s="18"/>
      <c r="M369" s="18"/>
      <c r="N369" s="18"/>
      <c r="O369" s="18"/>
      <c r="P369" s="18"/>
      <c r="Q369" s="7"/>
      <c r="R369" s="7"/>
      <c r="S369" s="7"/>
      <c r="T369" s="7"/>
      <c r="U369" s="7"/>
      <c r="V369" s="7"/>
      <c r="W369" s="7"/>
      <c r="X369" s="7"/>
      <c r="Y369" s="7"/>
      <c r="Z369" s="7"/>
      <c r="AA369" s="7"/>
      <c r="AB369" s="7"/>
      <c r="AC369" s="7"/>
      <c r="AD369" s="7"/>
      <c r="AE369" s="7"/>
      <c r="AF369" s="7"/>
      <c r="AG369" s="7"/>
      <c r="AH369" s="7"/>
      <c r="AI369" s="7"/>
      <c r="AJ369" s="7"/>
      <c r="AK369" s="7"/>
      <c r="AL369" s="7"/>
      <c r="AM369" s="7"/>
    </row>
    <row r="370" spans="1:39" x14ac:dyDescent="0.2">
      <c r="A370" s="62"/>
      <c r="B370" s="62"/>
      <c r="C370" s="18"/>
      <c r="D370" s="18"/>
      <c r="E370" s="18"/>
      <c r="F370" s="18"/>
      <c r="G370" s="18"/>
      <c r="H370" s="18"/>
      <c r="I370" s="18"/>
      <c r="J370" s="18"/>
      <c r="K370" s="18"/>
      <c r="L370" s="18"/>
      <c r="M370" s="18"/>
      <c r="N370" s="18"/>
      <c r="O370" s="18"/>
      <c r="P370" s="18"/>
      <c r="Q370" s="7"/>
      <c r="R370" s="7"/>
      <c r="S370" s="7"/>
      <c r="T370" s="7"/>
      <c r="U370" s="7"/>
      <c r="V370" s="7"/>
      <c r="W370" s="7"/>
      <c r="X370" s="7"/>
      <c r="Y370" s="7"/>
      <c r="Z370" s="7"/>
      <c r="AA370" s="7"/>
      <c r="AB370" s="7"/>
      <c r="AC370" s="7"/>
      <c r="AD370" s="7"/>
      <c r="AE370" s="7"/>
      <c r="AF370" s="7"/>
      <c r="AG370" s="7"/>
      <c r="AH370" s="7"/>
      <c r="AI370" s="7"/>
      <c r="AJ370" s="7"/>
      <c r="AK370" s="7"/>
      <c r="AL370" s="7"/>
      <c r="AM370" s="7"/>
    </row>
    <row r="371" spans="1:39" x14ac:dyDescent="0.2">
      <c r="A371" s="62"/>
      <c r="B371" s="62"/>
      <c r="C371" s="18"/>
      <c r="D371" s="18"/>
      <c r="E371" s="18"/>
      <c r="F371" s="18"/>
      <c r="G371" s="18"/>
      <c r="H371" s="18"/>
      <c r="I371" s="18"/>
      <c r="J371" s="18"/>
      <c r="K371" s="18"/>
      <c r="L371" s="18"/>
      <c r="M371" s="18"/>
      <c r="N371" s="18"/>
      <c r="O371" s="18"/>
      <c r="P371" s="18"/>
      <c r="Q371" s="7"/>
      <c r="R371" s="7"/>
      <c r="S371" s="7"/>
      <c r="T371" s="7"/>
      <c r="U371" s="7"/>
      <c r="V371" s="7"/>
      <c r="W371" s="7"/>
      <c r="X371" s="7"/>
      <c r="Y371" s="7"/>
      <c r="Z371" s="7"/>
      <c r="AA371" s="7"/>
      <c r="AB371" s="7"/>
      <c r="AC371" s="7"/>
      <c r="AD371" s="7"/>
      <c r="AE371" s="7"/>
      <c r="AF371" s="7"/>
      <c r="AG371" s="7"/>
      <c r="AH371" s="7"/>
      <c r="AI371" s="7"/>
      <c r="AJ371" s="7"/>
      <c r="AK371" s="7"/>
      <c r="AL371" s="7"/>
      <c r="AM371" s="7"/>
    </row>
    <row r="372" spans="1:39" x14ac:dyDescent="0.2">
      <c r="A372" s="62"/>
      <c r="B372" s="62"/>
      <c r="C372" s="18"/>
      <c r="D372" s="18"/>
      <c r="E372" s="18"/>
      <c r="F372" s="18"/>
      <c r="G372" s="18"/>
      <c r="H372" s="18"/>
      <c r="I372" s="18"/>
      <c r="J372" s="18"/>
      <c r="K372" s="18"/>
      <c r="L372" s="18"/>
      <c r="M372" s="18"/>
      <c r="N372" s="18"/>
      <c r="O372" s="18"/>
      <c r="P372" s="18"/>
      <c r="Q372" s="7"/>
      <c r="R372" s="7"/>
      <c r="S372" s="7"/>
      <c r="T372" s="7"/>
      <c r="U372" s="7"/>
      <c r="V372" s="7"/>
      <c r="W372" s="7"/>
      <c r="X372" s="7"/>
      <c r="Y372" s="7"/>
      <c r="Z372" s="7"/>
      <c r="AA372" s="7"/>
      <c r="AB372" s="7"/>
      <c r="AC372" s="7"/>
      <c r="AD372" s="7"/>
      <c r="AE372" s="7"/>
      <c r="AF372" s="7"/>
      <c r="AG372" s="7"/>
      <c r="AH372" s="7"/>
      <c r="AI372" s="7"/>
      <c r="AJ372" s="7"/>
      <c r="AK372" s="7"/>
      <c r="AL372" s="7"/>
      <c r="AM372" s="7"/>
    </row>
    <row r="373" spans="1:39" x14ac:dyDescent="0.2">
      <c r="A373" s="62"/>
      <c r="B373" s="62"/>
      <c r="C373" s="18"/>
      <c r="D373" s="18"/>
      <c r="E373" s="18"/>
      <c r="F373" s="18"/>
      <c r="G373" s="18"/>
      <c r="H373" s="18"/>
      <c r="I373" s="18"/>
      <c r="J373" s="18"/>
      <c r="K373" s="18"/>
      <c r="L373" s="18"/>
      <c r="M373" s="18"/>
      <c r="N373" s="18"/>
      <c r="O373" s="18"/>
      <c r="P373" s="18"/>
      <c r="Q373" s="7"/>
      <c r="R373" s="7"/>
      <c r="S373" s="7"/>
      <c r="T373" s="7"/>
      <c r="U373" s="7"/>
      <c r="V373" s="7"/>
      <c r="W373" s="7"/>
      <c r="X373" s="7"/>
      <c r="Y373" s="7"/>
      <c r="Z373" s="7"/>
      <c r="AA373" s="7"/>
      <c r="AB373" s="7"/>
      <c r="AC373" s="7"/>
      <c r="AD373" s="7"/>
      <c r="AE373" s="7"/>
      <c r="AF373" s="7"/>
      <c r="AG373" s="7"/>
      <c r="AH373" s="7"/>
      <c r="AI373" s="7"/>
      <c r="AJ373" s="7"/>
      <c r="AK373" s="7"/>
      <c r="AL373" s="7"/>
      <c r="AM373" s="7"/>
    </row>
    <row r="374" spans="1:39" x14ac:dyDescent="0.2">
      <c r="A374" s="62"/>
      <c r="B374" s="62"/>
      <c r="C374" s="18"/>
      <c r="D374" s="18"/>
      <c r="E374" s="18"/>
      <c r="F374" s="18"/>
      <c r="G374" s="18"/>
      <c r="H374" s="18"/>
      <c r="I374" s="18"/>
      <c r="J374" s="18"/>
      <c r="K374" s="18"/>
      <c r="L374" s="18"/>
      <c r="M374" s="18"/>
      <c r="N374" s="18"/>
      <c r="O374" s="18"/>
      <c r="P374" s="18"/>
      <c r="Q374" s="7"/>
      <c r="R374" s="7"/>
      <c r="S374" s="7"/>
      <c r="T374" s="7"/>
      <c r="U374" s="7"/>
      <c r="V374" s="7"/>
      <c r="W374" s="7"/>
      <c r="X374" s="7"/>
      <c r="Y374" s="7"/>
      <c r="Z374" s="7"/>
      <c r="AA374" s="7"/>
      <c r="AB374" s="7"/>
      <c r="AC374" s="7"/>
      <c r="AD374" s="7"/>
      <c r="AE374" s="7"/>
      <c r="AF374" s="7"/>
      <c r="AG374" s="7"/>
      <c r="AH374" s="7"/>
      <c r="AI374" s="7"/>
      <c r="AJ374" s="7"/>
      <c r="AK374" s="7"/>
      <c r="AL374" s="7"/>
      <c r="AM374" s="7"/>
    </row>
    <row r="375" spans="1:39" x14ac:dyDescent="0.2">
      <c r="A375" s="62"/>
      <c r="B375" s="62"/>
      <c r="C375" s="18"/>
      <c r="D375" s="18"/>
      <c r="E375" s="18"/>
      <c r="F375" s="18"/>
      <c r="G375" s="18"/>
      <c r="H375" s="18"/>
      <c r="I375" s="18"/>
      <c r="J375" s="18"/>
      <c r="K375" s="18"/>
      <c r="L375" s="18"/>
      <c r="M375" s="18"/>
      <c r="N375" s="18"/>
      <c r="O375" s="18"/>
      <c r="P375" s="18"/>
      <c r="Q375" s="7"/>
      <c r="R375" s="7"/>
      <c r="S375" s="7"/>
      <c r="T375" s="7"/>
      <c r="U375" s="7"/>
      <c r="V375" s="7"/>
      <c r="W375" s="7"/>
      <c r="X375" s="7"/>
      <c r="Y375" s="7"/>
      <c r="Z375" s="7"/>
      <c r="AA375" s="7"/>
      <c r="AB375" s="7"/>
      <c r="AC375" s="7"/>
      <c r="AD375" s="7"/>
      <c r="AE375" s="7"/>
      <c r="AF375" s="7"/>
      <c r="AG375" s="7"/>
      <c r="AH375" s="7"/>
      <c r="AI375" s="7"/>
      <c r="AJ375" s="7"/>
      <c r="AK375" s="7"/>
      <c r="AL375" s="7"/>
      <c r="AM375" s="7"/>
    </row>
    <row r="376" spans="1:39" x14ac:dyDescent="0.2">
      <c r="A376" s="62"/>
      <c r="B376" s="62"/>
      <c r="C376" s="18"/>
      <c r="D376" s="18"/>
      <c r="E376" s="18"/>
      <c r="F376" s="18"/>
      <c r="G376" s="18"/>
      <c r="H376" s="18"/>
      <c r="I376" s="18"/>
      <c r="J376" s="18"/>
      <c r="K376" s="18"/>
      <c r="L376" s="18"/>
      <c r="M376" s="18"/>
      <c r="N376" s="18"/>
      <c r="O376" s="18"/>
      <c r="P376" s="18"/>
      <c r="Q376" s="7"/>
      <c r="R376" s="7"/>
      <c r="S376" s="7"/>
      <c r="T376" s="7"/>
      <c r="U376" s="7"/>
      <c r="V376" s="7"/>
      <c r="W376" s="7"/>
      <c r="X376" s="7"/>
      <c r="Y376" s="7"/>
      <c r="Z376" s="7"/>
      <c r="AA376" s="7"/>
      <c r="AB376" s="7"/>
      <c r="AC376" s="7"/>
      <c r="AD376" s="7"/>
      <c r="AE376" s="7"/>
      <c r="AF376" s="7"/>
      <c r="AG376" s="7"/>
      <c r="AH376" s="7"/>
      <c r="AI376" s="7"/>
      <c r="AJ376" s="7"/>
      <c r="AK376" s="7"/>
      <c r="AL376" s="7"/>
      <c r="AM376" s="7"/>
    </row>
    <row r="377" spans="1:39" x14ac:dyDescent="0.2">
      <c r="A377" s="62"/>
      <c r="B377" s="62"/>
      <c r="C377" s="18"/>
      <c r="D377" s="18"/>
      <c r="E377" s="18"/>
      <c r="F377" s="18"/>
      <c r="G377" s="18"/>
      <c r="H377" s="18"/>
      <c r="I377" s="18"/>
      <c r="J377" s="18"/>
      <c r="K377" s="18"/>
      <c r="L377" s="18"/>
      <c r="M377" s="18"/>
      <c r="N377" s="18"/>
      <c r="O377" s="18"/>
      <c r="P377" s="18"/>
      <c r="Q377" s="7"/>
      <c r="R377" s="7"/>
      <c r="S377" s="7"/>
      <c r="T377" s="7"/>
      <c r="U377" s="7"/>
      <c r="V377" s="7"/>
      <c r="W377" s="7"/>
      <c r="X377" s="7"/>
      <c r="Y377" s="7"/>
      <c r="Z377" s="7"/>
      <c r="AA377" s="7"/>
      <c r="AB377" s="7"/>
      <c r="AC377" s="7"/>
      <c r="AD377" s="7"/>
      <c r="AE377" s="7"/>
      <c r="AF377" s="7"/>
      <c r="AG377" s="7"/>
      <c r="AH377" s="7"/>
      <c r="AI377" s="7"/>
      <c r="AJ377" s="7"/>
      <c r="AK377" s="7"/>
      <c r="AL377" s="7"/>
      <c r="AM377" s="7"/>
    </row>
    <row r="378" spans="1:39" x14ac:dyDescent="0.2">
      <c r="A378" s="62"/>
      <c r="B378" s="62"/>
      <c r="C378" s="18"/>
      <c r="D378" s="18"/>
      <c r="E378" s="18"/>
      <c r="F378" s="18"/>
      <c r="G378" s="18"/>
      <c r="H378" s="18"/>
      <c r="I378" s="18"/>
      <c r="J378" s="18"/>
      <c r="K378" s="18"/>
      <c r="L378" s="18"/>
      <c r="M378" s="18"/>
      <c r="N378" s="18"/>
      <c r="O378" s="18"/>
      <c r="P378" s="18"/>
      <c r="Q378" s="7"/>
      <c r="R378" s="7"/>
      <c r="S378" s="7"/>
      <c r="T378" s="7"/>
      <c r="U378" s="7"/>
      <c r="V378" s="7"/>
      <c r="W378" s="7"/>
      <c r="X378" s="7"/>
      <c r="Y378" s="7"/>
      <c r="Z378" s="7"/>
      <c r="AA378" s="7"/>
      <c r="AB378" s="7"/>
      <c r="AC378" s="7"/>
      <c r="AD378" s="7"/>
      <c r="AE378" s="7"/>
      <c r="AF378" s="7"/>
      <c r="AG378" s="7"/>
      <c r="AH378" s="7"/>
      <c r="AI378" s="7"/>
      <c r="AJ378" s="7"/>
      <c r="AK378" s="7"/>
      <c r="AL378" s="7"/>
      <c r="AM378" s="7"/>
    </row>
    <row r="379" spans="1:39" x14ac:dyDescent="0.2">
      <c r="A379" s="62"/>
      <c r="B379" s="62"/>
      <c r="C379" s="18"/>
      <c r="D379" s="18"/>
      <c r="E379" s="18"/>
      <c r="F379" s="18"/>
      <c r="G379" s="18"/>
      <c r="H379" s="18"/>
      <c r="I379" s="18"/>
      <c r="J379" s="18"/>
      <c r="K379" s="18"/>
      <c r="L379" s="18"/>
      <c r="M379" s="18"/>
      <c r="N379" s="18"/>
      <c r="O379" s="18"/>
      <c r="P379" s="18"/>
      <c r="Q379" s="7"/>
      <c r="R379" s="7"/>
      <c r="S379" s="7"/>
      <c r="T379" s="7"/>
      <c r="U379" s="7"/>
      <c r="V379" s="7"/>
      <c r="W379" s="7"/>
      <c r="X379" s="7"/>
      <c r="Y379" s="7"/>
      <c r="Z379" s="7"/>
      <c r="AA379" s="7"/>
      <c r="AB379" s="7"/>
      <c r="AC379" s="7"/>
      <c r="AD379" s="7"/>
      <c r="AE379" s="7"/>
      <c r="AF379" s="7"/>
      <c r="AG379" s="7"/>
      <c r="AH379" s="7"/>
      <c r="AI379" s="7"/>
      <c r="AJ379" s="7"/>
      <c r="AK379" s="7"/>
      <c r="AL379" s="7"/>
      <c r="AM379" s="7"/>
    </row>
    <row r="380" spans="1:39" x14ac:dyDescent="0.2">
      <c r="A380" s="62"/>
      <c r="B380" s="62"/>
      <c r="C380" s="18"/>
      <c r="D380" s="18"/>
      <c r="E380" s="18"/>
      <c r="F380" s="18"/>
      <c r="G380" s="18"/>
      <c r="H380" s="18"/>
      <c r="I380" s="18"/>
      <c r="J380" s="18"/>
      <c r="K380" s="18"/>
      <c r="L380" s="18"/>
      <c r="M380" s="18"/>
      <c r="N380" s="18"/>
      <c r="O380" s="18"/>
      <c r="P380" s="18"/>
      <c r="Q380" s="7"/>
      <c r="R380" s="7"/>
      <c r="S380" s="7"/>
      <c r="T380" s="7"/>
      <c r="U380" s="7"/>
      <c r="V380" s="7"/>
      <c r="W380" s="7"/>
      <c r="X380" s="7"/>
      <c r="Y380" s="7"/>
      <c r="Z380" s="7"/>
      <c r="AA380" s="7"/>
      <c r="AB380" s="7"/>
      <c r="AC380" s="7"/>
      <c r="AD380" s="7"/>
      <c r="AE380" s="7"/>
      <c r="AF380" s="7"/>
      <c r="AG380" s="7"/>
      <c r="AH380" s="7"/>
      <c r="AI380" s="7"/>
      <c r="AJ380" s="7"/>
      <c r="AK380" s="7"/>
      <c r="AL380" s="7"/>
      <c r="AM380" s="7"/>
    </row>
    <row r="381" spans="1:39" x14ac:dyDescent="0.2">
      <c r="A381" s="62"/>
      <c r="B381" s="62"/>
      <c r="C381" s="18"/>
      <c r="D381" s="18"/>
      <c r="E381" s="18"/>
      <c r="F381" s="18"/>
      <c r="G381" s="18"/>
      <c r="H381" s="18"/>
      <c r="I381" s="18"/>
      <c r="J381" s="18"/>
      <c r="K381" s="18"/>
      <c r="L381" s="18"/>
      <c r="M381" s="18"/>
      <c r="N381" s="18"/>
      <c r="O381" s="18"/>
      <c r="P381" s="18"/>
      <c r="Q381" s="7"/>
      <c r="R381" s="7"/>
      <c r="S381" s="7"/>
      <c r="T381" s="7"/>
      <c r="U381" s="7"/>
      <c r="V381" s="7"/>
      <c r="W381" s="7"/>
      <c r="X381" s="7"/>
      <c r="Y381" s="7"/>
      <c r="Z381" s="7"/>
      <c r="AA381" s="7"/>
      <c r="AB381" s="7"/>
      <c r="AC381" s="7"/>
      <c r="AD381" s="7"/>
      <c r="AE381" s="7"/>
      <c r="AF381" s="7"/>
      <c r="AG381" s="7"/>
      <c r="AH381" s="7"/>
      <c r="AI381" s="7"/>
      <c r="AJ381" s="7"/>
      <c r="AK381" s="7"/>
      <c r="AL381" s="7"/>
      <c r="AM381" s="7"/>
    </row>
    <row r="382" spans="1:39" x14ac:dyDescent="0.2">
      <c r="A382" s="62"/>
      <c r="B382" s="62"/>
      <c r="C382" s="18"/>
      <c r="D382" s="18"/>
      <c r="E382" s="18"/>
      <c r="F382" s="18"/>
      <c r="G382" s="18"/>
      <c r="H382" s="18"/>
      <c r="I382" s="18"/>
      <c r="J382" s="18"/>
      <c r="K382" s="18"/>
      <c r="L382" s="18"/>
      <c r="M382" s="18"/>
      <c r="N382" s="18"/>
      <c r="O382" s="18"/>
      <c r="P382" s="18"/>
      <c r="Q382" s="7"/>
      <c r="R382" s="7"/>
      <c r="S382" s="7"/>
      <c r="T382" s="7"/>
      <c r="U382" s="7"/>
      <c r="V382" s="7"/>
      <c r="W382" s="7"/>
      <c r="X382" s="7"/>
      <c r="Y382" s="7"/>
      <c r="Z382" s="7"/>
      <c r="AA382" s="7"/>
      <c r="AB382" s="7"/>
      <c r="AC382" s="7"/>
      <c r="AD382" s="7"/>
      <c r="AE382" s="7"/>
      <c r="AF382" s="7"/>
      <c r="AG382" s="7"/>
      <c r="AH382" s="7"/>
      <c r="AI382" s="7"/>
      <c r="AJ382" s="7"/>
      <c r="AK382" s="7"/>
      <c r="AL382" s="7"/>
      <c r="AM382" s="7"/>
    </row>
    <row r="383" spans="1:39" x14ac:dyDescent="0.2">
      <c r="A383" s="62"/>
      <c r="B383" s="62"/>
      <c r="C383" s="18"/>
      <c r="D383" s="18"/>
      <c r="E383" s="18"/>
      <c r="F383" s="18"/>
      <c r="G383" s="18"/>
      <c r="H383" s="18"/>
      <c r="I383" s="18"/>
      <c r="J383" s="18"/>
      <c r="K383" s="18"/>
      <c r="L383" s="18"/>
      <c r="M383" s="18"/>
      <c r="N383" s="18"/>
      <c r="O383" s="18"/>
      <c r="P383" s="18"/>
      <c r="Q383" s="7"/>
      <c r="R383" s="7"/>
      <c r="S383" s="7"/>
      <c r="T383" s="7"/>
      <c r="U383" s="7"/>
      <c r="V383" s="7"/>
      <c r="W383" s="7"/>
      <c r="X383" s="7"/>
      <c r="Y383" s="7"/>
      <c r="Z383" s="7"/>
      <c r="AA383" s="7"/>
      <c r="AB383" s="7"/>
      <c r="AC383" s="7"/>
      <c r="AD383" s="7"/>
      <c r="AE383" s="7"/>
      <c r="AF383" s="7"/>
      <c r="AG383" s="7"/>
      <c r="AH383" s="7"/>
      <c r="AI383" s="7"/>
      <c r="AJ383" s="7"/>
      <c r="AK383" s="7"/>
      <c r="AL383" s="7"/>
      <c r="AM383" s="7"/>
    </row>
    <row r="384" spans="1:39" x14ac:dyDescent="0.2">
      <c r="A384" s="62"/>
      <c r="B384" s="62"/>
      <c r="C384" s="18"/>
      <c r="D384" s="18"/>
      <c r="E384" s="18"/>
      <c r="F384" s="18"/>
      <c r="G384" s="18"/>
      <c r="H384" s="18"/>
      <c r="I384" s="18"/>
      <c r="J384" s="18"/>
      <c r="K384" s="18"/>
      <c r="L384" s="18"/>
      <c r="M384" s="18"/>
      <c r="N384" s="18"/>
      <c r="O384" s="18"/>
      <c r="P384" s="18"/>
      <c r="Q384" s="7"/>
      <c r="R384" s="7"/>
      <c r="S384" s="7"/>
      <c r="T384" s="7"/>
      <c r="U384" s="7"/>
      <c r="V384" s="7"/>
      <c r="W384" s="7"/>
      <c r="X384" s="7"/>
      <c r="Y384" s="7"/>
      <c r="Z384" s="7"/>
      <c r="AA384" s="7"/>
      <c r="AB384" s="7"/>
      <c r="AC384" s="7"/>
      <c r="AD384" s="7"/>
      <c r="AE384" s="7"/>
      <c r="AF384" s="7"/>
      <c r="AG384" s="7"/>
      <c r="AH384" s="7"/>
      <c r="AI384" s="7"/>
      <c r="AJ384" s="7"/>
      <c r="AK384" s="7"/>
      <c r="AL384" s="7"/>
      <c r="AM384" s="7"/>
    </row>
    <row r="385" spans="1:39" x14ac:dyDescent="0.2">
      <c r="A385" s="62"/>
      <c r="B385" s="62"/>
      <c r="C385" s="18"/>
      <c r="D385" s="18"/>
      <c r="E385" s="18"/>
      <c r="F385" s="18"/>
      <c r="G385" s="18"/>
      <c r="H385" s="18"/>
      <c r="I385" s="18"/>
      <c r="J385" s="18"/>
      <c r="K385" s="18"/>
      <c r="L385" s="18"/>
      <c r="M385" s="18"/>
      <c r="N385" s="18"/>
      <c r="O385" s="18"/>
      <c r="P385" s="18"/>
      <c r="Q385" s="7"/>
      <c r="R385" s="7"/>
      <c r="S385" s="7"/>
      <c r="T385" s="7"/>
      <c r="U385" s="7"/>
      <c r="V385" s="7"/>
      <c r="W385" s="7"/>
      <c r="X385" s="7"/>
      <c r="Y385" s="7"/>
      <c r="Z385" s="7"/>
      <c r="AA385" s="7"/>
      <c r="AB385" s="7"/>
      <c r="AC385" s="7"/>
      <c r="AD385" s="7"/>
      <c r="AE385" s="7"/>
      <c r="AF385" s="7"/>
      <c r="AG385" s="7"/>
      <c r="AH385" s="7"/>
      <c r="AI385" s="7"/>
      <c r="AJ385" s="7"/>
      <c r="AK385" s="7"/>
      <c r="AL385" s="7"/>
      <c r="AM385" s="7"/>
    </row>
    <row r="386" spans="1:39" x14ac:dyDescent="0.2">
      <c r="A386" s="62"/>
      <c r="B386" s="62"/>
      <c r="C386" s="18"/>
      <c r="D386" s="18"/>
      <c r="E386" s="18"/>
      <c r="F386" s="18"/>
      <c r="G386" s="18"/>
      <c r="H386" s="18"/>
      <c r="I386" s="18"/>
      <c r="J386" s="18"/>
      <c r="K386" s="18"/>
      <c r="L386" s="18"/>
      <c r="M386" s="18"/>
      <c r="N386" s="18"/>
      <c r="O386" s="18"/>
      <c r="P386" s="18"/>
      <c r="Q386" s="7"/>
      <c r="R386" s="7"/>
      <c r="S386" s="7"/>
      <c r="T386" s="7"/>
      <c r="U386" s="7"/>
      <c r="V386" s="7"/>
      <c r="W386" s="7"/>
      <c r="X386" s="7"/>
      <c r="Y386" s="7"/>
      <c r="Z386" s="7"/>
      <c r="AA386" s="7"/>
      <c r="AB386" s="7"/>
      <c r="AC386" s="7"/>
      <c r="AD386" s="7"/>
      <c r="AE386" s="7"/>
      <c r="AF386" s="7"/>
      <c r="AG386" s="7"/>
      <c r="AH386" s="7"/>
      <c r="AI386" s="7"/>
      <c r="AJ386" s="7"/>
      <c r="AK386" s="7"/>
      <c r="AL386" s="7"/>
      <c r="AM386" s="7"/>
    </row>
    <row r="387" spans="1:39" x14ac:dyDescent="0.2">
      <c r="A387" s="62"/>
      <c r="B387" s="62"/>
      <c r="C387" s="18"/>
      <c r="D387" s="18"/>
      <c r="E387" s="18"/>
      <c r="F387" s="18"/>
      <c r="G387" s="18"/>
      <c r="H387" s="18"/>
      <c r="I387" s="18"/>
      <c r="J387" s="18"/>
      <c r="K387" s="18"/>
      <c r="L387" s="18"/>
      <c r="M387" s="18"/>
      <c r="N387" s="18"/>
      <c r="O387" s="18"/>
      <c r="P387" s="18"/>
      <c r="Q387" s="7"/>
      <c r="R387" s="7"/>
      <c r="S387" s="7"/>
      <c r="T387" s="7"/>
      <c r="U387" s="7"/>
      <c r="V387" s="7"/>
      <c r="W387" s="7"/>
      <c r="X387" s="7"/>
      <c r="Y387" s="7"/>
      <c r="Z387" s="7"/>
      <c r="AA387" s="7"/>
      <c r="AB387" s="7"/>
      <c r="AC387" s="7"/>
      <c r="AD387" s="7"/>
      <c r="AE387" s="7"/>
      <c r="AF387" s="7"/>
      <c r="AG387" s="7"/>
      <c r="AH387" s="7"/>
      <c r="AI387" s="7"/>
      <c r="AJ387" s="7"/>
      <c r="AK387" s="7"/>
      <c r="AL387" s="7"/>
      <c r="AM387" s="7"/>
    </row>
    <row r="388" spans="1:39" x14ac:dyDescent="0.2">
      <c r="A388" s="62"/>
      <c r="B388" s="62"/>
      <c r="C388" s="18"/>
      <c r="D388" s="18"/>
      <c r="E388" s="18"/>
      <c r="F388" s="18"/>
      <c r="G388" s="18"/>
      <c r="H388" s="18"/>
      <c r="I388" s="18"/>
      <c r="J388" s="18"/>
      <c r="K388" s="18"/>
      <c r="L388" s="18"/>
      <c r="M388" s="18"/>
      <c r="N388" s="18"/>
      <c r="O388" s="18"/>
      <c r="P388" s="18"/>
      <c r="Q388" s="7"/>
      <c r="R388" s="7"/>
      <c r="S388" s="7"/>
      <c r="T388" s="7"/>
      <c r="U388" s="7"/>
      <c r="V388" s="7"/>
      <c r="W388" s="7"/>
      <c r="X388" s="7"/>
      <c r="Y388" s="7"/>
      <c r="Z388" s="7"/>
      <c r="AA388" s="7"/>
      <c r="AB388" s="7"/>
      <c r="AC388" s="7"/>
      <c r="AD388" s="7"/>
      <c r="AE388" s="7"/>
      <c r="AF388" s="7"/>
      <c r="AG388" s="7"/>
      <c r="AH388" s="7"/>
      <c r="AI388" s="7"/>
      <c r="AJ388" s="7"/>
      <c r="AK388" s="7"/>
      <c r="AL388" s="7"/>
      <c r="AM388" s="7"/>
    </row>
    <row r="389" spans="1:39" x14ac:dyDescent="0.2">
      <c r="A389" s="62"/>
      <c r="B389" s="62"/>
      <c r="C389" s="18"/>
      <c r="D389" s="18"/>
      <c r="E389" s="18"/>
      <c r="F389" s="18"/>
      <c r="G389" s="18"/>
      <c r="H389" s="18"/>
      <c r="I389" s="18"/>
      <c r="J389" s="18"/>
      <c r="K389" s="18"/>
      <c r="L389" s="18"/>
      <c r="M389" s="18"/>
      <c r="N389" s="18"/>
      <c r="O389" s="18"/>
      <c r="P389" s="18"/>
      <c r="Q389" s="7"/>
      <c r="R389" s="7"/>
      <c r="S389" s="7"/>
      <c r="T389" s="7"/>
      <c r="U389" s="7"/>
      <c r="V389" s="7"/>
      <c r="W389" s="7"/>
      <c r="X389" s="7"/>
      <c r="Y389" s="7"/>
      <c r="Z389" s="7"/>
      <c r="AA389" s="7"/>
      <c r="AB389" s="7"/>
      <c r="AC389" s="7"/>
      <c r="AD389" s="7"/>
      <c r="AE389" s="7"/>
      <c r="AF389" s="7"/>
      <c r="AG389" s="7"/>
      <c r="AH389" s="7"/>
      <c r="AI389" s="7"/>
      <c r="AJ389" s="7"/>
      <c r="AK389" s="7"/>
      <c r="AL389" s="7"/>
      <c r="AM389" s="7"/>
    </row>
    <row r="390" spans="1:39" x14ac:dyDescent="0.2">
      <c r="A390" s="62"/>
      <c r="B390" s="62"/>
      <c r="C390" s="18"/>
      <c r="D390" s="18"/>
      <c r="E390" s="18"/>
      <c r="F390" s="18"/>
      <c r="G390" s="18"/>
      <c r="H390" s="18"/>
      <c r="I390" s="18"/>
      <c r="J390" s="18"/>
      <c r="K390" s="18"/>
      <c r="L390" s="18"/>
      <c r="M390" s="18"/>
      <c r="N390" s="18"/>
      <c r="O390" s="18"/>
      <c r="P390" s="18"/>
      <c r="Q390" s="7"/>
      <c r="R390" s="7"/>
      <c r="S390" s="7"/>
      <c r="T390" s="7"/>
      <c r="U390" s="7"/>
      <c r="V390" s="7"/>
      <c r="W390" s="7"/>
      <c r="X390" s="7"/>
      <c r="Y390" s="7"/>
      <c r="Z390" s="7"/>
      <c r="AA390" s="7"/>
      <c r="AB390" s="7"/>
      <c r="AC390" s="7"/>
      <c r="AD390" s="7"/>
      <c r="AE390" s="7"/>
      <c r="AF390" s="7"/>
      <c r="AG390" s="7"/>
      <c r="AH390" s="7"/>
      <c r="AI390" s="7"/>
      <c r="AJ390" s="7"/>
      <c r="AK390" s="7"/>
      <c r="AL390" s="7"/>
      <c r="AM390" s="7"/>
    </row>
    <row r="391" spans="1:39" x14ac:dyDescent="0.2">
      <c r="A391" s="62"/>
      <c r="B391" s="62"/>
      <c r="C391" s="18"/>
      <c r="D391" s="18"/>
      <c r="E391" s="18"/>
      <c r="F391" s="18"/>
      <c r="G391" s="18"/>
      <c r="H391" s="18"/>
      <c r="I391" s="18"/>
      <c r="J391" s="18"/>
      <c r="K391" s="18"/>
      <c r="L391" s="18"/>
      <c r="M391" s="18"/>
      <c r="N391" s="18"/>
      <c r="O391" s="18"/>
      <c r="P391" s="18"/>
      <c r="Q391" s="7"/>
      <c r="R391" s="7"/>
      <c r="S391" s="7"/>
      <c r="T391" s="7"/>
      <c r="U391" s="7"/>
      <c r="V391" s="7"/>
      <c r="W391" s="7"/>
      <c r="X391" s="7"/>
      <c r="Y391" s="7"/>
      <c r="Z391" s="7"/>
      <c r="AA391" s="7"/>
      <c r="AB391" s="7"/>
      <c r="AC391" s="7"/>
      <c r="AD391" s="7"/>
      <c r="AE391" s="7"/>
      <c r="AF391" s="7"/>
      <c r="AG391" s="7"/>
      <c r="AH391" s="7"/>
      <c r="AI391" s="7"/>
      <c r="AJ391" s="7"/>
      <c r="AK391" s="7"/>
      <c r="AL391" s="7"/>
      <c r="AM391" s="7"/>
    </row>
    <row r="392" spans="1:39" x14ac:dyDescent="0.2">
      <c r="A392" s="62"/>
      <c r="B392" s="62"/>
      <c r="C392" s="18"/>
      <c r="D392" s="18"/>
      <c r="E392" s="18"/>
      <c r="F392" s="18"/>
      <c r="G392" s="18"/>
      <c r="H392" s="18"/>
      <c r="I392" s="18"/>
      <c r="J392" s="18"/>
      <c r="K392" s="18"/>
      <c r="L392" s="18"/>
      <c r="M392" s="18"/>
      <c r="N392" s="18"/>
      <c r="O392" s="18"/>
      <c r="P392" s="18"/>
      <c r="Q392" s="7"/>
      <c r="R392" s="7"/>
      <c r="S392" s="7"/>
      <c r="T392" s="7"/>
      <c r="U392" s="7"/>
      <c r="V392" s="7"/>
      <c r="W392" s="7"/>
      <c r="X392" s="7"/>
      <c r="Y392" s="7"/>
      <c r="Z392" s="7"/>
      <c r="AA392" s="7"/>
      <c r="AB392" s="7"/>
      <c r="AC392" s="7"/>
      <c r="AD392" s="7"/>
      <c r="AE392" s="7"/>
      <c r="AF392" s="7"/>
      <c r="AG392" s="7"/>
      <c r="AH392" s="7"/>
      <c r="AI392" s="7"/>
      <c r="AJ392" s="7"/>
      <c r="AK392" s="7"/>
      <c r="AL392" s="7"/>
      <c r="AM392" s="7"/>
    </row>
    <row r="393" spans="1:39" x14ac:dyDescent="0.2">
      <c r="A393" s="62"/>
      <c r="B393" s="62"/>
      <c r="C393" s="18"/>
      <c r="D393" s="18"/>
      <c r="E393" s="18"/>
      <c r="F393" s="18"/>
      <c r="G393" s="18"/>
      <c r="H393" s="18"/>
      <c r="I393" s="18"/>
      <c r="J393" s="18"/>
      <c r="K393" s="18"/>
      <c r="L393" s="18"/>
      <c r="M393" s="18"/>
      <c r="N393" s="18"/>
      <c r="O393" s="18"/>
      <c r="P393" s="18"/>
      <c r="Q393" s="7"/>
      <c r="R393" s="7"/>
      <c r="S393" s="7"/>
      <c r="T393" s="7"/>
      <c r="U393" s="7"/>
      <c r="V393" s="7"/>
      <c r="W393" s="7"/>
      <c r="X393" s="7"/>
      <c r="Y393" s="7"/>
      <c r="Z393" s="7"/>
      <c r="AA393" s="7"/>
      <c r="AB393" s="7"/>
      <c r="AC393" s="7"/>
      <c r="AD393" s="7"/>
      <c r="AE393" s="7"/>
      <c r="AF393" s="7"/>
      <c r="AG393" s="7"/>
      <c r="AH393" s="7"/>
      <c r="AI393" s="7"/>
      <c r="AJ393" s="7"/>
      <c r="AK393" s="7"/>
      <c r="AL393" s="7"/>
      <c r="AM393" s="7"/>
    </row>
    <row r="394" spans="1:39" x14ac:dyDescent="0.2">
      <c r="A394" s="62"/>
      <c r="B394" s="62"/>
      <c r="C394" s="18"/>
      <c r="D394" s="18"/>
      <c r="E394" s="18"/>
      <c r="F394" s="18"/>
      <c r="G394" s="18"/>
      <c r="H394" s="18"/>
      <c r="I394" s="18"/>
      <c r="J394" s="18"/>
      <c r="K394" s="18"/>
      <c r="L394" s="18"/>
      <c r="M394" s="18"/>
      <c r="N394" s="18"/>
      <c r="O394" s="18"/>
      <c r="P394" s="18"/>
      <c r="Q394" s="7"/>
      <c r="R394" s="7"/>
      <c r="S394" s="7"/>
      <c r="T394" s="7"/>
      <c r="U394" s="7"/>
      <c r="V394" s="7"/>
      <c r="W394" s="7"/>
      <c r="X394" s="7"/>
      <c r="Y394" s="7"/>
      <c r="Z394" s="7"/>
      <c r="AA394" s="7"/>
      <c r="AB394" s="7"/>
      <c r="AC394" s="7"/>
      <c r="AD394" s="7"/>
      <c r="AE394" s="7"/>
      <c r="AF394" s="7"/>
      <c r="AG394" s="7"/>
      <c r="AH394" s="7"/>
      <c r="AI394" s="7"/>
      <c r="AJ394" s="7"/>
      <c r="AK394" s="7"/>
      <c r="AL394" s="7"/>
      <c r="AM394" s="7"/>
    </row>
    <row r="395" spans="1:39" x14ac:dyDescent="0.2">
      <c r="A395" s="62"/>
      <c r="B395" s="62"/>
      <c r="C395" s="18"/>
      <c r="D395" s="18"/>
      <c r="E395" s="18"/>
      <c r="F395" s="18"/>
      <c r="G395" s="18"/>
      <c r="H395" s="18"/>
      <c r="I395" s="18"/>
      <c r="J395" s="18"/>
      <c r="K395" s="18"/>
      <c r="L395" s="18"/>
      <c r="M395" s="18"/>
      <c r="N395" s="18"/>
      <c r="O395" s="18"/>
      <c r="P395" s="18"/>
      <c r="Q395" s="7"/>
      <c r="R395" s="7"/>
      <c r="S395" s="7"/>
      <c r="T395" s="7"/>
      <c r="U395" s="7"/>
      <c r="V395" s="7"/>
      <c r="W395" s="7"/>
      <c r="X395" s="7"/>
      <c r="Y395" s="7"/>
      <c r="Z395" s="7"/>
      <c r="AA395" s="7"/>
      <c r="AB395" s="7"/>
      <c r="AC395" s="7"/>
      <c r="AD395" s="7"/>
      <c r="AE395" s="7"/>
      <c r="AF395" s="7"/>
      <c r="AG395" s="7"/>
      <c r="AH395" s="7"/>
      <c r="AI395" s="7"/>
      <c r="AJ395" s="7"/>
      <c r="AK395" s="7"/>
      <c r="AL395" s="7"/>
      <c r="AM395" s="7"/>
    </row>
    <row r="396" spans="1:39" x14ac:dyDescent="0.2">
      <c r="A396" s="62"/>
      <c r="B396" s="62"/>
      <c r="C396" s="18"/>
      <c r="D396" s="18"/>
      <c r="E396" s="18"/>
      <c r="F396" s="18"/>
      <c r="G396" s="18"/>
      <c r="H396" s="18"/>
      <c r="I396" s="18"/>
      <c r="J396" s="18"/>
      <c r="K396" s="18"/>
      <c r="L396" s="18"/>
      <c r="M396" s="18"/>
      <c r="N396" s="18"/>
      <c r="O396" s="18"/>
      <c r="P396" s="18"/>
      <c r="Q396" s="7"/>
      <c r="R396" s="7"/>
      <c r="S396" s="7"/>
      <c r="T396" s="7"/>
      <c r="U396" s="7"/>
      <c r="V396" s="7"/>
      <c r="W396" s="7"/>
      <c r="X396" s="7"/>
      <c r="Y396" s="7"/>
      <c r="Z396" s="7"/>
      <c r="AA396" s="7"/>
      <c r="AB396" s="7"/>
      <c r="AC396" s="7"/>
      <c r="AD396" s="7"/>
      <c r="AE396" s="7"/>
      <c r="AF396" s="7"/>
      <c r="AG396" s="7"/>
      <c r="AH396" s="7"/>
      <c r="AI396" s="7"/>
      <c r="AJ396" s="7"/>
      <c r="AK396" s="7"/>
      <c r="AL396" s="7"/>
      <c r="AM396" s="7"/>
    </row>
    <row r="397" spans="1:39" x14ac:dyDescent="0.2">
      <c r="A397" s="62"/>
      <c r="B397" s="62"/>
      <c r="C397" s="18"/>
      <c r="D397" s="18"/>
      <c r="E397" s="18"/>
      <c r="F397" s="18"/>
      <c r="G397" s="18"/>
      <c r="H397" s="18"/>
      <c r="I397" s="18"/>
      <c r="J397" s="18"/>
      <c r="K397" s="18"/>
      <c r="L397" s="18"/>
      <c r="M397" s="18"/>
      <c r="N397" s="18"/>
      <c r="O397" s="18"/>
      <c r="P397" s="18"/>
      <c r="Q397" s="7"/>
      <c r="R397" s="7"/>
      <c r="S397" s="7"/>
      <c r="T397" s="7"/>
      <c r="U397" s="7"/>
      <c r="V397" s="7"/>
      <c r="W397" s="7"/>
      <c r="X397" s="7"/>
      <c r="Y397" s="7"/>
      <c r="Z397" s="7"/>
      <c r="AA397" s="7"/>
      <c r="AB397" s="7"/>
      <c r="AC397" s="7"/>
      <c r="AD397" s="7"/>
      <c r="AE397" s="7"/>
      <c r="AF397" s="7"/>
      <c r="AG397" s="7"/>
      <c r="AH397" s="7"/>
      <c r="AI397" s="7"/>
      <c r="AJ397" s="7"/>
      <c r="AK397" s="7"/>
      <c r="AL397" s="7"/>
      <c r="AM397" s="7"/>
    </row>
    <row r="398" spans="1:39" x14ac:dyDescent="0.2">
      <c r="A398" s="62"/>
      <c r="B398" s="62"/>
      <c r="C398" s="18"/>
      <c r="D398" s="18"/>
      <c r="E398" s="18"/>
      <c r="F398" s="18"/>
      <c r="G398" s="18"/>
      <c r="H398" s="18"/>
      <c r="I398" s="18"/>
      <c r="J398" s="18"/>
      <c r="K398" s="18"/>
      <c r="L398" s="18"/>
      <c r="M398" s="18"/>
      <c r="N398" s="18"/>
      <c r="O398" s="18"/>
      <c r="P398" s="18"/>
      <c r="Q398" s="7"/>
      <c r="R398" s="7"/>
      <c r="S398" s="7"/>
      <c r="T398" s="7"/>
      <c r="U398" s="7"/>
      <c r="V398" s="7"/>
      <c r="W398" s="7"/>
      <c r="X398" s="7"/>
      <c r="Y398" s="7"/>
      <c r="Z398" s="7"/>
      <c r="AA398" s="7"/>
      <c r="AB398" s="7"/>
      <c r="AC398" s="7"/>
      <c r="AD398" s="7"/>
      <c r="AE398" s="7"/>
      <c r="AF398" s="7"/>
      <c r="AG398" s="7"/>
      <c r="AH398" s="7"/>
      <c r="AI398" s="7"/>
      <c r="AJ398" s="7"/>
      <c r="AK398" s="7"/>
      <c r="AL398" s="7"/>
      <c r="AM398" s="7"/>
    </row>
    <row r="399" spans="1:39" x14ac:dyDescent="0.2">
      <c r="A399" s="62"/>
      <c r="B399" s="62"/>
      <c r="C399" s="18"/>
      <c r="D399" s="18"/>
      <c r="E399" s="18"/>
      <c r="F399" s="18"/>
      <c r="G399" s="18"/>
      <c r="H399" s="18"/>
      <c r="I399" s="18"/>
      <c r="J399" s="18"/>
      <c r="K399" s="18"/>
      <c r="L399" s="18"/>
      <c r="M399" s="18"/>
      <c r="N399" s="18"/>
      <c r="O399" s="18"/>
      <c r="P399" s="18"/>
      <c r="Q399" s="7"/>
      <c r="R399" s="7"/>
      <c r="S399" s="7"/>
      <c r="T399" s="7"/>
      <c r="U399" s="7"/>
      <c r="V399" s="7"/>
      <c r="W399" s="7"/>
      <c r="X399" s="7"/>
      <c r="Y399" s="7"/>
      <c r="Z399" s="7"/>
      <c r="AA399" s="7"/>
      <c r="AB399" s="7"/>
      <c r="AC399" s="7"/>
      <c r="AD399" s="7"/>
      <c r="AE399" s="7"/>
      <c r="AF399" s="7"/>
      <c r="AG399" s="7"/>
      <c r="AH399" s="7"/>
      <c r="AI399" s="7"/>
      <c r="AJ399" s="7"/>
      <c r="AK399" s="7"/>
      <c r="AL399" s="7"/>
      <c r="AM399" s="7"/>
    </row>
    <row r="400" spans="1:39" x14ac:dyDescent="0.2">
      <c r="A400" s="62"/>
      <c r="B400" s="62"/>
      <c r="C400" s="18"/>
      <c r="D400" s="18"/>
      <c r="E400" s="18"/>
      <c r="F400" s="18"/>
      <c r="G400" s="18"/>
      <c r="H400" s="18"/>
      <c r="I400" s="18"/>
      <c r="J400" s="18"/>
      <c r="K400" s="18"/>
      <c r="L400" s="18"/>
      <c r="M400" s="18"/>
      <c r="N400" s="18"/>
      <c r="O400" s="18"/>
      <c r="P400" s="18"/>
      <c r="Q400" s="7"/>
      <c r="R400" s="7"/>
      <c r="S400" s="7"/>
      <c r="T400" s="7"/>
      <c r="U400" s="7"/>
      <c r="V400" s="7"/>
      <c r="W400" s="7"/>
      <c r="X400" s="7"/>
      <c r="Y400" s="7"/>
      <c r="Z400" s="7"/>
      <c r="AA400" s="7"/>
      <c r="AB400" s="7"/>
      <c r="AC400" s="7"/>
      <c r="AD400" s="7"/>
      <c r="AE400" s="7"/>
      <c r="AF400" s="7"/>
      <c r="AG400" s="7"/>
      <c r="AH400" s="7"/>
      <c r="AI400" s="7"/>
      <c r="AJ400" s="7"/>
      <c r="AK400" s="7"/>
      <c r="AL400" s="7"/>
      <c r="AM400" s="7"/>
    </row>
    <row r="401" spans="1:39" x14ac:dyDescent="0.2">
      <c r="A401" s="62"/>
      <c r="B401" s="62"/>
      <c r="C401" s="18"/>
      <c r="D401" s="18"/>
      <c r="E401" s="18"/>
      <c r="F401" s="18"/>
      <c r="G401" s="18"/>
      <c r="H401" s="18"/>
      <c r="I401" s="18"/>
      <c r="J401" s="18"/>
      <c r="K401" s="18"/>
      <c r="L401" s="18"/>
      <c r="M401" s="18"/>
      <c r="N401" s="18"/>
      <c r="O401" s="18"/>
      <c r="P401" s="18"/>
      <c r="Q401" s="7"/>
      <c r="R401" s="7"/>
      <c r="S401" s="7"/>
      <c r="T401" s="7"/>
      <c r="U401" s="7"/>
      <c r="V401" s="7"/>
      <c r="W401" s="7"/>
      <c r="X401" s="7"/>
      <c r="Y401" s="7"/>
      <c r="Z401" s="7"/>
      <c r="AA401" s="7"/>
      <c r="AB401" s="7"/>
      <c r="AC401" s="7"/>
      <c r="AD401" s="7"/>
      <c r="AE401" s="7"/>
      <c r="AF401" s="7"/>
      <c r="AG401" s="7"/>
      <c r="AH401" s="7"/>
      <c r="AI401" s="7"/>
      <c r="AJ401" s="7"/>
      <c r="AK401" s="7"/>
      <c r="AL401" s="7"/>
      <c r="AM401" s="7"/>
    </row>
    <row r="402" spans="1:39" x14ac:dyDescent="0.2">
      <c r="A402" s="62"/>
      <c r="B402" s="62"/>
      <c r="C402" s="18"/>
      <c r="D402" s="18"/>
      <c r="E402" s="18"/>
      <c r="F402" s="18"/>
      <c r="G402" s="18"/>
      <c r="H402" s="18"/>
      <c r="I402" s="18"/>
      <c r="J402" s="18"/>
      <c r="K402" s="18"/>
      <c r="L402" s="18"/>
      <c r="M402" s="18"/>
      <c r="N402" s="18"/>
      <c r="O402" s="18"/>
      <c r="P402" s="18"/>
      <c r="Q402" s="7"/>
      <c r="R402" s="7"/>
      <c r="S402" s="7"/>
      <c r="T402" s="7"/>
      <c r="U402" s="7"/>
      <c r="V402" s="7"/>
      <c r="W402" s="7"/>
      <c r="X402" s="7"/>
      <c r="Y402" s="7"/>
      <c r="Z402" s="7"/>
      <c r="AA402" s="7"/>
      <c r="AB402" s="7"/>
      <c r="AC402" s="7"/>
      <c r="AD402" s="7"/>
      <c r="AE402" s="7"/>
      <c r="AF402" s="7"/>
      <c r="AG402" s="7"/>
      <c r="AH402" s="7"/>
      <c r="AI402" s="7"/>
      <c r="AJ402" s="7"/>
      <c r="AK402" s="7"/>
      <c r="AL402" s="7"/>
      <c r="AM402" s="7"/>
    </row>
    <row r="403" spans="1:39" x14ac:dyDescent="0.2">
      <c r="A403" s="62"/>
      <c r="B403" s="62"/>
      <c r="C403" s="18"/>
      <c r="D403" s="18"/>
      <c r="E403" s="18"/>
      <c r="F403" s="18"/>
      <c r="G403" s="18"/>
      <c r="H403" s="18"/>
      <c r="I403" s="18"/>
      <c r="J403" s="18"/>
      <c r="K403" s="18"/>
      <c r="L403" s="18"/>
      <c r="M403" s="18"/>
      <c r="N403" s="18"/>
      <c r="O403" s="18"/>
      <c r="P403" s="18"/>
      <c r="Q403" s="7"/>
      <c r="R403" s="7"/>
      <c r="S403" s="7"/>
      <c r="T403" s="7"/>
      <c r="U403" s="7"/>
      <c r="V403" s="7"/>
      <c r="W403" s="7"/>
      <c r="X403" s="7"/>
      <c r="Y403" s="7"/>
      <c r="Z403" s="7"/>
      <c r="AA403" s="7"/>
      <c r="AB403" s="7"/>
      <c r="AC403" s="7"/>
      <c r="AD403" s="7"/>
      <c r="AE403" s="7"/>
      <c r="AF403" s="7"/>
      <c r="AG403" s="7"/>
      <c r="AH403" s="7"/>
      <c r="AI403" s="7"/>
      <c r="AJ403" s="7"/>
      <c r="AK403" s="7"/>
      <c r="AL403" s="7"/>
      <c r="AM403" s="7"/>
    </row>
    <row r="404" spans="1:39" x14ac:dyDescent="0.2">
      <c r="A404" s="62"/>
      <c r="B404" s="62"/>
      <c r="C404" s="18"/>
      <c r="D404" s="18"/>
      <c r="E404" s="18"/>
      <c r="F404" s="18"/>
      <c r="G404" s="18"/>
      <c r="H404" s="18"/>
      <c r="I404" s="18"/>
      <c r="J404" s="18"/>
      <c r="K404" s="18"/>
      <c r="L404" s="18"/>
      <c r="M404" s="18"/>
      <c r="N404" s="18"/>
      <c r="O404" s="18"/>
      <c r="P404" s="18"/>
      <c r="Q404" s="7"/>
      <c r="R404" s="7"/>
      <c r="S404" s="7"/>
      <c r="T404" s="7"/>
      <c r="U404" s="7"/>
      <c r="V404" s="7"/>
      <c r="W404" s="7"/>
      <c r="X404" s="7"/>
      <c r="Y404" s="7"/>
      <c r="Z404" s="7"/>
      <c r="AA404" s="7"/>
      <c r="AB404" s="7"/>
      <c r="AC404" s="7"/>
      <c r="AD404" s="7"/>
      <c r="AE404" s="7"/>
      <c r="AF404" s="7"/>
      <c r="AG404" s="7"/>
      <c r="AH404" s="7"/>
      <c r="AI404" s="7"/>
      <c r="AJ404" s="7"/>
      <c r="AK404" s="7"/>
      <c r="AL404" s="7"/>
      <c r="AM404" s="7"/>
    </row>
    <row r="405" spans="1:39" x14ac:dyDescent="0.2">
      <c r="A405" s="62"/>
      <c r="B405" s="62"/>
      <c r="C405" s="18"/>
      <c r="D405" s="18"/>
      <c r="E405" s="18"/>
      <c r="F405" s="18"/>
      <c r="G405" s="18"/>
      <c r="H405" s="18"/>
      <c r="I405" s="18"/>
      <c r="J405" s="18"/>
      <c r="K405" s="18"/>
      <c r="L405" s="18"/>
      <c r="M405" s="18"/>
      <c r="N405" s="18"/>
      <c r="O405" s="18"/>
      <c r="P405" s="18"/>
      <c r="Q405" s="7"/>
      <c r="R405" s="7"/>
      <c r="S405" s="7"/>
      <c r="T405" s="7"/>
      <c r="U405" s="7"/>
      <c r="V405" s="7"/>
      <c r="W405" s="7"/>
      <c r="X405" s="7"/>
      <c r="Y405" s="7"/>
      <c r="Z405" s="7"/>
      <c r="AA405" s="7"/>
      <c r="AB405" s="7"/>
      <c r="AC405" s="7"/>
      <c r="AD405" s="7"/>
      <c r="AE405" s="7"/>
      <c r="AF405" s="7"/>
      <c r="AG405" s="7"/>
      <c r="AH405" s="7"/>
      <c r="AI405" s="7"/>
      <c r="AJ405" s="7"/>
      <c r="AK405" s="7"/>
      <c r="AL405" s="7"/>
      <c r="AM405" s="7"/>
    </row>
    <row r="406" spans="1:39" x14ac:dyDescent="0.2">
      <c r="A406" s="62"/>
      <c r="B406" s="62"/>
      <c r="C406" s="18"/>
      <c r="D406" s="18"/>
      <c r="E406" s="18"/>
      <c r="F406" s="18"/>
      <c r="G406" s="18"/>
      <c r="H406" s="18"/>
      <c r="I406" s="18"/>
      <c r="J406" s="18"/>
      <c r="K406" s="18"/>
      <c r="L406" s="18"/>
      <c r="M406" s="18"/>
      <c r="N406" s="18"/>
      <c r="O406" s="18"/>
      <c r="P406" s="18"/>
      <c r="Q406" s="7"/>
      <c r="R406" s="7"/>
      <c r="S406" s="7"/>
      <c r="T406" s="7"/>
      <c r="U406" s="7"/>
      <c r="V406" s="7"/>
      <c r="W406" s="7"/>
      <c r="X406" s="7"/>
      <c r="Y406" s="7"/>
      <c r="Z406" s="7"/>
      <c r="AA406" s="7"/>
      <c r="AB406" s="7"/>
      <c r="AC406" s="7"/>
      <c r="AD406" s="7"/>
      <c r="AE406" s="7"/>
      <c r="AF406" s="7"/>
      <c r="AG406" s="7"/>
      <c r="AH406" s="7"/>
      <c r="AI406" s="7"/>
      <c r="AJ406" s="7"/>
      <c r="AK406" s="7"/>
      <c r="AL406" s="7"/>
      <c r="AM406" s="7"/>
    </row>
    <row r="407" spans="1:39" x14ac:dyDescent="0.2">
      <c r="A407" s="62"/>
      <c r="B407" s="62"/>
      <c r="C407" s="18"/>
      <c r="D407" s="18"/>
      <c r="E407" s="18"/>
      <c r="F407" s="18"/>
      <c r="G407" s="18"/>
      <c r="H407" s="18"/>
      <c r="I407" s="18"/>
      <c r="J407" s="18"/>
      <c r="K407" s="18"/>
      <c r="L407" s="18"/>
      <c r="M407" s="18"/>
      <c r="N407" s="18"/>
      <c r="O407" s="18"/>
      <c r="P407" s="18"/>
      <c r="Q407" s="7"/>
      <c r="R407" s="7"/>
      <c r="S407" s="7"/>
      <c r="T407" s="7"/>
      <c r="U407" s="7"/>
      <c r="V407" s="7"/>
      <c r="W407" s="7"/>
      <c r="X407" s="7"/>
      <c r="Y407" s="7"/>
      <c r="Z407" s="7"/>
      <c r="AA407" s="7"/>
      <c r="AB407" s="7"/>
      <c r="AC407" s="7"/>
      <c r="AD407" s="7"/>
      <c r="AE407" s="7"/>
      <c r="AF407" s="7"/>
      <c r="AG407" s="7"/>
      <c r="AH407" s="7"/>
      <c r="AI407" s="7"/>
      <c r="AJ407" s="7"/>
      <c r="AK407" s="7"/>
      <c r="AL407" s="7"/>
      <c r="AM407" s="7"/>
    </row>
    <row r="408" spans="1:39" x14ac:dyDescent="0.2">
      <c r="A408" s="62"/>
      <c r="B408" s="62"/>
      <c r="C408" s="18"/>
      <c r="D408" s="18"/>
      <c r="E408" s="18"/>
      <c r="F408" s="18"/>
      <c r="G408" s="18"/>
      <c r="H408" s="18"/>
      <c r="I408" s="18"/>
      <c r="J408" s="18"/>
      <c r="K408" s="18"/>
      <c r="L408" s="18"/>
      <c r="M408" s="18"/>
      <c r="N408" s="18"/>
      <c r="O408" s="18"/>
      <c r="P408" s="18"/>
      <c r="Q408" s="7"/>
      <c r="R408" s="7"/>
      <c r="S408" s="7"/>
      <c r="T408" s="7"/>
      <c r="U408" s="7"/>
      <c r="V408" s="7"/>
      <c r="W408" s="7"/>
      <c r="X408" s="7"/>
      <c r="Y408" s="7"/>
      <c r="Z408" s="7"/>
      <c r="AA408" s="7"/>
      <c r="AB408" s="7"/>
      <c r="AC408" s="7"/>
      <c r="AD408" s="7"/>
      <c r="AE408" s="7"/>
      <c r="AF408" s="7"/>
      <c r="AG408" s="7"/>
      <c r="AH408" s="7"/>
      <c r="AI408" s="7"/>
      <c r="AJ408" s="7"/>
      <c r="AK408" s="7"/>
      <c r="AL408" s="7"/>
      <c r="AM408" s="7"/>
    </row>
    <row r="409" spans="1:39" x14ac:dyDescent="0.2">
      <c r="A409" s="62"/>
      <c r="B409" s="62"/>
      <c r="C409" s="18"/>
      <c r="D409" s="18"/>
      <c r="E409" s="18"/>
      <c r="F409" s="18"/>
      <c r="G409" s="18"/>
      <c r="H409" s="18"/>
      <c r="I409" s="18"/>
      <c r="J409" s="18"/>
      <c r="K409" s="18"/>
      <c r="L409" s="18"/>
      <c r="M409" s="18"/>
      <c r="N409" s="18"/>
      <c r="O409" s="18"/>
      <c r="P409" s="18"/>
      <c r="Q409" s="7"/>
      <c r="R409" s="7"/>
      <c r="S409" s="7"/>
      <c r="T409" s="7"/>
      <c r="U409" s="7"/>
      <c r="V409" s="7"/>
      <c r="W409" s="7"/>
      <c r="X409" s="7"/>
      <c r="Y409" s="7"/>
      <c r="Z409" s="7"/>
      <c r="AA409" s="7"/>
      <c r="AB409" s="7"/>
      <c r="AC409" s="7"/>
      <c r="AD409" s="7"/>
      <c r="AE409" s="7"/>
      <c r="AF409" s="7"/>
      <c r="AG409" s="7"/>
      <c r="AH409" s="7"/>
      <c r="AI409" s="7"/>
      <c r="AJ409" s="7"/>
      <c r="AK409" s="7"/>
      <c r="AL409" s="7"/>
      <c r="AM409" s="7"/>
    </row>
    <row r="410" spans="1:39" x14ac:dyDescent="0.2">
      <c r="A410" s="62"/>
      <c r="B410" s="62"/>
      <c r="C410" s="18"/>
      <c r="D410" s="18"/>
      <c r="E410" s="18"/>
      <c r="F410" s="18"/>
      <c r="G410" s="18"/>
      <c r="H410" s="18"/>
      <c r="I410" s="18"/>
      <c r="J410" s="18"/>
      <c r="K410" s="18"/>
      <c r="L410" s="18"/>
      <c r="M410" s="18"/>
      <c r="N410" s="18"/>
      <c r="O410" s="18"/>
      <c r="P410" s="18"/>
      <c r="Q410" s="7"/>
      <c r="R410" s="7"/>
      <c r="S410" s="7"/>
      <c r="T410" s="7"/>
      <c r="U410" s="7"/>
      <c r="V410" s="7"/>
      <c r="W410" s="7"/>
      <c r="X410" s="7"/>
      <c r="Y410" s="7"/>
      <c r="Z410" s="7"/>
      <c r="AA410" s="7"/>
      <c r="AB410" s="7"/>
      <c r="AC410" s="7"/>
      <c r="AD410" s="7"/>
      <c r="AE410" s="7"/>
      <c r="AF410" s="7"/>
      <c r="AG410" s="7"/>
      <c r="AH410" s="7"/>
      <c r="AI410" s="7"/>
      <c r="AJ410" s="7"/>
      <c r="AK410" s="7"/>
      <c r="AL410" s="7"/>
      <c r="AM410" s="7"/>
    </row>
    <row r="411" spans="1:39" x14ac:dyDescent="0.2">
      <c r="A411" s="62"/>
      <c r="B411" s="62"/>
      <c r="C411" s="18"/>
      <c r="D411" s="18"/>
      <c r="E411" s="18"/>
      <c r="F411" s="18"/>
      <c r="G411" s="18"/>
      <c r="H411" s="18"/>
      <c r="I411" s="18"/>
      <c r="J411" s="18"/>
      <c r="K411" s="18"/>
      <c r="L411" s="18"/>
      <c r="M411" s="18"/>
      <c r="N411" s="18"/>
      <c r="O411" s="18"/>
      <c r="P411" s="18"/>
      <c r="Q411" s="7"/>
      <c r="R411" s="7"/>
      <c r="S411" s="7"/>
      <c r="T411" s="7"/>
      <c r="U411" s="7"/>
      <c r="V411" s="7"/>
      <c r="W411" s="7"/>
      <c r="X411" s="7"/>
      <c r="Y411" s="7"/>
      <c r="Z411" s="7"/>
      <c r="AA411" s="7"/>
      <c r="AB411" s="7"/>
      <c r="AC411" s="7"/>
      <c r="AD411" s="7"/>
      <c r="AE411" s="7"/>
      <c r="AF411" s="7"/>
      <c r="AG411" s="7"/>
      <c r="AH411" s="7"/>
      <c r="AI411" s="7"/>
      <c r="AJ411" s="7"/>
      <c r="AK411" s="7"/>
      <c r="AL411" s="7"/>
      <c r="AM411" s="7"/>
    </row>
    <row r="412" spans="1:39" x14ac:dyDescent="0.2">
      <c r="A412" s="62"/>
      <c r="B412" s="62"/>
      <c r="C412" s="18"/>
      <c r="D412" s="18"/>
      <c r="E412" s="18"/>
      <c r="F412" s="18"/>
      <c r="G412" s="18"/>
      <c r="H412" s="18"/>
      <c r="I412" s="18"/>
      <c r="J412" s="18"/>
      <c r="K412" s="18"/>
      <c r="L412" s="18"/>
      <c r="M412" s="18"/>
      <c r="N412" s="18"/>
      <c r="O412" s="18"/>
      <c r="P412" s="18"/>
      <c r="Q412" s="7"/>
      <c r="R412" s="7"/>
      <c r="S412" s="7"/>
      <c r="T412" s="7"/>
      <c r="U412" s="7"/>
      <c r="V412" s="7"/>
      <c r="W412" s="7"/>
      <c r="X412" s="7"/>
      <c r="Y412" s="7"/>
      <c r="Z412" s="7"/>
      <c r="AA412" s="7"/>
      <c r="AB412" s="7"/>
      <c r="AC412" s="7"/>
      <c r="AD412" s="7"/>
      <c r="AE412" s="7"/>
      <c r="AF412" s="7"/>
      <c r="AG412" s="7"/>
      <c r="AH412" s="7"/>
      <c r="AI412" s="7"/>
      <c r="AJ412" s="7"/>
      <c r="AK412" s="7"/>
      <c r="AL412" s="7"/>
      <c r="AM412" s="7"/>
    </row>
    <row r="413" spans="1:39" x14ac:dyDescent="0.2">
      <c r="A413" s="62"/>
      <c r="B413" s="62"/>
      <c r="C413" s="18"/>
      <c r="D413" s="18"/>
      <c r="E413" s="18"/>
      <c r="F413" s="18"/>
      <c r="G413" s="18"/>
      <c r="H413" s="18"/>
      <c r="I413" s="18"/>
      <c r="J413" s="18"/>
      <c r="K413" s="18"/>
      <c r="L413" s="18"/>
      <c r="M413" s="18"/>
      <c r="N413" s="18"/>
      <c r="O413" s="18"/>
      <c r="P413" s="18"/>
      <c r="Q413" s="7"/>
      <c r="R413" s="7"/>
      <c r="S413" s="7"/>
      <c r="T413" s="7"/>
      <c r="U413" s="7"/>
      <c r="V413" s="7"/>
      <c r="W413" s="7"/>
      <c r="X413" s="7"/>
      <c r="Y413" s="7"/>
      <c r="Z413" s="7"/>
      <c r="AA413" s="7"/>
      <c r="AB413" s="7"/>
      <c r="AC413" s="7"/>
      <c r="AD413" s="7"/>
      <c r="AE413" s="7"/>
      <c r="AF413" s="7"/>
      <c r="AG413" s="7"/>
      <c r="AH413" s="7"/>
      <c r="AI413" s="7"/>
      <c r="AJ413" s="7"/>
      <c r="AK413" s="7"/>
      <c r="AL413" s="7"/>
      <c r="AM413" s="7"/>
    </row>
    <row r="414" spans="1:39" x14ac:dyDescent="0.2">
      <c r="A414" s="62"/>
      <c r="B414" s="62"/>
      <c r="C414" s="18"/>
      <c r="D414" s="18"/>
      <c r="E414" s="18"/>
      <c r="F414" s="18"/>
      <c r="G414" s="18"/>
      <c r="H414" s="18"/>
      <c r="I414" s="18"/>
      <c r="J414" s="18"/>
      <c r="K414" s="18"/>
      <c r="L414" s="18"/>
      <c r="M414" s="18"/>
      <c r="N414" s="18"/>
      <c r="O414" s="18"/>
      <c r="P414" s="18"/>
      <c r="Q414" s="7"/>
      <c r="R414" s="7"/>
      <c r="S414" s="7"/>
      <c r="T414" s="7"/>
      <c r="U414" s="7"/>
      <c r="V414" s="7"/>
      <c r="W414" s="7"/>
      <c r="X414" s="7"/>
      <c r="Y414" s="7"/>
      <c r="Z414" s="7"/>
      <c r="AA414" s="7"/>
      <c r="AB414" s="7"/>
      <c r="AC414" s="7"/>
      <c r="AD414" s="7"/>
      <c r="AE414" s="7"/>
      <c r="AF414" s="7"/>
      <c r="AG414" s="7"/>
      <c r="AH414" s="7"/>
      <c r="AI414" s="7"/>
      <c r="AJ414" s="7"/>
      <c r="AK414" s="7"/>
      <c r="AL414" s="7"/>
      <c r="AM414" s="7"/>
    </row>
    <row r="415" spans="1:39" x14ac:dyDescent="0.2">
      <c r="A415" s="62"/>
      <c r="B415" s="62"/>
      <c r="C415" s="18"/>
      <c r="D415" s="18"/>
      <c r="E415" s="18"/>
      <c r="F415" s="18"/>
      <c r="G415" s="18"/>
      <c r="H415" s="18"/>
      <c r="I415" s="18"/>
      <c r="J415" s="18"/>
      <c r="K415" s="18"/>
      <c r="L415" s="18"/>
      <c r="M415" s="18"/>
      <c r="N415" s="18"/>
      <c r="O415" s="18"/>
      <c r="P415" s="18"/>
      <c r="Q415" s="7"/>
      <c r="R415" s="7"/>
      <c r="S415" s="7"/>
      <c r="T415" s="7"/>
      <c r="U415" s="7"/>
      <c r="V415" s="7"/>
      <c r="W415" s="7"/>
      <c r="X415" s="7"/>
      <c r="Y415" s="7"/>
      <c r="Z415" s="7"/>
      <c r="AA415" s="7"/>
      <c r="AB415" s="7"/>
      <c r="AC415" s="7"/>
      <c r="AD415" s="7"/>
      <c r="AE415" s="7"/>
      <c r="AF415" s="7"/>
      <c r="AG415" s="7"/>
      <c r="AH415" s="7"/>
      <c r="AI415" s="7"/>
      <c r="AJ415" s="7"/>
      <c r="AK415" s="7"/>
      <c r="AL415" s="7"/>
      <c r="AM415" s="7"/>
    </row>
    <row r="416" spans="1:39" x14ac:dyDescent="0.2">
      <c r="A416" s="62"/>
      <c r="B416" s="62"/>
      <c r="C416" s="18"/>
      <c r="D416" s="18"/>
      <c r="E416" s="18"/>
      <c r="F416" s="18"/>
      <c r="G416" s="18"/>
      <c r="H416" s="18"/>
      <c r="I416" s="18"/>
      <c r="J416" s="18"/>
      <c r="K416" s="18"/>
      <c r="L416" s="18"/>
      <c r="M416" s="18"/>
      <c r="N416" s="18"/>
      <c r="O416" s="18"/>
      <c r="P416" s="18"/>
      <c r="Q416" s="7"/>
      <c r="R416" s="7"/>
      <c r="S416" s="7"/>
      <c r="T416" s="7"/>
      <c r="U416" s="7"/>
      <c r="V416" s="7"/>
      <c r="W416" s="7"/>
      <c r="X416" s="7"/>
      <c r="Y416" s="7"/>
      <c r="Z416" s="7"/>
      <c r="AA416" s="7"/>
      <c r="AB416" s="7"/>
      <c r="AC416" s="7"/>
      <c r="AD416" s="7"/>
      <c r="AE416" s="7"/>
      <c r="AF416" s="7"/>
      <c r="AG416" s="7"/>
      <c r="AH416" s="7"/>
      <c r="AI416" s="7"/>
      <c r="AJ416" s="7"/>
      <c r="AK416" s="7"/>
      <c r="AL416" s="7"/>
      <c r="AM416" s="7"/>
    </row>
    <row r="417" spans="1:39" x14ac:dyDescent="0.2">
      <c r="A417" s="62"/>
      <c r="B417" s="62"/>
      <c r="C417" s="18"/>
      <c r="D417" s="18"/>
      <c r="E417" s="18"/>
      <c r="F417" s="18"/>
      <c r="G417" s="18"/>
      <c r="H417" s="18"/>
      <c r="I417" s="18"/>
      <c r="J417" s="18"/>
      <c r="K417" s="18"/>
      <c r="L417" s="18"/>
      <c r="M417" s="18"/>
      <c r="N417" s="18"/>
      <c r="O417" s="18"/>
      <c r="P417" s="18"/>
      <c r="Q417" s="7"/>
      <c r="R417" s="7"/>
      <c r="S417" s="7"/>
      <c r="T417" s="7"/>
      <c r="U417" s="7"/>
      <c r="V417" s="7"/>
      <c r="W417" s="7"/>
      <c r="X417" s="7"/>
      <c r="Y417" s="7"/>
      <c r="Z417" s="7"/>
      <c r="AA417" s="7"/>
      <c r="AB417" s="7"/>
      <c r="AC417" s="7"/>
      <c r="AD417" s="7"/>
      <c r="AE417" s="7"/>
      <c r="AF417" s="7"/>
      <c r="AG417" s="7"/>
      <c r="AH417" s="7"/>
      <c r="AI417" s="7"/>
      <c r="AJ417" s="7"/>
      <c r="AK417" s="7"/>
      <c r="AL417" s="7"/>
      <c r="AM417" s="7"/>
    </row>
    <row r="418" spans="1:39" x14ac:dyDescent="0.2">
      <c r="A418" s="62"/>
      <c r="B418" s="62"/>
      <c r="C418" s="18"/>
      <c r="D418" s="18"/>
      <c r="E418" s="18"/>
      <c r="F418" s="18"/>
      <c r="G418" s="18"/>
      <c r="H418" s="18"/>
      <c r="I418" s="18"/>
      <c r="J418" s="18"/>
      <c r="K418" s="18"/>
      <c r="L418" s="18"/>
      <c r="M418" s="18"/>
      <c r="N418" s="18"/>
      <c r="O418" s="18"/>
      <c r="P418" s="18"/>
      <c r="Q418" s="7"/>
      <c r="R418" s="7"/>
      <c r="S418" s="7"/>
      <c r="T418" s="7"/>
      <c r="U418" s="7"/>
      <c r="V418" s="7"/>
      <c r="W418" s="7"/>
      <c r="X418" s="7"/>
      <c r="Y418" s="7"/>
      <c r="Z418" s="7"/>
      <c r="AA418" s="7"/>
      <c r="AB418" s="7"/>
      <c r="AC418" s="7"/>
      <c r="AD418" s="7"/>
      <c r="AE418" s="7"/>
      <c r="AF418" s="7"/>
      <c r="AG418" s="7"/>
      <c r="AH418" s="7"/>
      <c r="AI418" s="7"/>
      <c r="AJ418" s="7"/>
      <c r="AK418" s="7"/>
      <c r="AL418" s="7"/>
      <c r="AM418" s="7"/>
    </row>
    <row r="419" spans="1:39" x14ac:dyDescent="0.2">
      <c r="A419" s="62"/>
      <c r="B419" s="62"/>
      <c r="C419" s="18"/>
      <c r="D419" s="18"/>
      <c r="E419" s="18"/>
      <c r="F419" s="18"/>
      <c r="G419" s="18"/>
      <c r="H419" s="18"/>
      <c r="I419" s="18"/>
      <c r="J419" s="18"/>
      <c r="K419" s="18"/>
      <c r="L419" s="18"/>
      <c r="M419" s="18"/>
      <c r="N419" s="18"/>
      <c r="O419" s="18"/>
      <c r="P419" s="18"/>
      <c r="Q419" s="7"/>
      <c r="R419" s="7"/>
      <c r="S419" s="7"/>
      <c r="T419" s="7"/>
      <c r="U419" s="7"/>
      <c r="V419" s="7"/>
      <c r="W419" s="7"/>
      <c r="X419" s="7"/>
      <c r="Y419" s="7"/>
      <c r="Z419" s="7"/>
      <c r="AA419" s="7"/>
      <c r="AB419" s="7"/>
      <c r="AC419" s="7"/>
      <c r="AD419" s="7"/>
      <c r="AE419" s="7"/>
      <c r="AF419" s="7"/>
      <c r="AG419" s="7"/>
      <c r="AH419" s="7"/>
      <c r="AI419" s="7"/>
      <c r="AJ419" s="7"/>
      <c r="AK419" s="7"/>
      <c r="AL419" s="7"/>
      <c r="AM419" s="7"/>
    </row>
    <row r="420" spans="1:39" x14ac:dyDescent="0.2">
      <c r="A420" s="62"/>
      <c r="B420" s="62"/>
      <c r="C420" s="18"/>
      <c r="D420" s="18"/>
      <c r="E420" s="18"/>
      <c r="F420" s="18"/>
      <c r="G420" s="18"/>
      <c r="H420" s="18"/>
      <c r="I420" s="18"/>
      <c r="J420" s="18"/>
      <c r="K420" s="18"/>
      <c r="L420" s="18"/>
      <c r="M420" s="18"/>
      <c r="N420" s="18"/>
      <c r="O420" s="18"/>
      <c r="P420" s="18"/>
      <c r="Q420" s="7"/>
      <c r="R420" s="7"/>
      <c r="S420" s="7"/>
      <c r="T420" s="7"/>
      <c r="U420" s="7"/>
      <c r="V420" s="7"/>
      <c r="W420" s="7"/>
      <c r="X420" s="7"/>
      <c r="Y420" s="7"/>
      <c r="Z420" s="7"/>
      <c r="AA420" s="7"/>
      <c r="AB420" s="7"/>
      <c r="AC420" s="7"/>
      <c r="AD420" s="7"/>
      <c r="AE420" s="7"/>
      <c r="AF420" s="7"/>
      <c r="AG420" s="7"/>
      <c r="AH420" s="7"/>
      <c r="AI420" s="7"/>
      <c r="AJ420" s="7"/>
      <c r="AK420" s="7"/>
      <c r="AL420" s="7"/>
      <c r="AM420" s="7"/>
    </row>
    <row r="421" spans="1:39" x14ac:dyDescent="0.2">
      <c r="A421" s="62"/>
      <c r="B421" s="62"/>
      <c r="C421" s="18"/>
      <c r="D421" s="18"/>
      <c r="E421" s="18"/>
      <c r="F421" s="18"/>
      <c r="G421" s="18"/>
      <c r="H421" s="18"/>
      <c r="I421" s="18"/>
      <c r="J421" s="18"/>
      <c r="K421" s="18"/>
      <c r="L421" s="18"/>
      <c r="M421" s="18"/>
      <c r="N421" s="18"/>
      <c r="O421" s="18"/>
      <c r="P421" s="18"/>
      <c r="Q421" s="7"/>
      <c r="R421" s="7"/>
      <c r="S421" s="7"/>
      <c r="T421" s="7"/>
      <c r="U421" s="7"/>
      <c r="V421" s="7"/>
      <c r="W421" s="7"/>
      <c r="X421" s="7"/>
      <c r="Y421" s="7"/>
      <c r="Z421" s="7"/>
      <c r="AA421" s="7"/>
      <c r="AB421" s="7"/>
      <c r="AC421" s="7"/>
      <c r="AD421" s="7"/>
      <c r="AE421" s="7"/>
      <c r="AF421" s="7"/>
      <c r="AG421" s="7"/>
      <c r="AH421" s="7"/>
      <c r="AI421" s="7"/>
      <c r="AJ421" s="7"/>
      <c r="AK421" s="7"/>
      <c r="AL421" s="7"/>
      <c r="AM421" s="7"/>
    </row>
    <row r="422" spans="1:39" x14ac:dyDescent="0.2">
      <c r="A422" s="62"/>
      <c r="B422" s="62"/>
      <c r="C422" s="18"/>
      <c r="D422" s="18"/>
      <c r="E422" s="18"/>
      <c r="F422" s="18"/>
      <c r="G422" s="18"/>
      <c r="H422" s="18"/>
      <c r="I422" s="18"/>
      <c r="J422" s="18"/>
      <c r="K422" s="18"/>
      <c r="L422" s="18"/>
      <c r="M422" s="18"/>
      <c r="N422" s="18"/>
      <c r="O422" s="18"/>
      <c r="P422" s="18"/>
      <c r="Q422" s="7"/>
      <c r="R422" s="7"/>
      <c r="S422" s="7"/>
      <c r="T422" s="7"/>
      <c r="U422" s="7"/>
      <c r="V422" s="7"/>
      <c r="W422" s="7"/>
      <c r="X422" s="7"/>
      <c r="Y422" s="7"/>
      <c r="Z422" s="7"/>
      <c r="AA422" s="7"/>
      <c r="AB422" s="7"/>
      <c r="AC422" s="7"/>
      <c r="AD422" s="7"/>
      <c r="AE422" s="7"/>
      <c r="AF422" s="7"/>
      <c r="AG422" s="7"/>
      <c r="AH422" s="7"/>
      <c r="AI422" s="7"/>
      <c r="AJ422" s="7"/>
      <c r="AK422" s="7"/>
      <c r="AL422" s="7"/>
      <c r="AM422" s="7"/>
    </row>
    <row r="423" spans="1:39" x14ac:dyDescent="0.2">
      <c r="A423" s="62"/>
      <c r="B423" s="62"/>
      <c r="C423" s="18"/>
      <c r="D423" s="18"/>
      <c r="E423" s="18"/>
      <c r="F423" s="18"/>
      <c r="G423" s="18"/>
      <c r="H423" s="18"/>
      <c r="I423" s="18"/>
      <c r="J423" s="18"/>
      <c r="K423" s="18"/>
      <c r="L423" s="18"/>
      <c r="M423" s="18"/>
      <c r="N423" s="18"/>
      <c r="O423" s="18"/>
      <c r="P423" s="18"/>
      <c r="Q423" s="7"/>
      <c r="R423" s="7"/>
      <c r="S423" s="7"/>
      <c r="T423" s="7"/>
      <c r="U423" s="7"/>
      <c r="V423" s="7"/>
      <c r="W423" s="7"/>
      <c r="X423" s="7"/>
      <c r="Y423" s="7"/>
      <c r="Z423" s="7"/>
      <c r="AA423" s="7"/>
      <c r="AB423" s="7"/>
      <c r="AC423" s="7"/>
      <c r="AD423" s="7"/>
      <c r="AE423" s="7"/>
      <c r="AF423" s="7"/>
      <c r="AG423" s="7"/>
      <c r="AH423" s="7"/>
      <c r="AI423" s="7"/>
      <c r="AJ423" s="7"/>
      <c r="AK423" s="7"/>
      <c r="AL423" s="7"/>
      <c r="AM423" s="7"/>
    </row>
    <row r="424" spans="1:39" x14ac:dyDescent="0.2">
      <c r="A424" s="62"/>
      <c r="B424" s="62"/>
      <c r="C424" s="18"/>
      <c r="D424" s="18"/>
      <c r="E424" s="18"/>
      <c r="F424" s="18"/>
      <c r="G424" s="18"/>
      <c r="H424" s="18"/>
      <c r="I424" s="18"/>
      <c r="J424" s="18"/>
      <c r="K424" s="18"/>
      <c r="L424" s="18"/>
      <c r="M424" s="18"/>
      <c r="N424" s="18"/>
      <c r="O424" s="18"/>
      <c r="P424" s="18"/>
      <c r="Q424" s="7"/>
      <c r="R424" s="7"/>
      <c r="S424" s="7"/>
      <c r="T424" s="7"/>
      <c r="U424" s="7"/>
      <c r="V424" s="7"/>
      <c r="W424" s="7"/>
      <c r="X424" s="7"/>
      <c r="Y424" s="7"/>
      <c r="Z424" s="7"/>
      <c r="AA424" s="7"/>
      <c r="AB424" s="7"/>
      <c r="AC424" s="7"/>
      <c r="AD424" s="7"/>
      <c r="AE424" s="7"/>
      <c r="AF424" s="7"/>
      <c r="AG424" s="7"/>
      <c r="AH424" s="7"/>
      <c r="AI424" s="7"/>
      <c r="AJ424" s="7"/>
      <c r="AK424" s="7"/>
      <c r="AL424" s="7"/>
      <c r="AM424" s="7"/>
    </row>
    <row r="425" spans="1:39" x14ac:dyDescent="0.2">
      <c r="A425" s="62"/>
      <c r="B425" s="62"/>
      <c r="C425" s="18"/>
      <c r="D425" s="18"/>
      <c r="E425" s="18"/>
      <c r="F425" s="18"/>
      <c r="G425" s="18"/>
      <c r="H425" s="18"/>
      <c r="I425" s="18"/>
      <c r="J425" s="18"/>
      <c r="K425" s="18"/>
      <c r="L425" s="18"/>
      <c r="M425" s="18"/>
      <c r="N425" s="18"/>
      <c r="O425" s="18"/>
      <c r="P425" s="18"/>
      <c r="Q425" s="7"/>
      <c r="R425" s="7"/>
      <c r="S425" s="7"/>
      <c r="T425" s="7"/>
      <c r="U425" s="7"/>
      <c r="V425" s="7"/>
      <c r="W425" s="7"/>
      <c r="X425" s="7"/>
      <c r="Y425" s="7"/>
      <c r="Z425" s="7"/>
      <c r="AA425" s="7"/>
      <c r="AB425" s="7"/>
      <c r="AC425" s="7"/>
      <c r="AD425" s="7"/>
      <c r="AE425" s="7"/>
      <c r="AF425" s="7"/>
      <c r="AG425" s="7"/>
      <c r="AH425" s="7"/>
      <c r="AI425" s="7"/>
      <c r="AJ425" s="7"/>
      <c r="AK425" s="7"/>
      <c r="AL425" s="7"/>
      <c r="AM425" s="7"/>
    </row>
    <row r="426" spans="1:39" x14ac:dyDescent="0.2">
      <c r="A426" s="62"/>
      <c r="B426" s="62"/>
      <c r="C426" s="18"/>
      <c r="D426" s="18"/>
      <c r="E426" s="18"/>
      <c r="F426" s="18"/>
      <c r="G426" s="18"/>
      <c r="H426" s="18"/>
      <c r="I426" s="18"/>
      <c r="J426" s="18"/>
      <c r="K426" s="18"/>
      <c r="L426" s="18"/>
      <c r="M426" s="18"/>
      <c r="N426" s="18"/>
      <c r="O426" s="18"/>
      <c r="P426" s="18"/>
      <c r="Q426" s="7"/>
      <c r="R426" s="7"/>
      <c r="S426" s="7"/>
      <c r="T426" s="7"/>
      <c r="U426" s="7"/>
      <c r="V426" s="7"/>
      <c r="W426" s="7"/>
      <c r="X426" s="7"/>
      <c r="Y426" s="7"/>
      <c r="Z426" s="7"/>
      <c r="AA426" s="7"/>
      <c r="AB426" s="7"/>
      <c r="AC426" s="7"/>
      <c r="AD426" s="7"/>
      <c r="AE426" s="7"/>
      <c r="AF426" s="7"/>
      <c r="AG426" s="7"/>
      <c r="AH426" s="7"/>
      <c r="AI426" s="7"/>
      <c r="AJ426" s="7"/>
      <c r="AK426" s="7"/>
      <c r="AL426" s="7"/>
      <c r="AM426" s="7"/>
    </row>
    <row r="427" spans="1:39" x14ac:dyDescent="0.2">
      <c r="A427" s="62"/>
      <c r="B427" s="62"/>
      <c r="C427" s="18"/>
      <c r="D427" s="18"/>
      <c r="E427" s="18"/>
      <c r="F427" s="18"/>
      <c r="G427" s="18"/>
      <c r="H427" s="18"/>
      <c r="I427" s="18"/>
      <c r="J427" s="18"/>
      <c r="K427" s="18"/>
      <c r="L427" s="18"/>
      <c r="M427" s="18"/>
      <c r="N427" s="18"/>
      <c r="O427" s="18"/>
      <c r="P427" s="18"/>
      <c r="Q427" s="7"/>
      <c r="R427" s="7"/>
      <c r="S427" s="7"/>
      <c r="T427" s="7"/>
      <c r="U427" s="7"/>
      <c r="V427" s="7"/>
      <c r="W427" s="7"/>
      <c r="X427" s="7"/>
      <c r="Y427" s="7"/>
      <c r="Z427" s="7"/>
      <c r="AA427" s="7"/>
      <c r="AB427" s="7"/>
      <c r="AC427" s="7"/>
      <c r="AD427" s="7"/>
      <c r="AE427" s="7"/>
      <c r="AF427" s="7"/>
      <c r="AG427" s="7"/>
      <c r="AH427" s="7"/>
      <c r="AI427" s="7"/>
      <c r="AJ427" s="7"/>
      <c r="AK427" s="7"/>
      <c r="AL427" s="7"/>
      <c r="AM427" s="7"/>
    </row>
    <row r="428" spans="1:39" x14ac:dyDescent="0.2">
      <c r="A428" s="62"/>
      <c r="B428" s="62"/>
      <c r="C428" s="18"/>
      <c r="D428" s="18"/>
      <c r="E428" s="18"/>
      <c r="F428" s="18"/>
      <c r="G428" s="18"/>
      <c r="H428" s="18"/>
      <c r="I428" s="18"/>
      <c r="J428" s="18"/>
      <c r="K428" s="18"/>
      <c r="L428" s="18"/>
      <c r="M428" s="18"/>
      <c r="N428" s="18"/>
      <c r="O428" s="18"/>
      <c r="P428" s="18"/>
      <c r="Q428" s="7"/>
      <c r="R428" s="7"/>
      <c r="S428" s="7"/>
      <c r="T428" s="7"/>
      <c r="U428" s="7"/>
      <c r="V428" s="7"/>
      <c r="W428" s="7"/>
      <c r="X428" s="7"/>
      <c r="Y428" s="7"/>
      <c r="Z428" s="7"/>
      <c r="AA428" s="7"/>
      <c r="AB428" s="7"/>
      <c r="AC428" s="7"/>
      <c r="AD428" s="7"/>
      <c r="AE428" s="7"/>
      <c r="AF428" s="7"/>
      <c r="AG428" s="7"/>
      <c r="AH428" s="7"/>
      <c r="AI428" s="7"/>
      <c r="AJ428" s="7"/>
      <c r="AK428" s="7"/>
      <c r="AL428" s="7"/>
      <c r="AM428" s="7"/>
    </row>
    <row r="429" spans="1:39" x14ac:dyDescent="0.2">
      <c r="A429" s="62"/>
      <c r="B429" s="62"/>
      <c r="C429" s="18"/>
      <c r="D429" s="18"/>
      <c r="E429" s="18"/>
      <c r="F429" s="18"/>
      <c r="G429" s="18"/>
      <c r="H429" s="18"/>
      <c r="I429" s="18"/>
      <c r="J429" s="18"/>
      <c r="K429" s="18"/>
      <c r="L429" s="18"/>
      <c r="M429" s="18"/>
      <c r="N429" s="18"/>
      <c r="O429" s="18"/>
      <c r="P429" s="18"/>
      <c r="Q429" s="7"/>
      <c r="R429" s="7"/>
      <c r="S429" s="7"/>
      <c r="T429" s="7"/>
      <c r="U429" s="7"/>
      <c r="V429" s="7"/>
      <c r="W429" s="7"/>
      <c r="X429" s="7"/>
      <c r="Y429" s="7"/>
      <c r="Z429" s="7"/>
      <c r="AA429" s="7"/>
      <c r="AB429" s="7"/>
      <c r="AC429" s="7"/>
      <c r="AD429" s="7"/>
      <c r="AE429" s="7"/>
      <c r="AF429" s="7"/>
      <c r="AG429" s="7"/>
      <c r="AH429" s="7"/>
      <c r="AI429" s="7"/>
      <c r="AJ429" s="7"/>
      <c r="AK429" s="7"/>
      <c r="AL429" s="7"/>
      <c r="AM429" s="7"/>
    </row>
    <row r="430" spans="1:39" x14ac:dyDescent="0.2">
      <c r="A430" s="62"/>
      <c r="B430" s="62"/>
      <c r="C430" s="18"/>
      <c r="D430" s="18"/>
      <c r="E430" s="18"/>
      <c r="F430" s="18"/>
      <c r="G430" s="18"/>
      <c r="H430" s="18"/>
      <c r="I430" s="18"/>
      <c r="J430" s="18"/>
      <c r="K430" s="18"/>
      <c r="L430" s="18"/>
      <c r="M430" s="18"/>
      <c r="N430" s="18"/>
      <c r="O430" s="18"/>
      <c r="P430" s="18"/>
      <c r="Q430" s="7"/>
      <c r="R430" s="7"/>
      <c r="S430" s="7"/>
      <c r="T430" s="7"/>
      <c r="U430" s="7"/>
      <c r="V430" s="7"/>
      <c r="W430" s="7"/>
      <c r="X430" s="7"/>
      <c r="Y430" s="7"/>
      <c r="Z430" s="7"/>
      <c r="AA430" s="7"/>
      <c r="AB430" s="7"/>
      <c r="AC430" s="7"/>
      <c r="AD430" s="7"/>
      <c r="AE430" s="7"/>
      <c r="AF430" s="7"/>
      <c r="AG430" s="7"/>
      <c r="AH430" s="7"/>
      <c r="AI430" s="7"/>
      <c r="AJ430" s="7"/>
      <c r="AK430" s="7"/>
      <c r="AL430" s="7"/>
      <c r="AM430" s="7"/>
    </row>
    <row r="431" spans="1:39" x14ac:dyDescent="0.2">
      <c r="A431" s="62"/>
      <c r="B431" s="62"/>
      <c r="C431" s="18"/>
      <c r="D431" s="18"/>
      <c r="E431" s="18"/>
      <c r="F431" s="18"/>
      <c r="G431" s="18"/>
      <c r="H431" s="18"/>
      <c r="I431" s="18"/>
      <c r="J431" s="18"/>
      <c r="K431" s="18"/>
      <c r="L431" s="18"/>
      <c r="M431" s="18"/>
      <c r="N431" s="18"/>
      <c r="O431" s="18"/>
      <c r="P431" s="18"/>
      <c r="Q431" s="7"/>
      <c r="R431" s="7"/>
      <c r="S431" s="7"/>
      <c r="T431" s="7"/>
      <c r="U431" s="7"/>
      <c r="V431" s="7"/>
      <c r="W431" s="7"/>
      <c r="X431" s="7"/>
      <c r="Y431" s="7"/>
      <c r="Z431" s="7"/>
      <c r="AA431" s="7"/>
      <c r="AB431" s="7"/>
      <c r="AC431" s="7"/>
      <c r="AD431" s="7"/>
      <c r="AE431" s="7"/>
      <c r="AF431" s="7"/>
      <c r="AG431" s="7"/>
      <c r="AH431" s="7"/>
      <c r="AI431" s="7"/>
      <c r="AJ431" s="7"/>
      <c r="AK431" s="7"/>
      <c r="AL431" s="7"/>
      <c r="AM431" s="7"/>
    </row>
    <row r="432" spans="1:39" x14ac:dyDescent="0.2">
      <c r="A432" s="62"/>
      <c r="B432" s="62"/>
      <c r="C432" s="18"/>
      <c r="D432" s="18"/>
      <c r="E432" s="18"/>
      <c r="F432" s="18"/>
      <c r="G432" s="18"/>
      <c r="H432" s="18"/>
      <c r="I432" s="18"/>
      <c r="J432" s="18"/>
      <c r="K432" s="18"/>
      <c r="L432" s="18"/>
      <c r="M432" s="18"/>
      <c r="N432" s="18"/>
      <c r="O432" s="18"/>
      <c r="P432" s="18"/>
      <c r="Q432" s="7"/>
      <c r="R432" s="7"/>
      <c r="S432" s="7"/>
      <c r="T432" s="7"/>
      <c r="U432" s="7"/>
      <c r="V432" s="7"/>
      <c r="W432" s="7"/>
      <c r="X432" s="7"/>
      <c r="Y432" s="7"/>
      <c r="Z432" s="7"/>
      <c r="AA432" s="7"/>
      <c r="AB432" s="7"/>
      <c r="AC432" s="7"/>
      <c r="AD432" s="7"/>
      <c r="AE432" s="7"/>
      <c r="AF432" s="7"/>
      <c r="AG432" s="7"/>
      <c r="AH432" s="7"/>
      <c r="AI432" s="7"/>
      <c r="AJ432" s="7"/>
      <c r="AK432" s="7"/>
      <c r="AL432" s="7"/>
      <c r="AM432" s="7"/>
    </row>
    <row r="433" spans="1:39" x14ac:dyDescent="0.2">
      <c r="A433" s="62"/>
      <c r="B433" s="62"/>
      <c r="C433" s="18"/>
      <c r="D433" s="18"/>
      <c r="E433" s="18"/>
      <c r="F433" s="18"/>
      <c r="G433" s="18"/>
      <c r="H433" s="18"/>
      <c r="I433" s="18"/>
      <c r="J433" s="18"/>
      <c r="K433" s="18"/>
      <c r="L433" s="18"/>
      <c r="M433" s="18"/>
      <c r="N433" s="18"/>
      <c r="O433" s="18"/>
      <c r="P433" s="18"/>
      <c r="Q433" s="7"/>
      <c r="R433" s="7"/>
      <c r="S433" s="7"/>
      <c r="T433" s="7"/>
      <c r="U433" s="7"/>
      <c r="V433" s="7"/>
      <c r="W433" s="7"/>
      <c r="X433" s="7"/>
      <c r="Y433" s="7"/>
      <c r="Z433" s="7"/>
      <c r="AA433" s="7"/>
      <c r="AB433" s="7"/>
      <c r="AC433" s="7"/>
      <c r="AD433" s="7"/>
      <c r="AE433" s="7"/>
      <c r="AF433" s="7"/>
      <c r="AG433" s="7"/>
      <c r="AH433" s="7"/>
      <c r="AI433" s="7"/>
      <c r="AJ433" s="7"/>
      <c r="AK433" s="7"/>
      <c r="AL433" s="7"/>
      <c r="AM433" s="7"/>
    </row>
    <row r="434" spans="1:39" x14ac:dyDescent="0.2">
      <c r="A434" s="62"/>
      <c r="B434" s="62"/>
      <c r="C434" s="18"/>
      <c r="D434" s="18"/>
      <c r="E434" s="18"/>
      <c r="F434" s="18"/>
      <c r="G434" s="18"/>
      <c r="H434" s="18"/>
      <c r="I434" s="18"/>
      <c r="J434" s="18"/>
      <c r="K434" s="18"/>
      <c r="L434" s="18"/>
      <c r="M434" s="18"/>
      <c r="N434" s="18"/>
      <c r="O434" s="18"/>
      <c r="P434" s="18"/>
      <c r="Q434" s="7"/>
      <c r="R434" s="7"/>
      <c r="S434" s="7"/>
      <c r="T434" s="7"/>
      <c r="U434" s="7"/>
      <c r="V434" s="7"/>
      <c r="W434" s="7"/>
      <c r="X434" s="7"/>
      <c r="Y434" s="7"/>
      <c r="Z434" s="7"/>
      <c r="AA434" s="7"/>
      <c r="AB434" s="7"/>
      <c r="AC434" s="7"/>
      <c r="AD434" s="7"/>
      <c r="AE434" s="7"/>
      <c r="AF434" s="7"/>
      <c r="AG434" s="7"/>
      <c r="AH434" s="7"/>
      <c r="AI434" s="7"/>
      <c r="AJ434" s="7"/>
      <c r="AK434" s="7"/>
      <c r="AL434" s="7"/>
      <c r="AM434" s="7"/>
    </row>
    <row r="435" spans="1:39" x14ac:dyDescent="0.2">
      <c r="A435" s="62"/>
      <c r="B435" s="62"/>
      <c r="C435" s="18"/>
      <c r="D435" s="18"/>
      <c r="E435" s="18"/>
      <c r="F435" s="18"/>
      <c r="G435" s="18"/>
      <c r="H435" s="18"/>
      <c r="I435" s="18"/>
      <c r="J435" s="18"/>
      <c r="K435" s="18"/>
      <c r="L435" s="18"/>
      <c r="M435" s="18"/>
      <c r="N435" s="18"/>
      <c r="O435" s="18"/>
      <c r="P435" s="18"/>
      <c r="Q435" s="7"/>
      <c r="R435" s="7"/>
      <c r="S435" s="7"/>
      <c r="T435" s="7"/>
      <c r="U435" s="7"/>
      <c r="V435" s="7"/>
      <c r="W435" s="7"/>
      <c r="X435" s="7"/>
      <c r="Y435" s="7"/>
      <c r="Z435" s="7"/>
      <c r="AA435" s="7"/>
      <c r="AB435" s="7"/>
      <c r="AC435" s="7"/>
      <c r="AD435" s="7"/>
      <c r="AE435" s="7"/>
      <c r="AF435" s="7"/>
      <c r="AG435" s="7"/>
      <c r="AH435" s="7"/>
      <c r="AI435" s="7"/>
      <c r="AJ435" s="7"/>
      <c r="AK435" s="7"/>
      <c r="AL435" s="7"/>
      <c r="AM435" s="7"/>
    </row>
    <row r="436" spans="1:39" x14ac:dyDescent="0.2">
      <c r="A436" s="62"/>
      <c r="B436" s="62"/>
      <c r="C436" s="18"/>
      <c r="D436" s="18"/>
      <c r="E436" s="18"/>
      <c r="F436" s="18"/>
      <c r="G436" s="18"/>
      <c r="H436" s="18"/>
      <c r="I436" s="18"/>
      <c r="J436" s="18"/>
      <c r="K436" s="18"/>
      <c r="L436" s="18"/>
      <c r="M436" s="18"/>
      <c r="N436" s="18"/>
      <c r="O436" s="18"/>
      <c r="P436" s="18"/>
      <c r="Q436" s="7"/>
      <c r="R436" s="7"/>
      <c r="S436" s="7"/>
      <c r="T436" s="7"/>
      <c r="U436" s="7"/>
      <c r="V436" s="7"/>
      <c r="W436" s="7"/>
      <c r="X436" s="7"/>
      <c r="Y436" s="7"/>
      <c r="Z436" s="7"/>
      <c r="AA436" s="7"/>
      <c r="AB436" s="7"/>
      <c r="AC436" s="7"/>
      <c r="AD436" s="7"/>
      <c r="AE436" s="7"/>
      <c r="AF436" s="7"/>
      <c r="AG436" s="7"/>
      <c r="AH436" s="7"/>
      <c r="AI436" s="7"/>
      <c r="AJ436" s="7"/>
      <c r="AK436" s="7"/>
      <c r="AL436" s="7"/>
      <c r="AM436" s="7"/>
    </row>
    <row r="437" spans="1:39" x14ac:dyDescent="0.2">
      <c r="A437" s="62"/>
      <c r="B437" s="62"/>
      <c r="C437" s="18"/>
      <c r="D437" s="18"/>
      <c r="E437" s="18"/>
      <c r="F437" s="18"/>
      <c r="G437" s="18"/>
      <c r="H437" s="18"/>
      <c r="I437" s="18"/>
      <c r="J437" s="18"/>
      <c r="K437" s="18"/>
      <c r="L437" s="18"/>
      <c r="M437" s="18"/>
      <c r="N437" s="18"/>
      <c r="O437" s="18"/>
      <c r="P437" s="18"/>
      <c r="Q437" s="7"/>
      <c r="R437" s="7"/>
      <c r="S437" s="7"/>
      <c r="T437" s="7"/>
      <c r="U437" s="7"/>
      <c r="V437" s="7"/>
      <c r="W437" s="7"/>
      <c r="X437" s="7"/>
      <c r="Y437" s="7"/>
      <c r="Z437" s="7"/>
      <c r="AA437" s="7"/>
      <c r="AB437" s="7"/>
      <c r="AC437" s="7"/>
      <c r="AD437" s="7"/>
      <c r="AE437" s="7"/>
      <c r="AF437" s="7"/>
      <c r="AG437" s="7"/>
      <c r="AH437" s="7"/>
      <c r="AI437" s="7"/>
      <c r="AJ437" s="7"/>
      <c r="AK437" s="7"/>
      <c r="AL437" s="7"/>
      <c r="AM437" s="7"/>
    </row>
    <row r="438" spans="1:39" x14ac:dyDescent="0.2">
      <c r="A438" s="62"/>
      <c r="B438" s="62"/>
      <c r="C438" s="18"/>
      <c r="D438" s="18"/>
      <c r="E438" s="18"/>
      <c r="F438" s="18"/>
      <c r="G438" s="18"/>
      <c r="H438" s="18"/>
      <c r="I438" s="18"/>
      <c r="J438" s="18"/>
      <c r="K438" s="18"/>
      <c r="L438" s="18"/>
      <c r="M438" s="18"/>
      <c r="N438" s="18"/>
      <c r="O438" s="18"/>
      <c r="P438" s="18"/>
      <c r="Q438" s="7"/>
      <c r="R438" s="7"/>
      <c r="S438" s="7"/>
      <c r="T438" s="7"/>
      <c r="U438" s="7"/>
      <c r="V438" s="7"/>
      <c r="W438" s="7"/>
      <c r="X438" s="7"/>
      <c r="Y438" s="7"/>
      <c r="Z438" s="7"/>
      <c r="AA438" s="7"/>
      <c r="AB438" s="7"/>
      <c r="AC438" s="7"/>
      <c r="AD438" s="7"/>
      <c r="AE438" s="7"/>
      <c r="AF438" s="7"/>
      <c r="AG438" s="7"/>
      <c r="AH438" s="7"/>
      <c r="AI438" s="7"/>
      <c r="AJ438" s="7"/>
      <c r="AK438" s="7"/>
      <c r="AL438" s="7"/>
      <c r="AM438" s="7"/>
    </row>
    <row r="439" spans="1:39" x14ac:dyDescent="0.2">
      <c r="A439" s="62"/>
      <c r="B439" s="62"/>
      <c r="C439" s="18"/>
      <c r="D439" s="18"/>
      <c r="E439" s="18"/>
      <c r="F439" s="18"/>
      <c r="G439" s="18"/>
      <c r="H439" s="18"/>
      <c r="I439" s="18"/>
      <c r="J439" s="18"/>
      <c r="K439" s="18"/>
      <c r="L439" s="18"/>
      <c r="M439" s="18"/>
      <c r="N439" s="18"/>
      <c r="O439" s="18"/>
      <c r="P439" s="18"/>
      <c r="Q439" s="7"/>
      <c r="R439" s="7"/>
      <c r="S439" s="7"/>
      <c r="T439" s="7"/>
      <c r="U439" s="7"/>
      <c r="V439" s="7"/>
      <c r="W439" s="7"/>
      <c r="X439" s="7"/>
      <c r="Y439" s="7"/>
      <c r="Z439" s="7"/>
      <c r="AA439" s="7"/>
      <c r="AB439" s="7"/>
      <c r="AC439" s="7"/>
      <c r="AD439" s="7"/>
      <c r="AE439" s="7"/>
      <c r="AF439" s="7"/>
      <c r="AG439" s="7"/>
      <c r="AH439" s="7"/>
      <c r="AI439" s="7"/>
      <c r="AJ439" s="7"/>
      <c r="AK439" s="7"/>
      <c r="AL439" s="7"/>
      <c r="AM439" s="7"/>
    </row>
    <row r="440" spans="1:39" x14ac:dyDescent="0.2">
      <c r="A440" s="62"/>
      <c r="B440" s="62"/>
      <c r="C440" s="18"/>
      <c r="D440" s="18"/>
      <c r="E440" s="18"/>
      <c r="F440" s="18"/>
      <c r="G440" s="18"/>
      <c r="H440" s="18"/>
      <c r="I440" s="18"/>
      <c r="J440" s="18"/>
      <c r="K440" s="18"/>
      <c r="L440" s="18"/>
      <c r="M440" s="18"/>
      <c r="N440" s="18"/>
      <c r="O440" s="18"/>
      <c r="P440" s="18"/>
      <c r="Q440" s="7"/>
      <c r="R440" s="7"/>
      <c r="S440" s="7"/>
      <c r="T440" s="7"/>
      <c r="U440" s="7"/>
      <c r="V440" s="7"/>
      <c r="W440" s="7"/>
      <c r="X440" s="7"/>
      <c r="Y440" s="7"/>
      <c r="Z440" s="7"/>
      <c r="AA440" s="7"/>
      <c r="AB440" s="7"/>
      <c r="AC440" s="7"/>
      <c r="AD440" s="7"/>
      <c r="AE440" s="7"/>
      <c r="AF440" s="7"/>
      <c r="AG440" s="7"/>
      <c r="AH440" s="7"/>
      <c r="AI440" s="7"/>
      <c r="AJ440" s="7"/>
      <c r="AK440" s="7"/>
      <c r="AL440" s="7"/>
      <c r="AM440" s="7"/>
    </row>
    <row r="441" spans="1:39" x14ac:dyDescent="0.2">
      <c r="A441" s="62"/>
      <c r="B441" s="62"/>
      <c r="C441" s="18"/>
      <c r="D441" s="18"/>
      <c r="E441" s="18"/>
      <c r="F441" s="18"/>
      <c r="G441" s="18"/>
      <c r="H441" s="18"/>
      <c r="I441" s="18"/>
      <c r="J441" s="18"/>
      <c r="K441" s="18"/>
      <c r="L441" s="18"/>
      <c r="M441" s="18"/>
      <c r="N441" s="18"/>
      <c r="O441" s="18"/>
      <c r="P441" s="18"/>
      <c r="Q441" s="7"/>
      <c r="R441" s="7"/>
      <c r="S441" s="7"/>
      <c r="T441" s="7"/>
      <c r="U441" s="7"/>
      <c r="V441" s="7"/>
      <c r="W441" s="7"/>
      <c r="X441" s="7"/>
      <c r="Y441" s="7"/>
      <c r="Z441" s="7"/>
      <c r="AA441" s="7"/>
      <c r="AB441" s="7"/>
      <c r="AC441" s="7"/>
      <c r="AD441" s="7"/>
      <c r="AE441" s="7"/>
      <c r="AF441" s="7"/>
      <c r="AG441" s="7"/>
      <c r="AH441" s="7"/>
      <c r="AI441" s="7"/>
      <c r="AJ441" s="7"/>
      <c r="AK441" s="7"/>
      <c r="AL441" s="7"/>
      <c r="AM441" s="7"/>
    </row>
    <row r="442" spans="1:39" x14ac:dyDescent="0.2">
      <c r="A442" s="62"/>
      <c r="B442" s="62"/>
      <c r="C442" s="18"/>
      <c r="D442" s="18"/>
      <c r="E442" s="18"/>
      <c r="F442" s="18"/>
      <c r="G442" s="18"/>
      <c r="H442" s="18"/>
      <c r="I442" s="18"/>
      <c r="J442" s="18"/>
      <c r="K442" s="18"/>
      <c r="L442" s="18"/>
      <c r="M442" s="18"/>
      <c r="N442" s="18"/>
      <c r="O442" s="18"/>
      <c r="P442" s="18"/>
      <c r="Q442" s="7"/>
      <c r="R442" s="7"/>
      <c r="S442" s="7"/>
      <c r="T442" s="7"/>
      <c r="U442" s="7"/>
      <c r="V442" s="7"/>
      <c r="W442" s="7"/>
      <c r="X442" s="7"/>
      <c r="Y442" s="7"/>
      <c r="Z442" s="7"/>
      <c r="AA442" s="7"/>
      <c r="AB442" s="7"/>
      <c r="AC442" s="7"/>
      <c r="AD442" s="7"/>
      <c r="AE442" s="7"/>
      <c r="AF442" s="7"/>
      <c r="AG442" s="7"/>
      <c r="AH442" s="7"/>
      <c r="AI442" s="7"/>
      <c r="AJ442" s="7"/>
      <c r="AK442" s="7"/>
      <c r="AL442" s="7"/>
      <c r="AM442" s="7"/>
    </row>
    <row r="443" spans="1:39" x14ac:dyDescent="0.2">
      <c r="A443" s="62"/>
      <c r="B443" s="62"/>
      <c r="C443" s="18"/>
      <c r="D443" s="18"/>
      <c r="E443" s="18"/>
      <c r="F443" s="18"/>
      <c r="G443" s="18"/>
      <c r="H443" s="18"/>
      <c r="I443" s="18"/>
      <c r="J443" s="18"/>
      <c r="K443" s="18"/>
      <c r="L443" s="18"/>
      <c r="M443" s="18"/>
      <c r="N443" s="18"/>
      <c r="O443" s="18"/>
      <c r="P443" s="18"/>
      <c r="Q443" s="7"/>
      <c r="R443" s="7"/>
      <c r="S443" s="7"/>
      <c r="T443" s="7"/>
      <c r="U443" s="7"/>
      <c r="V443" s="7"/>
      <c r="W443" s="7"/>
      <c r="X443" s="7"/>
      <c r="Y443" s="7"/>
      <c r="Z443" s="7"/>
      <c r="AA443" s="7"/>
      <c r="AB443" s="7"/>
      <c r="AC443" s="7"/>
      <c r="AD443" s="7"/>
      <c r="AE443" s="7"/>
      <c r="AF443" s="7"/>
      <c r="AG443" s="7"/>
      <c r="AH443" s="7"/>
      <c r="AI443" s="7"/>
      <c r="AJ443" s="7"/>
      <c r="AK443" s="7"/>
      <c r="AL443" s="7"/>
      <c r="AM443" s="7"/>
    </row>
    <row r="444" spans="1:39" x14ac:dyDescent="0.2">
      <c r="A444" s="62"/>
      <c r="B444" s="62"/>
      <c r="C444" s="18"/>
      <c r="D444" s="18"/>
      <c r="E444" s="18"/>
      <c r="F444" s="18"/>
      <c r="G444" s="18"/>
      <c r="H444" s="18"/>
      <c r="I444" s="18"/>
      <c r="J444" s="18"/>
      <c r="K444" s="18"/>
      <c r="L444" s="18"/>
      <c r="M444" s="18"/>
      <c r="N444" s="18"/>
      <c r="O444" s="18"/>
      <c r="P444" s="18"/>
      <c r="Q444" s="7"/>
      <c r="R444" s="7"/>
      <c r="S444" s="7"/>
      <c r="T444" s="7"/>
      <c r="U444" s="7"/>
      <c r="V444" s="7"/>
      <c r="W444" s="7"/>
      <c r="X444" s="7"/>
      <c r="Y444" s="7"/>
      <c r="Z444" s="7"/>
      <c r="AA444" s="7"/>
      <c r="AB444" s="7"/>
      <c r="AC444" s="7"/>
      <c r="AD444" s="7"/>
      <c r="AE444" s="7"/>
      <c r="AF444" s="7"/>
      <c r="AG444" s="7"/>
      <c r="AH444" s="7"/>
      <c r="AI444" s="7"/>
      <c r="AJ444" s="7"/>
      <c r="AK444" s="7"/>
      <c r="AL444" s="7"/>
      <c r="AM444" s="7"/>
    </row>
    <row r="445" spans="1:39" x14ac:dyDescent="0.2">
      <c r="A445" s="62"/>
      <c r="B445" s="62"/>
      <c r="C445" s="18"/>
      <c r="D445" s="18"/>
      <c r="E445" s="18"/>
      <c r="F445" s="18"/>
      <c r="G445" s="18"/>
      <c r="H445" s="18"/>
      <c r="I445" s="18"/>
      <c r="J445" s="18"/>
      <c r="K445" s="18"/>
      <c r="L445" s="18"/>
      <c r="M445" s="18"/>
      <c r="N445" s="18"/>
      <c r="O445" s="18"/>
      <c r="P445" s="18"/>
      <c r="Q445" s="7"/>
      <c r="R445" s="7"/>
      <c r="S445" s="7"/>
      <c r="T445" s="7"/>
      <c r="U445" s="7"/>
      <c r="V445" s="7"/>
      <c r="W445" s="7"/>
      <c r="X445" s="7"/>
      <c r="Y445" s="7"/>
      <c r="Z445" s="7"/>
      <c r="AA445" s="7"/>
      <c r="AB445" s="7"/>
      <c r="AC445" s="7"/>
      <c r="AD445" s="7"/>
      <c r="AE445" s="7"/>
      <c r="AF445" s="7"/>
      <c r="AG445" s="7"/>
      <c r="AH445" s="7"/>
      <c r="AI445" s="7"/>
      <c r="AJ445" s="7"/>
      <c r="AK445" s="7"/>
      <c r="AL445" s="7"/>
      <c r="AM445" s="7"/>
    </row>
    <row r="446" spans="1:39" x14ac:dyDescent="0.2">
      <c r="A446" s="62"/>
      <c r="B446" s="62"/>
      <c r="C446" s="18"/>
      <c r="D446" s="18"/>
      <c r="E446" s="18"/>
      <c r="F446" s="18"/>
      <c r="G446" s="18"/>
      <c r="H446" s="18"/>
      <c r="I446" s="18"/>
      <c r="J446" s="18"/>
      <c r="K446" s="18"/>
      <c r="L446" s="18"/>
      <c r="M446" s="18"/>
      <c r="N446" s="18"/>
      <c r="O446" s="18"/>
      <c r="P446" s="18"/>
      <c r="Q446" s="7"/>
      <c r="R446" s="7"/>
      <c r="S446" s="7"/>
      <c r="T446" s="7"/>
      <c r="U446" s="7"/>
      <c r="V446" s="7"/>
      <c r="W446" s="7"/>
      <c r="X446" s="7"/>
      <c r="Y446" s="7"/>
      <c r="Z446" s="7"/>
      <c r="AA446" s="7"/>
      <c r="AB446" s="7"/>
      <c r="AC446" s="7"/>
      <c r="AD446" s="7"/>
      <c r="AE446" s="7"/>
      <c r="AF446" s="7"/>
      <c r="AG446" s="7"/>
      <c r="AH446" s="7"/>
      <c r="AI446" s="7"/>
      <c r="AJ446" s="7"/>
      <c r="AK446" s="7"/>
      <c r="AL446" s="7"/>
      <c r="AM446" s="7"/>
    </row>
    <row r="447" spans="1:39" x14ac:dyDescent="0.2">
      <c r="A447" s="62"/>
      <c r="B447" s="62"/>
      <c r="C447" s="18"/>
      <c r="D447" s="18"/>
      <c r="E447" s="18"/>
      <c r="F447" s="18"/>
      <c r="G447" s="18"/>
      <c r="H447" s="18"/>
      <c r="I447" s="18"/>
      <c r="J447" s="18"/>
      <c r="K447" s="18"/>
      <c r="L447" s="18"/>
      <c r="M447" s="18"/>
      <c r="N447" s="18"/>
      <c r="O447" s="18"/>
      <c r="P447" s="18"/>
      <c r="Q447" s="7"/>
      <c r="R447" s="7"/>
      <c r="S447" s="7"/>
      <c r="T447" s="7"/>
      <c r="U447" s="7"/>
      <c r="V447" s="7"/>
      <c r="W447" s="7"/>
      <c r="X447" s="7"/>
      <c r="Y447" s="7"/>
      <c r="Z447" s="7"/>
      <c r="AA447" s="7"/>
      <c r="AB447" s="7"/>
      <c r="AC447" s="7"/>
      <c r="AD447" s="7"/>
      <c r="AE447" s="7"/>
      <c r="AF447" s="7"/>
      <c r="AG447" s="7"/>
      <c r="AH447" s="7"/>
      <c r="AI447" s="7"/>
      <c r="AJ447" s="7"/>
      <c r="AK447" s="7"/>
      <c r="AL447" s="7"/>
      <c r="AM447" s="7"/>
    </row>
    <row r="448" spans="1:39" x14ac:dyDescent="0.2">
      <c r="A448" s="62"/>
      <c r="B448" s="62"/>
      <c r="C448" s="18"/>
      <c r="D448" s="18"/>
      <c r="E448" s="18"/>
      <c r="F448" s="18"/>
      <c r="G448" s="18"/>
      <c r="H448" s="18"/>
      <c r="I448" s="18"/>
      <c r="J448" s="18"/>
      <c r="K448" s="18"/>
      <c r="L448" s="18"/>
      <c r="M448" s="18"/>
      <c r="N448" s="18"/>
      <c r="O448" s="18"/>
      <c r="P448" s="18"/>
      <c r="Q448" s="7"/>
      <c r="R448" s="7"/>
      <c r="S448" s="7"/>
      <c r="T448" s="7"/>
      <c r="U448" s="7"/>
      <c r="V448" s="7"/>
      <c r="W448" s="7"/>
      <c r="X448" s="7"/>
      <c r="Y448" s="7"/>
      <c r="Z448" s="7"/>
      <c r="AA448" s="7"/>
      <c r="AB448" s="7"/>
      <c r="AC448" s="7"/>
      <c r="AD448" s="7"/>
      <c r="AE448" s="7"/>
      <c r="AF448" s="7"/>
      <c r="AG448" s="7"/>
      <c r="AH448" s="7"/>
      <c r="AI448" s="7"/>
      <c r="AJ448" s="7"/>
      <c r="AK448" s="7"/>
      <c r="AL448" s="7"/>
      <c r="AM448" s="7"/>
    </row>
    <row r="449" spans="1:39" x14ac:dyDescent="0.2">
      <c r="A449" s="62"/>
      <c r="B449" s="62"/>
      <c r="C449" s="18"/>
      <c r="D449" s="18"/>
      <c r="E449" s="18"/>
      <c r="F449" s="18"/>
      <c r="G449" s="18"/>
      <c r="H449" s="18"/>
      <c r="I449" s="18"/>
      <c r="J449" s="18"/>
      <c r="K449" s="18"/>
      <c r="L449" s="18"/>
      <c r="M449" s="18"/>
      <c r="N449" s="18"/>
      <c r="O449" s="18"/>
      <c r="P449" s="18"/>
      <c r="Q449" s="7"/>
      <c r="R449" s="7"/>
      <c r="S449" s="7"/>
      <c r="T449" s="7"/>
      <c r="U449" s="7"/>
      <c r="V449" s="7"/>
      <c r="W449" s="7"/>
      <c r="X449" s="7"/>
      <c r="Y449" s="7"/>
      <c r="Z449" s="7"/>
      <c r="AA449" s="7"/>
      <c r="AB449" s="7"/>
      <c r="AC449" s="7"/>
      <c r="AD449" s="7"/>
      <c r="AE449" s="7"/>
      <c r="AF449" s="7"/>
      <c r="AG449" s="7"/>
      <c r="AH449" s="7"/>
      <c r="AI449" s="7"/>
      <c r="AJ449" s="7"/>
      <c r="AK449" s="7"/>
      <c r="AL449" s="7"/>
      <c r="AM449" s="7"/>
    </row>
    <row r="450" spans="1:39" x14ac:dyDescent="0.2">
      <c r="A450" s="62"/>
      <c r="B450" s="62"/>
      <c r="C450" s="18"/>
      <c r="D450" s="18"/>
      <c r="E450" s="18"/>
      <c r="F450" s="18"/>
      <c r="G450" s="18"/>
      <c r="H450" s="18"/>
      <c r="I450" s="18"/>
      <c r="J450" s="18"/>
      <c r="K450" s="18"/>
      <c r="L450" s="18"/>
      <c r="M450" s="18"/>
      <c r="N450" s="18"/>
      <c r="O450" s="18"/>
      <c r="P450" s="18"/>
      <c r="Q450" s="7"/>
      <c r="R450" s="7"/>
      <c r="S450" s="7"/>
      <c r="T450" s="7"/>
      <c r="U450" s="7"/>
      <c r="V450" s="7"/>
      <c r="W450" s="7"/>
      <c r="X450" s="7"/>
      <c r="Y450" s="7"/>
      <c r="Z450" s="7"/>
      <c r="AA450" s="7"/>
      <c r="AB450" s="7"/>
      <c r="AC450" s="7"/>
      <c r="AD450" s="7"/>
      <c r="AE450" s="7"/>
      <c r="AF450" s="7"/>
      <c r="AG450" s="7"/>
      <c r="AH450" s="7"/>
      <c r="AI450" s="7"/>
      <c r="AJ450" s="7"/>
      <c r="AK450" s="7"/>
      <c r="AL450" s="7"/>
      <c r="AM450" s="7"/>
    </row>
    <row r="451" spans="1:39" x14ac:dyDescent="0.2">
      <c r="A451" s="62"/>
      <c r="B451" s="62"/>
      <c r="C451" s="18"/>
      <c r="D451" s="18"/>
      <c r="E451" s="18"/>
      <c r="F451" s="18"/>
      <c r="G451" s="18"/>
      <c r="H451" s="18"/>
      <c r="I451" s="18"/>
      <c r="J451" s="18"/>
      <c r="K451" s="18"/>
      <c r="L451" s="18"/>
      <c r="M451" s="18"/>
      <c r="N451" s="18"/>
      <c r="O451" s="18"/>
      <c r="P451" s="18"/>
      <c r="Q451" s="7"/>
      <c r="R451" s="7"/>
      <c r="S451" s="7"/>
      <c r="T451" s="7"/>
      <c r="U451" s="7"/>
      <c r="V451" s="7"/>
      <c r="W451" s="7"/>
      <c r="X451" s="7"/>
      <c r="Y451" s="7"/>
      <c r="Z451" s="7"/>
      <c r="AA451" s="7"/>
      <c r="AB451" s="7"/>
      <c r="AC451" s="7"/>
      <c r="AD451" s="7"/>
      <c r="AE451" s="7"/>
      <c r="AF451" s="7"/>
      <c r="AG451" s="7"/>
      <c r="AH451" s="7"/>
      <c r="AI451" s="7"/>
      <c r="AJ451" s="7"/>
      <c r="AK451" s="7"/>
      <c r="AL451" s="7"/>
      <c r="AM451" s="7"/>
    </row>
    <row r="452" spans="1:39" x14ac:dyDescent="0.2">
      <c r="A452" s="62"/>
      <c r="B452" s="62"/>
      <c r="C452" s="18"/>
      <c r="D452" s="18"/>
      <c r="E452" s="18"/>
      <c r="F452" s="18"/>
      <c r="G452" s="18"/>
      <c r="H452" s="18"/>
      <c r="I452" s="18"/>
      <c r="J452" s="18"/>
      <c r="K452" s="18"/>
      <c r="L452" s="18"/>
      <c r="M452" s="18"/>
      <c r="N452" s="18"/>
      <c r="O452" s="18"/>
      <c r="P452" s="18"/>
      <c r="Q452" s="7"/>
      <c r="R452" s="7"/>
      <c r="S452" s="7"/>
      <c r="T452" s="7"/>
      <c r="U452" s="7"/>
      <c r="V452" s="7"/>
      <c r="W452" s="7"/>
      <c r="X452" s="7"/>
      <c r="Y452" s="7"/>
      <c r="Z452" s="7"/>
      <c r="AA452" s="7"/>
      <c r="AB452" s="7"/>
      <c r="AC452" s="7"/>
      <c r="AD452" s="7"/>
      <c r="AE452" s="7"/>
      <c r="AF452" s="7"/>
      <c r="AG452" s="7"/>
      <c r="AH452" s="7"/>
      <c r="AI452" s="7"/>
      <c r="AJ452" s="7"/>
      <c r="AK452" s="7"/>
      <c r="AL452" s="7"/>
      <c r="AM452" s="7"/>
    </row>
    <row r="453" spans="1:39" x14ac:dyDescent="0.2">
      <c r="A453" s="62"/>
      <c r="B453" s="62"/>
      <c r="C453" s="18"/>
      <c r="D453" s="18"/>
      <c r="E453" s="18"/>
      <c r="F453" s="18"/>
      <c r="G453" s="18"/>
      <c r="H453" s="18"/>
      <c r="I453" s="18"/>
      <c r="J453" s="18"/>
      <c r="K453" s="18"/>
      <c r="L453" s="18"/>
      <c r="M453" s="18"/>
      <c r="N453" s="18"/>
      <c r="O453" s="18"/>
      <c r="P453" s="18"/>
      <c r="Q453" s="7"/>
      <c r="R453" s="7"/>
      <c r="S453" s="7"/>
      <c r="T453" s="7"/>
      <c r="U453" s="7"/>
      <c r="V453" s="7"/>
      <c r="W453" s="7"/>
      <c r="X453" s="7"/>
      <c r="Y453" s="7"/>
      <c r="Z453" s="7"/>
      <c r="AA453" s="7"/>
      <c r="AB453" s="7"/>
      <c r="AC453" s="7"/>
      <c r="AD453" s="7"/>
      <c r="AE453" s="7"/>
      <c r="AF453" s="7"/>
      <c r="AG453" s="7"/>
      <c r="AH453" s="7"/>
      <c r="AI453" s="7"/>
      <c r="AJ453" s="7"/>
      <c r="AK453" s="7"/>
      <c r="AL453" s="7"/>
      <c r="AM453" s="7"/>
    </row>
    <row r="454" spans="1:39" x14ac:dyDescent="0.2">
      <c r="A454" s="62"/>
      <c r="B454" s="62"/>
      <c r="C454" s="18"/>
      <c r="D454" s="18"/>
      <c r="E454" s="18"/>
      <c r="F454" s="18"/>
      <c r="G454" s="18"/>
      <c r="H454" s="18"/>
      <c r="I454" s="18"/>
      <c r="J454" s="18"/>
      <c r="K454" s="18"/>
      <c r="L454" s="18"/>
      <c r="M454" s="18"/>
      <c r="N454" s="18"/>
      <c r="O454" s="18"/>
      <c r="P454" s="18"/>
      <c r="Q454" s="7"/>
      <c r="R454" s="7"/>
      <c r="S454" s="7"/>
      <c r="T454" s="7"/>
      <c r="U454" s="7"/>
      <c r="V454" s="7"/>
      <c r="W454" s="7"/>
      <c r="X454" s="7"/>
      <c r="Y454" s="7"/>
      <c r="Z454" s="7"/>
      <c r="AA454" s="7"/>
      <c r="AB454" s="7"/>
      <c r="AC454" s="7"/>
      <c r="AD454" s="7"/>
      <c r="AE454" s="7"/>
      <c r="AF454" s="7"/>
      <c r="AG454" s="7"/>
      <c r="AH454" s="7"/>
      <c r="AI454" s="7"/>
      <c r="AJ454" s="7"/>
      <c r="AK454" s="7"/>
      <c r="AL454" s="7"/>
      <c r="AM454" s="7"/>
    </row>
    <row r="455" spans="1:39" x14ac:dyDescent="0.2">
      <c r="A455" s="62"/>
      <c r="B455" s="62"/>
      <c r="C455" s="18"/>
      <c r="D455" s="18"/>
      <c r="E455" s="18"/>
      <c r="F455" s="18"/>
      <c r="G455" s="18"/>
      <c r="H455" s="18"/>
      <c r="I455" s="18"/>
      <c r="J455" s="18"/>
      <c r="K455" s="18"/>
      <c r="L455" s="18"/>
      <c r="M455" s="18"/>
      <c r="N455" s="18"/>
      <c r="O455" s="18"/>
      <c r="P455" s="18"/>
      <c r="Q455" s="7"/>
      <c r="R455" s="7"/>
      <c r="S455" s="7"/>
      <c r="T455" s="7"/>
      <c r="U455" s="7"/>
      <c r="V455" s="7"/>
      <c r="W455" s="7"/>
      <c r="X455" s="7"/>
      <c r="Y455" s="7"/>
      <c r="Z455" s="7"/>
      <c r="AA455" s="7"/>
      <c r="AB455" s="7"/>
      <c r="AC455" s="7"/>
      <c r="AD455" s="7"/>
      <c r="AE455" s="7"/>
      <c r="AF455" s="7"/>
      <c r="AG455" s="7"/>
      <c r="AH455" s="7"/>
      <c r="AI455" s="7"/>
      <c r="AJ455" s="7"/>
      <c r="AK455" s="7"/>
      <c r="AL455" s="7"/>
      <c r="AM455" s="7"/>
    </row>
    <row r="456" spans="1:39" x14ac:dyDescent="0.2">
      <c r="A456" s="62"/>
      <c r="B456" s="62"/>
      <c r="C456" s="18"/>
      <c r="D456" s="18"/>
      <c r="E456" s="18"/>
      <c r="F456" s="18"/>
      <c r="G456" s="18"/>
      <c r="H456" s="18"/>
      <c r="I456" s="18"/>
      <c r="J456" s="18"/>
      <c r="K456" s="18"/>
      <c r="L456" s="18"/>
      <c r="M456" s="18"/>
      <c r="N456" s="18"/>
      <c r="O456" s="18"/>
      <c r="P456" s="18"/>
      <c r="Q456" s="7"/>
      <c r="R456" s="7"/>
      <c r="S456" s="7"/>
      <c r="T456" s="7"/>
      <c r="U456" s="7"/>
      <c r="V456" s="7"/>
      <c r="W456" s="7"/>
      <c r="X456" s="7"/>
      <c r="Y456" s="7"/>
      <c r="Z456" s="7"/>
      <c r="AA456" s="7"/>
      <c r="AB456" s="7"/>
      <c r="AC456" s="7"/>
      <c r="AD456" s="7"/>
      <c r="AE456" s="7"/>
      <c r="AF456" s="7"/>
      <c r="AG456" s="7"/>
      <c r="AH456" s="7"/>
      <c r="AI456" s="7"/>
      <c r="AJ456" s="7"/>
      <c r="AK456" s="7"/>
      <c r="AL456" s="7"/>
      <c r="AM456" s="7"/>
    </row>
    <row r="457" spans="1:39" x14ac:dyDescent="0.2">
      <c r="A457" s="62"/>
      <c r="B457" s="62"/>
      <c r="C457" s="18"/>
      <c r="D457" s="18"/>
      <c r="E457" s="18"/>
      <c r="F457" s="18"/>
      <c r="G457" s="18"/>
      <c r="H457" s="18"/>
      <c r="I457" s="18"/>
      <c r="J457" s="18"/>
      <c r="K457" s="18"/>
      <c r="L457" s="18"/>
      <c r="M457" s="18"/>
      <c r="N457" s="18"/>
      <c r="O457" s="18"/>
      <c r="P457" s="18"/>
      <c r="Q457" s="7"/>
      <c r="R457" s="7"/>
      <c r="S457" s="7"/>
      <c r="T457" s="7"/>
      <c r="U457" s="7"/>
      <c r="V457" s="7"/>
      <c r="W457" s="7"/>
      <c r="X457" s="7"/>
      <c r="Y457" s="7"/>
      <c r="Z457" s="7"/>
      <c r="AA457" s="7"/>
      <c r="AB457" s="7"/>
      <c r="AC457" s="7"/>
      <c r="AD457" s="7"/>
      <c r="AE457" s="7"/>
      <c r="AF457" s="7"/>
      <c r="AG457" s="7"/>
      <c r="AH457" s="7"/>
      <c r="AI457" s="7"/>
      <c r="AJ457" s="7"/>
      <c r="AK457" s="7"/>
      <c r="AL457" s="7"/>
      <c r="AM457" s="7"/>
    </row>
    <row r="458" spans="1:39" x14ac:dyDescent="0.2">
      <c r="A458" s="62"/>
      <c r="B458" s="62"/>
      <c r="C458" s="18"/>
      <c r="D458" s="18"/>
      <c r="E458" s="18"/>
      <c r="F458" s="18"/>
      <c r="G458" s="18"/>
      <c r="H458" s="18"/>
      <c r="I458" s="18"/>
      <c r="J458" s="18"/>
      <c r="K458" s="18"/>
      <c r="L458" s="18"/>
      <c r="M458" s="18"/>
      <c r="N458" s="18"/>
      <c r="O458" s="18"/>
      <c r="P458" s="18"/>
      <c r="Q458" s="7"/>
      <c r="R458" s="7"/>
      <c r="S458" s="7"/>
      <c r="T458" s="7"/>
      <c r="U458" s="7"/>
      <c r="V458" s="7"/>
      <c r="W458" s="7"/>
      <c r="X458" s="7"/>
      <c r="Y458" s="7"/>
      <c r="Z458" s="7"/>
      <c r="AA458" s="7"/>
      <c r="AB458" s="7"/>
      <c r="AC458" s="7"/>
      <c r="AD458" s="7"/>
      <c r="AE458" s="7"/>
      <c r="AF458" s="7"/>
      <c r="AG458" s="7"/>
      <c r="AH458" s="7"/>
      <c r="AI458" s="7"/>
      <c r="AJ458" s="7"/>
      <c r="AK458" s="7"/>
      <c r="AL458" s="7"/>
      <c r="AM458" s="7"/>
    </row>
    <row r="459" spans="1:39" x14ac:dyDescent="0.2">
      <c r="A459" s="62"/>
      <c r="B459" s="62"/>
      <c r="C459" s="18"/>
      <c r="D459" s="18"/>
      <c r="E459" s="18"/>
      <c r="F459" s="18"/>
      <c r="G459" s="18"/>
      <c r="H459" s="18"/>
      <c r="I459" s="18"/>
      <c r="J459" s="18"/>
      <c r="K459" s="18"/>
      <c r="L459" s="18"/>
      <c r="M459" s="18"/>
      <c r="N459" s="18"/>
      <c r="O459" s="18"/>
      <c r="P459" s="18"/>
      <c r="Q459" s="7"/>
      <c r="R459" s="7"/>
      <c r="S459" s="7"/>
      <c r="T459" s="7"/>
      <c r="U459" s="7"/>
      <c r="V459" s="7"/>
      <c r="W459" s="7"/>
      <c r="X459" s="7"/>
      <c r="Y459" s="7"/>
      <c r="Z459" s="7"/>
      <c r="AA459" s="7"/>
      <c r="AB459" s="7"/>
      <c r="AC459" s="7"/>
      <c r="AD459" s="7"/>
      <c r="AE459" s="7"/>
      <c r="AF459" s="7"/>
      <c r="AG459" s="7"/>
      <c r="AH459" s="7"/>
      <c r="AI459" s="7"/>
      <c r="AJ459" s="7"/>
      <c r="AK459" s="7"/>
      <c r="AL459" s="7"/>
      <c r="AM459" s="7"/>
    </row>
    <row r="460" spans="1:39" x14ac:dyDescent="0.2">
      <c r="A460" s="62"/>
      <c r="B460" s="62"/>
      <c r="C460" s="18"/>
      <c r="D460" s="18"/>
      <c r="E460" s="18"/>
      <c r="F460" s="18"/>
      <c r="G460" s="18"/>
      <c r="H460" s="18"/>
      <c r="I460" s="18"/>
      <c r="J460" s="18"/>
      <c r="K460" s="18"/>
      <c r="L460" s="18"/>
      <c r="M460" s="18"/>
      <c r="N460" s="18"/>
      <c r="O460" s="18"/>
      <c r="P460" s="18"/>
      <c r="Q460" s="7"/>
      <c r="R460" s="7"/>
      <c r="S460" s="7"/>
      <c r="T460" s="7"/>
      <c r="U460" s="7"/>
      <c r="V460" s="7"/>
      <c r="W460" s="7"/>
      <c r="X460" s="7"/>
      <c r="Y460" s="7"/>
      <c r="Z460" s="7"/>
      <c r="AA460" s="7"/>
      <c r="AB460" s="7"/>
      <c r="AC460" s="7"/>
      <c r="AD460" s="7"/>
      <c r="AE460" s="7"/>
      <c r="AF460" s="7"/>
      <c r="AG460" s="7"/>
      <c r="AH460" s="7"/>
      <c r="AI460" s="7"/>
      <c r="AJ460" s="7"/>
      <c r="AK460" s="7"/>
      <c r="AL460" s="7"/>
      <c r="AM460" s="7"/>
    </row>
    <row r="461" spans="1:39" x14ac:dyDescent="0.2">
      <c r="A461" s="62"/>
      <c r="B461" s="62"/>
      <c r="C461" s="18"/>
      <c r="D461" s="18"/>
      <c r="E461" s="18"/>
      <c r="F461" s="18"/>
      <c r="G461" s="18"/>
      <c r="H461" s="18"/>
      <c r="I461" s="18"/>
      <c r="J461" s="18"/>
      <c r="K461" s="18"/>
      <c r="L461" s="18"/>
      <c r="M461" s="18"/>
      <c r="N461" s="18"/>
      <c r="O461" s="18"/>
      <c r="P461" s="18"/>
      <c r="Q461" s="7"/>
      <c r="R461" s="7"/>
      <c r="S461" s="7"/>
      <c r="T461" s="7"/>
      <c r="U461" s="7"/>
      <c r="V461" s="7"/>
      <c r="W461" s="7"/>
      <c r="X461" s="7"/>
      <c r="Y461" s="7"/>
      <c r="Z461" s="7"/>
      <c r="AA461" s="7"/>
      <c r="AB461" s="7"/>
      <c r="AC461" s="7"/>
      <c r="AD461" s="7"/>
      <c r="AE461" s="7"/>
      <c r="AF461" s="7"/>
      <c r="AG461" s="7"/>
      <c r="AH461" s="7"/>
      <c r="AI461" s="7"/>
      <c r="AJ461" s="7"/>
      <c r="AK461" s="7"/>
      <c r="AL461" s="7"/>
      <c r="AM461" s="7"/>
    </row>
    <row r="462" spans="1:39" x14ac:dyDescent="0.2">
      <c r="A462" s="62"/>
      <c r="B462" s="62"/>
      <c r="C462" s="18"/>
      <c r="D462" s="18"/>
      <c r="E462" s="18"/>
      <c r="F462" s="18"/>
      <c r="G462" s="18"/>
      <c r="H462" s="18"/>
      <c r="I462" s="18"/>
      <c r="J462" s="18"/>
      <c r="K462" s="18"/>
      <c r="L462" s="18"/>
      <c r="M462" s="18"/>
      <c r="N462" s="18"/>
      <c r="O462" s="18"/>
      <c r="P462" s="18"/>
      <c r="Q462" s="7"/>
      <c r="R462" s="7"/>
      <c r="S462" s="7"/>
      <c r="T462" s="7"/>
      <c r="U462" s="7"/>
      <c r="V462" s="7"/>
      <c r="W462" s="7"/>
      <c r="X462" s="7"/>
      <c r="Y462" s="7"/>
      <c r="Z462" s="7"/>
      <c r="AA462" s="7"/>
      <c r="AB462" s="7"/>
      <c r="AC462" s="7"/>
      <c r="AD462" s="7"/>
      <c r="AE462" s="7"/>
      <c r="AF462" s="7"/>
      <c r="AG462" s="7"/>
      <c r="AH462" s="7"/>
      <c r="AI462" s="7"/>
      <c r="AJ462" s="7"/>
      <c r="AK462" s="7"/>
      <c r="AL462" s="7"/>
      <c r="AM462" s="7"/>
    </row>
    <row r="463" spans="1:39" x14ac:dyDescent="0.2">
      <c r="A463" s="62"/>
      <c r="B463" s="62"/>
      <c r="C463" s="18"/>
      <c r="D463" s="18"/>
      <c r="E463" s="18"/>
      <c r="F463" s="18"/>
      <c r="G463" s="18"/>
      <c r="H463" s="18"/>
      <c r="I463" s="18"/>
      <c r="J463" s="18"/>
      <c r="K463" s="18"/>
      <c r="L463" s="18"/>
      <c r="M463" s="18"/>
      <c r="N463" s="18"/>
      <c r="O463" s="18"/>
      <c r="P463" s="18"/>
      <c r="Q463" s="7"/>
      <c r="R463" s="7"/>
      <c r="S463" s="7"/>
      <c r="T463" s="7"/>
      <c r="U463" s="7"/>
      <c r="V463" s="7"/>
      <c r="W463" s="7"/>
      <c r="X463" s="7"/>
      <c r="Y463" s="7"/>
      <c r="Z463" s="7"/>
      <c r="AA463" s="7"/>
      <c r="AB463" s="7"/>
      <c r="AC463" s="7"/>
      <c r="AD463" s="7"/>
      <c r="AE463" s="7"/>
      <c r="AF463" s="7"/>
      <c r="AG463" s="7"/>
      <c r="AH463" s="7"/>
      <c r="AI463" s="7"/>
      <c r="AJ463" s="7"/>
      <c r="AK463" s="7"/>
      <c r="AL463" s="7"/>
      <c r="AM463" s="7"/>
    </row>
    <row r="464" spans="1:39" x14ac:dyDescent="0.2">
      <c r="A464" s="62"/>
      <c r="B464" s="62"/>
      <c r="C464" s="18"/>
      <c r="D464" s="18"/>
      <c r="E464" s="18"/>
      <c r="F464" s="18"/>
      <c r="G464" s="18"/>
      <c r="H464" s="18"/>
      <c r="I464" s="18"/>
      <c r="J464" s="18"/>
      <c r="K464" s="18"/>
      <c r="L464" s="18"/>
      <c r="M464" s="18"/>
      <c r="N464" s="18"/>
      <c r="O464" s="18"/>
      <c r="P464" s="18"/>
      <c r="Q464" s="7"/>
      <c r="R464" s="7"/>
      <c r="S464" s="7"/>
      <c r="T464" s="7"/>
      <c r="U464" s="7"/>
      <c r="V464" s="7"/>
      <c r="W464" s="7"/>
      <c r="X464" s="7"/>
      <c r="Y464" s="7"/>
      <c r="Z464" s="7"/>
      <c r="AA464" s="7"/>
      <c r="AB464" s="7"/>
      <c r="AC464" s="7"/>
      <c r="AD464" s="7"/>
      <c r="AE464" s="7"/>
      <c r="AF464" s="7"/>
      <c r="AG464" s="7"/>
      <c r="AH464" s="7"/>
      <c r="AI464" s="7"/>
      <c r="AJ464" s="7"/>
      <c r="AK464" s="7"/>
      <c r="AL464" s="7"/>
      <c r="AM464" s="7"/>
    </row>
    <row r="465" spans="1:39" x14ac:dyDescent="0.2">
      <c r="A465" s="62"/>
      <c r="B465" s="62"/>
      <c r="C465" s="18"/>
      <c r="D465" s="18"/>
      <c r="E465" s="18"/>
      <c r="F465" s="18"/>
      <c r="G465" s="18"/>
      <c r="H465" s="18"/>
      <c r="I465" s="18"/>
      <c r="J465" s="18"/>
      <c r="K465" s="18"/>
      <c r="L465" s="18"/>
      <c r="M465" s="18"/>
      <c r="N465" s="18"/>
      <c r="O465" s="18"/>
      <c r="P465" s="18"/>
      <c r="Q465" s="7"/>
      <c r="R465" s="7"/>
      <c r="S465" s="7"/>
      <c r="T465" s="7"/>
      <c r="U465" s="7"/>
      <c r="V465" s="7"/>
      <c r="W465" s="7"/>
      <c r="X465" s="7"/>
      <c r="Y465" s="7"/>
      <c r="Z465" s="7"/>
      <c r="AA465" s="7"/>
      <c r="AB465" s="7"/>
      <c r="AC465" s="7"/>
      <c r="AD465" s="7"/>
      <c r="AE465" s="7"/>
      <c r="AF465" s="7"/>
      <c r="AG465" s="7"/>
      <c r="AH465" s="7"/>
      <c r="AI465" s="7"/>
      <c r="AJ465" s="7"/>
      <c r="AK465" s="7"/>
      <c r="AL465" s="7"/>
      <c r="AM465" s="7"/>
    </row>
    <row r="466" spans="1:39" x14ac:dyDescent="0.2">
      <c r="A466" s="62"/>
      <c r="B466" s="62"/>
      <c r="C466" s="18"/>
      <c r="D466" s="18"/>
      <c r="E466" s="18"/>
      <c r="F466" s="18"/>
      <c r="G466" s="18"/>
      <c r="H466" s="18"/>
      <c r="I466" s="18"/>
      <c r="J466" s="18"/>
      <c r="K466" s="18"/>
      <c r="L466" s="18"/>
      <c r="M466" s="18"/>
      <c r="N466" s="18"/>
      <c r="O466" s="18"/>
      <c r="P466" s="18"/>
      <c r="Q466" s="7"/>
      <c r="R466" s="7"/>
      <c r="S466" s="7"/>
      <c r="T466" s="7"/>
      <c r="U466" s="7"/>
      <c r="V466" s="7"/>
      <c r="W466" s="7"/>
      <c r="X466" s="7"/>
      <c r="Y466" s="7"/>
      <c r="Z466" s="7"/>
      <c r="AA466" s="7"/>
      <c r="AB466" s="7"/>
      <c r="AC466" s="7"/>
      <c r="AD466" s="7"/>
      <c r="AE466" s="7"/>
      <c r="AF466" s="7"/>
      <c r="AG466" s="7"/>
      <c r="AH466" s="7"/>
      <c r="AI466" s="7"/>
      <c r="AJ466" s="7"/>
      <c r="AK466" s="7"/>
      <c r="AL466" s="7"/>
      <c r="AM466" s="7"/>
    </row>
    <row r="467" spans="1:39" x14ac:dyDescent="0.2">
      <c r="A467" s="62"/>
      <c r="B467" s="62"/>
      <c r="C467" s="18"/>
      <c r="D467" s="18"/>
      <c r="E467" s="18"/>
      <c r="F467" s="18"/>
      <c r="G467" s="18"/>
      <c r="H467" s="18"/>
      <c r="I467" s="18"/>
      <c r="J467" s="18"/>
      <c r="K467" s="18"/>
      <c r="L467" s="18"/>
      <c r="M467" s="18"/>
      <c r="N467" s="18"/>
      <c r="O467" s="18"/>
      <c r="P467" s="18"/>
      <c r="Q467" s="7"/>
      <c r="R467" s="7"/>
      <c r="S467" s="7"/>
      <c r="T467" s="7"/>
      <c r="U467" s="7"/>
      <c r="V467" s="7"/>
      <c r="W467" s="7"/>
      <c r="X467" s="7"/>
      <c r="Y467" s="7"/>
      <c r="Z467" s="7"/>
      <c r="AA467" s="7"/>
      <c r="AB467" s="7"/>
      <c r="AC467" s="7"/>
      <c r="AD467" s="7"/>
      <c r="AE467" s="7"/>
      <c r="AF467" s="7"/>
      <c r="AG467" s="7"/>
      <c r="AH467" s="7"/>
      <c r="AI467" s="7"/>
      <c r="AJ467" s="7"/>
      <c r="AK467" s="7"/>
      <c r="AL467" s="7"/>
      <c r="AM467" s="7"/>
    </row>
    <row r="468" spans="1:39" x14ac:dyDescent="0.2">
      <c r="A468" s="62"/>
      <c r="B468" s="62"/>
      <c r="C468" s="18"/>
      <c r="D468" s="18"/>
      <c r="E468" s="18"/>
      <c r="F468" s="18"/>
      <c r="G468" s="18"/>
      <c r="H468" s="18"/>
      <c r="I468" s="18"/>
      <c r="J468" s="18"/>
      <c r="K468" s="18"/>
      <c r="L468" s="18"/>
      <c r="M468" s="18"/>
      <c r="N468" s="18"/>
      <c r="O468" s="18"/>
      <c r="P468" s="18"/>
      <c r="Q468" s="7"/>
      <c r="R468" s="7"/>
      <c r="S468" s="7"/>
      <c r="T468" s="7"/>
      <c r="U468" s="7"/>
      <c r="V468" s="7"/>
      <c r="W468" s="7"/>
      <c r="X468" s="7"/>
      <c r="Y468" s="7"/>
      <c r="Z468" s="7"/>
      <c r="AA468" s="7"/>
      <c r="AB468" s="7"/>
      <c r="AC468" s="7"/>
      <c r="AD468" s="7"/>
      <c r="AE468" s="7"/>
      <c r="AF468" s="7"/>
      <c r="AG468" s="7"/>
      <c r="AH468" s="7"/>
      <c r="AI468" s="7"/>
      <c r="AJ468" s="7"/>
      <c r="AK468" s="7"/>
      <c r="AL468" s="7"/>
      <c r="AM468" s="7"/>
    </row>
    <row r="469" spans="1:39" x14ac:dyDescent="0.2">
      <c r="A469" s="62"/>
      <c r="B469" s="62"/>
      <c r="C469" s="18"/>
      <c r="D469" s="18"/>
      <c r="E469" s="18"/>
      <c r="F469" s="18"/>
      <c r="G469" s="18"/>
      <c r="H469" s="18"/>
      <c r="I469" s="18"/>
      <c r="J469" s="18"/>
      <c r="K469" s="18"/>
      <c r="L469" s="18"/>
      <c r="M469" s="18"/>
      <c r="N469" s="18"/>
      <c r="O469" s="18"/>
      <c r="P469" s="18"/>
      <c r="Q469" s="7"/>
      <c r="R469" s="7"/>
      <c r="S469" s="7"/>
      <c r="T469" s="7"/>
      <c r="U469" s="7"/>
      <c r="V469" s="7"/>
      <c r="W469" s="7"/>
      <c r="X469" s="7"/>
      <c r="Y469" s="7"/>
      <c r="Z469" s="7"/>
      <c r="AA469" s="7"/>
      <c r="AB469" s="7"/>
      <c r="AC469" s="7"/>
      <c r="AD469" s="7"/>
      <c r="AE469" s="7"/>
      <c r="AF469" s="7"/>
      <c r="AG469" s="7"/>
      <c r="AH469" s="7"/>
      <c r="AI469" s="7"/>
      <c r="AJ469" s="7"/>
      <c r="AK469" s="7"/>
      <c r="AL469" s="7"/>
      <c r="AM469" s="7"/>
    </row>
    <row r="470" spans="1:39" x14ac:dyDescent="0.2">
      <c r="A470" s="62"/>
      <c r="B470" s="62"/>
      <c r="C470" s="18"/>
      <c r="D470" s="18"/>
      <c r="E470" s="18"/>
      <c r="F470" s="18"/>
      <c r="G470" s="18"/>
      <c r="H470" s="18"/>
      <c r="I470" s="18"/>
      <c r="J470" s="18"/>
      <c r="K470" s="18"/>
      <c r="L470" s="18"/>
      <c r="M470" s="18"/>
      <c r="N470" s="18"/>
      <c r="O470" s="18"/>
      <c r="P470" s="18"/>
      <c r="Q470" s="7"/>
      <c r="R470" s="7"/>
      <c r="S470" s="7"/>
      <c r="T470" s="7"/>
      <c r="U470" s="7"/>
      <c r="V470" s="7"/>
      <c r="W470" s="7"/>
      <c r="X470" s="7"/>
      <c r="Y470" s="7"/>
      <c r="Z470" s="7"/>
      <c r="AA470" s="7"/>
      <c r="AB470" s="7"/>
      <c r="AC470" s="7"/>
      <c r="AD470" s="7"/>
      <c r="AE470" s="7"/>
      <c r="AF470" s="7"/>
      <c r="AG470" s="7"/>
      <c r="AH470" s="7"/>
      <c r="AI470" s="7"/>
      <c r="AJ470" s="7"/>
      <c r="AK470" s="7"/>
      <c r="AL470" s="7"/>
      <c r="AM470" s="7"/>
    </row>
    <row r="471" spans="1:39" x14ac:dyDescent="0.2">
      <c r="A471" s="62"/>
      <c r="B471" s="62"/>
      <c r="C471" s="18"/>
      <c r="D471" s="18"/>
      <c r="E471" s="18"/>
      <c r="F471" s="18"/>
      <c r="G471" s="18"/>
      <c r="H471" s="18"/>
      <c r="I471" s="18"/>
      <c r="J471" s="18"/>
      <c r="K471" s="18"/>
      <c r="L471" s="18"/>
      <c r="M471" s="18"/>
      <c r="N471" s="18"/>
      <c r="O471" s="18"/>
      <c r="P471" s="18"/>
      <c r="Q471" s="7"/>
      <c r="R471" s="7"/>
      <c r="S471" s="7"/>
      <c r="T471" s="7"/>
      <c r="U471" s="7"/>
      <c r="V471" s="7"/>
      <c r="W471" s="7"/>
      <c r="X471" s="7"/>
      <c r="Y471" s="7"/>
      <c r="Z471" s="7"/>
      <c r="AA471" s="7"/>
      <c r="AB471" s="7"/>
      <c r="AC471" s="7"/>
      <c r="AD471" s="7"/>
      <c r="AE471" s="7"/>
      <c r="AF471" s="7"/>
      <c r="AG471" s="7"/>
      <c r="AH471" s="7"/>
      <c r="AI471" s="7"/>
      <c r="AJ471" s="7"/>
      <c r="AK471" s="7"/>
      <c r="AL471" s="7"/>
      <c r="AM471" s="7"/>
    </row>
    <row r="472" spans="1:39" x14ac:dyDescent="0.2">
      <c r="A472" s="62"/>
      <c r="B472" s="62"/>
      <c r="C472" s="18"/>
      <c r="D472" s="18"/>
      <c r="E472" s="18"/>
      <c r="F472" s="18"/>
      <c r="G472" s="18"/>
      <c r="H472" s="18"/>
      <c r="I472" s="18"/>
      <c r="J472" s="18"/>
      <c r="K472" s="18"/>
      <c r="L472" s="18"/>
      <c r="M472" s="18"/>
      <c r="N472" s="18"/>
      <c r="O472" s="18"/>
      <c r="P472" s="18"/>
      <c r="Q472" s="7"/>
      <c r="R472" s="7"/>
      <c r="S472" s="7"/>
      <c r="T472" s="7"/>
      <c r="U472" s="7"/>
      <c r="V472" s="7"/>
      <c r="W472" s="7"/>
      <c r="X472" s="7"/>
      <c r="Y472" s="7"/>
      <c r="Z472" s="7"/>
      <c r="AA472" s="7"/>
      <c r="AB472" s="7"/>
      <c r="AC472" s="7"/>
      <c r="AD472" s="7"/>
      <c r="AE472" s="7"/>
      <c r="AF472" s="7"/>
      <c r="AG472" s="7"/>
      <c r="AH472" s="7"/>
      <c r="AI472" s="7"/>
      <c r="AJ472" s="7"/>
      <c r="AK472" s="7"/>
      <c r="AL472" s="7"/>
      <c r="AM472" s="7"/>
    </row>
    <row r="473" spans="1:39" x14ac:dyDescent="0.2">
      <c r="A473" s="62"/>
      <c r="B473" s="62"/>
      <c r="C473" s="18"/>
      <c r="D473" s="18"/>
      <c r="E473" s="18"/>
      <c r="F473" s="18"/>
      <c r="G473" s="18"/>
      <c r="H473" s="18"/>
      <c r="I473" s="18"/>
      <c r="J473" s="18"/>
      <c r="K473" s="18"/>
      <c r="L473" s="18"/>
      <c r="M473" s="18"/>
      <c r="N473" s="18"/>
      <c r="O473" s="18"/>
      <c r="P473" s="18"/>
      <c r="Q473" s="7"/>
      <c r="R473" s="7"/>
      <c r="S473" s="7"/>
      <c r="T473" s="7"/>
      <c r="U473" s="7"/>
      <c r="V473" s="7"/>
      <c r="W473" s="7"/>
      <c r="X473" s="7"/>
      <c r="Y473" s="7"/>
      <c r="Z473" s="7"/>
      <c r="AA473" s="7"/>
      <c r="AB473" s="7"/>
      <c r="AC473" s="7"/>
      <c r="AD473" s="7"/>
      <c r="AE473" s="7"/>
      <c r="AF473" s="7"/>
      <c r="AG473" s="7"/>
      <c r="AH473" s="7"/>
      <c r="AI473" s="7"/>
      <c r="AJ473" s="7"/>
      <c r="AK473" s="7"/>
      <c r="AL473" s="7"/>
      <c r="AM473" s="7"/>
    </row>
    <row r="474" spans="1:39" x14ac:dyDescent="0.2">
      <c r="A474" s="62"/>
      <c r="B474" s="62"/>
      <c r="C474" s="18"/>
      <c r="D474" s="18"/>
      <c r="E474" s="18"/>
      <c r="F474" s="18"/>
      <c r="G474" s="18"/>
      <c r="H474" s="18"/>
      <c r="I474" s="18"/>
      <c r="J474" s="18"/>
      <c r="K474" s="18"/>
      <c r="L474" s="18"/>
      <c r="M474" s="18"/>
      <c r="N474" s="18"/>
      <c r="O474" s="18"/>
      <c r="P474" s="18"/>
      <c r="Q474" s="7"/>
      <c r="R474" s="7"/>
      <c r="S474" s="7"/>
      <c r="T474" s="7"/>
      <c r="U474" s="7"/>
      <c r="V474" s="7"/>
      <c r="W474" s="7"/>
      <c r="X474" s="7"/>
      <c r="Y474" s="7"/>
      <c r="Z474" s="7"/>
      <c r="AA474" s="7"/>
      <c r="AB474" s="7"/>
      <c r="AC474" s="7"/>
      <c r="AD474" s="7"/>
      <c r="AE474" s="7"/>
      <c r="AF474" s="7"/>
      <c r="AG474" s="7"/>
      <c r="AH474" s="7"/>
      <c r="AI474" s="7"/>
      <c r="AJ474" s="7"/>
      <c r="AK474" s="7"/>
      <c r="AL474" s="7"/>
      <c r="AM474" s="7"/>
    </row>
    <row r="475" spans="1:39" x14ac:dyDescent="0.2">
      <c r="A475" s="62"/>
      <c r="B475" s="62"/>
      <c r="C475" s="18"/>
      <c r="D475" s="18"/>
      <c r="E475" s="18"/>
      <c r="F475" s="18"/>
      <c r="G475" s="18"/>
      <c r="H475" s="18"/>
      <c r="I475" s="18"/>
      <c r="J475" s="18"/>
      <c r="K475" s="18"/>
      <c r="L475" s="18"/>
      <c r="M475" s="18"/>
      <c r="N475" s="18"/>
      <c r="O475" s="18"/>
      <c r="P475" s="18"/>
      <c r="Q475" s="7"/>
      <c r="R475" s="7"/>
      <c r="S475" s="7"/>
      <c r="T475" s="7"/>
      <c r="U475" s="7"/>
      <c r="V475" s="7"/>
      <c r="W475" s="7"/>
      <c r="X475" s="7"/>
      <c r="Y475" s="7"/>
      <c r="Z475" s="7"/>
      <c r="AA475" s="7"/>
      <c r="AB475" s="7"/>
      <c r="AC475" s="7"/>
      <c r="AD475" s="7"/>
      <c r="AE475" s="7"/>
      <c r="AF475" s="7"/>
      <c r="AG475" s="7"/>
      <c r="AH475" s="7"/>
      <c r="AI475" s="7"/>
      <c r="AJ475" s="7"/>
      <c r="AK475" s="7"/>
      <c r="AL475" s="7"/>
      <c r="AM475" s="7"/>
    </row>
    <row r="476" spans="1:39" x14ac:dyDescent="0.2">
      <c r="A476" s="62"/>
      <c r="B476" s="62"/>
      <c r="C476" s="18"/>
      <c r="D476" s="18"/>
      <c r="E476" s="18"/>
      <c r="F476" s="18"/>
      <c r="G476" s="18"/>
      <c r="H476" s="18"/>
      <c r="I476" s="18"/>
      <c r="J476" s="18"/>
      <c r="K476" s="18"/>
      <c r="L476" s="18"/>
      <c r="M476" s="18"/>
      <c r="N476" s="18"/>
      <c r="O476" s="18"/>
      <c r="P476" s="18"/>
      <c r="Q476" s="7"/>
      <c r="R476" s="7"/>
      <c r="S476" s="7"/>
      <c r="T476" s="7"/>
      <c r="U476" s="7"/>
      <c r="V476" s="7"/>
      <c r="W476" s="7"/>
      <c r="X476" s="7"/>
      <c r="Y476" s="7"/>
      <c r="Z476" s="7"/>
      <c r="AA476" s="7"/>
      <c r="AB476" s="7"/>
      <c r="AC476" s="7"/>
      <c r="AD476" s="7"/>
      <c r="AE476" s="7"/>
      <c r="AF476" s="7"/>
      <c r="AG476" s="7"/>
      <c r="AH476" s="7"/>
      <c r="AI476" s="7"/>
      <c r="AJ476" s="7"/>
      <c r="AK476" s="7"/>
      <c r="AL476" s="7"/>
      <c r="AM476" s="7"/>
    </row>
    <row r="477" spans="1:39" x14ac:dyDescent="0.2">
      <c r="A477" s="62"/>
      <c r="B477" s="62"/>
      <c r="C477" s="18"/>
      <c r="D477" s="18"/>
      <c r="E477" s="18"/>
      <c r="F477" s="18"/>
      <c r="G477" s="18"/>
      <c r="H477" s="18"/>
      <c r="I477" s="18"/>
      <c r="J477" s="18"/>
      <c r="K477" s="18"/>
      <c r="L477" s="18"/>
      <c r="M477" s="18"/>
      <c r="N477" s="18"/>
      <c r="O477" s="18"/>
      <c r="P477" s="18"/>
      <c r="Q477" s="7"/>
      <c r="R477" s="7"/>
      <c r="S477" s="7"/>
      <c r="T477" s="7"/>
      <c r="U477" s="7"/>
      <c r="V477" s="7"/>
      <c r="W477" s="7"/>
      <c r="X477" s="7"/>
      <c r="Y477" s="7"/>
      <c r="Z477" s="7"/>
      <c r="AA477" s="7"/>
      <c r="AB477" s="7"/>
      <c r="AC477" s="7"/>
      <c r="AD477" s="7"/>
      <c r="AE477" s="7"/>
      <c r="AF477" s="7"/>
      <c r="AG477" s="7"/>
      <c r="AH477" s="7"/>
      <c r="AI477" s="7"/>
      <c r="AJ477" s="7"/>
      <c r="AK477" s="7"/>
      <c r="AL477" s="7"/>
      <c r="AM477" s="7"/>
    </row>
    <row r="478" spans="1:39" x14ac:dyDescent="0.2">
      <c r="A478" s="62"/>
      <c r="B478" s="62"/>
      <c r="C478" s="18"/>
      <c r="D478" s="18"/>
      <c r="E478" s="18"/>
      <c r="F478" s="18"/>
      <c r="G478" s="18"/>
      <c r="H478" s="18"/>
      <c r="I478" s="18"/>
      <c r="J478" s="18"/>
      <c r="K478" s="18"/>
      <c r="L478" s="18"/>
      <c r="M478" s="18"/>
      <c r="N478" s="18"/>
      <c r="O478" s="18"/>
      <c r="P478" s="18"/>
      <c r="Q478" s="7"/>
      <c r="R478" s="7"/>
      <c r="S478" s="7"/>
      <c r="T478" s="7"/>
      <c r="U478" s="7"/>
      <c r="V478" s="7"/>
      <c r="W478" s="7"/>
      <c r="X478" s="7"/>
      <c r="Y478" s="7"/>
      <c r="Z478" s="7"/>
      <c r="AA478" s="7"/>
      <c r="AB478" s="7"/>
      <c r="AC478" s="7"/>
      <c r="AD478" s="7"/>
      <c r="AE478" s="7"/>
      <c r="AF478" s="7"/>
      <c r="AG478" s="7"/>
      <c r="AH478" s="7"/>
      <c r="AI478" s="7"/>
      <c r="AJ478" s="7"/>
      <c r="AK478" s="7"/>
      <c r="AL478" s="7"/>
      <c r="AM478" s="7"/>
    </row>
    <row r="479" spans="1:39" x14ac:dyDescent="0.2">
      <c r="A479" s="62"/>
      <c r="B479" s="62"/>
      <c r="C479" s="18"/>
      <c r="D479" s="18"/>
      <c r="E479" s="18"/>
      <c r="F479" s="18"/>
      <c r="G479" s="18"/>
      <c r="H479" s="18"/>
      <c r="I479" s="18"/>
      <c r="J479" s="18"/>
      <c r="K479" s="18"/>
      <c r="L479" s="18"/>
      <c r="M479" s="18"/>
      <c r="N479" s="18"/>
      <c r="O479" s="18"/>
      <c r="P479" s="18"/>
      <c r="Q479" s="7"/>
      <c r="R479" s="7"/>
      <c r="S479" s="7"/>
      <c r="T479" s="7"/>
      <c r="U479" s="7"/>
      <c r="V479" s="7"/>
      <c r="W479" s="7"/>
      <c r="X479" s="7"/>
      <c r="Y479" s="7"/>
      <c r="Z479" s="7"/>
      <c r="AA479" s="7"/>
      <c r="AB479" s="7"/>
      <c r="AC479" s="7"/>
      <c r="AD479" s="7"/>
      <c r="AE479" s="7"/>
      <c r="AF479" s="7"/>
      <c r="AG479" s="7"/>
      <c r="AH479" s="7"/>
      <c r="AI479" s="7"/>
      <c r="AJ479" s="7"/>
      <c r="AK479" s="7"/>
      <c r="AL479" s="7"/>
      <c r="AM479" s="7"/>
    </row>
    <row r="480" spans="1:39" x14ac:dyDescent="0.2">
      <c r="A480" s="62"/>
      <c r="B480" s="62"/>
      <c r="C480" s="18"/>
      <c r="D480" s="18"/>
      <c r="E480" s="18"/>
      <c r="F480" s="18"/>
      <c r="G480" s="18"/>
      <c r="H480" s="18"/>
      <c r="I480" s="18"/>
      <c r="J480" s="18"/>
      <c r="K480" s="18"/>
      <c r="L480" s="18"/>
      <c r="M480" s="18"/>
      <c r="N480" s="18"/>
      <c r="O480" s="18"/>
      <c r="P480" s="18"/>
      <c r="Q480" s="7"/>
      <c r="R480" s="7"/>
      <c r="S480" s="7"/>
      <c r="T480" s="7"/>
      <c r="U480" s="7"/>
      <c r="V480" s="7"/>
      <c r="W480" s="7"/>
      <c r="X480" s="7"/>
      <c r="Y480" s="7"/>
      <c r="Z480" s="7"/>
      <c r="AA480" s="7"/>
      <c r="AB480" s="7"/>
      <c r="AC480" s="7"/>
      <c r="AD480" s="7"/>
      <c r="AE480" s="7"/>
      <c r="AF480" s="7"/>
      <c r="AG480" s="7"/>
      <c r="AH480" s="7"/>
      <c r="AI480" s="7"/>
      <c r="AJ480" s="7"/>
      <c r="AK480" s="7"/>
      <c r="AL480" s="7"/>
      <c r="AM480" s="7"/>
    </row>
    <row r="481" spans="1:27" x14ac:dyDescent="0.2">
      <c r="A481" s="62"/>
      <c r="B481" s="62"/>
      <c r="C481" s="18"/>
      <c r="D481" s="18"/>
      <c r="E481" s="18"/>
      <c r="F481" s="18"/>
      <c r="G481" s="18"/>
      <c r="H481" s="18"/>
      <c r="I481" s="18"/>
      <c r="J481" s="18"/>
      <c r="K481" s="18"/>
      <c r="L481" s="18"/>
      <c r="M481" s="18"/>
      <c r="N481" s="18"/>
      <c r="O481" s="18"/>
      <c r="P481" s="18"/>
      <c r="Q481" s="7"/>
      <c r="R481" s="7"/>
      <c r="S481" s="7"/>
      <c r="T481" s="7"/>
      <c r="U481" s="7"/>
      <c r="V481" s="7"/>
      <c r="W481" s="7"/>
      <c r="X481" s="7"/>
      <c r="Y481" s="7"/>
      <c r="Z481" s="7"/>
      <c r="AA481" s="7"/>
    </row>
    <row r="482" spans="1:27" x14ac:dyDescent="0.2">
      <c r="A482" s="62"/>
      <c r="B482" s="62"/>
      <c r="C482" s="18"/>
      <c r="D482" s="18"/>
      <c r="E482" s="18"/>
      <c r="F482" s="18"/>
      <c r="G482" s="18"/>
      <c r="H482" s="18"/>
      <c r="I482" s="18"/>
      <c r="J482" s="18"/>
      <c r="K482" s="18"/>
      <c r="L482" s="18"/>
      <c r="M482" s="18"/>
      <c r="N482" s="18"/>
      <c r="O482" s="18"/>
      <c r="P482" s="18"/>
      <c r="Q482" s="7"/>
      <c r="R482" s="7"/>
      <c r="S482" s="7"/>
      <c r="T482" s="7"/>
      <c r="U482" s="7"/>
      <c r="V482" s="7"/>
      <c r="W482" s="7"/>
      <c r="X482" s="7"/>
      <c r="Y482" s="7"/>
      <c r="Z482" s="7"/>
      <c r="AA482" s="7"/>
    </row>
    <row r="483" spans="1:27" x14ac:dyDescent="0.2">
      <c r="A483" s="62"/>
      <c r="B483" s="62"/>
      <c r="C483" s="18"/>
      <c r="D483" s="18"/>
      <c r="E483" s="18"/>
      <c r="F483" s="18"/>
      <c r="G483" s="18"/>
      <c r="H483" s="18"/>
      <c r="I483" s="18"/>
      <c r="J483" s="18"/>
      <c r="K483" s="18"/>
      <c r="L483" s="18"/>
      <c r="M483" s="18"/>
      <c r="N483" s="18"/>
      <c r="O483" s="18"/>
      <c r="P483" s="18"/>
      <c r="Q483" s="7"/>
      <c r="R483" s="7"/>
      <c r="S483" s="7"/>
      <c r="T483" s="7"/>
      <c r="U483" s="7"/>
      <c r="V483" s="7"/>
      <c r="W483" s="7"/>
      <c r="X483" s="7"/>
      <c r="Y483" s="7"/>
      <c r="Z483" s="7"/>
      <c r="AA483" s="7"/>
    </row>
    <row r="484" spans="1:27" x14ac:dyDescent="0.2">
      <c r="A484" s="62"/>
      <c r="B484" s="62"/>
      <c r="C484" s="18"/>
      <c r="D484" s="18"/>
      <c r="E484" s="18"/>
      <c r="F484" s="18"/>
      <c r="G484" s="18"/>
      <c r="H484" s="18"/>
      <c r="I484" s="18"/>
      <c r="J484" s="18"/>
      <c r="K484" s="18"/>
      <c r="L484" s="18"/>
      <c r="M484" s="18"/>
      <c r="N484" s="18"/>
      <c r="O484" s="18"/>
      <c r="P484" s="18"/>
      <c r="Q484" s="7"/>
      <c r="R484" s="7"/>
      <c r="S484" s="7"/>
      <c r="T484" s="7"/>
      <c r="U484" s="7"/>
      <c r="V484" s="7"/>
      <c r="W484" s="7"/>
      <c r="X484" s="7"/>
      <c r="Y484" s="7"/>
      <c r="Z484" s="7"/>
      <c r="AA484" s="7"/>
    </row>
    <row r="485" spans="1:27" x14ac:dyDescent="0.2">
      <c r="A485" s="62"/>
      <c r="B485" s="62"/>
      <c r="C485" s="18"/>
      <c r="D485" s="18"/>
      <c r="E485" s="18"/>
      <c r="F485" s="18"/>
      <c r="G485" s="18"/>
      <c r="H485" s="18"/>
      <c r="I485" s="18"/>
      <c r="J485" s="18"/>
      <c r="K485" s="18"/>
      <c r="L485" s="18"/>
      <c r="M485" s="18"/>
      <c r="N485" s="18"/>
      <c r="O485" s="18"/>
      <c r="P485" s="18"/>
      <c r="Q485" s="7"/>
      <c r="R485" s="7"/>
      <c r="S485" s="7"/>
      <c r="T485" s="7"/>
      <c r="U485" s="7"/>
      <c r="V485" s="7"/>
      <c r="W485" s="7"/>
      <c r="X485" s="7"/>
      <c r="Y485" s="7"/>
      <c r="Z485" s="7"/>
      <c r="AA485" s="7"/>
    </row>
    <row r="486" spans="1:27" x14ac:dyDescent="0.2">
      <c r="A486" s="62"/>
      <c r="B486" s="62"/>
      <c r="C486" s="18"/>
      <c r="D486" s="18"/>
      <c r="E486" s="18"/>
      <c r="F486" s="18"/>
      <c r="G486" s="18"/>
      <c r="H486" s="18"/>
      <c r="I486" s="18"/>
      <c r="J486" s="18"/>
      <c r="K486" s="18"/>
      <c r="L486" s="18"/>
      <c r="M486" s="18"/>
      <c r="N486" s="18"/>
      <c r="O486" s="18"/>
      <c r="P486" s="18"/>
      <c r="Q486" s="7"/>
      <c r="R486" s="7"/>
      <c r="S486" s="7"/>
      <c r="T486" s="7"/>
      <c r="U486" s="7"/>
      <c r="V486" s="7"/>
      <c r="W486" s="7"/>
      <c r="X486" s="7"/>
      <c r="Y486" s="7"/>
      <c r="Z486" s="7"/>
      <c r="AA486" s="7"/>
    </row>
    <row r="487" spans="1:27" x14ac:dyDescent="0.2">
      <c r="A487" s="62"/>
      <c r="B487" s="62"/>
      <c r="C487" s="18"/>
      <c r="D487" s="18"/>
      <c r="E487" s="18"/>
      <c r="F487" s="18"/>
      <c r="G487" s="18"/>
      <c r="H487" s="18"/>
      <c r="I487" s="18"/>
      <c r="J487" s="18"/>
      <c r="K487" s="18"/>
      <c r="L487" s="18"/>
      <c r="M487" s="18"/>
      <c r="N487" s="18"/>
      <c r="O487" s="18"/>
      <c r="P487" s="18"/>
      <c r="Q487" s="7"/>
      <c r="R487" s="7"/>
      <c r="S487" s="7"/>
      <c r="T487" s="7"/>
      <c r="U487" s="7"/>
      <c r="V487" s="7"/>
      <c r="W487" s="7"/>
      <c r="X487" s="7"/>
      <c r="Y487" s="7"/>
      <c r="Z487" s="7"/>
      <c r="AA487" s="7"/>
    </row>
    <row r="488" spans="1:27" x14ac:dyDescent="0.2">
      <c r="A488" s="62"/>
      <c r="B488" s="62"/>
      <c r="C488" s="18"/>
      <c r="D488" s="18"/>
      <c r="E488" s="18"/>
      <c r="F488" s="18"/>
      <c r="G488" s="18"/>
      <c r="H488" s="18"/>
      <c r="I488" s="18"/>
      <c r="J488" s="18"/>
      <c r="K488" s="18"/>
      <c r="L488" s="18"/>
      <c r="M488" s="18"/>
      <c r="N488" s="18"/>
      <c r="O488" s="18"/>
      <c r="P488" s="18"/>
      <c r="Q488" s="7"/>
      <c r="R488" s="7"/>
      <c r="S488" s="7"/>
      <c r="T488" s="7"/>
      <c r="U488" s="7"/>
      <c r="V488" s="7"/>
      <c r="W488" s="7"/>
      <c r="X488" s="7"/>
      <c r="Y488" s="7"/>
      <c r="Z488" s="7"/>
      <c r="AA488" s="7"/>
    </row>
    <row r="489" spans="1:27" x14ac:dyDescent="0.2">
      <c r="A489" s="62"/>
      <c r="B489" s="62"/>
      <c r="C489" s="18"/>
      <c r="D489" s="18"/>
      <c r="E489" s="18"/>
      <c r="F489" s="18"/>
      <c r="G489" s="18"/>
      <c r="H489" s="18"/>
      <c r="I489" s="18"/>
      <c r="J489" s="18"/>
      <c r="K489" s="18"/>
      <c r="L489" s="18"/>
      <c r="M489" s="18"/>
      <c r="N489" s="18"/>
      <c r="O489" s="18"/>
      <c r="P489" s="18"/>
      <c r="Q489" s="7"/>
      <c r="R489" s="7"/>
      <c r="S489" s="7"/>
      <c r="T489" s="7"/>
      <c r="U489" s="7"/>
      <c r="V489" s="7"/>
      <c r="W489" s="7"/>
      <c r="X489" s="7"/>
      <c r="Y489" s="7"/>
      <c r="Z489" s="7"/>
      <c r="AA489" s="7"/>
    </row>
    <row r="490" spans="1:27" x14ac:dyDescent="0.2">
      <c r="A490" s="62"/>
      <c r="B490" s="62"/>
      <c r="C490" s="18"/>
      <c r="D490" s="18"/>
      <c r="E490" s="18"/>
      <c r="F490" s="18"/>
      <c r="G490" s="18"/>
      <c r="H490" s="18"/>
      <c r="I490" s="18"/>
      <c r="J490" s="18"/>
      <c r="K490" s="18"/>
      <c r="L490" s="18"/>
      <c r="M490" s="18"/>
      <c r="N490" s="18"/>
      <c r="O490" s="18"/>
      <c r="P490" s="18"/>
      <c r="Q490" s="7"/>
      <c r="R490" s="7"/>
      <c r="S490" s="7"/>
      <c r="T490" s="7"/>
      <c r="U490" s="7"/>
      <c r="V490" s="7"/>
      <c r="W490" s="7"/>
      <c r="X490" s="7"/>
      <c r="Y490" s="7"/>
      <c r="Z490" s="7"/>
      <c r="AA490" s="7"/>
    </row>
    <row r="491" spans="1:27" x14ac:dyDescent="0.2">
      <c r="A491" s="62"/>
      <c r="B491" s="62"/>
      <c r="C491" s="18"/>
      <c r="D491" s="18"/>
      <c r="E491" s="18"/>
      <c r="F491" s="18"/>
      <c r="G491" s="18"/>
      <c r="H491" s="18"/>
      <c r="I491" s="18"/>
      <c r="J491" s="18"/>
      <c r="K491" s="18"/>
      <c r="L491" s="18"/>
      <c r="M491" s="18"/>
      <c r="N491" s="18"/>
      <c r="O491" s="18"/>
      <c r="P491" s="18"/>
      <c r="Q491" s="7"/>
      <c r="R491" s="7"/>
      <c r="S491" s="7"/>
      <c r="T491" s="7"/>
      <c r="U491" s="7"/>
      <c r="V491" s="7"/>
      <c r="W491" s="7"/>
      <c r="X491" s="7"/>
      <c r="Y491" s="7"/>
      <c r="Z491" s="7"/>
      <c r="AA491" s="7"/>
    </row>
    <row r="492" spans="1:27" x14ac:dyDescent="0.2">
      <c r="A492" s="62"/>
      <c r="B492" s="62"/>
      <c r="C492" s="18"/>
      <c r="D492" s="18"/>
      <c r="E492" s="18"/>
      <c r="F492" s="18"/>
      <c r="G492" s="18"/>
      <c r="H492" s="18"/>
      <c r="I492" s="18"/>
      <c r="J492" s="18"/>
      <c r="K492" s="18"/>
      <c r="L492" s="18"/>
      <c r="M492" s="18"/>
      <c r="N492" s="18"/>
      <c r="O492" s="18"/>
      <c r="P492" s="18"/>
      <c r="Q492" s="7"/>
      <c r="R492" s="7"/>
      <c r="S492" s="7"/>
      <c r="T492" s="7"/>
      <c r="U492" s="7"/>
      <c r="V492" s="7"/>
      <c r="W492" s="7"/>
      <c r="X492" s="7"/>
      <c r="Y492" s="7"/>
      <c r="Z492" s="7"/>
      <c r="AA492" s="7"/>
    </row>
    <row r="493" spans="1:27" x14ac:dyDescent="0.2">
      <c r="A493" s="62"/>
      <c r="B493" s="62"/>
      <c r="C493" s="18"/>
      <c r="D493" s="18"/>
      <c r="E493" s="18"/>
      <c r="F493" s="18"/>
      <c r="G493" s="18"/>
      <c r="H493" s="18"/>
      <c r="I493" s="18"/>
      <c r="J493" s="18"/>
      <c r="K493" s="18"/>
      <c r="L493" s="18"/>
      <c r="M493" s="18"/>
      <c r="N493" s="18"/>
      <c r="O493" s="18"/>
      <c r="P493" s="18"/>
      <c r="Q493" s="7"/>
      <c r="R493" s="7"/>
      <c r="S493" s="7"/>
      <c r="T493" s="7"/>
      <c r="U493" s="7"/>
      <c r="V493" s="7"/>
      <c r="W493" s="7"/>
      <c r="X493" s="7"/>
      <c r="Y493" s="7"/>
      <c r="Z493" s="7"/>
      <c r="AA493" s="7"/>
    </row>
    <row r="494" spans="1:27" x14ac:dyDescent="0.2">
      <c r="A494" s="62"/>
      <c r="B494" s="62"/>
      <c r="C494" s="18"/>
      <c r="D494" s="18"/>
      <c r="E494" s="18"/>
      <c r="F494" s="18"/>
      <c r="G494" s="18"/>
      <c r="H494" s="18"/>
      <c r="I494" s="18"/>
      <c r="J494" s="18"/>
      <c r="K494" s="18"/>
      <c r="L494" s="18"/>
      <c r="M494" s="18"/>
      <c r="N494" s="18"/>
      <c r="O494" s="18"/>
      <c r="P494" s="18"/>
      <c r="Q494" s="7"/>
      <c r="R494" s="7"/>
      <c r="S494" s="7"/>
      <c r="T494" s="7"/>
      <c r="U494" s="7"/>
      <c r="V494" s="7"/>
      <c r="W494" s="7"/>
      <c r="X494" s="7"/>
      <c r="Y494" s="7"/>
      <c r="Z494" s="7"/>
      <c r="AA494" s="7"/>
    </row>
    <row r="495" spans="1:27" x14ac:dyDescent="0.2">
      <c r="A495" s="62"/>
      <c r="B495" s="62"/>
      <c r="C495" s="18"/>
      <c r="D495" s="18"/>
      <c r="E495" s="18"/>
      <c r="F495" s="18"/>
      <c r="G495" s="18"/>
      <c r="H495" s="18"/>
      <c r="I495" s="18"/>
      <c r="J495" s="18"/>
      <c r="K495" s="18"/>
      <c r="L495" s="18"/>
      <c r="M495" s="18"/>
      <c r="N495" s="18"/>
      <c r="O495" s="18"/>
      <c r="P495" s="18"/>
      <c r="Q495" s="7"/>
      <c r="R495" s="7"/>
      <c r="S495" s="7"/>
      <c r="T495" s="7"/>
      <c r="U495" s="7"/>
      <c r="V495" s="7"/>
      <c r="W495" s="7"/>
      <c r="X495" s="7"/>
      <c r="Y495" s="7"/>
      <c r="Z495" s="7"/>
      <c r="AA495" s="7"/>
    </row>
    <row r="496" spans="1:27" x14ac:dyDescent="0.2">
      <c r="A496" s="62"/>
      <c r="B496" s="62"/>
      <c r="C496" s="18"/>
      <c r="D496" s="18"/>
      <c r="E496" s="18"/>
      <c r="F496" s="18"/>
      <c r="G496" s="18"/>
      <c r="H496" s="18"/>
      <c r="I496" s="18"/>
      <c r="J496" s="18"/>
      <c r="K496" s="18"/>
      <c r="L496" s="18"/>
      <c r="M496" s="18"/>
      <c r="N496" s="18"/>
      <c r="O496" s="18"/>
      <c r="P496" s="18"/>
      <c r="Q496" s="7"/>
      <c r="R496" s="7"/>
      <c r="S496" s="7"/>
      <c r="T496" s="7"/>
      <c r="U496" s="7"/>
      <c r="V496" s="7"/>
      <c r="W496" s="7"/>
      <c r="X496" s="7"/>
      <c r="Y496" s="7"/>
      <c r="Z496" s="7"/>
      <c r="AA496" s="7"/>
    </row>
    <row r="497" spans="1:27" x14ac:dyDescent="0.2">
      <c r="A497" s="62"/>
      <c r="B497" s="62"/>
      <c r="C497" s="18"/>
      <c r="D497" s="18"/>
      <c r="E497" s="18"/>
      <c r="F497" s="18"/>
      <c r="G497" s="18"/>
      <c r="H497" s="18"/>
      <c r="I497" s="18"/>
      <c r="J497" s="18"/>
      <c r="K497" s="18"/>
      <c r="L497" s="18"/>
      <c r="M497" s="18"/>
      <c r="N497" s="18"/>
      <c r="O497" s="18"/>
      <c r="P497" s="18"/>
      <c r="Q497" s="7"/>
      <c r="R497" s="7"/>
      <c r="S497" s="7"/>
      <c r="T497" s="7"/>
      <c r="U497" s="7"/>
      <c r="V497" s="7"/>
      <c r="W497" s="7"/>
      <c r="X497" s="7"/>
      <c r="Y497" s="7"/>
      <c r="Z497" s="7"/>
      <c r="AA497" s="7"/>
    </row>
    <row r="498" spans="1:27" x14ac:dyDescent="0.2">
      <c r="A498" s="62"/>
      <c r="B498" s="62"/>
      <c r="C498" s="18"/>
      <c r="D498" s="18"/>
      <c r="E498" s="18"/>
      <c r="F498" s="18"/>
      <c r="G498" s="18"/>
      <c r="H498" s="18"/>
      <c r="I498" s="18"/>
      <c r="J498" s="18"/>
      <c r="K498" s="18"/>
      <c r="L498" s="18"/>
      <c r="M498" s="18"/>
      <c r="N498" s="18"/>
      <c r="O498" s="18"/>
      <c r="P498" s="18"/>
      <c r="Q498" s="7"/>
      <c r="R498" s="7"/>
      <c r="S498" s="7"/>
      <c r="T498" s="7"/>
      <c r="U498" s="7"/>
      <c r="V498" s="7"/>
      <c r="W498" s="7"/>
      <c r="X498" s="7"/>
      <c r="Y498" s="7"/>
      <c r="Z498" s="7"/>
      <c r="AA498" s="7"/>
    </row>
    <row r="499" spans="1:27" x14ac:dyDescent="0.2">
      <c r="A499" s="62"/>
      <c r="B499" s="62"/>
      <c r="C499" s="18"/>
      <c r="D499" s="18"/>
      <c r="E499" s="18"/>
      <c r="F499" s="18"/>
      <c r="G499" s="18"/>
      <c r="H499" s="18"/>
      <c r="I499" s="18"/>
      <c r="J499" s="18"/>
      <c r="K499" s="18"/>
      <c r="L499" s="18"/>
      <c r="M499" s="18"/>
      <c r="N499" s="18"/>
      <c r="O499" s="18"/>
      <c r="P499" s="18"/>
      <c r="Q499" s="7"/>
      <c r="R499" s="7"/>
      <c r="S499" s="7"/>
      <c r="T499" s="7"/>
      <c r="U499" s="7"/>
      <c r="V499" s="7"/>
      <c r="W499" s="7"/>
      <c r="X499" s="7"/>
      <c r="Y499" s="7"/>
      <c r="Z499" s="7"/>
      <c r="AA499" s="7"/>
    </row>
    <row r="500" spans="1:27" x14ac:dyDescent="0.2">
      <c r="A500" s="62"/>
      <c r="B500" s="62"/>
      <c r="C500" s="18"/>
      <c r="D500" s="18"/>
      <c r="E500" s="18"/>
      <c r="F500" s="18"/>
      <c r="G500" s="18"/>
      <c r="H500" s="18"/>
      <c r="I500" s="18"/>
      <c r="J500" s="18"/>
      <c r="K500" s="18"/>
      <c r="L500" s="18"/>
      <c r="M500" s="18"/>
      <c r="N500" s="18"/>
      <c r="O500" s="18"/>
      <c r="P500" s="18"/>
      <c r="Q500" s="7"/>
      <c r="R500" s="7"/>
      <c r="S500" s="7"/>
      <c r="T500" s="7"/>
      <c r="U500" s="7"/>
      <c r="V500" s="7"/>
      <c r="W500" s="7"/>
      <c r="X500" s="7"/>
      <c r="Y500" s="7"/>
      <c r="Z500" s="7"/>
      <c r="AA500" s="7"/>
    </row>
    <row r="501" spans="1:27" x14ac:dyDescent="0.2">
      <c r="A501" s="62"/>
      <c r="B501" s="62"/>
      <c r="C501" s="18"/>
      <c r="D501" s="18"/>
      <c r="E501" s="18"/>
      <c r="F501" s="18"/>
      <c r="G501" s="18"/>
      <c r="H501" s="18"/>
      <c r="I501" s="18"/>
      <c r="J501" s="18"/>
      <c r="K501" s="18"/>
      <c r="L501" s="18"/>
      <c r="M501" s="18"/>
      <c r="N501" s="18"/>
      <c r="O501" s="18"/>
      <c r="P501" s="18"/>
      <c r="Q501" s="7"/>
      <c r="R501" s="7"/>
      <c r="S501" s="7"/>
      <c r="T501" s="7"/>
      <c r="U501" s="7"/>
      <c r="V501" s="7"/>
      <c r="W501" s="7"/>
      <c r="X501" s="7"/>
      <c r="Y501" s="7"/>
      <c r="Z501" s="7"/>
      <c r="AA501" s="7"/>
    </row>
    <row r="502" spans="1:27" x14ac:dyDescent="0.2">
      <c r="A502" s="62"/>
      <c r="B502" s="62"/>
      <c r="C502" s="18"/>
      <c r="D502" s="18"/>
      <c r="E502" s="18"/>
      <c r="F502" s="18"/>
      <c r="G502" s="18"/>
      <c r="H502" s="18"/>
      <c r="I502" s="18"/>
      <c r="J502" s="18"/>
      <c r="K502" s="18"/>
      <c r="L502" s="18"/>
      <c r="M502" s="18"/>
      <c r="N502" s="18"/>
      <c r="O502" s="18"/>
      <c r="P502" s="18"/>
      <c r="Q502" s="7"/>
      <c r="R502" s="7"/>
      <c r="S502" s="7"/>
      <c r="T502" s="7"/>
      <c r="U502" s="7"/>
      <c r="V502" s="7"/>
      <c r="W502" s="7"/>
      <c r="X502" s="7"/>
      <c r="Y502" s="7"/>
      <c r="Z502" s="7"/>
      <c r="AA502" s="7"/>
    </row>
    <row r="503" spans="1:27" x14ac:dyDescent="0.2">
      <c r="A503" s="62"/>
      <c r="B503" s="62"/>
      <c r="C503" s="18"/>
      <c r="D503" s="18"/>
      <c r="E503" s="18"/>
      <c r="F503" s="18"/>
      <c r="G503" s="18"/>
      <c r="H503" s="18"/>
      <c r="I503" s="18"/>
      <c r="J503" s="18"/>
      <c r="K503" s="18"/>
      <c r="L503" s="18"/>
      <c r="M503" s="18"/>
      <c r="N503" s="18"/>
      <c r="O503" s="18"/>
      <c r="P503" s="18"/>
      <c r="Q503" s="7"/>
      <c r="R503" s="7"/>
      <c r="S503" s="7"/>
      <c r="T503" s="7"/>
      <c r="U503" s="7"/>
      <c r="V503" s="7"/>
      <c r="W503" s="7"/>
      <c r="X503" s="7"/>
      <c r="Y503" s="7"/>
      <c r="Z503" s="7"/>
      <c r="AA503" s="7"/>
    </row>
    <row r="504" spans="1:27" x14ac:dyDescent="0.2">
      <c r="A504" s="62"/>
      <c r="B504" s="62"/>
      <c r="C504" s="18"/>
      <c r="D504" s="18"/>
      <c r="E504" s="18"/>
      <c r="F504" s="18"/>
      <c r="G504" s="18"/>
      <c r="H504" s="18"/>
      <c r="I504" s="18"/>
      <c r="J504" s="18"/>
      <c r="K504" s="18"/>
      <c r="L504" s="18"/>
      <c r="M504" s="18"/>
      <c r="N504" s="18"/>
      <c r="O504" s="18"/>
      <c r="P504" s="18"/>
      <c r="Q504" s="7"/>
      <c r="R504" s="7"/>
      <c r="S504" s="7"/>
      <c r="T504" s="7"/>
      <c r="U504" s="7"/>
      <c r="V504" s="7"/>
      <c r="W504" s="7"/>
      <c r="X504" s="7"/>
      <c r="Y504" s="7"/>
      <c r="Z504" s="7"/>
      <c r="AA504" s="7"/>
    </row>
    <row r="505" spans="1:27" x14ac:dyDescent="0.2">
      <c r="A505" s="62"/>
      <c r="B505" s="62"/>
      <c r="C505" s="18"/>
      <c r="D505" s="18"/>
      <c r="E505" s="18"/>
      <c r="F505" s="18"/>
      <c r="G505" s="18"/>
      <c r="H505" s="18"/>
      <c r="I505" s="18"/>
      <c r="J505" s="18"/>
      <c r="K505" s="18"/>
      <c r="L505" s="18"/>
      <c r="M505" s="18"/>
      <c r="N505" s="18"/>
      <c r="O505" s="18"/>
      <c r="P505" s="18"/>
      <c r="Q505" s="7"/>
      <c r="R505" s="7"/>
      <c r="S505" s="7"/>
      <c r="T505" s="7"/>
      <c r="U505" s="7"/>
      <c r="V505" s="7"/>
      <c r="W505" s="7"/>
      <c r="X505" s="7"/>
      <c r="Y505" s="7"/>
      <c r="Z505" s="7"/>
      <c r="AA505" s="7"/>
    </row>
    <row r="506" spans="1:27" x14ac:dyDescent="0.2">
      <c r="A506" s="62"/>
      <c r="B506" s="62"/>
      <c r="C506" s="18"/>
      <c r="D506" s="18"/>
      <c r="E506" s="18"/>
      <c r="F506" s="18"/>
      <c r="G506" s="18"/>
      <c r="H506" s="18"/>
      <c r="I506" s="18"/>
      <c r="J506" s="18"/>
      <c r="K506" s="18"/>
      <c r="L506" s="18"/>
      <c r="M506" s="18"/>
      <c r="N506" s="18"/>
      <c r="O506" s="18"/>
      <c r="P506" s="18"/>
      <c r="Q506" s="7"/>
      <c r="R506" s="7"/>
      <c r="S506" s="7"/>
      <c r="T506" s="7"/>
      <c r="U506" s="7"/>
      <c r="V506" s="7"/>
      <c r="W506" s="7"/>
      <c r="X506" s="7"/>
      <c r="Y506" s="7"/>
      <c r="Z506" s="7"/>
      <c r="AA506" s="7"/>
    </row>
    <row r="507" spans="1:27" x14ac:dyDescent="0.2">
      <c r="A507" s="62"/>
      <c r="B507" s="62"/>
      <c r="C507" s="18"/>
      <c r="D507" s="18"/>
      <c r="E507" s="18"/>
      <c r="F507" s="18"/>
      <c r="G507" s="18"/>
      <c r="H507" s="18"/>
      <c r="I507" s="18"/>
      <c r="J507" s="18"/>
      <c r="K507" s="18"/>
      <c r="L507" s="18"/>
      <c r="M507" s="18"/>
      <c r="N507" s="18"/>
      <c r="O507" s="18"/>
      <c r="P507" s="18"/>
      <c r="Q507" s="7"/>
      <c r="R507" s="7"/>
      <c r="S507" s="7"/>
      <c r="T507" s="7"/>
      <c r="U507" s="7"/>
      <c r="V507" s="7"/>
      <c r="W507" s="7"/>
      <c r="X507" s="7"/>
      <c r="Y507" s="7"/>
      <c r="Z507" s="7"/>
      <c r="AA507" s="7"/>
    </row>
    <row r="508" spans="1:27" x14ac:dyDescent="0.2">
      <c r="A508" s="62"/>
      <c r="B508" s="62"/>
      <c r="C508" s="18"/>
      <c r="D508" s="18"/>
      <c r="E508" s="18"/>
      <c r="F508" s="18"/>
      <c r="G508" s="18"/>
      <c r="H508" s="18"/>
      <c r="I508" s="18"/>
      <c r="J508" s="18"/>
      <c r="K508" s="18"/>
      <c r="L508" s="18"/>
      <c r="M508" s="18"/>
      <c r="N508" s="18"/>
      <c r="O508" s="18"/>
      <c r="P508" s="18"/>
      <c r="Q508" s="7"/>
      <c r="R508" s="7"/>
      <c r="S508" s="7"/>
      <c r="T508" s="7"/>
      <c r="U508" s="7"/>
      <c r="V508" s="7"/>
      <c r="W508" s="7"/>
      <c r="X508" s="7"/>
      <c r="Y508" s="7"/>
      <c r="Z508" s="7"/>
      <c r="AA508" s="7"/>
    </row>
    <row r="509" spans="1:27" x14ac:dyDescent="0.2">
      <c r="A509" s="62"/>
      <c r="B509" s="62"/>
      <c r="C509" s="18"/>
      <c r="D509" s="18"/>
      <c r="E509" s="18"/>
      <c r="F509" s="18"/>
      <c r="G509" s="18"/>
      <c r="H509" s="18"/>
      <c r="I509" s="18"/>
      <c r="J509" s="18"/>
      <c r="K509" s="18"/>
      <c r="L509" s="18"/>
      <c r="M509" s="18"/>
      <c r="N509" s="18"/>
      <c r="O509" s="18"/>
      <c r="P509" s="18"/>
      <c r="Q509" s="7"/>
      <c r="R509" s="7"/>
      <c r="S509" s="7"/>
      <c r="T509" s="7"/>
      <c r="U509" s="7"/>
      <c r="V509" s="7"/>
      <c r="W509" s="7"/>
      <c r="X509" s="7"/>
      <c r="Y509" s="7"/>
      <c r="Z509" s="7"/>
      <c r="AA509" s="7"/>
    </row>
    <row r="510" spans="1:27" x14ac:dyDescent="0.2">
      <c r="A510" s="62"/>
      <c r="B510" s="62"/>
      <c r="C510" s="18"/>
      <c r="D510" s="18"/>
      <c r="E510" s="18"/>
      <c r="F510" s="18"/>
      <c r="G510" s="18"/>
      <c r="H510" s="18"/>
      <c r="I510" s="18"/>
      <c r="J510" s="18"/>
      <c r="K510" s="18"/>
      <c r="L510" s="18"/>
      <c r="M510" s="18"/>
      <c r="N510" s="18"/>
      <c r="O510" s="18"/>
      <c r="P510" s="18"/>
      <c r="Q510" s="7"/>
      <c r="R510" s="7"/>
      <c r="S510" s="7"/>
      <c r="T510" s="7"/>
      <c r="U510" s="7"/>
      <c r="V510" s="7"/>
      <c r="W510" s="7"/>
      <c r="X510" s="7"/>
      <c r="Y510" s="7"/>
      <c r="Z510" s="7"/>
      <c r="AA510" s="7"/>
    </row>
    <row r="511" spans="1:27" x14ac:dyDescent="0.2">
      <c r="A511" s="62"/>
      <c r="B511" s="62"/>
      <c r="C511" s="18"/>
      <c r="D511" s="18"/>
      <c r="E511" s="18"/>
      <c r="F511" s="18"/>
      <c r="G511" s="18"/>
      <c r="H511" s="18"/>
      <c r="I511" s="18"/>
      <c r="J511" s="18"/>
      <c r="K511" s="18"/>
      <c r="L511" s="18"/>
      <c r="M511" s="18"/>
      <c r="N511" s="18"/>
      <c r="O511" s="18"/>
      <c r="P511" s="18"/>
      <c r="Q511" s="7"/>
      <c r="R511" s="7"/>
      <c r="S511" s="7"/>
      <c r="T511" s="7"/>
      <c r="U511" s="7"/>
      <c r="V511" s="7"/>
      <c r="W511" s="7"/>
      <c r="X511" s="7"/>
      <c r="Y511" s="7"/>
      <c r="Z511" s="7"/>
      <c r="AA511" s="7"/>
    </row>
    <row r="512" spans="1:27" x14ac:dyDescent="0.2">
      <c r="A512" s="62"/>
      <c r="B512" s="62"/>
      <c r="C512" s="18"/>
      <c r="D512" s="18"/>
      <c r="E512" s="18"/>
      <c r="F512" s="18"/>
      <c r="G512" s="18"/>
      <c r="H512" s="18"/>
      <c r="I512" s="18"/>
      <c r="J512" s="18"/>
      <c r="K512" s="18"/>
      <c r="L512" s="18"/>
      <c r="M512" s="18"/>
      <c r="N512" s="18"/>
      <c r="O512" s="18"/>
      <c r="P512" s="18"/>
      <c r="Q512" s="7"/>
      <c r="R512" s="7"/>
      <c r="S512" s="7"/>
      <c r="T512" s="7"/>
      <c r="U512" s="7"/>
      <c r="V512" s="7"/>
      <c r="W512" s="7"/>
      <c r="X512" s="7"/>
      <c r="Y512" s="7"/>
      <c r="Z512" s="7"/>
      <c r="AA512" s="7"/>
    </row>
    <row r="513" spans="1:27" x14ac:dyDescent="0.2">
      <c r="A513" s="62"/>
      <c r="B513" s="62"/>
      <c r="C513" s="18"/>
      <c r="D513" s="18"/>
      <c r="E513" s="18"/>
      <c r="F513" s="18"/>
      <c r="G513" s="18"/>
      <c r="H513" s="18"/>
      <c r="I513" s="18"/>
      <c r="J513" s="18"/>
      <c r="K513" s="18"/>
      <c r="L513" s="18"/>
      <c r="M513" s="18"/>
      <c r="N513" s="18"/>
      <c r="O513" s="18"/>
      <c r="P513" s="18"/>
      <c r="Q513" s="7"/>
      <c r="R513" s="7"/>
      <c r="S513" s="7"/>
      <c r="T513" s="7"/>
      <c r="U513" s="7"/>
      <c r="V513" s="7"/>
      <c r="W513" s="7"/>
      <c r="X513" s="7"/>
      <c r="Y513" s="7"/>
      <c r="Z513" s="7"/>
      <c r="AA513" s="7"/>
    </row>
    <row r="514" spans="1:27" x14ac:dyDescent="0.2">
      <c r="A514" s="62"/>
      <c r="B514" s="62"/>
      <c r="C514" s="18"/>
      <c r="D514" s="18"/>
      <c r="E514" s="18"/>
      <c r="F514" s="18"/>
      <c r="G514" s="18"/>
      <c r="H514" s="18"/>
      <c r="I514" s="18"/>
      <c r="J514" s="18"/>
      <c r="K514" s="18"/>
      <c r="L514" s="18"/>
      <c r="M514" s="18"/>
      <c r="N514" s="18"/>
      <c r="O514" s="18"/>
      <c r="P514" s="18"/>
      <c r="Q514" s="7"/>
      <c r="R514" s="7"/>
      <c r="S514" s="7"/>
      <c r="T514" s="7"/>
      <c r="U514" s="7"/>
      <c r="V514" s="7"/>
      <c r="W514" s="7"/>
      <c r="X514" s="7"/>
      <c r="Y514" s="7"/>
      <c r="Z514" s="7"/>
      <c r="AA514" s="7"/>
    </row>
    <row r="515" spans="1:27" x14ac:dyDescent="0.2">
      <c r="A515" s="62"/>
      <c r="B515" s="62"/>
      <c r="C515" s="18"/>
      <c r="D515" s="18"/>
      <c r="E515" s="18"/>
      <c r="F515" s="18"/>
      <c r="G515" s="18"/>
      <c r="H515" s="18"/>
      <c r="I515" s="18"/>
      <c r="J515" s="18"/>
      <c r="K515" s="18"/>
      <c r="L515" s="18"/>
      <c r="M515" s="18"/>
      <c r="N515" s="18"/>
      <c r="O515" s="18"/>
      <c r="P515" s="18"/>
      <c r="Q515" s="7"/>
      <c r="R515" s="7"/>
      <c r="S515" s="7"/>
      <c r="T515" s="7"/>
      <c r="U515" s="7"/>
      <c r="V515" s="7"/>
      <c r="W515" s="7"/>
      <c r="X515" s="7"/>
      <c r="Y515" s="7"/>
      <c r="Z515" s="7"/>
      <c r="AA515" s="7"/>
    </row>
    <row r="516" spans="1:27" x14ac:dyDescent="0.2">
      <c r="A516" s="62"/>
      <c r="B516" s="62"/>
      <c r="C516" s="18"/>
      <c r="D516" s="18"/>
      <c r="E516" s="18"/>
      <c r="F516" s="18"/>
      <c r="G516" s="18"/>
      <c r="H516" s="18"/>
      <c r="I516" s="18"/>
      <c r="J516" s="18"/>
      <c r="K516" s="18"/>
      <c r="L516" s="18"/>
      <c r="M516" s="18"/>
      <c r="N516" s="18"/>
      <c r="O516" s="18"/>
      <c r="P516" s="18"/>
      <c r="Q516" s="7"/>
      <c r="R516" s="7"/>
      <c r="S516" s="7"/>
      <c r="T516" s="7"/>
      <c r="U516" s="7"/>
      <c r="V516" s="7"/>
      <c r="W516" s="7"/>
      <c r="X516" s="7"/>
      <c r="Y516" s="7"/>
      <c r="Z516" s="7"/>
      <c r="AA516" s="7"/>
    </row>
    <row r="517" spans="1:27" x14ac:dyDescent="0.2">
      <c r="A517" s="62"/>
      <c r="B517" s="62"/>
      <c r="C517" s="18"/>
      <c r="D517" s="18"/>
      <c r="E517" s="18"/>
      <c r="F517" s="18"/>
      <c r="G517" s="18"/>
      <c r="H517" s="18"/>
      <c r="I517" s="18"/>
      <c r="J517" s="18"/>
      <c r="K517" s="18"/>
      <c r="L517" s="18"/>
      <c r="M517" s="18"/>
      <c r="N517" s="18"/>
      <c r="O517" s="18"/>
      <c r="P517" s="18"/>
      <c r="Q517" s="7"/>
      <c r="R517" s="7"/>
      <c r="S517" s="7"/>
      <c r="T517" s="7"/>
      <c r="U517" s="7"/>
      <c r="V517" s="7"/>
      <c r="W517" s="7"/>
      <c r="X517" s="7"/>
      <c r="Y517" s="7"/>
      <c r="Z517" s="7"/>
      <c r="AA517" s="7"/>
    </row>
    <row r="518" spans="1:27" x14ac:dyDescent="0.2">
      <c r="A518" s="62"/>
      <c r="B518" s="62"/>
      <c r="C518" s="18"/>
      <c r="D518" s="18"/>
      <c r="E518" s="18"/>
      <c r="F518" s="18"/>
      <c r="G518" s="18"/>
      <c r="H518" s="18"/>
      <c r="I518" s="18"/>
      <c r="J518" s="18"/>
      <c r="K518" s="18"/>
      <c r="L518" s="18"/>
      <c r="M518" s="18"/>
      <c r="N518" s="18"/>
      <c r="O518" s="18"/>
      <c r="P518" s="18"/>
      <c r="Q518" s="7"/>
      <c r="R518" s="7"/>
      <c r="S518" s="7"/>
      <c r="T518" s="7"/>
      <c r="U518" s="7"/>
      <c r="V518" s="7"/>
      <c r="W518" s="7"/>
      <c r="X518" s="7"/>
      <c r="Y518" s="7"/>
      <c r="Z518" s="7"/>
      <c r="AA518" s="7"/>
    </row>
    <row r="519" spans="1:27" x14ac:dyDescent="0.2">
      <c r="A519" s="62"/>
      <c r="B519" s="62"/>
      <c r="C519" s="18"/>
      <c r="D519" s="18"/>
      <c r="E519" s="18"/>
      <c r="F519" s="18"/>
      <c r="G519" s="18"/>
      <c r="H519" s="18"/>
      <c r="I519" s="18"/>
      <c r="J519" s="18"/>
      <c r="K519" s="18"/>
      <c r="L519" s="18"/>
      <c r="M519" s="18"/>
      <c r="N519" s="18"/>
      <c r="O519" s="18"/>
      <c r="P519" s="18"/>
      <c r="Q519" s="7"/>
      <c r="R519" s="7"/>
      <c r="S519" s="7"/>
      <c r="T519" s="7"/>
      <c r="U519" s="7"/>
      <c r="V519" s="7"/>
      <c r="W519" s="7"/>
      <c r="X519" s="7"/>
      <c r="Y519" s="7"/>
      <c r="Z519" s="7"/>
      <c r="AA519" s="7"/>
    </row>
    <row r="520" spans="1:27" x14ac:dyDescent="0.2">
      <c r="A520" s="62"/>
      <c r="B520" s="62"/>
      <c r="C520" s="18"/>
      <c r="D520" s="18"/>
      <c r="E520" s="18"/>
      <c r="F520" s="18"/>
      <c r="G520" s="18"/>
      <c r="H520" s="18"/>
      <c r="I520" s="18"/>
      <c r="J520" s="18"/>
      <c r="K520" s="18"/>
      <c r="L520" s="18"/>
      <c r="M520" s="18"/>
      <c r="N520" s="18"/>
      <c r="O520" s="18"/>
      <c r="P520" s="18"/>
      <c r="Q520" s="7"/>
      <c r="R520" s="7"/>
      <c r="S520" s="7"/>
      <c r="T520" s="7"/>
      <c r="U520" s="7"/>
      <c r="V520" s="7"/>
      <c r="W520" s="7"/>
      <c r="X520" s="7"/>
      <c r="Y520" s="7"/>
      <c r="Z520" s="7"/>
      <c r="AA520" s="7"/>
    </row>
    <row r="521" spans="1:27" x14ac:dyDescent="0.2">
      <c r="A521" s="62"/>
      <c r="B521" s="62"/>
      <c r="C521" s="18"/>
      <c r="D521" s="18"/>
      <c r="E521" s="18"/>
      <c r="F521" s="18"/>
      <c r="G521" s="18"/>
      <c r="H521" s="18"/>
      <c r="I521" s="18"/>
      <c r="J521" s="18"/>
      <c r="K521" s="18"/>
      <c r="L521" s="18"/>
      <c r="M521" s="18"/>
      <c r="N521" s="18"/>
      <c r="O521" s="18"/>
      <c r="P521" s="18"/>
      <c r="Q521" s="7"/>
      <c r="R521" s="7"/>
      <c r="S521" s="7"/>
      <c r="T521" s="7"/>
      <c r="U521" s="7"/>
      <c r="V521" s="7"/>
      <c r="W521" s="7"/>
      <c r="X521" s="7"/>
      <c r="Y521" s="7"/>
      <c r="Z521" s="7"/>
      <c r="AA521" s="7"/>
    </row>
    <row r="522" spans="1:27" x14ac:dyDescent="0.2">
      <c r="A522" s="62"/>
      <c r="B522" s="62"/>
      <c r="C522" s="18"/>
      <c r="D522" s="18"/>
      <c r="E522" s="18"/>
      <c r="F522" s="18"/>
      <c r="G522" s="18"/>
      <c r="H522" s="18"/>
      <c r="I522" s="18"/>
      <c r="J522" s="18"/>
      <c r="K522" s="18"/>
      <c r="L522" s="18"/>
      <c r="M522" s="18"/>
      <c r="N522" s="18"/>
      <c r="O522" s="18"/>
      <c r="P522" s="18"/>
      <c r="Q522" s="7"/>
      <c r="R522" s="7"/>
      <c r="S522" s="7"/>
      <c r="T522" s="7"/>
      <c r="U522" s="7"/>
      <c r="V522" s="7"/>
      <c r="W522" s="7"/>
      <c r="X522" s="7"/>
      <c r="Y522" s="7"/>
      <c r="Z522" s="7"/>
      <c r="AA522" s="7"/>
    </row>
    <row r="523" spans="1:27" x14ac:dyDescent="0.2">
      <c r="A523" s="62"/>
      <c r="B523" s="62"/>
      <c r="C523" s="18"/>
      <c r="D523" s="18"/>
      <c r="E523" s="18"/>
      <c r="F523" s="18"/>
      <c r="G523" s="18"/>
      <c r="H523" s="18"/>
      <c r="I523" s="18"/>
      <c r="J523" s="18"/>
      <c r="K523" s="18"/>
      <c r="L523" s="18"/>
      <c r="M523" s="18"/>
      <c r="N523" s="18"/>
      <c r="O523" s="18"/>
      <c r="P523" s="18"/>
      <c r="Q523" s="7"/>
      <c r="R523" s="7"/>
      <c r="S523" s="7"/>
      <c r="T523" s="7"/>
      <c r="U523" s="7"/>
      <c r="V523" s="7"/>
      <c r="W523" s="7"/>
      <c r="X523" s="7"/>
      <c r="Y523" s="7"/>
      <c r="Z523" s="7"/>
      <c r="AA523" s="7"/>
    </row>
    <row r="524" spans="1:27" x14ac:dyDescent="0.2">
      <c r="A524" s="62"/>
      <c r="B524" s="62"/>
      <c r="C524" s="18"/>
      <c r="D524" s="18"/>
      <c r="E524" s="18"/>
      <c r="F524" s="18"/>
      <c r="G524" s="18"/>
      <c r="H524" s="18"/>
      <c r="I524" s="18"/>
      <c r="J524" s="18"/>
      <c r="K524" s="18"/>
      <c r="L524" s="18"/>
      <c r="M524" s="18"/>
      <c r="N524" s="18"/>
      <c r="O524" s="18"/>
      <c r="P524" s="18"/>
      <c r="Q524" s="7"/>
      <c r="R524" s="7"/>
      <c r="S524" s="7"/>
      <c r="T524" s="7"/>
      <c r="U524" s="7"/>
      <c r="V524" s="7"/>
      <c r="W524" s="7"/>
      <c r="X524" s="7"/>
      <c r="Y524" s="7"/>
      <c r="Z524" s="7"/>
      <c r="AA524" s="7"/>
    </row>
    <row r="525" spans="1:27" x14ac:dyDescent="0.2">
      <c r="A525" s="62"/>
      <c r="B525" s="62"/>
      <c r="C525" s="18"/>
      <c r="D525" s="18"/>
      <c r="E525" s="18"/>
      <c r="F525" s="18"/>
      <c r="G525" s="18"/>
      <c r="H525" s="18"/>
      <c r="I525" s="18"/>
      <c r="J525" s="18"/>
      <c r="K525" s="18"/>
      <c r="L525" s="18"/>
      <c r="M525" s="18"/>
      <c r="N525" s="18"/>
      <c r="O525" s="18"/>
      <c r="P525" s="18"/>
      <c r="Q525" s="7"/>
      <c r="R525" s="7"/>
      <c r="S525" s="7"/>
      <c r="T525" s="7"/>
      <c r="U525" s="7"/>
      <c r="V525" s="7"/>
      <c r="W525" s="7"/>
      <c r="X525" s="7"/>
      <c r="Y525" s="7"/>
      <c r="Z525" s="7"/>
      <c r="AA525" s="7"/>
    </row>
    <row r="526" spans="1:27" x14ac:dyDescent="0.2">
      <c r="A526" s="14"/>
      <c r="B526" s="14"/>
      <c r="C526" s="7"/>
      <c r="D526" s="7"/>
      <c r="E526" s="7"/>
      <c r="F526" s="7"/>
      <c r="G526" s="7"/>
      <c r="H526" s="7"/>
      <c r="I526" s="7"/>
      <c r="J526" s="7"/>
      <c r="K526" s="7"/>
      <c r="L526" s="7"/>
      <c r="M526" s="7"/>
      <c r="N526" s="7"/>
      <c r="O526" s="7"/>
      <c r="P526" s="7"/>
      <c r="Q526" s="7"/>
      <c r="R526" s="7"/>
      <c r="S526" s="7"/>
      <c r="T526" s="7"/>
      <c r="U526" s="7"/>
      <c r="V526" s="7"/>
      <c r="W526" s="7"/>
      <c r="X526" s="7"/>
      <c r="Y526" s="7"/>
      <c r="Z526" s="7"/>
      <c r="AA526" s="7"/>
    </row>
    <row r="527" spans="1:27" x14ac:dyDescent="0.2">
      <c r="A527" s="14"/>
      <c r="B527" s="14"/>
      <c r="C527" s="7"/>
      <c r="D527" s="7"/>
      <c r="E527" s="7"/>
      <c r="F527" s="7"/>
      <c r="G527" s="7"/>
      <c r="H527" s="7"/>
      <c r="I527" s="7"/>
      <c r="J527" s="7"/>
      <c r="K527" s="7"/>
      <c r="L527" s="7"/>
      <c r="M527" s="7"/>
      <c r="N527" s="7"/>
      <c r="O527" s="7"/>
      <c r="P527" s="7"/>
      <c r="Q527" s="7"/>
      <c r="R527" s="7"/>
      <c r="S527" s="7"/>
      <c r="T527" s="7"/>
      <c r="U527" s="7"/>
      <c r="V527" s="7"/>
      <c r="W527" s="7"/>
      <c r="X527" s="7"/>
      <c r="Y527" s="7"/>
      <c r="Z527" s="7"/>
      <c r="AA527" s="7"/>
    </row>
  </sheetData>
  <mergeCells count="16">
    <mergeCell ref="A2:O2"/>
    <mergeCell ref="A83:D83"/>
    <mergeCell ref="N9:N10"/>
    <mergeCell ref="O9:O10"/>
    <mergeCell ref="A9:A10"/>
    <mergeCell ref="B9:B10"/>
    <mergeCell ref="C9:C10"/>
    <mergeCell ref="K9:M9"/>
    <mergeCell ref="E9:J9"/>
    <mergeCell ref="D9:D10"/>
    <mergeCell ref="B86:O86"/>
    <mergeCell ref="A7:O7"/>
    <mergeCell ref="A6:O6"/>
    <mergeCell ref="A5:O5"/>
    <mergeCell ref="A4:O4"/>
    <mergeCell ref="A3:O3"/>
  </mergeCells>
  <pageMargins left="0.70866141732283472" right="0.70866141732283472" top="1.299212598425197" bottom="0.74803149606299213" header="0.31496062992125984" footer="0.31496062992125984"/>
  <pageSetup paperSize="5" scale="7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86"/>
  <sheetViews>
    <sheetView workbookViewId="0">
      <selection activeCell="C12" sqref="C12"/>
    </sheetView>
  </sheetViews>
  <sheetFormatPr baseColWidth="10" defaultRowHeight="12.75" x14ac:dyDescent="0.2"/>
  <cols>
    <col min="1" max="1" width="8.5703125" customWidth="1"/>
    <col min="2" max="2" width="38.28515625" customWidth="1"/>
    <col min="3" max="3" width="31.28515625" customWidth="1"/>
    <col min="4" max="4" width="24.5703125" customWidth="1"/>
    <col min="5" max="5" width="15.7109375" customWidth="1"/>
  </cols>
  <sheetData>
    <row r="2" spans="1:6" x14ac:dyDescent="0.2">
      <c r="A2" s="296" t="s">
        <v>1068</v>
      </c>
      <c r="B2" s="296"/>
      <c r="C2" s="296"/>
      <c r="D2" s="296"/>
      <c r="E2" s="296"/>
    </row>
    <row r="3" spans="1:6" x14ac:dyDescent="0.2">
      <c r="A3" s="289" t="s">
        <v>1069</v>
      </c>
      <c r="B3" s="289"/>
      <c r="C3" s="289"/>
      <c r="D3" s="289"/>
      <c r="E3" s="289"/>
    </row>
    <row r="4" spans="1:6" x14ac:dyDescent="0.2">
      <c r="A4" s="288" t="s">
        <v>1070</v>
      </c>
      <c r="B4" s="288"/>
      <c r="C4" s="288"/>
      <c r="D4" s="288"/>
      <c r="E4" s="288"/>
    </row>
    <row r="5" spans="1:6" x14ac:dyDescent="0.2">
      <c r="A5" s="238"/>
      <c r="B5" s="289" t="s">
        <v>1071</v>
      </c>
      <c r="C5" s="289"/>
      <c r="D5" s="289"/>
      <c r="E5" s="289"/>
    </row>
    <row r="6" spans="1:6" x14ac:dyDescent="0.2">
      <c r="A6" s="238"/>
      <c r="B6" s="289" t="s">
        <v>1072</v>
      </c>
      <c r="C6" s="289"/>
      <c r="D6" s="289"/>
      <c r="E6" s="289"/>
    </row>
    <row r="7" spans="1:6" x14ac:dyDescent="0.2">
      <c r="A7" s="297" t="s">
        <v>1073</v>
      </c>
      <c r="B7" s="297"/>
      <c r="C7" s="297"/>
      <c r="D7" s="297"/>
      <c r="E7" s="297"/>
    </row>
    <row r="8" spans="1:6" ht="13.5" thickBot="1" x14ac:dyDescent="0.25">
      <c r="A8" s="140"/>
      <c r="B8" s="140"/>
      <c r="C8" s="140"/>
      <c r="D8" s="140"/>
      <c r="E8" s="140"/>
    </row>
    <row r="9" spans="1:6" ht="13.5" thickBot="1" x14ac:dyDescent="0.25">
      <c r="A9" s="298" t="s">
        <v>7</v>
      </c>
      <c r="B9" s="299" t="s">
        <v>13</v>
      </c>
      <c r="C9" s="299" t="s">
        <v>1074</v>
      </c>
      <c r="D9" s="300" t="s">
        <v>14</v>
      </c>
      <c r="E9" s="300" t="s">
        <v>1075</v>
      </c>
      <c r="F9" s="300" t="s">
        <v>985</v>
      </c>
    </row>
    <row r="10" spans="1:6" x14ac:dyDescent="0.2">
      <c r="A10" s="301"/>
      <c r="B10" s="302"/>
      <c r="C10" s="303"/>
      <c r="D10" s="304"/>
      <c r="E10" s="304"/>
      <c r="F10" s="304"/>
    </row>
    <row r="11" spans="1:6" x14ac:dyDescent="0.2">
      <c r="A11" s="305">
        <v>1</v>
      </c>
      <c r="B11" s="306" t="s">
        <v>1076</v>
      </c>
      <c r="C11" s="307" t="s">
        <v>1077</v>
      </c>
      <c r="D11" s="307" t="s">
        <v>467</v>
      </c>
      <c r="E11" s="308">
        <v>2819</v>
      </c>
      <c r="F11" s="318"/>
    </row>
    <row r="12" spans="1:6" ht="25.5" x14ac:dyDescent="0.2">
      <c r="A12" s="305">
        <v>2</v>
      </c>
      <c r="B12" s="309" t="s">
        <v>1078</v>
      </c>
      <c r="C12" s="310" t="s">
        <v>1077</v>
      </c>
      <c r="D12" s="311" t="s">
        <v>1079</v>
      </c>
      <c r="E12" s="312">
        <v>2550</v>
      </c>
      <c r="F12" s="318"/>
    </row>
    <row r="13" spans="1:6" x14ac:dyDescent="0.2">
      <c r="A13" s="313">
        <v>3</v>
      </c>
      <c r="B13" s="309" t="s">
        <v>1080</v>
      </c>
      <c r="C13" s="310" t="s">
        <v>1077</v>
      </c>
      <c r="D13" s="310" t="s">
        <v>1079</v>
      </c>
      <c r="E13" s="312">
        <v>2586</v>
      </c>
      <c r="F13" s="318"/>
    </row>
    <row r="14" spans="1:6" x14ac:dyDescent="0.2">
      <c r="A14" s="305">
        <v>4</v>
      </c>
      <c r="B14" s="309" t="s">
        <v>1081</v>
      </c>
      <c r="C14" s="310" t="s">
        <v>1082</v>
      </c>
      <c r="D14" s="310" t="s">
        <v>1079</v>
      </c>
      <c r="E14" s="312">
        <v>5500</v>
      </c>
      <c r="F14" s="318"/>
    </row>
    <row r="15" spans="1:6" x14ac:dyDescent="0.2">
      <c r="A15" s="305">
        <v>5</v>
      </c>
      <c r="B15" s="309" t="s">
        <v>1083</v>
      </c>
      <c r="C15" s="310" t="s">
        <v>1077</v>
      </c>
      <c r="D15" s="310" t="s">
        <v>1079</v>
      </c>
      <c r="E15" s="312">
        <v>6501</v>
      </c>
      <c r="F15" s="318"/>
    </row>
    <row r="16" spans="1:6" x14ac:dyDescent="0.2">
      <c r="A16" s="314">
        <v>6</v>
      </c>
      <c r="B16" s="309" t="s">
        <v>1084</v>
      </c>
      <c r="C16" s="310" t="s">
        <v>1085</v>
      </c>
      <c r="D16" s="310" t="s">
        <v>1079</v>
      </c>
      <c r="E16" s="312">
        <v>8000</v>
      </c>
      <c r="F16" s="318"/>
    </row>
    <row r="17" spans="1:6" x14ac:dyDescent="0.2">
      <c r="A17" s="314">
        <v>7</v>
      </c>
      <c r="B17" s="309" t="s">
        <v>1086</v>
      </c>
      <c r="C17" s="310" t="s">
        <v>1077</v>
      </c>
      <c r="D17" s="310" t="s">
        <v>1079</v>
      </c>
      <c r="E17" s="312">
        <v>6501</v>
      </c>
      <c r="F17" s="318"/>
    </row>
    <row r="18" spans="1:6" x14ac:dyDescent="0.2">
      <c r="A18" s="313">
        <v>8</v>
      </c>
      <c r="B18" s="309" t="s">
        <v>1087</v>
      </c>
      <c r="C18" s="310" t="s">
        <v>1077</v>
      </c>
      <c r="D18" s="310" t="s">
        <v>467</v>
      </c>
      <c r="E18" s="312">
        <v>8000</v>
      </c>
      <c r="F18" s="318"/>
    </row>
    <row r="19" spans="1:6" x14ac:dyDescent="0.2">
      <c r="A19" s="305">
        <v>9</v>
      </c>
      <c r="B19" s="309" t="s">
        <v>1088</v>
      </c>
      <c r="C19" s="310" t="s">
        <v>1077</v>
      </c>
      <c r="D19" s="310" t="s">
        <v>1079</v>
      </c>
      <c r="E19" s="312">
        <v>6501</v>
      </c>
      <c r="F19" s="318"/>
    </row>
    <row r="20" spans="1:6" x14ac:dyDescent="0.2">
      <c r="A20" s="305">
        <v>10</v>
      </c>
      <c r="B20" s="309" t="s">
        <v>1089</v>
      </c>
      <c r="C20" s="310" t="s">
        <v>1077</v>
      </c>
      <c r="D20" s="310" t="s">
        <v>1079</v>
      </c>
      <c r="E20" s="312">
        <v>6501</v>
      </c>
      <c r="F20" s="318"/>
    </row>
    <row r="21" spans="1:6" x14ac:dyDescent="0.2">
      <c r="A21" s="314">
        <v>11</v>
      </c>
      <c r="B21" s="309" t="s">
        <v>1090</v>
      </c>
      <c r="C21" s="310" t="s">
        <v>1077</v>
      </c>
      <c r="D21" s="310" t="s">
        <v>1079</v>
      </c>
      <c r="E21" s="312">
        <v>6501</v>
      </c>
      <c r="F21" s="318"/>
    </row>
    <row r="22" spans="1:6" x14ac:dyDescent="0.2">
      <c r="A22" s="314">
        <v>12</v>
      </c>
      <c r="B22" s="309" t="s">
        <v>1091</v>
      </c>
      <c r="C22" s="310" t="s">
        <v>1077</v>
      </c>
      <c r="D22" s="310" t="s">
        <v>1079</v>
      </c>
      <c r="E22" s="312">
        <v>6501</v>
      </c>
      <c r="F22" s="318"/>
    </row>
    <row r="23" spans="1:6" x14ac:dyDescent="0.2">
      <c r="A23" s="313">
        <v>13</v>
      </c>
      <c r="B23" s="309" t="s">
        <v>1092</v>
      </c>
      <c r="C23" s="310" t="s">
        <v>1077</v>
      </c>
      <c r="D23" s="310" t="s">
        <v>1079</v>
      </c>
      <c r="E23" s="312">
        <v>6501</v>
      </c>
      <c r="F23" s="318"/>
    </row>
    <row r="24" spans="1:6" x14ac:dyDescent="0.2">
      <c r="A24" s="305">
        <v>14</v>
      </c>
      <c r="B24" s="309" t="s">
        <v>1093</v>
      </c>
      <c r="C24" s="310" t="s">
        <v>1077</v>
      </c>
      <c r="D24" s="310" t="s">
        <v>1079</v>
      </c>
      <c r="E24" s="312">
        <v>6501</v>
      </c>
      <c r="F24" s="318"/>
    </row>
    <row r="25" spans="1:6" x14ac:dyDescent="0.2">
      <c r="A25" s="305">
        <v>15</v>
      </c>
      <c r="B25" s="309" t="s">
        <v>1094</v>
      </c>
      <c r="C25" s="310" t="s">
        <v>1077</v>
      </c>
      <c r="D25" s="310" t="s">
        <v>1079</v>
      </c>
      <c r="E25" s="312">
        <v>6501</v>
      </c>
      <c r="F25" s="318"/>
    </row>
    <row r="26" spans="1:6" x14ac:dyDescent="0.2">
      <c r="A26" s="314">
        <v>16</v>
      </c>
      <c r="B26" s="309" t="s">
        <v>1095</v>
      </c>
      <c r="C26" s="310" t="s">
        <v>1096</v>
      </c>
      <c r="D26" s="310" t="s">
        <v>1079</v>
      </c>
      <c r="E26" s="312">
        <v>12500</v>
      </c>
      <c r="F26" s="318"/>
    </row>
    <row r="27" spans="1:6" x14ac:dyDescent="0.2">
      <c r="A27" s="314">
        <v>17</v>
      </c>
      <c r="B27" s="309" t="s">
        <v>1097</v>
      </c>
      <c r="C27" s="310" t="s">
        <v>1096</v>
      </c>
      <c r="D27" s="310" t="s">
        <v>1079</v>
      </c>
      <c r="E27" s="312">
        <v>6000</v>
      </c>
      <c r="F27" s="318"/>
    </row>
    <row r="28" spans="1:6" x14ac:dyDescent="0.2">
      <c r="A28" s="305">
        <v>18</v>
      </c>
      <c r="B28" s="309" t="s">
        <v>1098</v>
      </c>
      <c r="C28" s="310" t="s">
        <v>1096</v>
      </c>
      <c r="D28" s="310" t="s">
        <v>1079</v>
      </c>
      <c r="E28" s="312">
        <v>6000</v>
      </c>
      <c r="F28" s="318"/>
    </row>
    <row r="29" spans="1:6" x14ac:dyDescent="0.2">
      <c r="A29" s="314">
        <v>19</v>
      </c>
      <c r="B29" s="309" t="s">
        <v>1099</v>
      </c>
      <c r="C29" s="310" t="s">
        <v>1096</v>
      </c>
      <c r="D29" s="310" t="s">
        <v>1079</v>
      </c>
      <c r="E29" s="312">
        <v>6000</v>
      </c>
      <c r="F29" s="318"/>
    </row>
    <row r="30" spans="1:6" x14ac:dyDescent="0.2">
      <c r="A30" s="314">
        <v>20</v>
      </c>
      <c r="B30" s="309" t="s">
        <v>1100</v>
      </c>
      <c r="C30" s="310" t="s">
        <v>1096</v>
      </c>
      <c r="D30" s="310" t="s">
        <v>1079</v>
      </c>
      <c r="E30" s="312">
        <v>3500</v>
      </c>
      <c r="F30" s="318"/>
    </row>
    <row r="31" spans="1:6" x14ac:dyDescent="0.2">
      <c r="A31" s="305">
        <v>21</v>
      </c>
      <c r="B31" s="309" t="s">
        <v>1101</v>
      </c>
      <c r="C31" s="310" t="s">
        <v>1096</v>
      </c>
      <c r="D31" s="310" t="s">
        <v>1079</v>
      </c>
      <c r="E31" s="312">
        <v>7000</v>
      </c>
      <c r="F31" s="318"/>
    </row>
    <row r="32" spans="1:6" x14ac:dyDescent="0.2">
      <c r="A32" s="305">
        <v>22</v>
      </c>
      <c r="B32" s="309" t="s">
        <v>1102</v>
      </c>
      <c r="C32" s="310" t="s">
        <v>1096</v>
      </c>
      <c r="D32" s="310" t="s">
        <v>467</v>
      </c>
      <c r="E32" s="312">
        <v>10500</v>
      </c>
      <c r="F32" s="318"/>
    </row>
    <row r="33" spans="1:6" x14ac:dyDescent="0.2">
      <c r="A33" s="314">
        <v>23</v>
      </c>
      <c r="B33" s="309" t="s">
        <v>1103</v>
      </c>
      <c r="C33" s="310" t="s">
        <v>1096</v>
      </c>
      <c r="D33" s="310" t="s">
        <v>1079</v>
      </c>
      <c r="E33" s="312">
        <v>6000</v>
      </c>
      <c r="F33" s="318"/>
    </row>
    <row r="34" spans="1:6" x14ac:dyDescent="0.2">
      <c r="A34" s="314">
        <v>24</v>
      </c>
      <c r="B34" s="309" t="s">
        <v>1104</v>
      </c>
      <c r="C34" s="310" t="s">
        <v>1096</v>
      </c>
      <c r="D34" s="310" t="s">
        <v>1079</v>
      </c>
      <c r="E34" s="312">
        <v>6000</v>
      </c>
      <c r="F34" s="318"/>
    </row>
    <row r="35" spans="1:6" x14ac:dyDescent="0.2">
      <c r="A35" s="305">
        <v>25</v>
      </c>
      <c r="B35" s="309" t="s">
        <v>1105</v>
      </c>
      <c r="C35" s="310" t="s">
        <v>1096</v>
      </c>
      <c r="D35" s="310" t="s">
        <v>467</v>
      </c>
      <c r="E35" s="312">
        <v>7000</v>
      </c>
      <c r="F35" s="318"/>
    </row>
    <row r="36" spans="1:6" x14ac:dyDescent="0.2">
      <c r="A36" s="305">
        <v>26</v>
      </c>
      <c r="B36" s="309" t="s">
        <v>1106</v>
      </c>
      <c r="C36" s="310" t="s">
        <v>1107</v>
      </c>
      <c r="D36" s="310" t="s">
        <v>1079</v>
      </c>
      <c r="E36" s="312">
        <v>12000</v>
      </c>
      <c r="F36" s="318"/>
    </row>
    <row r="37" spans="1:6" x14ac:dyDescent="0.2">
      <c r="A37" s="314">
        <v>27</v>
      </c>
      <c r="B37" s="309" t="s">
        <v>1108</v>
      </c>
      <c r="C37" s="310" t="s">
        <v>1107</v>
      </c>
      <c r="D37" s="310" t="s">
        <v>467</v>
      </c>
      <c r="E37" s="312">
        <v>27000</v>
      </c>
      <c r="F37" s="318"/>
    </row>
    <row r="38" spans="1:6" x14ac:dyDescent="0.2">
      <c r="A38" s="314">
        <v>28</v>
      </c>
      <c r="B38" s="309" t="s">
        <v>1109</v>
      </c>
      <c r="C38" s="310" t="s">
        <v>1082</v>
      </c>
      <c r="D38" s="310" t="s">
        <v>1079</v>
      </c>
      <c r="E38" s="312">
        <v>9000</v>
      </c>
      <c r="F38" s="318"/>
    </row>
    <row r="39" spans="1:6" x14ac:dyDescent="0.2">
      <c r="A39" s="305">
        <v>29</v>
      </c>
      <c r="B39" s="309" t="s">
        <v>1110</v>
      </c>
      <c r="C39" s="310" t="s">
        <v>1082</v>
      </c>
      <c r="D39" s="310" t="s">
        <v>1079</v>
      </c>
      <c r="E39" s="312">
        <v>5500</v>
      </c>
      <c r="F39" s="318"/>
    </row>
    <row r="40" spans="1:6" x14ac:dyDescent="0.2">
      <c r="A40" s="305">
        <v>30</v>
      </c>
      <c r="B40" s="309" t="s">
        <v>1111</v>
      </c>
      <c r="C40" s="310" t="s">
        <v>1112</v>
      </c>
      <c r="D40" s="310" t="s">
        <v>1079</v>
      </c>
      <c r="E40" s="312">
        <v>10605</v>
      </c>
      <c r="F40" s="318"/>
    </row>
    <row r="41" spans="1:6" x14ac:dyDescent="0.2">
      <c r="A41" s="314">
        <v>31</v>
      </c>
      <c r="B41" s="309" t="s">
        <v>1113</v>
      </c>
      <c r="C41" s="310" t="s">
        <v>1096</v>
      </c>
      <c r="D41" s="310" t="s">
        <v>1079</v>
      </c>
      <c r="E41" s="312">
        <v>7000</v>
      </c>
      <c r="F41" s="318"/>
    </row>
    <row r="42" spans="1:6" x14ac:dyDescent="0.2">
      <c r="A42" s="314">
        <v>32</v>
      </c>
      <c r="B42" s="309" t="s">
        <v>1114</v>
      </c>
      <c r="C42" s="310" t="s">
        <v>1077</v>
      </c>
      <c r="D42" s="310" t="s">
        <v>1079</v>
      </c>
      <c r="E42" s="312">
        <v>6501</v>
      </c>
      <c r="F42" s="318"/>
    </row>
    <row r="43" spans="1:6" x14ac:dyDescent="0.2">
      <c r="A43" s="315">
        <v>33</v>
      </c>
      <c r="B43" s="316" t="s">
        <v>1115</v>
      </c>
      <c r="C43" s="316" t="s">
        <v>1096</v>
      </c>
      <c r="D43" s="316" t="s">
        <v>467</v>
      </c>
      <c r="E43" s="317">
        <v>14520</v>
      </c>
      <c r="F43" s="318"/>
    </row>
    <row r="44" spans="1:6" x14ac:dyDescent="0.2">
      <c r="A44" s="315">
        <v>34</v>
      </c>
      <c r="B44" s="316" t="s">
        <v>1116</v>
      </c>
      <c r="C44" s="316" t="s">
        <v>1117</v>
      </c>
      <c r="D44" s="316" t="s">
        <v>1079</v>
      </c>
      <c r="E44" s="317">
        <v>4500</v>
      </c>
      <c r="F44" s="318"/>
    </row>
    <row r="45" spans="1:6" x14ac:dyDescent="0.2">
      <c r="A45" s="315">
        <v>35</v>
      </c>
      <c r="B45" s="316" t="s">
        <v>1118</v>
      </c>
      <c r="C45" s="316" t="s">
        <v>1077</v>
      </c>
      <c r="D45" s="316" t="s">
        <v>1079</v>
      </c>
      <c r="E45" s="317">
        <v>2453</v>
      </c>
      <c r="F45" s="318"/>
    </row>
    <row r="46" spans="1:6" x14ac:dyDescent="0.2">
      <c r="A46" s="315">
        <v>36</v>
      </c>
      <c r="B46" s="316" t="s">
        <v>1119</v>
      </c>
      <c r="C46" s="316" t="s">
        <v>1077</v>
      </c>
      <c r="D46" s="316" t="s">
        <v>1079</v>
      </c>
      <c r="E46" s="317">
        <v>3921</v>
      </c>
      <c r="F46" s="318"/>
    </row>
    <row r="47" spans="1:6" x14ac:dyDescent="0.2">
      <c r="A47" s="315">
        <v>37</v>
      </c>
      <c r="B47" s="316" t="s">
        <v>1120</v>
      </c>
      <c r="C47" s="316" t="s">
        <v>1077</v>
      </c>
      <c r="D47" s="316" t="s">
        <v>1079</v>
      </c>
      <c r="E47" s="317">
        <v>3921</v>
      </c>
      <c r="F47" s="318"/>
    </row>
    <row r="48" spans="1:6" x14ac:dyDescent="0.2">
      <c r="A48" s="315">
        <v>38</v>
      </c>
      <c r="B48" s="316" t="s">
        <v>1121</v>
      </c>
      <c r="C48" s="316" t="s">
        <v>1096</v>
      </c>
      <c r="D48" s="316" t="s">
        <v>1079</v>
      </c>
      <c r="E48" s="317">
        <v>7500</v>
      </c>
      <c r="F48" s="318"/>
    </row>
    <row r="49" spans="1:6" x14ac:dyDescent="0.2">
      <c r="A49" s="315">
        <v>39</v>
      </c>
      <c r="B49" s="316" t="s">
        <v>1122</v>
      </c>
      <c r="C49" s="316" t="s">
        <v>1096</v>
      </c>
      <c r="D49" s="316" t="s">
        <v>1079</v>
      </c>
      <c r="E49" s="317">
        <v>7500</v>
      </c>
      <c r="F49" s="318"/>
    </row>
    <row r="50" spans="1:6" x14ac:dyDescent="0.2">
      <c r="A50" s="315">
        <v>40</v>
      </c>
      <c r="B50" s="316" t="s">
        <v>1123</v>
      </c>
      <c r="C50" s="316" t="s">
        <v>1096</v>
      </c>
      <c r="D50" s="316" t="s">
        <v>1079</v>
      </c>
      <c r="E50" s="317">
        <v>8333</v>
      </c>
      <c r="F50" s="318"/>
    </row>
    <row r="51" spans="1:6" x14ac:dyDescent="0.2">
      <c r="A51" s="315">
        <v>41</v>
      </c>
      <c r="B51" s="316" t="s">
        <v>1124</v>
      </c>
      <c r="C51" s="316" t="s">
        <v>1096</v>
      </c>
      <c r="D51" s="316" t="s">
        <v>1079</v>
      </c>
      <c r="E51" s="317">
        <v>8333</v>
      </c>
      <c r="F51" s="318"/>
    </row>
    <row r="52" spans="1:6" x14ac:dyDescent="0.2">
      <c r="A52" s="315">
        <v>42</v>
      </c>
      <c r="B52" s="316" t="s">
        <v>1125</v>
      </c>
      <c r="C52" s="316" t="s">
        <v>1077</v>
      </c>
      <c r="D52" s="316" t="s">
        <v>1079</v>
      </c>
      <c r="E52" s="317">
        <v>4010</v>
      </c>
      <c r="F52" s="318"/>
    </row>
    <row r="53" spans="1:6" x14ac:dyDescent="0.2">
      <c r="A53" s="315">
        <v>43</v>
      </c>
      <c r="B53" s="316" t="s">
        <v>1126</v>
      </c>
      <c r="C53" s="316" t="s">
        <v>1077</v>
      </c>
      <c r="D53" s="316" t="s">
        <v>1079</v>
      </c>
      <c r="E53" s="317">
        <v>2550</v>
      </c>
      <c r="F53" s="318"/>
    </row>
    <row r="54" spans="1:6" x14ac:dyDescent="0.2">
      <c r="A54" s="315">
        <v>44</v>
      </c>
      <c r="B54" s="316" t="s">
        <v>1127</v>
      </c>
      <c r="C54" s="316" t="s">
        <v>1077</v>
      </c>
      <c r="D54" s="316" t="s">
        <v>1079</v>
      </c>
      <c r="E54" s="317">
        <v>13300</v>
      </c>
      <c r="F54" s="318"/>
    </row>
    <row r="55" spans="1:6" x14ac:dyDescent="0.2">
      <c r="A55" s="315">
        <v>45</v>
      </c>
      <c r="B55" s="316" t="s">
        <v>1128</v>
      </c>
      <c r="C55" s="316" t="s">
        <v>1077</v>
      </c>
      <c r="D55" s="316" t="s">
        <v>467</v>
      </c>
      <c r="E55" s="317">
        <v>10000</v>
      </c>
      <c r="F55" s="318"/>
    </row>
    <row r="56" spans="1:6" x14ac:dyDescent="0.2">
      <c r="A56" s="315">
        <v>46</v>
      </c>
      <c r="B56" s="316" t="s">
        <v>1129</v>
      </c>
      <c r="C56" s="316" t="s">
        <v>1077</v>
      </c>
      <c r="D56" s="316" t="s">
        <v>1079</v>
      </c>
      <c r="E56" s="317">
        <v>13300</v>
      </c>
      <c r="F56" s="318"/>
    </row>
    <row r="57" spans="1:6" x14ac:dyDescent="0.2">
      <c r="A57" s="315">
        <v>47</v>
      </c>
      <c r="B57" s="316" t="s">
        <v>1130</v>
      </c>
      <c r="C57" s="316" t="s">
        <v>1077</v>
      </c>
      <c r="D57" s="316" t="s">
        <v>1079</v>
      </c>
      <c r="E57" s="317">
        <v>1632</v>
      </c>
      <c r="F57" s="318"/>
    </row>
    <row r="58" spans="1:6" x14ac:dyDescent="0.2">
      <c r="A58" s="315">
        <v>48</v>
      </c>
      <c r="B58" s="316" t="s">
        <v>1131</v>
      </c>
      <c r="C58" s="316" t="s">
        <v>1077</v>
      </c>
      <c r="D58" s="316" t="s">
        <v>1079</v>
      </c>
      <c r="E58" s="317">
        <v>2550</v>
      </c>
      <c r="F58" s="318"/>
    </row>
    <row r="59" spans="1:6" x14ac:dyDescent="0.2">
      <c r="A59" s="315">
        <v>49</v>
      </c>
      <c r="B59" s="316" t="s">
        <v>1132</v>
      </c>
      <c r="C59" s="316" t="s">
        <v>1077</v>
      </c>
      <c r="D59" s="316" t="s">
        <v>1079</v>
      </c>
      <c r="E59" s="317">
        <v>10000</v>
      </c>
      <c r="F59" s="318"/>
    </row>
    <row r="60" spans="1:6" x14ac:dyDescent="0.2">
      <c r="A60" s="315">
        <v>50</v>
      </c>
      <c r="B60" s="316" t="s">
        <v>1133</v>
      </c>
      <c r="C60" s="316" t="s">
        <v>1077</v>
      </c>
      <c r="D60" s="316" t="s">
        <v>1079</v>
      </c>
      <c r="E60" s="317">
        <v>2694</v>
      </c>
      <c r="F60" s="318"/>
    </row>
    <row r="61" spans="1:6" x14ac:dyDescent="0.2">
      <c r="A61" s="315">
        <v>51</v>
      </c>
      <c r="B61" s="316" t="s">
        <v>1134</v>
      </c>
      <c r="C61" s="316" t="s">
        <v>1077</v>
      </c>
      <c r="D61" s="316" t="s">
        <v>1079</v>
      </c>
      <c r="E61" s="317">
        <v>4010</v>
      </c>
      <c r="F61" s="318"/>
    </row>
    <row r="62" spans="1:6" x14ac:dyDescent="0.2">
      <c r="A62" s="315">
        <v>52</v>
      </c>
      <c r="B62" s="316" t="s">
        <v>1135</v>
      </c>
      <c r="C62" s="316" t="s">
        <v>1077</v>
      </c>
      <c r="D62" s="316" t="s">
        <v>1079</v>
      </c>
      <c r="E62" s="317">
        <v>10000</v>
      </c>
      <c r="F62" s="318"/>
    </row>
    <row r="63" spans="1:6" x14ac:dyDescent="0.2">
      <c r="A63" s="315">
        <v>53</v>
      </c>
      <c r="B63" s="316" t="s">
        <v>1136</v>
      </c>
      <c r="C63" s="316" t="s">
        <v>1077</v>
      </c>
      <c r="D63" s="316" t="s">
        <v>1079</v>
      </c>
      <c r="E63" s="317">
        <v>5673</v>
      </c>
      <c r="F63" s="318"/>
    </row>
    <row r="64" spans="1:6" x14ac:dyDescent="0.2">
      <c r="A64" s="315">
        <v>54</v>
      </c>
      <c r="B64" s="316" t="s">
        <v>1137</v>
      </c>
      <c r="C64" s="316" t="s">
        <v>1077</v>
      </c>
      <c r="D64" s="316" t="s">
        <v>467</v>
      </c>
      <c r="E64" s="317">
        <v>7000</v>
      </c>
      <c r="F64" s="318"/>
    </row>
    <row r="65" spans="1:6" x14ac:dyDescent="0.2">
      <c r="A65" s="315">
        <v>55</v>
      </c>
      <c r="B65" s="316" t="s">
        <v>1138</v>
      </c>
      <c r="C65" s="316" t="s">
        <v>1077</v>
      </c>
      <c r="D65" s="316" t="s">
        <v>1079</v>
      </c>
      <c r="E65" s="317">
        <v>2300</v>
      </c>
      <c r="F65" s="318"/>
    </row>
    <row r="66" spans="1:6" x14ac:dyDescent="0.2">
      <c r="A66" s="315">
        <v>56</v>
      </c>
      <c r="B66" s="316" t="s">
        <v>1139</v>
      </c>
      <c r="C66" s="316" t="s">
        <v>1077</v>
      </c>
      <c r="D66" s="316" t="s">
        <v>467</v>
      </c>
      <c r="E66" s="317">
        <v>8000</v>
      </c>
      <c r="F66" s="318"/>
    </row>
    <row r="67" spans="1:6" x14ac:dyDescent="0.2">
      <c r="A67" s="315">
        <v>57</v>
      </c>
      <c r="B67" s="316" t="s">
        <v>1140</v>
      </c>
      <c r="C67" s="316" t="s">
        <v>1096</v>
      </c>
      <c r="D67" s="316" t="s">
        <v>1079</v>
      </c>
      <c r="E67" s="317">
        <v>12500</v>
      </c>
      <c r="F67" s="318"/>
    </row>
    <row r="68" spans="1:6" x14ac:dyDescent="0.2">
      <c r="A68" s="315">
        <v>58</v>
      </c>
      <c r="B68" s="316" t="s">
        <v>1141</v>
      </c>
      <c r="C68" s="316" t="s">
        <v>1096</v>
      </c>
      <c r="D68" s="316" t="s">
        <v>1079</v>
      </c>
      <c r="E68" s="317">
        <v>9750</v>
      </c>
      <c r="F68" s="318"/>
    </row>
    <row r="69" spans="1:6" x14ac:dyDescent="0.2">
      <c r="A69" s="315">
        <v>59</v>
      </c>
      <c r="B69" s="316" t="s">
        <v>1142</v>
      </c>
      <c r="C69" s="316" t="s">
        <v>1096</v>
      </c>
      <c r="D69" s="316" t="s">
        <v>1079</v>
      </c>
      <c r="E69" s="317">
        <v>7000</v>
      </c>
      <c r="F69" s="318"/>
    </row>
    <row r="70" spans="1:6" x14ac:dyDescent="0.2">
      <c r="A70" s="315">
        <v>60</v>
      </c>
      <c r="B70" s="316" t="s">
        <v>1143</v>
      </c>
      <c r="C70" s="316" t="s">
        <v>1096</v>
      </c>
      <c r="D70" s="316" t="s">
        <v>1079</v>
      </c>
      <c r="E70" s="317">
        <v>6000</v>
      </c>
      <c r="F70" s="318"/>
    </row>
    <row r="71" spans="1:6" x14ac:dyDescent="0.2">
      <c r="A71" s="315">
        <v>61</v>
      </c>
      <c r="B71" s="316" t="s">
        <v>1144</v>
      </c>
      <c r="C71" s="316" t="s">
        <v>1082</v>
      </c>
      <c r="D71" s="316" t="s">
        <v>1079</v>
      </c>
      <c r="E71" s="317">
        <v>12250</v>
      </c>
      <c r="F71" s="318"/>
    </row>
    <row r="72" spans="1:6" x14ac:dyDescent="0.2">
      <c r="A72" s="315">
        <v>62</v>
      </c>
      <c r="B72" s="316" t="s">
        <v>1145</v>
      </c>
      <c r="C72" s="316" t="s">
        <v>1077</v>
      </c>
      <c r="D72" s="316" t="s">
        <v>1079</v>
      </c>
      <c r="E72" s="317">
        <v>5673</v>
      </c>
      <c r="F72" s="318"/>
    </row>
    <row r="73" spans="1:6" x14ac:dyDescent="0.2">
      <c r="A73" s="315">
        <v>63</v>
      </c>
      <c r="B73" s="316" t="s">
        <v>1146</v>
      </c>
      <c r="C73" s="316" t="s">
        <v>1077</v>
      </c>
      <c r="D73" s="316" t="s">
        <v>1079</v>
      </c>
      <c r="E73" s="317">
        <v>5673</v>
      </c>
      <c r="F73" s="318"/>
    </row>
    <row r="74" spans="1:6" x14ac:dyDescent="0.2">
      <c r="A74" s="315">
        <v>64</v>
      </c>
      <c r="B74" s="316" t="s">
        <v>1147</v>
      </c>
      <c r="C74" s="316" t="s">
        <v>1077</v>
      </c>
      <c r="D74" s="316" t="s">
        <v>1079</v>
      </c>
      <c r="E74" s="317">
        <v>7076</v>
      </c>
      <c r="F74" s="318"/>
    </row>
    <row r="75" spans="1:6" x14ac:dyDescent="0.2">
      <c r="A75" s="315">
        <v>65</v>
      </c>
      <c r="B75" s="316" t="s">
        <v>1148</v>
      </c>
      <c r="C75" s="316" t="s">
        <v>1077</v>
      </c>
      <c r="D75" s="316" t="s">
        <v>1079</v>
      </c>
      <c r="E75" s="317">
        <v>5673</v>
      </c>
      <c r="F75" s="318"/>
    </row>
    <row r="76" spans="1:6" x14ac:dyDescent="0.2">
      <c r="A76" s="315">
        <v>66</v>
      </c>
      <c r="B76" s="316" t="s">
        <v>1149</v>
      </c>
      <c r="C76" s="316" t="s">
        <v>1077</v>
      </c>
      <c r="D76" s="316" t="s">
        <v>1079</v>
      </c>
      <c r="E76" s="317">
        <v>5066</v>
      </c>
      <c r="F76" s="318"/>
    </row>
    <row r="77" spans="1:6" x14ac:dyDescent="0.2">
      <c r="A77" s="315">
        <v>67</v>
      </c>
      <c r="B77" s="316" t="s">
        <v>1150</v>
      </c>
      <c r="C77" s="316" t="s">
        <v>1077</v>
      </c>
      <c r="D77" s="316" t="s">
        <v>1079</v>
      </c>
      <c r="E77" s="317">
        <v>6501</v>
      </c>
      <c r="F77" s="318"/>
    </row>
    <row r="78" spans="1:6" x14ac:dyDescent="0.2">
      <c r="A78" s="315">
        <v>68</v>
      </c>
      <c r="B78" s="316" t="s">
        <v>1151</v>
      </c>
      <c r="C78" s="316" t="s">
        <v>1077</v>
      </c>
      <c r="D78" s="316" t="s">
        <v>1079</v>
      </c>
      <c r="E78" s="317">
        <v>5673</v>
      </c>
      <c r="F78" s="318"/>
    </row>
    <row r="79" spans="1:6" x14ac:dyDescent="0.2">
      <c r="A79" s="315">
        <v>69</v>
      </c>
      <c r="B79" s="316" t="s">
        <v>1152</v>
      </c>
      <c r="C79" s="316" t="s">
        <v>1077</v>
      </c>
      <c r="D79" s="316" t="s">
        <v>1079</v>
      </c>
      <c r="E79" s="317">
        <v>5673</v>
      </c>
      <c r="F79" s="318"/>
    </row>
    <row r="80" spans="1:6" x14ac:dyDescent="0.2">
      <c r="A80" s="315">
        <v>70</v>
      </c>
      <c r="B80" s="316" t="s">
        <v>1153</v>
      </c>
      <c r="C80" s="316" t="s">
        <v>1107</v>
      </c>
      <c r="D80" s="316" t="s">
        <v>467</v>
      </c>
      <c r="E80" s="317">
        <v>9600</v>
      </c>
      <c r="F80" s="318"/>
    </row>
    <row r="81" spans="1:6" x14ac:dyDescent="0.2">
      <c r="A81" s="315">
        <v>71</v>
      </c>
      <c r="B81" s="316" t="s">
        <v>1154</v>
      </c>
      <c r="C81" s="316" t="s">
        <v>1077</v>
      </c>
      <c r="D81" s="316" t="s">
        <v>1079</v>
      </c>
      <c r="E81" s="317">
        <v>6501</v>
      </c>
      <c r="F81" s="318"/>
    </row>
    <row r="82" spans="1:6" x14ac:dyDescent="0.2">
      <c r="A82" s="315">
        <v>72</v>
      </c>
      <c r="B82" s="316" t="s">
        <v>1155</v>
      </c>
      <c r="C82" s="316" t="s">
        <v>1077</v>
      </c>
      <c r="D82" s="316" t="s">
        <v>1079</v>
      </c>
      <c r="E82" s="317">
        <v>5673</v>
      </c>
      <c r="F82" s="318"/>
    </row>
    <row r="83" spans="1:6" x14ac:dyDescent="0.2">
      <c r="A83" s="315">
        <v>73</v>
      </c>
      <c r="B83" s="316" t="s">
        <v>1156</v>
      </c>
      <c r="C83" s="316" t="s">
        <v>1077</v>
      </c>
      <c r="D83" s="316" t="s">
        <v>1079</v>
      </c>
      <c r="E83" s="317">
        <v>5673</v>
      </c>
      <c r="F83" s="318"/>
    </row>
    <row r="84" spans="1:6" x14ac:dyDescent="0.2">
      <c r="A84" s="315">
        <v>74</v>
      </c>
      <c r="B84" s="316" t="s">
        <v>1157</v>
      </c>
      <c r="C84" s="316" t="s">
        <v>1077</v>
      </c>
      <c r="D84" s="316" t="s">
        <v>1079</v>
      </c>
      <c r="E84" s="317">
        <v>5673</v>
      </c>
      <c r="F84" s="318"/>
    </row>
    <row r="85" spans="1:6" x14ac:dyDescent="0.2">
      <c r="A85" s="315">
        <v>75</v>
      </c>
      <c r="B85" s="316" t="s">
        <v>1158</v>
      </c>
      <c r="C85" s="316" t="s">
        <v>1077</v>
      </c>
      <c r="D85" s="316" t="s">
        <v>1079</v>
      </c>
      <c r="E85" s="317">
        <v>5673</v>
      </c>
      <c r="F85" s="318"/>
    </row>
    <row r="86" spans="1:6" x14ac:dyDescent="0.2">
      <c r="A86" s="315">
        <v>76</v>
      </c>
      <c r="B86" s="316" t="s">
        <v>1159</v>
      </c>
      <c r="C86" s="316" t="s">
        <v>1077</v>
      </c>
      <c r="D86" s="316" t="s">
        <v>1079</v>
      </c>
      <c r="E86" s="317">
        <v>5673</v>
      </c>
      <c r="F86" s="318"/>
    </row>
  </sheetData>
  <mergeCells count="12">
    <mergeCell ref="A9:A10"/>
    <mergeCell ref="B9:B10"/>
    <mergeCell ref="C9:C10"/>
    <mergeCell ref="D9:D10"/>
    <mergeCell ref="E9:E10"/>
    <mergeCell ref="F9:F10"/>
    <mergeCell ref="A2:E2"/>
    <mergeCell ref="A3:E3"/>
    <mergeCell ref="A4:E4"/>
    <mergeCell ref="B5:E5"/>
    <mergeCell ref="B6:E6"/>
    <mergeCell ref="A7:E7"/>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RENGLON 011</vt:lpstr>
      <vt:lpstr>RENGLON 021</vt:lpstr>
      <vt:lpstr>RENGLON 022</vt:lpstr>
      <vt:lpstr>RENGLON 029</vt:lpstr>
      <vt:lpstr>RENGLON 031</vt:lpstr>
      <vt:lpstr>SUBGRUPO 18</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LUISA ANA PAOLA</dc:creator>
  <cp:lastModifiedBy>amperez</cp:lastModifiedBy>
  <cp:lastPrinted>2017-07-06T16:23:41Z</cp:lastPrinted>
  <dcterms:created xsi:type="dcterms:W3CDTF">2013-11-29T23:12:09Z</dcterms:created>
  <dcterms:modified xsi:type="dcterms:W3CDTF">2017-07-12T19:52:21Z</dcterms:modified>
</cp:coreProperties>
</file>