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3. ARTES\3. MARZO\"/>
    </mc:Choice>
  </mc:AlternateContent>
  <bookViews>
    <workbookView xWindow="-120" yWindow="-120" windowWidth="20730" windowHeight="11160"/>
  </bookViews>
  <sheets>
    <sheet name="RENGLON 011" sheetId="10" r:id="rId1"/>
    <sheet name="RENGLON 021" sheetId="11" r:id="rId2"/>
    <sheet name="RENGLON 029  " sheetId="14" r:id="rId3"/>
    <sheet name="RENGLON 031 " sheetId="15" r:id="rId4"/>
    <sheet name="SUBGRUPO 18" sheetId="16" r:id="rId5"/>
  </sheets>
  <definedNames>
    <definedName name="_xlnm._FilterDatabase" localSheetId="0" hidden="1">'RENGLON 011'!$A$2:$W$301</definedName>
    <definedName name="_xlnm._FilterDatabase" localSheetId="1" hidden="1">'RENGLON 021'!$B$10:$B$736</definedName>
    <definedName name="_xlnm._FilterDatabase" localSheetId="2" hidden="1">'RENGLON 029  '!$A$7:$H$115</definedName>
    <definedName name="_xlnm._FilterDatabase" localSheetId="3" hidden="1">'RENGLON 031 '!$A$11:$O$88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4" l="1"/>
  <c r="N152" i="11" l="1"/>
  <c r="O152" i="11" s="1"/>
  <c r="K152" i="11"/>
  <c r="I152" i="11"/>
  <c r="J152" i="11"/>
  <c r="N294" i="11"/>
  <c r="O294" i="11" s="1"/>
  <c r="K294" i="11"/>
  <c r="I294" i="11"/>
  <c r="J294" i="11"/>
  <c r="K53" i="15"/>
  <c r="M53" i="15" s="1"/>
  <c r="N53" i="15" s="1"/>
  <c r="J53" i="15"/>
  <c r="G9" i="14"/>
  <c r="G15" i="14"/>
  <c r="K40" i="15" l="1"/>
  <c r="M40" i="15" s="1"/>
  <c r="N40" i="15" s="1"/>
  <c r="J40" i="15"/>
  <c r="G76" i="14" l="1"/>
  <c r="H43" i="14" l="1"/>
  <c r="H93" i="14"/>
  <c r="H101" i="14"/>
  <c r="H84" i="14"/>
  <c r="H86" i="14"/>
  <c r="H53" i="14"/>
  <c r="H83" i="14"/>
  <c r="H56" i="14"/>
  <c r="H50" i="14"/>
  <c r="H42" i="14"/>
  <c r="W105" i="10"/>
  <c r="W187" i="10"/>
  <c r="W35" i="10"/>
  <c r="W84" i="10"/>
  <c r="W220" i="10"/>
  <c r="W225" i="10"/>
  <c r="W154" i="10"/>
  <c r="W99" i="10"/>
  <c r="W59" i="10"/>
  <c r="W148" i="10" l="1"/>
  <c r="W12" i="10"/>
  <c r="W296" i="10"/>
  <c r="W189" i="10"/>
  <c r="W215" i="10"/>
  <c r="P239" i="11"/>
  <c r="W160" i="10"/>
  <c r="W95" i="10"/>
  <c r="P185" i="11"/>
  <c r="W85" i="10"/>
  <c r="W121" i="10"/>
  <c r="W219" i="10"/>
  <c r="W227" i="10" l="1"/>
  <c r="W143" i="10"/>
  <c r="W163" i="10"/>
  <c r="W226" i="10"/>
  <c r="P317" i="11"/>
  <c r="P352" i="11"/>
  <c r="P128" i="11"/>
  <c r="P165" i="11"/>
  <c r="O87" i="15"/>
  <c r="P123" i="11"/>
  <c r="P241" i="11"/>
  <c r="W177" i="10"/>
  <c r="W42" i="10"/>
  <c r="W38" i="10"/>
  <c r="W109" i="10"/>
  <c r="W118" i="10"/>
  <c r="W69" i="10"/>
  <c r="W293" i="10"/>
  <c r="W280" i="10"/>
  <c r="W14" i="10"/>
  <c r="W275" i="10"/>
  <c r="P72" i="11"/>
  <c r="P100" i="11"/>
  <c r="W188" i="10" l="1"/>
  <c r="P232" i="11"/>
  <c r="P318" i="11"/>
  <c r="P188" i="11"/>
  <c r="P357" i="11"/>
  <c r="P24" i="11"/>
  <c r="G78" i="14" l="1"/>
  <c r="G25" i="14"/>
  <c r="G26" i="14"/>
  <c r="G99" i="14"/>
  <c r="G64" i="14"/>
  <c r="N85" i="11"/>
  <c r="K85" i="11"/>
  <c r="I85" i="11"/>
  <c r="J85" i="11"/>
  <c r="K31" i="11"/>
  <c r="K175" i="11"/>
  <c r="I175" i="11"/>
  <c r="J175" i="11"/>
  <c r="N175" i="11" s="1"/>
  <c r="I31" i="11"/>
  <c r="J31" i="11"/>
  <c r="N31" i="11" s="1"/>
  <c r="N208" i="11"/>
  <c r="K208" i="11"/>
  <c r="I208" i="11"/>
  <c r="J208" i="11"/>
  <c r="K56" i="11"/>
  <c r="I56" i="11"/>
  <c r="J56" i="11"/>
  <c r="O175" i="11" l="1"/>
  <c r="O208" i="11"/>
  <c r="O85" i="11"/>
  <c r="O31" i="11"/>
  <c r="N56" i="11"/>
  <c r="O56" i="11" s="1"/>
  <c r="G11" i="14" l="1"/>
  <c r="G72" i="14"/>
  <c r="G23" i="14"/>
  <c r="G75" i="14"/>
  <c r="G34" i="14"/>
  <c r="J87" i="15"/>
  <c r="J85" i="15"/>
  <c r="J84" i="15"/>
  <c r="J81" i="15"/>
  <c r="J79" i="15"/>
  <c r="J78" i="15"/>
  <c r="J77" i="15"/>
  <c r="J76" i="15"/>
  <c r="J75" i="15"/>
  <c r="J74" i="15"/>
  <c r="J73" i="15"/>
  <c r="J71" i="15"/>
  <c r="J70" i="15"/>
  <c r="J65" i="15"/>
  <c r="J64" i="15"/>
  <c r="J63" i="15"/>
  <c r="J61" i="15"/>
  <c r="J57" i="15"/>
  <c r="J56" i="15"/>
  <c r="J55" i="15"/>
  <c r="J54" i="15"/>
  <c r="J50" i="15"/>
  <c r="J47" i="15"/>
  <c r="J45" i="15"/>
  <c r="J43" i="15"/>
  <c r="J41" i="15"/>
  <c r="J35" i="15"/>
  <c r="J34" i="15"/>
  <c r="J33" i="15"/>
  <c r="J31" i="15"/>
  <c r="J30" i="15"/>
  <c r="J24" i="15"/>
  <c r="J23" i="15"/>
  <c r="J20" i="15"/>
  <c r="J19" i="15"/>
  <c r="J18" i="15"/>
  <c r="J14" i="15"/>
  <c r="J13" i="15"/>
  <c r="J11" i="15"/>
  <c r="G91" i="14"/>
  <c r="G96" i="14"/>
  <c r="G58" i="14"/>
  <c r="G17" i="14"/>
  <c r="G19" i="14"/>
  <c r="G50" i="14"/>
  <c r="P300" i="10"/>
  <c r="P299" i="10"/>
  <c r="P298" i="10"/>
  <c r="P296" i="10"/>
  <c r="P295" i="10"/>
  <c r="P294" i="10"/>
  <c r="P293" i="10"/>
  <c r="P291" i="10"/>
  <c r="P289" i="10"/>
  <c r="P288" i="10"/>
  <c r="P287" i="10"/>
  <c r="P286" i="10"/>
  <c r="P285" i="10"/>
  <c r="P283" i="10"/>
  <c r="P282" i="10"/>
  <c r="P281" i="10"/>
  <c r="P280" i="10"/>
  <c r="P278" i="10"/>
  <c r="P277" i="10"/>
  <c r="P276" i="10"/>
  <c r="P275" i="10"/>
  <c r="P274" i="10"/>
  <c r="P273" i="10"/>
  <c r="P272" i="10"/>
  <c r="P271" i="10"/>
  <c r="P270" i="10"/>
  <c r="P269" i="10"/>
  <c r="P267" i="10"/>
  <c r="P266" i="10"/>
  <c r="P265" i="10"/>
  <c r="P264" i="10"/>
  <c r="P263" i="10"/>
  <c r="P262" i="10"/>
  <c r="P260" i="10"/>
  <c r="P259" i="10"/>
  <c r="P258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39" i="10"/>
  <c r="P238" i="10"/>
  <c r="P237" i="10"/>
  <c r="P236" i="10"/>
  <c r="P234" i="10"/>
  <c r="P233" i="10"/>
  <c r="P232" i="10"/>
  <c r="P231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4" i="10"/>
  <c r="P183" i="10"/>
  <c r="P181" i="10"/>
  <c r="P180" i="10"/>
  <c r="P178" i="10"/>
  <c r="P177" i="10"/>
  <c r="P176" i="10"/>
  <c r="P175" i="10"/>
  <c r="P174" i="10"/>
  <c r="P172" i="10"/>
  <c r="P171" i="10"/>
  <c r="P170" i="10"/>
  <c r="P169" i="10"/>
  <c r="P168" i="10"/>
  <c r="P167" i="10"/>
  <c r="P166" i="10"/>
  <c r="P165" i="10"/>
  <c r="P163" i="10"/>
  <c r="P162" i="10"/>
  <c r="P160" i="10"/>
  <c r="P159" i="10"/>
  <c r="P158" i="10"/>
  <c r="P155" i="10"/>
  <c r="P154" i="10"/>
  <c r="P153" i="10"/>
  <c r="P152" i="10"/>
  <c r="P151" i="10"/>
  <c r="P150" i="10"/>
  <c r="P149" i="10"/>
  <c r="P148" i="10"/>
  <c r="P147" i="10"/>
  <c r="P145" i="10"/>
  <c r="P144" i="10"/>
  <c r="P143" i="10"/>
  <c r="P141" i="10"/>
  <c r="P140" i="10"/>
  <c r="P139" i="10"/>
  <c r="P137" i="10"/>
  <c r="P135" i="10"/>
  <c r="P134" i="10"/>
  <c r="P131" i="10"/>
  <c r="P130" i="10"/>
  <c r="P129" i="10"/>
  <c r="P127" i="10"/>
  <c r="P125" i="10"/>
  <c r="P124" i="10"/>
  <c r="P123" i="10"/>
  <c r="P122" i="10"/>
  <c r="P121" i="10"/>
  <c r="P119" i="10"/>
  <c r="P118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7" i="10"/>
  <c r="P96" i="10"/>
  <c r="P95" i="10"/>
  <c r="P94" i="10"/>
  <c r="P93" i="10"/>
  <c r="P92" i="10"/>
  <c r="P91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2" i="10"/>
  <c r="P71" i="10"/>
  <c r="P70" i="10"/>
  <c r="P69" i="10"/>
  <c r="P68" i="10"/>
  <c r="P67" i="10"/>
  <c r="P66" i="10"/>
  <c r="P65" i="10"/>
  <c r="P64" i="10"/>
  <c r="P63" i="10"/>
  <c r="P61" i="10"/>
  <c r="P60" i="10"/>
  <c r="P59" i="10"/>
  <c r="P58" i="10"/>
  <c r="P57" i="10"/>
  <c r="P56" i="10"/>
  <c r="P55" i="10"/>
  <c r="P54" i="10"/>
  <c r="P53" i="10"/>
  <c r="P51" i="10"/>
  <c r="P50" i="10"/>
  <c r="P49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3" i="10"/>
  <c r="P32" i="10"/>
  <c r="P31" i="10"/>
  <c r="P30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R176" i="10"/>
  <c r="Q176" i="10"/>
  <c r="U176" i="10" l="1"/>
  <c r="V176" i="10" s="1"/>
  <c r="G30" i="14"/>
  <c r="K159" i="11"/>
  <c r="J159" i="11"/>
  <c r="I159" i="11"/>
  <c r="R289" i="10"/>
  <c r="Q289" i="10"/>
  <c r="D115" i="14"/>
  <c r="E115" i="14"/>
  <c r="F115" i="14"/>
  <c r="E368" i="11"/>
  <c r="F368" i="11"/>
  <c r="G368" i="11"/>
  <c r="H368" i="11"/>
  <c r="L368" i="11"/>
  <c r="M368" i="11"/>
  <c r="P368" i="11"/>
  <c r="K170" i="11"/>
  <c r="J170" i="11"/>
  <c r="I170" i="11"/>
  <c r="K251" i="11"/>
  <c r="J251" i="11"/>
  <c r="I251" i="11"/>
  <c r="K330" i="11"/>
  <c r="J330" i="11"/>
  <c r="N330" i="11" s="1"/>
  <c r="I330" i="11"/>
  <c r="I35" i="11"/>
  <c r="J35" i="11"/>
  <c r="K35" i="11"/>
  <c r="N35" i="11" l="1"/>
  <c r="O35" i="11" s="1"/>
  <c r="N170" i="11"/>
  <c r="N159" i="11"/>
  <c r="O159" i="11" s="1"/>
  <c r="U289" i="10"/>
  <c r="V289" i="10" s="1"/>
  <c r="N251" i="11"/>
  <c r="O251" i="11" s="1"/>
  <c r="O170" i="11"/>
  <c r="O330" i="11"/>
  <c r="G108" i="14" l="1"/>
  <c r="G81" i="14"/>
  <c r="G18" i="14"/>
  <c r="H115" i="14"/>
  <c r="G31" i="14"/>
  <c r="G33" i="14"/>
  <c r="R82" i="10"/>
  <c r="Q82" i="10"/>
  <c r="G13" i="14"/>
  <c r="K135" i="11"/>
  <c r="K136" i="11"/>
  <c r="J135" i="11"/>
  <c r="I135" i="11"/>
  <c r="D279" i="10"/>
  <c r="I367" i="11"/>
  <c r="I366" i="11"/>
  <c r="I365" i="11"/>
  <c r="I364" i="11"/>
  <c r="I361" i="11"/>
  <c r="I363" i="11"/>
  <c r="I362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3" i="11"/>
  <c r="I344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29" i="11"/>
  <c r="I328" i="11"/>
  <c r="I327" i="11"/>
  <c r="I326" i="11"/>
  <c r="I325" i="11"/>
  <c r="I324" i="11"/>
  <c r="I322" i="11"/>
  <c r="I323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4" i="11"/>
  <c r="I275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0" i="11"/>
  <c r="I249" i="11"/>
  <c r="I248" i="11"/>
  <c r="I242" i="11"/>
  <c r="I247" i="11"/>
  <c r="I246" i="11"/>
  <c r="I245" i="11"/>
  <c r="I244" i="11"/>
  <c r="I243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7" i="11"/>
  <c r="I216" i="11"/>
  <c r="I215" i="11"/>
  <c r="I214" i="11"/>
  <c r="I213" i="11"/>
  <c r="I212" i="11"/>
  <c r="I211" i="11"/>
  <c r="I210" i="11"/>
  <c r="I209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4" i="11"/>
  <c r="I173" i="11"/>
  <c r="I172" i="11"/>
  <c r="I171" i="11"/>
  <c r="I169" i="11"/>
  <c r="I168" i="11"/>
  <c r="I167" i="11"/>
  <c r="I166" i="11"/>
  <c r="I165" i="11"/>
  <c r="I164" i="11"/>
  <c r="I163" i="11"/>
  <c r="I162" i="11"/>
  <c r="I161" i="11"/>
  <c r="I160" i="11"/>
  <c r="I158" i="11"/>
  <c r="I157" i="11"/>
  <c r="I156" i="11"/>
  <c r="I155" i="11"/>
  <c r="I154" i="11"/>
  <c r="I153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4" i="11"/>
  <c r="I133" i="11"/>
  <c r="O133" i="11" s="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4" i="11"/>
  <c r="I95" i="11"/>
  <c r="I93" i="11"/>
  <c r="I92" i="11"/>
  <c r="I91" i="11"/>
  <c r="I90" i="11"/>
  <c r="I89" i="11"/>
  <c r="I88" i="11"/>
  <c r="I87" i="11"/>
  <c r="I86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3" i="11"/>
  <c r="I62" i="11"/>
  <c r="I61" i="11"/>
  <c r="I60" i="11"/>
  <c r="I64" i="11"/>
  <c r="I59" i="11"/>
  <c r="I58" i="11"/>
  <c r="I57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O38" i="11" s="1"/>
  <c r="I37" i="11"/>
  <c r="I36" i="11"/>
  <c r="I34" i="11"/>
  <c r="I33" i="11"/>
  <c r="I32" i="11"/>
  <c r="I29" i="11"/>
  <c r="I28" i="11"/>
  <c r="I27" i="11"/>
  <c r="I30" i="11"/>
  <c r="I26" i="11"/>
  <c r="I25" i="11"/>
  <c r="I24" i="11"/>
  <c r="I23" i="11"/>
  <c r="I22" i="11"/>
  <c r="I21" i="11"/>
  <c r="I20" i="11"/>
  <c r="I19" i="11"/>
  <c r="I18" i="11"/>
  <c r="I17" i="11"/>
  <c r="I16" i="11"/>
  <c r="I14" i="11"/>
  <c r="I15" i="11"/>
  <c r="I13" i="11"/>
  <c r="I12" i="11"/>
  <c r="I11" i="11"/>
  <c r="I10" i="11"/>
  <c r="K57" i="11"/>
  <c r="J57" i="11"/>
  <c r="N57" i="11" s="1"/>
  <c r="G111" i="14"/>
  <c r="G54" i="14"/>
  <c r="G62" i="14"/>
  <c r="G46" i="14"/>
  <c r="G86" i="14"/>
  <c r="H88" i="15"/>
  <c r="J88" i="15" s="1"/>
  <c r="H15" i="15"/>
  <c r="J15" i="15" s="1"/>
  <c r="O89" i="15"/>
  <c r="Q187" i="10"/>
  <c r="R187" i="10"/>
  <c r="R66" i="10"/>
  <c r="R196" i="10"/>
  <c r="R265" i="10"/>
  <c r="R106" i="10"/>
  <c r="Q106" i="10"/>
  <c r="R291" i="10"/>
  <c r="Q291" i="10"/>
  <c r="R54" i="10"/>
  <c r="U54" i="10" s="1"/>
  <c r="V54" i="10" s="1"/>
  <c r="Q54" i="10"/>
  <c r="R211" i="10"/>
  <c r="Q211" i="10"/>
  <c r="U211" i="10" s="1"/>
  <c r="R80" i="10"/>
  <c r="R110" i="10"/>
  <c r="Q110" i="10"/>
  <c r="R75" i="10"/>
  <c r="Q75" i="10"/>
  <c r="Q11" i="10"/>
  <c r="Q74" i="10"/>
  <c r="R295" i="10"/>
  <c r="Q295" i="10"/>
  <c r="R228" i="10"/>
  <c r="Q228" i="10"/>
  <c r="R192" i="10"/>
  <c r="Q192" i="10"/>
  <c r="U192" i="10" s="1"/>
  <c r="V192" i="10" s="1"/>
  <c r="R197" i="10"/>
  <c r="Q197" i="10"/>
  <c r="R253" i="10"/>
  <c r="Q253" i="10"/>
  <c r="U253" i="10" s="1"/>
  <c r="V253" i="10" s="1"/>
  <c r="R130" i="10"/>
  <c r="Q130" i="10"/>
  <c r="R64" i="10"/>
  <c r="Q64" i="10"/>
  <c r="R11" i="10"/>
  <c r="R245" i="10"/>
  <c r="Q245" i="10"/>
  <c r="U245" i="10" s="1"/>
  <c r="R87" i="10"/>
  <c r="U87" i="10" s="1"/>
  <c r="V87" i="10" s="1"/>
  <c r="Q87" i="10"/>
  <c r="R285" i="10"/>
  <c r="Q285" i="10"/>
  <c r="R149" i="10"/>
  <c r="U149" i="10" s="1"/>
  <c r="V149" i="10" s="1"/>
  <c r="Q149" i="10"/>
  <c r="R231" i="10"/>
  <c r="Q231" i="10"/>
  <c r="U231" i="10" s="1"/>
  <c r="R240" i="10"/>
  <c r="Q240" i="10"/>
  <c r="R226" i="10"/>
  <c r="R143" i="10"/>
  <c r="R163" i="10"/>
  <c r="R227" i="10"/>
  <c r="R83" i="10"/>
  <c r="R154" i="10"/>
  <c r="R225" i="10"/>
  <c r="U225" i="10" s="1"/>
  <c r="V225" i="10" s="1"/>
  <c r="R220" i="10"/>
  <c r="R84" i="10"/>
  <c r="R35" i="10"/>
  <c r="R243" i="10"/>
  <c r="R263" i="10"/>
  <c r="R223" i="10"/>
  <c r="R153" i="10"/>
  <c r="R63" i="10"/>
  <c r="U63" i="10" s="1"/>
  <c r="V63" i="10" s="1"/>
  <c r="R207" i="10"/>
  <c r="Q207" i="10"/>
  <c r="R32" i="10"/>
  <c r="R42" i="10"/>
  <c r="R14" i="10"/>
  <c r="R177" i="10"/>
  <c r="R121" i="10"/>
  <c r="R85" i="10"/>
  <c r="R189" i="10"/>
  <c r="R298" i="10"/>
  <c r="R293" i="10"/>
  <c r="R296" i="10"/>
  <c r="R59" i="10"/>
  <c r="R160" i="10"/>
  <c r="R113" i="10"/>
  <c r="R219" i="10"/>
  <c r="R94" i="10"/>
  <c r="R99" i="10"/>
  <c r="R215" i="10"/>
  <c r="R69" i="10"/>
  <c r="R13" i="10"/>
  <c r="R12" i="10"/>
  <c r="R109" i="10"/>
  <c r="R118" i="10"/>
  <c r="R27" i="10"/>
  <c r="R275" i="10"/>
  <c r="R38" i="10"/>
  <c r="R95" i="10"/>
  <c r="R148" i="10"/>
  <c r="R129" i="10"/>
  <c r="Q129" i="10"/>
  <c r="R280" i="10"/>
  <c r="U280" i="10" s="1"/>
  <c r="V280" i="10" s="1"/>
  <c r="R58" i="10"/>
  <c r="R53" i="10"/>
  <c r="R30" i="10"/>
  <c r="R250" i="10"/>
  <c r="R244" i="10"/>
  <c r="R102" i="10"/>
  <c r="R210" i="10"/>
  <c r="R23" i="10"/>
  <c r="R56" i="10"/>
  <c r="R44" i="10"/>
  <c r="R24" i="10"/>
  <c r="R125" i="10"/>
  <c r="R15" i="10"/>
  <c r="R39" i="10"/>
  <c r="R282" i="10"/>
  <c r="R214" i="10"/>
  <c r="R151" i="10"/>
  <c r="R202" i="10"/>
  <c r="R25" i="10"/>
  <c r="R194" i="10"/>
  <c r="R195" i="10"/>
  <c r="R108" i="10"/>
  <c r="R119" i="10"/>
  <c r="R46" i="10"/>
  <c r="R270" i="10"/>
  <c r="R88" i="10"/>
  <c r="R67" i="10"/>
  <c r="R103" i="10"/>
  <c r="R283" i="10"/>
  <c r="R45" i="10"/>
  <c r="R178" i="10"/>
  <c r="R239" i="10"/>
  <c r="R65" i="10"/>
  <c r="R271" i="10"/>
  <c r="R190" i="10"/>
  <c r="R166" i="10"/>
  <c r="R162" i="10"/>
  <c r="R50" i="10"/>
  <c r="R251" i="10"/>
  <c r="R248" i="10"/>
  <c r="R208" i="10"/>
  <c r="R191" i="10"/>
  <c r="R203" i="10"/>
  <c r="R237" i="10"/>
  <c r="R57" i="10"/>
  <c r="R170" i="10"/>
  <c r="R276" i="10"/>
  <c r="R104" i="10"/>
  <c r="R147" i="10"/>
  <c r="R137" i="10"/>
  <c r="R115" i="10"/>
  <c r="R131" i="10"/>
  <c r="R222" i="10"/>
  <c r="R272" i="10"/>
  <c r="R273" i="10"/>
  <c r="R167" i="10"/>
  <c r="R175" i="10"/>
  <c r="R236" i="10"/>
  <c r="R199" i="10"/>
  <c r="R101" i="10"/>
  <c r="R224" i="10"/>
  <c r="R249" i="10"/>
  <c r="R262" i="10"/>
  <c r="R269" i="10"/>
  <c r="U269" i="10" s="1"/>
  <c r="V269" i="10" s="1"/>
  <c r="R22" i="10"/>
  <c r="R33" i="10"/>
  <c r="R21" i="10"/>
  <c r="R152" i="10"/>
  <c r="R172" i="10"/>
  <c r="R238" i="10"/>
  <c r="R216" i="10"/>
  <c r="R234" i="10"/>
  <c r="R233" i="10"/>
  <c r="R255" i="10"/>
  <c r="R122" i="10"/>
  <c r="R277" i="10"/>
  <c r="R287" i="10"/>
  <c r="R278" i="10"/>
  <c r="R288" i="10"/>
  <c r="R60" i="10"/>
  <c r="R96" i="10"/>
  <c r="R77" i="10"/>
  <c r="R145" i="10"/>
  <c r="R40" i="10"/>
  <c r="R16" i="10"/>
  <c r="R141" i="10"/>
  <c r="R76" i="10"/>
  <c r="U76" i="10" s="1"/>
  <c r="R123" i="10"/>
  <c r="R100" i="10"/>
  <c r="R105" i="10"/>
  <c r="R43" i="10"/>
  <c r="R114" i="10"/>
  <c r="Q114" i="10"/>
  <c r="F29" i="10"/>
  <c r="D241" i="10"/>
  <c r="F132" i="10"/>
  <c r="F301" i="10" s="1"/>
  <c r="R217" i="10"/>
  <c r="R274" i="10"/>
  <c r="R242" i="10"/>
  <c r="Q242" i="10"/>
  <c r="U242" i="10" s="1"/>
  <c r="V242" i="10" s="1"/>
  <c r="R259" i="10"/>
  <c r="R260" i="10"/>
  <c r="Q259" i="10"/>
  <c r="U259" i="10" s="1"/>
  <c r="R206" i="10"/>
  <c r="D268" i="10"/>
  <c r="P268" i="10" s="1"/>
  <c r="F157" i="10"/>
  <c r="F138" i="10"/>
  <c r="F164" i="10"/>
  <c r="R164" i="10" s="1"/>
  <c r="F28" i="10"/>
  <c r="R41" i="10"/>
  <c r="R68" i="10"/>
  <c r="Q68" i="10"/>
  <c r="R168" i="10"/>
  <c r="Q168" i="10"/>
  <c r="R37" i="10"/>
  <c r="R72" i="10"/>
  <c r="R174" i="10"/>
  <c r="Q174" i="10"/>
  <c r="R186" i="10"/>
  <c r="R93" i="10"/>
  <c r="R180" i="10"/>
  <c r="R144" i="10"/>
  <c r="R71" i="10"/>
  <c r="R49" i="10"/>
  <c r="Q49" i="10"/>
  <c r="R200" i="10"/>
  <c r="R169" i="10"/>
  <c r="R139" i="10"/>
  <c r="O306" i="11"/>
  <c r="O301" i="11"/>
  <c r="K114" i="11"/>
  <c r="K139" i="11"/>
  <c r="K233" i="11"/>
  <c r="K276" i="11"/>
  <c r="J276" i="11"/>
  <c r="N276" i="11" s="1"/>
  <c r="K137" i="11"/>
  <c r="K133" i="11"/>
  <c r="J133" i="11"/>
  <c r="K197" i="11"/>
  <c r="K304" i="11"/>
  <c r="K131" i="11"/>
  <c r="K252" i="11"/>
  <c r="K306" i="11"/>
  <c r="J306" i="11"/>
  <c r="J305" i="11"/>
  <c r="K36" i="11"/>
  <c r="K356" i="11"/>
  <c r="K22" i="11"/>
  <c r="K107" i="11"/>
  <c r="J107" i="11"/>
  <c r="K161" i="11"/>
  <c r="K362" i="11"/>
  <c r="K40" i="11"/>
  <c r="K83" i="11"/>
  <c r="K338" i="11"/>
  <c r="J338" i="11"/>
  <c r="N338" i="11" s="1"/>
  <c r="O338" i="11" s="1"/>
  <c r="K70" i="11"/>
  <c r="K11" i="11"/>
  <c r="K238" i="11"/>
  <c r="K322" i="11"/>
  <c r="N322" i="11" s="1"/>
  <c r="O322" i="11" s="1"/>
  <c r="J322" i="11"/>
  <c r="R111" i="10"/>
  <c r="R86" i="10"/>
  <c r="O301" i="10"/>
  <c r="G55" i="14"/>
  <c r="K363" i="11"/>
  <c r="J362" i="11"/>
  <c r="K287" i="11"/>
  <c r="J287" i="11"/>
  <c r="K73" i="11"/>
  <c r="J73" i="11"/>
  <c r="G65" i="14"/>
  <c r="G89" i="14"/>
  <c r="G38" i="14"/>
  <c r="G95" i="14"/>
  <c r="G85" i="14"/>
  <c r="G109" i="14"/>
  <c r="K33" i="11"/>
  <c r="J304" i="11"/>
  <c r="K130" i="11"/>
  <c r="J131" i="11"/>
  <c r="N131" i="11" s="1"/>
  <c r="G77" i="14"/>
  <c r="G107" i="14"/>
  <c r="G44" i="14"/>
  <c r="G71" i="14"/>
  <c r="Q177" i="10"/>
  <c r="U177" i="10" s="1"/>
  <c r="V177" i="10" s="1"/>
  <c r="Q243" i="10"/>
  <c r="K41" i="11"/>
  <c r="J41" i="11"/>
  <c r="N41" i="11" s="1"/>
  <c r="O41" i="11" s="1"/>
  <c r="J40" i="11"/>
  <c r="N40" i="11" s="1"/>
  <c r="K86" i="11"/>
  <c r="K82" i="11"/>
  <c r="K84" i="11"/>
  <c r="K187" i="11"/>
  <c r="K335" i="11"/>
  <c r="K361" i="11"/>
  <c r="K261" i="11"/>
  <c r="K178" i="11"/>
  <c r="K171" i="11"/>
  <c r="K253" i="11"/>
  <c r="K364" i="11"/>
  <c r="K293" i="11"/>
  <c r="K274" i="11"/>
  <c r="K254" i="11"/>
  <c r="K245" i="11"/>
  <c r="K239" i="11"/>
  <c r="K229" i="11"/>
  <c r="K216" i="11"/>
  <c r="K185" i="11"/>
  <c r="K184" i="11"/>
  <c r="K179" i="11"/>
  <c r="K156" i="11"/>
  <c r="K155" i="11"/>
  <c r="K132" i="11"/>
  <c r="K100" i="11"/>
  <c r="K92" i="11"/>
  <c r="K72" i="11"/>
  <c r="K60" i="11"/>
  <c r="K345" i="11"/>
  <c r="K317" i="11"/>
  <c r="N317" i="11" s="1"/>
  <c r="K235" i="11"/>
  <c r="K173" i="11"/>
  <c r="K163" i="11"/>
  <c r="K13" i="11"/>
  <c r="K366" i="11"/>
  <c r="K289" i="11"/>
  <c r="K269" i="11"/>
  <c r="K258" i="11"/>
  <c r="K110" i="11"/>
  <c r="K302" i="11"/>
  <c r="K281" i="11"/>
  <c r="K280" i="11"/>
  <c r="K263" i="11"/>
  <c r="K222" i="11"/>
  <c r="K215" i="11"/>
  <c r="K195" i="11"/>
  <c r="K15" i="11"/>
  <c r="G84" i="14"/>
  <c r="J281" i="11"/>
  <c r="N281" i="11" s="1"/>
  <c r="A6" i="14"/>
  <c r="K18" i="15"/>
  <c r="M18" i="15" s="1"/>
  <c r="N18" i="15" s="1"/>
  <c r="G51" i="14"/>
  <c r="G29" i="14"/>
  <c r="K49" i="11"/>
  <c r="J114" i="11"/>
  <c r="N114" i="11" s="1"/>
  <c r="K236" i="11"/>
  <c r="J236" i="11"/>
  <c r="G14" i="14"/>
  <c r="G45" i="14"/>
  <c r="G49" i="14"/>
  <c r="G37" i="14"/>
  <c r="G41" i="14"/>
  <c r="K56" i="15"/>
  <c r="M56" i="15" s="1"/>
  <c r="N56" i="15" s="1"/>
  <c r="K34" i="15"/>
  <c r="M34" i="15" s="1"/>
  <c r="K23" i="15"/>
  <c r="M23" i="15" s="1"/>
  <c r="N23" i="15" s="1"/>
  <c r="G94" i="14"/>
  <c r="G105" i="14"/>
  <c r="G104" i="14"/>
  <c r="J335" i="11"/>
  <c r="N335" i="11" s="1"/>
  <c r="O335" i="11" s="1"/>
  <c r="K301" i="11"/>
  <c r="J301" i="11"/>
  <c r="K337" i="11"/>
  <c r="J337" i="11"/>
  <c r="G10" i="14"/>
  <c r="G12" i="14"/>
  <c r="G20" i="14"/>
  <c r="J302" i="11"/>
  <c r="N302" i="11" s="1"/>
  <c r="K30" i="11"/>
  <c r="J30" i="11"/>
  <c r="G32" i="14"/>
  <c r="G102" i="14"/>
  <c r="G35" i="14"/>
  <c r="G66" i="14"/>
  <c r="J364" i="11"/>
  <c r="K109" i="11"/>
  <c r="K104" i="11"/>
  <c r="J104" i="11"/>
  <c r="N104" i="11" s="1"/>
  <c r="G42" i="14"/>
  <c r="J217" i="11"/>
  <c r="N217" i="11" s="1"/>
  <c r="O217" i="11" s="1"/>
  <c r="K201" i="11"/>
  <c r="J201" i="11"/>
  <c r="N201" i="11" s="1"/>
  <c r="K353" i="11"/>
  <c r="J353" i="11"/>
  <c r="N353" i="11" s="1"/>
  <c r="O353" i="11" s="1"/>
  <c r="K343" i="11"/>
  <c r="J343" i="11"/>
  <c r="J197" i="11"/>
  <c r="N197" i="11" s="1"/>
  <c r="O197" i="11" s="1"/>
  <c r="R78" i="10"/>
  <c r="Q78" i="10"/>
  <c r="U78" i="10" s="1"/>
  <c r="V78" i="10" s="1"/>
  <c r="K237" i="11"/>
  <c r="J237" i="11"/>
  <c r="N237" i="11" s="1"/>
  <c r="K64" i="11"/>
  <c r="J64" i="11"/>
  <c r="N64" i="11" s="1"/>
  <c r="K191" i="11"/>
  <c r="J191" i="11"/>
  <c r="N191" i="11" s="1"/>
  <c r="O191" i="11" s="1"/>
  <c r="K149" i="11"/>
  <c r="J149" i="11"/>
  <c r="N149" i="11" s="1"/>
  <c r="K275" i="11"/>
  <c r="J275" i="11"/>
  <c r="K242" i="11"/>
  <c r="J242" i="11"/>
  <c r="K305" i="11"/>
  <c r="N305" i="11" s="1"/>
  <c r="K181" i="11"/>
  <c r="J181" i="11"/>
  <c r="N181" i="11" s="1"/>
  <c r="J361" i="11"/>
  <c r="N361" i="11" s="1"/>
  <c r="O361" i="11" s="1"/>
  <c r="J187" i="11"/>
  <c r="N187" i="11" s="1"/>
  <c r="K310" i="11"/>
  <c r="J310" i="11"/>
  <c r="K339" i="11"/>
  <c r="N339" i="11" s="1"/>
  <c r="O339" i="11" s="1"/>
  <c r="J339" i="11"/>
  <c r="J15" i="11"/>
  <c r="Q71" i="10"/>
  <c r="U71" i="10" s="1"/>
  <c r="V71" i="10" s="1"/>
  <c r="Q72" i="10"/>
  <c r="U72" i="10" s="1"/>
  <c r="V72" i="10" s="1"/>
  <c r="R171" i="10"/>
  <c r="Q171" i="10"/>
  <c r="G114" i="14"/>
  <c r="G113" i="14"/>
  <c r="G112" i="14"/>
  <c r="G110" i="14"/>
  <c r="G106" i="14"/>
  <c r="G103" i="14"/>
  <c r="G101" i="14"/>
  <c r="G100" i="14"/>
  <c r="G98" i="14"/>
  <c r="G97" i="14"/>
  <c r="G93" i="14"/>
  <c r="G92" i="14"/>
  <c r="G90" i="14"/>
  <c r="G88" i="14"/>
  <c r="G87" i="14"/>
  <c r="G83" i="14"/>
  <c r="G82" i="14"/>
  <c r="G80" i="14"/>
  <c r="G79" i="14"/>
  <c r="G74" i="14"/>
  <c r="G73" i="14"/>
  <c r="G70" i="14"/>
  <c r="G69" i="14"/>
  <c r="G68" i="14"/>
  <c r="G67" i="14"/>
  <c r="G63" i="14"/>
  <c r="G60" i="14"/>
  <c r="G59" i="14"/>
  <c r="G57" i="14"/>
  <c r="G56" i="14"/>
  <c r="G53" i="14"/>
  <c r="G52" i="14"/>
  <c r="G48" i="14"/>
  <c r="G47" i="14"/>
  <c r="G43" i="14"/>
  <c r="G40" i="14"/>
  <c r="G39" i="14"/>
  <c r="G36" i="14"/>
  <c r="G28" i="14"/>
  <c r="G27" i="14"/>
  <c r="G24" i="14"/>
  <c r="G22" i="14"/>
  <c r="G21" i="14"/>
  <c r="G16" i="14"/>
  <c r="G61" i="14"/>
  <c r="J356" i="11"/>
  <c r="N356" i="11" s="1"/>
  <c r="O356" i="11" s="1"/>
  <c r="K94" i="11"/>
  <c r="J94" i="11"/>
  <c r="K333" i="11"/>
  <c r="J333" i="11"/>
  <c r="N333" i="11" s="1"/>
  <c r="O333" i="11" s="1"/>
  <c r="R159" i="10"/>
  <c r="Q159" i="10"/>
  <c r="I89" i="15"/>
  <c r="K87" i="15"/>
  <c r="M87" i="15" s="1"/>
  <c r="N87" i="15" s="1"/>
  <c r="H86" i="15"/>
  <c r="G86" i="15"/>
  <c r="H83" i="15"/>
  <c r="J83" i="15" s="1"/>
  <c r="H82" i="15"/>
  <c r="H80" i="15"/>
  <c r="H72" i="15"/>
  <c r="J72" i="15" s="1"/>
  <c r="H69" i="15"/>
  <c r="H68" i="15"/>
  <c r="J68" i="15" s="1"/>
  <c r="H67" i="15"/>
  <c r="J67" i="15" s="1"/>
  <c r="M65" i="15"/>
  <c r="N65" i="15" s="1"/>
  <c r="H66" i="15"/>
  <c r="K63" i="15"/>
  <c r="M63" i="15" s="1"/>
  <c r="N63" i="15" s="1"/>
  <c r="H62" i="15"/>
  <c r="J62" i="15" s="1"/>
  <c r="K61" i="15"/>
  <c r="M61" i="15" s="1"/>
  <c r="H60" i="15"/>
  <c r="H59" i="15"/>
  <c r="J59" i="15" s="1"/>
  <c r="H58" i="15"/>
  <c r="G58" i="15"/>
  <c r="J58" i="15" s="1"/>
  <c r="K54" i="15"/>
  <c r="M54" i="15" s="1"/>
  <c r="G52" i="15"/>
  <c r="H51" i="15"/>
  <c r="J51" i="15" s="1"/>
  <c r="K50" i="15"/>
  <c r="M50" i="15" s="1"/>
  <c r="H49" i="15"/>
  <c r="G49" i="15"/>
  <c r="H48" i="15"/>
  <c r="J48" i="15" s="1"/>
  <c r="H46" i="15"/>
  <c r="J46" i="15" s="1"/>
  <c r="K45" i="15"/>
  <c r="H44" i="15"/>
  <c r="J44" i="15" s="1"/>
  <c r="H42" i="15"/>
  <c r="J42" i="15" s="1"/>
  <c r="H39" i="15"/>
  <c r="H38" i="15"/>
  <c r="H37" i="15"/>
  <c r="J37" i="15" s="1"/>
  <c r="G36" i="15"/>
  <c r="J36" i="15" s="1"/>
  <c r="G32" i="15"/>
  <c r="H29" i="15"/>
  <c r="J29" i="15" s="1"/>
  <c r="H28" i="15"/>
  <c r="H27" i="15"/>
  <c r="J27" i="15" s="1"/>
  <c r="H26" i="15"/>
  <c r="J26" i="15" s="1"/>
  <c r="H25" i="15"/>
  <c r="K25" i="15" s="1"/>
  <c r="M25" i="15" s="1"/>
  <c r="G25" i="15"/>
  <c r="H22" i="15"/>
  <c r="G22" i="15"/>
  <c r="G21" i="15"/>
  <c r="K20" i="15"/>
  <c r="M20" i="15" s="1"/>
  <c r="H17" i="15"/>
  <c r="G17" i="15"/>
  <c r="J17" i="15" s="1"/>
  <c r="G16" i="15"/>
  <c r="K14" i="15"/>
  <c r="M14" i="15" s="1"/>
  <c r="N14" i="15" s="1"/>
  <c r="K13" i="15"/>
  <c r="M13" i="15" s="1"/>
  <c r="H12" i="15"/>
  <c r="G12" i="15"/>
  <c r="J12" i="15" s="1"/>
  <c r="K354" i="11"/>
  <c r="J354" i="11"/>
  <c r="K193" i="11"/>
  <c r="J193" i="11"/>
  <c r="N193" i="11" s="1"/>
  <c r="K180" i="11"/>
  <c r="J180" i="11"/>
  <c r="N180" i="11" s="1"/>
  <c r="O180" i="11" s="1"/>
  <c r="R17" i="10"/>
  <c r="Q17" i="10"/>
  <c r="K36" i="15"/>
  <c r="M36" i="15" s="1"/>
  <c r="K11" i="15"/>
  <c r="M11" i="15" s="1"/>
  <c r="K57" i="15"/>
  <c r="M57" i="15" s="1"/>
  <c r="K64" i="15"/>
  <c r="M64" i="15" s="1"/>
  <c r="K70" i="15"/>
  <c r="M70" i="15" s="1"/>
  <c r="K74" i="15"/>
  <c r="M74" i="15" s="1"/>
  <c r="R107" i="10"/>
  <c r="Q107" i="10"/>
  <c r="D218" i="11"/>
  <c r="J254" i="11"/>
  <c r="K10" i="11"/>
  <c r="Q119" i="10"/>
  <c r="U119" i="10" s="1"/>
  <c r="R294" i="10"/>
  <c r="Q294" i="10"/>
  <c r="J109" i="11"/>
  <c r="K97" i="11"/>
  <c r="J97" i="11"/>
  <c r="N97" i="11" s="1"/>
  <c r="K288" i="11"/>
  <c r="J288" i="11"/>
  <c r="N288" i="11" s="1"/>
  <c r="J345" i="11"/>
  <c r="N345" i="11" s="1"/>
  <c r="O345" i="11" s="1"/>
  <c r="J36" i="11"/>
  <c r="N36" i="11" s="1"/>
  <c r="K308" i="11"/>
  <c r="K87" i="11"/>
  <c r="J13" i="11"/>
  <c r="J308" i="11"/>
  <c r="J87" i="11"/>
  <c r="N87" i="11" s="1"/>
  <c r="O87" i="11" s="1"/>
  <c r="K158" i="11"/>
  <c r="K272" i="11"/>
  <c r="K234" i="11"/>
  <c r="K329" i="11"/>
  <c r="K169" i="11"/>
  <c r="K121" i="11"/>
  <c r="K48" i="11"/>
  <c r="K341" i="11"/>
  <c r="K240" i="11"/>
  <c r="K90" i="11"/>
  <c r="K295" i="11"/>
  <c r="K55" i="11"/>
  <c r="K311" i="11"/>
  <c r="K209" i="11"/>
  <c r="K148" i="11"/>
  <c r="K202" i="11"/>
  <c r="K91" i="11"/>
  <c r="K325" i="11"/>
  <c r="K98" i="11"/>
  <c r="K278" i="11"/>
  <c r="J158" i="11"/>
  <c r="J272" i="11"/>
  <c r="N272" i="11" s="1"/>
  <c r="J234" i="11"/>
  <c r="N234" i="11" s="1"/>
  <c r="J329" i="11"/>
  <c r="N329" i="11" s="1"/>
  <c r="O329" i="11" s="1"/>
  <c r="J295" i="11"/>
  <c r="N295" i="11" s="1"/>
  <c r="J55" i="11"/>
  <c r="N55" i="11" s="1"/>
  <c r="J311" i="11"/>
  <c r="J82" i="11"/>
  <c r="N82" i="11" s="1"/>
  <c r="O82" i="11" s="1"/>
  <c r="J209" i="11"/>
  <c r="J169" i="11"/>
  <c r="N169" i="11" s="1"/>
  <c r="J148" i="11"/>
  <c r="N148" i="11" s="1"/>
  <c r="O148" i="11" s="1"/>
  <c r="J49" i="11"/>
  <c r="N49" i="11" s="1"/>
  <c r="O49" i="11" s="1"/>
  <c r="J202" i="11"/>
  <c r="N202" i="11" s="1"/>
  <c r="J121" i="11"/>
  <c r="N121" i="11" s="1"/>
  <c r="J91" i="11"/>
  <c r="J48" i="11"/>
  <c r="N48" i="11" s="1"/>
  <c r="J341" i="11"/>
  <c r="J240" i="11"/>
  <c r="J325" i="11"/>
  <c r="J90" i="11"/>
  <c r="J278" i="11"/>
  <c r="N278" i="11" s="1"/>
  <c r="J98" i="11"/>
  <c r="K140" i="11"/>
  <c r="J140" i="11"/>
  <c r="K194" i="11"/>
  <c r="J194" i="11"/>
  <c r="Q263" i="10"/>
  <c r="K321" i="11"/>
  <c r="J321" i="11"/>
  <c r="R209" i="10"/>
  <c r="R204" i="10"/>
  <c r="D73" i="10"/>
  <c r="P73" i="10" s="1"/>
  <c r="J10" i="11"/>
  <c r="J11" i="11"/>
  <c r="N11" i="11" s="1"/>
  <c r="J12" i="11"/>
  <c r="N12" i="11" s="1"/>
  <c r="K12" i="11"/>
  <c r="J14" i="11"/>
  <c r="K14" i="11"/>
  <c r="J16" i="11"/>
  <c r="K16" i="11"/>
  <c r="J17" i="11"/>
  <c r="K17" i="11"/>
  <c r="J18" i="11"/>
  <c r="N18" i="11" s="1"/>
  <c r="K18" i="11"/>
  <c r="J19" i="11"/>
  <c r="N19" i="11" s="1"/>
  <c r="J20" i="11"/>
  <c r="K20" i="11"/>
  <c r="J21" i="11"/>
  <c r="K21" i="11"/>
  <c r="J22" i="11"/>
  <c r="J23" i="11"/>
  <c r="N23" i="11" s="1"/>
  <c r="O23" i="11" s="1"/>
  <c r="K23" i="11"/>
  <c r="J24" i="11"/>
  <c r="K24" i="11"/>
  <c r="J25" i="11"/>
  <c r="N25" i="11" s="1"/>
  <c r="K25" i="11"/>
  <c r="J26" i="11"/>
  <c r="K26" i="11"/>
  <c r="J27" i="11"/>
  <c r="N27" i="11" s="1"/>
  <c r="K27" i="11"/>
  <c r="J29" i="11"/>
  <c r="K29" i="11"/>
  <c r="J32" i="11"/>
  <c r="K32" i="11"/>
  <c r="J33" i="11"/>
  <c r="J34" i="11"/>
  <c r="K34" i="11"/>
  <c r="J37" i="11"/>
  <c r="N37" i="11" s="1"/>
  <c r="O37" i="11" s="1"/>
  <c r="K37" i="11"/>
  <c r="J38" i="11"/>
  <c r="N38" i="11" s="1"/>
  <c r="K38" i="11"/>
  <c r="J39" i="11"/>
  <c r="N39" i="11" s="1"/>
  <c r="O39" i="11" s="1"/>
  <c r="K39" i="11"/>
  <c r="J42" i="11"/>
  <c r="N42" i="11" s="1"/>
  <c r="K42" i="11"/>
  <c r="J43" i="11"/>
  <c r="K43" i="11"/>
  <c r="J44" i="11"/>
  <c r="N44" i="11" s="1"/>
  <c r="K44" i="11"/>
  <c r="J45" i="11"/>
  <c r="K45" i="11"/>
  <c r="J46" i="11"/>
  <c r="K46" i="11"/>
  <c r="J47" i="11"/>
  <c r="K47" i="11"/>
  <c r="J50" i="11"/>
  <c r="K50" i="11"/>
  <c r="J51" i="11"/>
  <c r="K51" i="11"/>
  <c r="J52" i="11"/>
  <c r="N52" i="11" s="1"/>
  <c r="J53" i="11"/>
  <c r="N53" i="11" s="1"/>
  <c r="O53" i="11" s="1"/>
  <c r="K53" i="11"/>
  <c r="J54" i="11"/>
  <c r="K54" i="11"/>
  <c r="J58" i="11"/>
  <c r="N58" i="11" s="1"/>
  <c r="K58" i="11"/>
  <c r="J59" i="11"/>
  <c r="K59" i="11"/>
  <c r="J60" i="11"/>
  <c r="N60" i="11" s="1"/>
  <c r="O60" i="11" s="1"/>
  <c r="J61" i="11"/>
  <c r="N61" i="11" s="1"/>
  <c r="O61" i="11" s="1"/>
  <c r="K61" i="11"/>
  <c r="J62" i="11"/>
  <c r="K62" i="11"/>
  <c r="J63" i="11"/>
  <c r="K63" i="11"/>
  <c r="J65" i="11"/>
  <c r="N65" i="11" s="1"/>
  <c r="K65" i="11"/>
  <c r="J66" i="11"/>
  <c r="K66" i="11"/>
  <c r="J67" i="11"/>
  <c r="K67" i="11"/>
  <c r="J68" i="11"/>
  <c r="N68" i="11" s="1"/>
  <c r="O68" i="11" s="1"/>
  <c r="K68" i="11"/>
  <c r="J69" i="11"/>
  <c r="K69" i="11"/>
  <c r="J70" i="11"/>
  <c r="N70" i="11" s="1"/>
  <c r="J71" i="11"/>
  <c r="K71" i="11"/>
  <c r="J72" i="11"/>
  <c r="N72" i="11" s="1"/>
  <c r="J74" i="11"/>
  <c r="K74" i="11"/>
  <c r="J75" i="11"/>
  <c r="N75" i="11" s="1"/>
  <c r="K75" i="11"/>
  <c r="J76" i="11"/>
  <c r="N76" i="11" s="1"/>
  <c r="O76" i="11" s="1"/>
  <c r="K76" i="11"/>
  <c r="J77" i="11"/>
  <c r="K77" i="11"/>
  <c r="J78" i="11"/>
  <c r="K78" i="11"/>
  <c r="J79" i="11"/>
  <c r="K79" i="11"/>
  <c r="J80" i="11"/>
  <c r="K80" i="11"/>
  <c r="J81" i="11"/>
  <c r="N81" i="11" s="1"/>
  <c r="K81" i="11"/>
  <c r="J83" i="11"/>
  <c r="N83" i="11" s="1"/>
  <c r="O83" i="11" s="1"/>
  <c r="J84" i="11"/>
  <c r="J86" i="11"/>
  <c r="N86" i="11" s="1"/>
  <c r="J88" i="11"/>
  <c r="K88" i="11"/>
  <c r="J89" i="11"/>
  <c r="K89" i="11"/>
  <c r="J92" i="11"/>
  <c r="J93" i="11"/>
  <c r="K93" i="11"/>
  <c r="J95" i="11"/>
  <c r="N95" i="11" s="1"/>
  <c r="K95" i="11"/>
  <c r="J96" i="11"/>
  <c r="K96" i="11"/>
  <c r="J99" i="11"/>
  <c r="K99" i="11"/>
  <c r="J100" i="11"/>
  <c r="J101" i="11"/>
  <c r="K101" i="11"/>
  <c r="J102" i="11"/>
  <c r="K102" i="11"/>
  <c r="N102" i="11" s="1"/>
  <c r="J103" i="11"/>
  <c r="K103" i="11"/>
  <c r="J105" i="11"/>
  <c r="N105" i="11" s="1"/>
  <c r="K105" i="11"/>
  <c r="J106" i="11"/>
  <c r="K106" i="11"/>
  <c r="J108" i="11"/>
  <c r="N108" i="11" s="1"/>
  <c r="K108" i="11"/>
  <c r="J110" i="11"/>
  <c r="N110" i="11" s="1"/>
  <c r="J111" i="11"/>
  <c r="N111" i="11" s="1"/>
  <c r="O111" i="11" s="1"/>
  <c r="K111" i="11"/>
  <c r="J112" i="11"/>
  <c r="N112" i="11" s="1"/>
  <c r="O112" i="11" s="1"/>
  <c r="K112" i="11"/>
  <c r="J113" i="11"/>
  <c r="K113" i="11"/>
  <c r="J115" i="11"/>
  <c r="N115" i="11" s="1"/>
  <c r="O115" i="11" s="1"/>
  <c r="K115" i="11"/>
  <c r="J116" i="11"/>
  <c r="K116" i="11"/>
  <c r="J117" i="11"/>
  <c r="K117" i="11"/>
  <c r="J118" i="11"/>
  <c r="N118" i="11" s="1"/>
  <c r="K118" i="11"/>
  <c r="J119" i="11"/>
  <c r="K119" i="11"/>
  <c r="J120" i="11"/>
  <c r="K120" i="11"/>
  <c r="J122" i="11"/>
  <c r="K122" i="11"/>
  <c r="J123" i="11"/>
  <c r="K123" i="11"/>
  <c r="J124" i="11"/>
  <c r="N124" i="11" s="1"/>
  <c r="O124" i="11" s="1"/>
  <c r="K124" i="11"/>
  <c r="J125" i="11"/>
  <c r="N125" i="11" s="1"/>
  <c r="J126" i="11"/>
  <c r="N126" i="11" s="1"/>
  <c r="J127" i="11"/>
  <c r="N127" i="11" s="1"/>
  <c r="O127" i="11" s="1"/>
  <c r="K127" i="11"/>
  <c r="J128" i="11"/>
  <c r="N128" i="11" s="1"/>
  <c r="K128" i="11"/>
  <c r="J129" i="11"/>
  <c r="N129" i="11" s="1"/>
  <c r="O129" i="11" s="1"/>
  <c r="K129" i="11"/>
  <c r="J130" i="11"/>
  <c r="J132" i="11"/>
  <c r="N132" i="11" s="1"/>
  <c r="J134" i="11"/>
  <c r="N134" i="11" s="1"/>
  <c r="O134" i="11" s="1"/>
  <c r="K134" i="11"/>
  <c r="J136" i="11"/>
  <c r="N136" i="11" s="1"/>
  <c r="J137" i="11"/>
  <c r="J138" i="11"/>
  <c r="N138" i="11" s="1"/>
  <c r="O138" i="11" s="1"/>
  <c r="K138" i="11"/>
  <c r="J139" i="11"/>
  <c r="J141" i="11"/>
  <c r="N141" i="11" s="1"/>
  <c r="K141" i="11"/>
  <c r="J142" i="11"/>
  <c r="K142" i="11"/>
  <c r="J143" i="11"/>
  <c r="N143" i="11" s="1"/>
  <c r="O143" i="11" s="1"/>
  <c r="K143" i="11"/>
  <c r="J144" i="11"/>
  <c r="K144" i="11"/>
  <c r="J145" i="11"/>
  <c r="K145" i="11"/>
  <c r="N145" i="11" s="1"/>
  <c r="O145" i="11" s="1"/>
  <c r="J146" i="11"/>
  <c r="K146" i="11"/>
  <c r="J147" i="11"/>
  <c r="N147" i="11" s="1"/>
  <c r="O147" i="11" s="1"/>
  <c r="K147" i="11"/>
  <c r="J150" i="11"/>
  <c r="K150" i="11"/>
  <c r="J151" i="11"/>
  <c r="K151" i="11"/>
  <c r="J153" i="11"/>
  <c r="K153" i="11"/>
  <c r="J154" i="11"/>
  <c r="K154" i="11"/>
  <c r="N154" i="11" s="1"/>
  <c r="O154" i="11" s="1"/>
  <c r="J155" i="11"/>
  <c r="N155" i="11" s="1"/>
  <c r="J156" i="11"/>
  <c r="J157" i="11"/>
  <c r="K157" i="11"/>
  <c r="J160" i="11"/>
  <c r="K160" i="11"/>
  <c r="J161" i="11"/>
  <c r="J162" i="11"/>
  <c r="K162" i="11"/>
  <c r="J163" i="11"/>
  <c r="J164" i="11"/>
  <c r="N164" i="11" s="1"/>
  <c r="K164" i="11"/>
  <c r="J165" i="11"/>
  <c r="K165" i="11"/>
  <c r="J166" i="11"/>
  <c r="N166" i="11" s="1"/>
  <c r="O166" i="11" s="1"/>
  <c r="K166" i="11"/>
  <c r="J167" i="11"/>
  <c r="K167" i="11"/>
  <c r="J168" i="11"/>
  <c r="N168" i="11" s="1"/>
  <c r="O168" i="11" s="1"/>
  <c r="K168" i="11"/>
  <c r="J172" i="11"/>
  <c r="K172" i="11"/>
  <c r="J173" i="11"/>
  <c r="N173" i="11" s="1"/>
  <c r="J174" i="11"/>
  <c r="K174" i="11"/>
  <c r="J176" i="11"/>
  <c r="N176" i="11" s="1"/>
  <c r="O176" i="11" s="1"/>
  <c r="K176" i="11"/>
  <c r="J177" i="11"/>
  <c r="K177" i="11"/>
  <c r="J178" i="11"/>
  <c r="N178" i="11" s="1"/>
  <c r="J179" i="11"/>
  <c r="N179" i="11" s="1"/>
  <c r="J182" i="11"/>
  <c r="K182" i="11"/>
  <c r="J183" i="11"/>
  <c r="K183" i="11"/>
  <c r="J184" i="11"/>
  <c r="N184" i="11" s="1"/>
  <c r="O184" i="11" s="1"/>
  <c r="J185" i="11"/>
  <c r="J186" i="11"/>
  <c r="K186" i="11"/>
  <c r="J188" i="11"/>
  <c r="K188" i="11"/>
  <c r="J189" i="11"/>
  <c r="K189" i="11"/>
  <c r="K190" i="11"/>
  <c r="J192" i="11"/>
  <c r="K192" i="11"/>
  <c r="J195" i="11"/>
  <c r="J196" i="11"/>
  <c r="K196" i="11"/>
  <c r="J198" i="11"/>
  <c r="K198" i="11"/>
  <c r="J199" i="11"/>
  <c r="N199" i="11" s="1"/>
  <c r="O199" i="11" s="1"/>
  <c r="K199" i="11"/>
  <c r="J200" i="11"/>
  <c r="K200" i="11"/>
  <c r="J203" i="11"/>
  <c r="N203" i="11" s="1"/>
  <c r="O203" i="11" s="1"/>
  <c r="K203" i="11"/>
  <c r="K204" i="11"/>
  <c r="J205" i="11"/>
  <c r="K205" i="11"/>
  <c r="J206" i="11"/>
  <c r="K206" i="11"/>
  <c r="J207" i="11"/>
  <c r="N207" i="11" s="1"/>
  <c r="K207" i="11"/>
  <c r="J210" i="11"/>
  <c r="K210" i="11"/>
  <c r="J211" i="11"/>
  <c r="N211" i="11" s="1"/>
  <c r="K211" i="11"/>
  <c r="J212" i="11"/>
  <c r="K212" i="11"/>
  <c r="J213" i="11"/>
  <c r="K213" i="11"/>
  <c r="N213" i="11" s="1"/>
  <c r="O213" i="11" s="1"/>
  <c r="J214" i="11"/>
  <c r="K214" i="11"/>
  <c r="J216" i="11"/>
  <c r="J215" i="11"/>
  <c r="J219" i="11"/>
  <c r="K219" i="11"/>
  <c r="J220" i="11"/>
  <c r="K220" i="11"/>
  <c r="J221" i="11"/>
  <c r="K221" i="11"/>
  <c r="J222" i="11"/>
  <c r="N222" i="11" s="1"/>
  <c r="O222" i="11" s="1"/>
  <c r="J223" i="11"/>
  <c r="K223" i="11"/>
  <c r="J224" i="11"/>
  <c r="K224" i="11"/>
  <c r="J225" i="11"/>
  <c r="N225" i="11" s="1"/>
  <c r="O225" i="11" s="1"/>
  <c r="K225" i="11"/>
  <c r="J226" i="11"/>
  <c r="K226" i="11"/>
  <c r="J227" i="11"/>
  <c r="N227" i="11" s="1"/>
  <c r="O227" i="11" s="1"/>
  <c r="K227" i="11"/>
  <c r="J228" i="11"/>
  <c r="K228" i="11"/>
  <c r="J229" i="11"/>
  <c r="N229" i="11" s="1"/>
  <c r="O229" i="11" s="1"/>
  <c r="J230" i="11"/>
  <c r="K230" i="11"/>
  <c r="J231" i="11"/>
  <c r="K231" i="11"/>
  <c r="N231" i="11" s="1"/>
  <c r="O231" i="11" s="1"/>
  <c r="J232" i="11"/>
  <c r="K232" i="11"/>
  <c r="J233" i="11"/>
  <c r="N233" i="11" s="1"/>
  <c r="J235" i="11"/>
  <c r="N235" i="11" s="1"/>
  <c r="O235" i="11" s="1"/>
  <c r="J238" i="11"/>
  <c r="J239" i="11"/>
  <c r="J241" i="11"/>
  <c r="K241" i="11"/>
  <c r="J243" i="11"/>
  <c r="K243" i="11"/>
  <c r="J244" i="11"/>
  <c r="K244" i="11"/>
  <c r="J245" i="11"/>
  <c r="J246" i="11"/>
  <c r="N246" i="11" s="1"/>
  <c r="J247" i="11"/>
  <c r="N247" i="11" s="1"/>
  <c r="O247" i="11" s="1"/>
  <c r="K247" i="11"/>
  <c r="J248" i="11"/>
  <c r="K248" i="11"/>
  <c r="J249" i="11"/>
  <c r="K249" i="11"/>
  <c r="J250" i="11"/>
  <c r="N250" i="11" s="1"/>
  <c r="O250" i="11" s="1"/>
  <c r="K250" i="11"/>
  <c r="J252" i="11"/>
  <c r="N252" i="11" s="1"/>
  <c r="J253" i="11"/>
  <c r="J255" i="11"/>
  <c r="K255" i="11"/>
  <c r="J256" i="11"/>
  <c r="K256" i="11"/>
  <c r="J257" i="11"/>
  <c r="K257" i="11"/>
  <c r="J258" i="11"/>
  <c r="J259" i="11"/>
  <c r="N259" i="11" s="1"/>
  <c r="O259" i="11" s="1"/>
  <c r="K259" i="11"/>
  <c r="J260" i="11"/>
  <c r="K260" i="11"/>
  <c r="J261" i="11"/>
  <c r="N261" i="11" s="1"/>
  <c r="O261" i="11" s="1"/>
  <c r="J262" i="11"/>
  <c r="N262" i="11" s="1"/>
  <c r="K262" i="11"/>
  <c r="J263" i="11"/>
  <c r="J264" i="11"/>
  <c r="N264" i="11" s="1"/>
  <c r="O264" i="11" s="1"/>
  <c r="K264" i="11"/>
  <c r="J265" i="11"/>
  <c r="K265" i="11"/>
  <c r="J266" i="11"/>
  <c r="K266" i="11"/>
  <c r="J267" i="11"/>
  <c r="K267" i="11"/>
  <c r="J268" i="11"/>
  <c r="N268" i="11" s="1"/>
  <c r="O268" i="11" s="1"/>
  <c r="K268" i="11"/>
  <c r="J269" i="11"/>
  <c r="J270" i="11"/>
  <c r="N270" i="11" s="1"/>
  <c r="O270" i="11" s="1"/>
  <c r="K270" i="11"/>
  <c r="J271" i="11"/>
  <c r="K271" i="11"/>
  <c r="J273" i="11"/>
  <c r="K273" i="11"/>
  <c r="J274" i="11"/>
  <c r="N274" i="11" s="1"/>
  <c r="J277" i="11"/>
  <c r="K277" i="11"/>
  <c r="J279" i="11"/>
  <c r="K279" i="11"/>
  <c r="J280" i="11"/>
  <c r="J282" i="11"/>
  <c r="K282" i="11"/>
  <c r="J283" i="11"/>
  <c r="K283" i="11"/>
  <c r="J284" i="11"/>
  <c r="K284" i="11"/>
  <c r="J285" i="11"/>
  <c r="N285" i="11" s="1"/>
  <c r="K285" i="11"/>
  <c r="J286" i="11"/>
  <c r="K286" i="11"/>
  <c r="N286" i="11" s="1"/>
  <c r="J289" i="11"/>
  <c r="J290" i="11"/>
  <c r="K290" i="11"/>
  <c r="J291" i="11"/>
  <c r="K291" i="11"/>
  <c r="J292" i="11"/>
  <c r="N292" i="11" s="1"/>
  <c r="O292" i="11" s="1"/>
  <c r="K292" i="11"/>
  <c r="J293" i="11"/>
  <c r="N293" i="11" s="1"/>
  <c r="O293" i="11" s="1"/>
  <c r="J296" i="11"/>
  <c r="K296" i="11"/>
  <c r="J297" i="11"/>
  <c r="K297" i="11"/>
  <c r="J298" i="11"/>
  <c r="K298" i="11"/>
  <c r="J299" i="11"/>
  <c r="K299" i="11"/>
  <c r="J300" i="11"/>
  <c r="K300" i="11"/>
  <c r="J303" i="11"/>
  <c r="K303" i="11"/>
  <c r="N303" i="11" s="1"/>
  <c r="J307" i="11"/>
  <c r="K307" i="11"/>
  <c r="J309" i="11"/>
  <c r="K309" i="11"/>
  <c r="J312" i="11"/>
  <c r="N312" i="11" s="1"/>
  <c r="O312" i="11" s="1"/>
  <c r="K312" i="11"/>
  <c r="J313" i="11"/>
  <c r="K313" i="11"/>
  <c r="J314" i="11"/>
  <c r="K314" i="11"/>
  <c r="J315" i="11"/>
  <c r="K315" i="11"/>
  <c r="J316" i="11"/>
  <c r="K316" i="11"/>
  <c r="J317" i="11"/>
  <c r="J318" i="11"/>
  <c r="K318" i="11"/>
  <c r="J319" i="11"/>
  <c r="K319" i="11"/>
  <c r="J320" i="11"/>
  <c r="K320" i="11"/>
  <c r="J323" i="11"/>
  <c r="K323" i="11"/>
  <c r="J324" i="11"/>
  <c r="K324" i="11"/>
  <c r="J326" i="11"/>
  <c r="K326" i="11"/>
  <c r="J327" i="11"/>
  <c r="K327" i="11"/>
  <c r="N327" i="11" s="1"/>
  <c r="J328" i="11"/>
  <c r="K328" i="11"/>
  <c r="J331" i="11"/>
  <c r="K331" i="11"/>
  <c r="J332" i="11"/>
  <c r="K332" i="11"/>
  <c r="J334" i="11"/>
  <c r="K334" i="11"/>
  <c r="N334" i="11" s="1"/>
  <c r="J336" i="11"/>
  <c r="K336" i="11"/>
  <c r="J340" i="11"/>
  <c r="K340" i="11"/>
  <c r="J342" i="11"/>
  <c r="K342" i="11"/>
  <c r="J344" i="11"/>
  <c r="K344" i="11"/>
  <c r="J346" i="11"/>
  <c r="K346" i="11"/>
  <c r="J347" i="11"/>
  <c r="K347" i="11"/>
  <c r="J348" i="11"/>
  <c r="K348" i="11"/>
  <c r="J349" i="11"/>
  <c r="K349" i="11"/>
  <c r="J350" i="11"/>
  <c r="N350" i="11" s="1"/>
  <c r="O350" i="11" s="1"/>
  <c r="K350" i="11"/>
  <c r="J351" i="11"/>
  <c r="K351" i="11"/>
  <c r="J352" i="11"/>
  <c r="K352" i="11"/>
  <c r="J355" i="11"/>
  <c r="K355" i="11"/>
  <c r="J357" i="11"/>
  <c r="K357" i="11"/>
  <c r="J358" i="11"/>
  <c r="K358" i="11"/>
  <c r="J359" i="11"/>
  <c r="K359" i="11"/>
  <c r="J360" i="11"/>
  <c r="K360" i="11"/>
  <c r="J363" i="11"/>
  <c r="J365" i="11"/>
  <c r="K365" i="11"/>
  <c r="J366" i="11"/>
  <c r="N366" i="11" s="1"/>
  <c r="O366" i="11" s="1"/>
  <c r="J367" i="11"/>
  <c r="K367" i="11"/>
  <c r="Q10" i="10"/>
  <c r="R10" i="10"/>
  <c r="U10" i="10" s="1"/>
  <c r="V10" i="10" s="1"/>
  <c r="Q12" i="10"/>
  <c r="Q13" i="10"/>
  <c r="Q14" i="10"/>
  <c r="Q15" i="10"/>
  <c r="Q16" i="10"/>
  <c r="Q18" i="10"/>
  <c r="R18" i="10"/>
  <c r="U18" i="10" s="1"/>
  <c r="V18" i="10" s="1"/>
  <c r="Q19" i="10"/>
  <c r="U19" i="10" s="1"/>
  <c r="R19" i="10"/>
  <c r="Q20" i="10"/>
  <c r="R20" i="10"/>
  <c r="Q21" i="10"/>
  <c r="Q22" i="10"/>
  <c r="Q23" i="10"/>
  <c r="Q24" i="10"/>
  <c r="Q25" i="10"/>
  <c r="Q26" i="10"/>
  <c r="R26" i="10"/>
  <c r="Q27" i="10"/>
  <c r="D28" i="10"/>
  <c r="R28" i="10" s="1"/>
  <c r="D29" i="10"/>
  <c r="P29" i="10" s="1"/>
  <c r="Q30" i="10"/>
  <c r="Q31" i="10"/>
  <c r="R31" i="10"/>
  <c r="Q33" i="10"/>
  <c r="U33" i="10" s="1"/>
  <c r="V33" i="10" s="1"/>
  <c r="E34" i="10"/>
  <c r="I34" i="10"/>
  <c r="Q35" i="10"/>
  <c r="U35" i="10" s="1"/>
  <c r="V35" i="10" s="1"/>
  <c r="Q36" i="10"/>
  <c r="R36" i="10"/>
  <c r="Q37" i="10"/>
  <c r="Q38" i="10"/>
  <c r="U38" i="10" s="1"/>
  <c r="Q39" i="10"/>
  <c r="U39" i="10" s="1"/>
  <c r="Q40" i="10"/>
  <c r="Q41" i="10"/>
  <c r="Q42" i="10"/>
  <c r="Q43" i="10"/>
  <c r="Q44" i="10"/>
  <c r="U44" i="10" s="1"/>
  <c r="Q45" i="10"/>
  <c r="U45" i="10" s="1"/>
  <c r="V45" i="10" s="1"/>
  <c r="D47" i="10"/>
  <c r="P47" i="10" s="1"/>
  <c r="D48" i="10"/>
  <c r="F48" i="10"/>
  <c r="Q50" i="10"/>
  <c r="U50" i="10" s="1"/>
  <c r="Q51" i="10"/>
  <c r="R51" i="10"/>
  <c r="E52" i="10"/>
  <c r="P52" i="10" s="1"/>
  <c r="Q53" i="10"/>
  <c r="U53" i="10" s="1"/>
  <c r="Q55" i="10"/>
  <c r="U55" i="10" s="1"/>
  <c r="R55" i="10"/>
  <c r="Q56" i="10"/>
  <c r="Q57" i="10"/>
  <c r="Q58" i="10"/>
  <c r="U58" i="10" s="1"/>
  <c r="V58" i="10" s="1"/>
  <c r="Q59" i="10"/>
  <c r="Q60" i="10"/>
  <c r="Q61" i="10"/>
  <c r="R61" i="10"/>
  <c r="D62" i="10"/>
  <c r="Q63" i="10"/>
  <c r="Q65" i="10"/>
  <c r="Q66" i="10"/>
  <c r="U66" i="10" s="1"/>
  <c r="Q67" i="10"/>
  <c r="Q69" i="10"/>
  <c r="Q70" i="10"/>
  <c r="R70" i="10"/>
  <c r="R74" i="10"/>
  <c r="U74" i="10" s="1"/>
  <c r="V74" i="10" s="1"/>
  <c r="Q76" i="10"/>
  <c r="Q77" i="10"/>
  <c r="U77" i="10" s="1"/>
  <c r="V77" i="10" s="1"/>
  <c r="Q79" i="10"/>
  <c r="R79" i="10"/>
  <c r="Q80" i="10"/>
  <c r="Q81" i="10"/>
  <c r="R81" i="10"/>
  <c r="U81" i="10" s="1"/>
  <c r="V81" i="10" s="1"/>
  <c r="Q83" i="10"/>
  <c r="U83" i="10" s="1"/>
  <c r="Q84" i="10"/>
  <c r="U84" i="10" s="1"/>
  <c r="V84" i="10" s="1"/>
  <c r="Q85" i="10"/>
  <c r="Q88" i="10"/>
  <c r="Q89" i="10"/>
  <c r="R89" i="10"/>
  <c r="D90" i="10"/>
  <c r="Q91" i="10"/>
  <c r="R91" i="10"/>
  <c r="Q92" i="10"/>
  <c r="R92" i="10"/>
  <c r="Q94" i="10"/>
  <c r="U94" i="10" s="1"/>
  <c r="Q95" i="10"/>
  <c r="Q96" i="10"/>
  <c r="U96" i="10" s="1"/>
  <c r="V96" i="10" s="1"/>
  <c r="Q97" i="10"/>
  <c r="R97" i="10"/>
  <c r="D98" i="10"/>
  <c r="P98" i="10" s="1"/>
  <c r="Q99" i="10"/>
  <c r="U99" i="10" s="1"/>
  <c r="V99" i="10" s="1"/>
  <c r="Q100" i="10"/>
  <c r="Q101" i="10"/>
  <c r="Q102" i="10"/>
  <c r="U102" i="10" s="1"/>
  <c r="Q103" i="10"/>
  <c r="Q104" i="10"/>
  <c r="Q105" i="10"/>
  <c r="Q108" i="10"/>
  <c r="U108" i="10" s="1"/>
  <c r="V108" i="10" s="1"/>
  <c r="Q109" i="10"/>
  <c r="Q111" i="10"/>
  <c r="U111" i="10" s="1"/>
  <c r="Q112" i="10"/>
  <c r="R112" i="10"/>
  <c r="Q113" i="10"/>
  <c r="Q115" i="10"/>
  <c r="U115" i="10" s="1"/>
  <c r="V115" i="10" s="1"/>
  <c r="D116" i="10"/>
  <c r="R116" i="10" s="1"/>
  <c r="F116" i="10"/>
  <c r="D117" i="10"/>
  <c r="F117" i="10"/>
  <c r="Q118" i="10"/>
  <c r="D120" i="10"/>
  <c r="F120" i="10"/>
  <c r="Q121" i="10"/>
  <c r="U121" i="10" s="1"/>
  <c r="V121" i="10" s="1"/>
  <c r="Q122" i="10"/>
  <c r="U122" i="10" s="1"/>
  <c r="V122" i="10" s="1"/>
  <c r="Q123" i="10"/>
  <c r="Q124" i="10"/>
  <c r="R124" i="10"/>
  <c r="Q125" i="10"/>
  <c r="D126" i="10"/>
  <c r="P126" i="10" s="1"/>
  <c r="Q127" i="10"/>
  <c r="R127" i="10"/>
  <c r="D128" i="10"/>
  <c r="Q131" i="10"/>
  <c r="D132" i="10"/>
  <c r="D133" i="10"/>
  <c r="Q134" i="10"/>
  <c r="R134" i="10"/>
  <c r="Q135" i="10"/>
  <c r="R135" i="10"/>
  <c r="D136" i="10"/>
  <c r="F136" i="10"/>
  <c r="Q137" i="10"/>
  <c r="D138" i="10"/>
  <c r="P138" i="10" s="1"/>
  <c r="Q139" i="10"/>
  <c r="Q140" i="10"/>
  <c r="R140" i="10"/>
  <c r="Q141" i="10"/>
  <c r="U141" i="10" s="1"/>
  <c r="D142" i="10"/>
  <c r="Q142" i="10" s="1"/>
  <c r="F142" i="10"/>
  <c r="Q143" i="10"/>
  <c r="Q144" i="10"/>
  <c r="U144" i="10" s="1"/>
  <c r="V144" i="10" s="1"/>
  <c r="Q145" i="10"/>
  <c r="U145" i="10" s="1"/>
  <c r="V145" i="10" s="1"/>
  <c r="I146" i="10"/>
  <c r="R146" i="10" s="1"/>
  <c r="Q147" i="10"/>
  <c r="Q148" i="10"/>
  <c r="U148" i="10" s="1"/>
  <c r="Q150" i="10"/>
  <c r="Q151" i="10"/>
  <c r="U151" i="10" s="1"/>
  <c r="V151" i="10" s="1"/>
  <c r="Q152" i="10"/>
  <c r="Q153" i="10"/>
  <c r="U153" i="10" s="1"/>
  <c r="V153" i="10" s="1"/>
  <c r="Q154" i="10"/>
  <c r="Q155" i="10"/>
  <c r="R155" i="10"/>
  <c r="D156" i="10"/>
  <c r="Q156" i="10" s="1"/>
  <c r="D157" i="10"/>
  <c r="Q158" i="10"/>
  <c r="R158" i="10"/>
  <c r="Q160" i="10"/>
  <c r="U160" i="10" s="1"/>
  <c r="V160" i="10" s="1"/>
  <c r="D161" i="10"/>
  <c r="Q161" i="10" s="1"/>
  <c r="Q162" i="10"/>
  <c r="U162" i="10" s="1"/>
  <c r="V162" i="10" s="1"/>
  <c r="Q163" i="10"/>
  <c r="D164" i="10"/>
  <c r="Q165" i="10"/>
  <c r="R165" i="10"/>
  <c r="Q167" i="10"/>
  <c r="Q169" i="10"/>
  <c r="U169" i="10" s="1"/>
  <c r="V169" i="10" s="1"/>
  <c r="Q170" i="10"/>
  <c r="U170" i="10" s="1"/>
  <c r="V170" i="10" s="1"/>
  <c r="Q172" i="10"/>
  <c r="U172" i="10" s="1"/>
  <c r="V172" i="10" s="1"/>
  <c r="E173" i="10"/>
  <c r="I173" i="10"/>
  <c r="Q175" i="10"/>
  <c r="U175" i="10" s="1"/>
  <c r="V175" i="10" s="1"/>
  <c r="Q178" i="10"/>
  <c r="D179" i="10"/>
  <c r="P179" i="10" s="1"/>
  <c r="Q180" i="10"/>
  <c r="Q181" i="10"/>
  <c r="R181" i="10"/>
  <c r="E182" i="10"/>
  <c r="P182" i="10" s="1"/>
  <c r="Q183" i="10"/>
  <c r="R183" i="10"/>
  <c r="Q184" i="10"/>
  <c r="R184" i="10"/>
  <c r="E185" i="10"/>
  <c r="I185" i="10"/>
  <c r="Q186" i="10"/>
  <c r="Q188" i="10"/>
  <c r="R188" i="10"/>
  <c r="Q189" i="10"/>
  <c r="U189" i="10" s="1"/>
  <c r="V189" i="10" s="1"/>
  <c r="Q190" i="10"/>
  <c r="Q191" i="10"/>
  <c r="U191" i="10" s="1"/>
  <c r="V191" i="10" s="1"/>
  <c r="Q193" i="10"/>
  <c r="R193" i="10"/>
  <c r="Q194" i="10"/>
  <c r="Q195" i="10"/>
  <c r="U195" i="10" s="1"/>
  <c r="V195" i="10" s="1"/>
  <c r="Q196" i="10"/>
  <c r="U196" i="10" s="1"/>
  <c r="U197" i="10"/>
  <c r="V197" i="10" s="1"/>
  <c r="Q198" i="10"/>
  <c r="R198" i="10"/>
  <c r="Q199" i="10"/>
  <c r="U199" i="10"/>
  <c r="Q200" i="10"/>
  <c r="Q201" i="10"/>
  <c r="R201" i="10"/>
  <c r="Q202" i="10"/>
  <c r="U202" i="10" s="1"/>
  <c r="V202" i="10" s="1"/>
  <c r="Q203" i="10"/>
  <c r="Q204" i="10"/>
  <c r="U204" i="10" s="1"/>
  <c r="V204" i="10" s="1"/>
  <c r="E205" i="10"/>
  <c r="I205" i="10"/>
  <c r="Q206" i="10"/>
  <c r="Q208" i="10"/>
  <c r="U208" i="10" s="1"/>
  <c r="V208" i="10" s="1"/>
  <c r="Q209" i="10"/>
  <c r="Q210" i="10"/>
  <c r="U210" i="10" s="1"/>
  <c r="V210" i="10" s="1"/>
  <c r="Q212" i="10"/>
  <c r="R212" i="10"/>
  <c r="Q213" i="10"/>
  <c r="R213" i="10"/>
  <c r="Q214" i="10"/>
  <c r="Q215" i="10"/>
  <c r="Q216" i="10"/>
  <c r="U216" i="10" s="1"/>
  <c r="V216" i="10" s="1"/>
  <c r="Q217" i="10"/>
  <c r="Q218" i="10"/>
  <c r="R218" i="10"/>
  <c r="Q219" i="10"/>
  <c r="Q220" i="10"/>
  <c r="Q221" i="10"/>
  <c r="R221" i="10"/>
  <c r="Q222" i="10"/>
  <c r="U222" i="10" s="1"/>
  <c r="V222" i="10" s="1"/>
  <c r="Q223" i="10"/>
  <c r="U223" i="10" s="1"/>
  <c r="Q224" i="10"/>
  <c r="Q225" i="10"/>
  <c r="Q226" i="10"/>
  <c r="U226" i="10" s="1"/>
  <c r="V226" i="10" s="1"/>
  <c r="Q227" i="10"/>
  <c r="U227" i="10" s="1"/>
  <c r="V227" i="10" s="1"/>
  <c r="Q229" i="10"/>
  <c r="R229" i="10"/>
  <c r="D230" i="10"/>
  <c r="R230" i="10" s="1"/>
  <c r="Q232" i="10"/>
  <c r="R232" i="10"/>
  <c r="Q233" i="10"/>
  <c r="U233" i="10" s="1"/>
  <c r="V233" i="10" s="1"/>
  <c r="Q234" i="10"/>
  <c r="D235" i="10"/>
  <c r="P235" i="10" s="1"/>
  <c r="Q236" i="10"/>
  <c r="U236" i="10" s="1"/>
  <c r="Q237" i="10"/>
  <c r="Q238" i="10"/>
  <c r="U238" i="10" s="1"/>
  <c r="V238" i="10" s="1"/>
  <c r="Q239" i="10"/>
  <c r="Q244" i="10"/>
  <c r="Q246" i="10"/>
  <c r="R246" i="10"/>
  <c r="U246" i="10" s="1"/>
  <c r="V246" i="10" s="1"/>
  <c r="Q247" i="10"/>
  <c r="R247" i="10"/>
  <c r="Q248" i="10"/>
  <c r="Q249" i="10"/>
  <c r="U249" i="10" s="1"/>
  <c r="V249" i="10" s="1"/>
  <c r="Q250" i="10"/>
  <c r="Q251" i="10"/>
  <c r="Q252" i="10"/>
  <c r="R252" i="10"/>
  <c r="Q254" i="10"/>
  <c r="R254" i="10"/>
  <c r="Q255" i="10"/>
  <c r="E256" i="10"/>
  <c r="I256" i="10"/>
  <c r="D257" i="10"/>
  <c r="F257" i="10"/>
  <c r="Q258" i="10"/>
  <c r="R258" i="10"/>
  <c r="Q260" i="10"/>
  <c r="U260" i="10" s="1"/>
  <c r="V260" i="10" s="1"/>
  <c r="D261" i="10"/>
  <c r="F261" i="10"/>
  <c r="Q262" i="10"/>
  <c r="U262" i="10" s="1"/>
  <c r="V262" i="10" s="1"/>
  <c r="Q264" i="10"/>
  <c r="R264" i="10"/>
  <c r="Q265" i="10"/>
  <c r="U265" i="10" s="1"/>
  <c r="V265" i="10" s="1"/>
  <c r="Q266" i="10"/>
  <c r="R266" i="10"/>
  <c r="Q267" i="10"/>
  <c r="R267" i="10"/>
  <c r="Q268" i="10"/>
  <c r="Q269" i="10"/>
  <c r="Q270" i="10"/>
  <c r="U270" i="10" s="1"/>
  <c r="Q271" i="10"/>
  <c r="U271" i="10" s="1"/>
  <c r="V271" i="10" s="1"/>
  <c r="Q272" i="10"/>
  <c r="U272" i="10" s="1"/>
  <c r="Q273" i="10"/>
  <c r="Q274" i="10"/>
  <c r="U274" i="10" s="1"/>
  <c r="Q275" i="10"/>
  <c r="U275" i="10"/>
  <c r="V275" i="10" s="1"/>
  <c r="Q276" i="10"/>
  <c r="Q277" i="10"/>
  <c r="Q278" i="10"/>
  <c r="U278" i="10"/>
  <c r="Q280" i="10"/>
  <c r="Q281" i="10"/>
  <c r="R281" i="10"/>
  <c r="Q282" i="10"/>
  <c r="U282" i="10" s="1"/>
  <c r="V282" i="10" s="1"/>
  <c r="Q283" i="10"/>
  <c r="U283" i="10" s="1"/>
  <c r="D284" i="10"/>
  <c r="P284" i="10" s="1"/>
  <c r="Q286" i="10"/>
  <c r="R286" i="10"/>
  <c r="Q287" i="10"/>
  <c r="U287" i="10" s="1"/>
  <c r="V287" i="10" s="1"/>
  <c r="Q288" i="10"/>
  <c r="D290" i="10"/>
  <c r="P290" i="10" s="1"/>
  <c r="I292" i="10"/>
  <c r="Q292" i="10" s="1"/>
  <c r="Q293" i="10"/>
  <c r="U293" i="10" s="1"/>
  <c r="V293" i="10" s="1"/>
  <c r="Q296" i="10"/>
  <c r="I297" i="10"/>
  <c r="P297" i="10" s="1"/>
  <c r="Q298" i="10"/>
  <c r="U298" i="10" s="1"/>
  <c r="V298" i="10" s="1"/>
  <c r="Q299" i="10"/>
  <c r="R299" i="10"/>
  <c r="Q300" i="10"/>
  <c r="R300" i="10"/>
  <c r="G301" i="10"/>
  <c r="H301" i="10"/>
  <c r="J301" i="10"/>
  <c r="K301" i="10"/>
  <c r="L301" i="10"/>
  <c r="M301" i="10"/>
  <c r="N301" i="10"/>
  <c r="S301" i="10"/>
  <c r="Q32" i="10"/>
  <c r="U32" i="10" s="1"/>
  <c r="R150" i="10"/>
  <c r="K59" i="15"/>
  <c r="M59" i="15" s="1"/>
  <c r="K43" i="15"/>
  <c r="M43" i="15" s="1"/>
  <c r="K79" i="15"/>
  <c r="K55" i="15"/>
  <c r="M55" i="15" s="1"/>
  <c r="K71" i="15"/>
  <c r="M71" i="15" s="1"/>
  <c r="K73" i="15"/>
  <c r="M73" i="15" s="1"/>
  <c r="K75" i="15"/>
  <c r="M75" i="15" s="1"/>
  <c r="K77" i="15"/>
  <c r="M77" i="15" s="1"/>
  <c r="Q93" i="10"/>
  <c r="U93" i="10" s="1"/>
  <c r="V93" i="10" s="1"/>
  <c r="K41" i="15"/>
  <c r="M41" i="15" s="1"/>
  <c r="K47" i="15"/>
  <c r="M47" i="15" s="1"/>
  <c r="K76" i="15"/>
  <c r="M76" i="15" s="1"/>
  <c r="K19" i="15"/>
  <c r="M19" i="15" s="1"/>
  <c r="K81" i="15"/>
  <c r="M81" i="15" s="1"/>
  <c r="K26" i="15"/>
  <c r="M26" i="15" s="1"/>
  <c r="K84" i="15"/>
  <c r="M84" i="15" s="1"/>
  <c r="J190" i="11"/>
  <c r="J171" i="11"/>
  <c r="Q138" i="10"/>
  <c r="K31" i="15"/>
  <c r="M31" i="15" s="1"/>
  <c r="K33" i="15"/>
  <c r="M33" i="15" s="1"/>
  <c r="K78" i="15"/>
  <c r="M78" i="15" s="1"/>
  <c r="K29" i="15"/>
  <c r="M29" i="15" s="1"/>
  <c r="K24" i="15"/>
  <c r="J204" i="11"/>
  <c r="N204" i="11" s="1"/>
  <c r="O204" i="11" s="1"/>
  <c r="U168" i="10"/>
  <c r="V168" i="10" s="1"/>
  <c r="U59" i="10"/>
  <c r="Q86" i="10"/>
  <c r="Q46" i="10"/>
  <c r="K28" i="11"/>
  <c r="J28" i="11"/>
  <c r="Q166" i="10"/>
  <c r="U166" i="10" s="1"/>
  <c r="V166" i="10" s="1"/>
  <c r="U291" i="10"/>
  <c r="T301" i="10"/>
  <c r="U240" i="10"/>
  <c r="K30" i="15"/>
  <c r="M30" i="15" s="1"/>
  <c r="K85" i="15"/>
  <c r="M85" i="15" s="1"/>
  <c r="K35" i="15"/>
  <c r="M35" i="15" s="1"/>
  <c r="K88" i="15"/>
  <c r="M88" i="15" s="1"/>
  <c r="U41" i="10"/>
  <c r="V41" i="10" s="1"/>
  <c r="U228" i="10"/>
  <c r="U11" i="10"/>
  <c r="U14" i="10"/>
  <c r="V14" i="10" s="1"/>
  <c r="R73" i="10"/>
  <c r="Q241" i="10"/>
  <c r="Q128" i="10"/>
  <c r="U13" i="10"/>
  <c r="U200" i="10"/>
  <c r="U88" i="10"/>
  <c r="R47" i="10"/>
  <c r="U129" i="10"/>
  <c r="U207" i="10"/>
  <c r="V245" i="10"/>
  <c r="U64" i="10"/>
  <c r="U130" i="10"/>
  <c r="V130" i="10" s="1"/>
  <c r="U295" i="10"/>
  <c r="V295" i="10" s="1"/>
  <c r="R179" i="10"/>
  <c r="U255" i="10"/>
  <c r="V255" i="10" s="1"/>
  <c r="U248" i="10"/>
  <c r="V248" i="10" s="1"/>
  <c r="U137" i="10"/>
  <c r="V137" i="10" s="1"/>
  <c r="U105" i="10"/>
  <c r="V105" i="10" s="1"/>
  <c r="Q48" i="10"/>
  <c r="R48" i="10"/>
  <c r="Q126" i="10"/>
  <c r="Q62" i="10"/>
  <c r="R52" i="10"/>
  <c r="U20" i="10"/>
  <c r="V20" i="10" s="1"/>
  <c r="U114" i="10"/>
  <c r="U107" i="10"/>
  <c r="V107" i="10" s="1"/>
  <c r="U165" i="10"/>
  <c r="V165" i="10" s="1"/>
  <c r="V59" i="10"/>
  <c r="U281" i="10"/>
  <c r="V281" i="10" s="1"/>
  <c r="U180" i="10"/>
  <c r="V180" i="10" s="1"/>
  <c r="U155" i="10"/>
  <c r="V155" i="10" s="1"/>
  <c r="Q136" i="10"/>
  <c r="U97" i="10"/>
  <c r="V97" i="10" s="1"/>
  <c r="U56" i="10"/>
  <c r="V56" i="10" s="1"/>
  <c r="U12" i="10"/>
  <c r="V12" i="10" s="1"/>
  <c r="U285" i="10"/>
  <c r="V285" i="10" s="1"/>
  <c r="U75" i="10"/>
  <c r="V75" i="10" s="1"/>
  <c r="U110" i="10"/>
  <c r="V110" i="10" s="1"/>
  <c r="R268" i="10"/>
  <c r="V111" i="10"/>
  <c r="H89" i="15"/>
  <c r="K67" i="15"/>
  <c r="M67" i="15" s="1"/>
  <c r="K48" i="15"/>
  <c r="M48" i="15" s="1"/>
  <c r="K62" i="15"/>
  <c r="M62" i="15" s="1"/>
  <c r="K72" i="15"/>
  <c r="M72" i="15" s="1"/>
  <c r="K51" i="15"/>
  <c r="M51" i="15" s="1"/>
  <c r="K37" i="15"/>
  <c r="M37" i="15" s="1"/>
  <c r="K44" i="15"/>
  <c r="M44" i="15" s="1"/>
  <c r="K17" i="15"/>
  <c r="M17" i="15" s="1"/>
  <c r="K27" i="15"/>
  <c r="M27" i="15" s="1"/>
  <c r="N84" i="11"/>
  <c r="N363" i="11"/>
  <c r="O363" i="11" s="1"/>
  <c r="N238" i="11"/>
  <c r="O238" i="11" s="1"/>
  <c r="N304" i="11"/>
  <c r="O304" i="11" s="1"/>
  <c r="N364" i="11"/>
  <c r="N230" i="11"/>
  <c r="O230" i="11" s="1"/>
  <c r="N343" i="11"/>
  <c r="O343" i="11" s="1"/>
  <c r="O11" i="11"/>
  <c r="N299" i="11"/>
  <c r="N291" i="11"/>
  <c r="O291" i="11" s="1"/>
  <c r="N289" i="11"/>
  <c r="N239" i="11"/>
  <c r="N185" i="11"/>
  <c r="N354" i="11"/>
  <c r="O354" i="11" s="1"/>
  <c r="N275" i="11"/>
  <c r="O275" i="11" s="1"/>
  <c r="N245" i="11"/>
  <c r="N310" i="11"/>
  <c r="O310" i="11" s="1"/>
  <c r="N139" i="11"/>
  <c r="O139" i="11" s="1"/>
  <c r="N240" i="11"/>
  <c r="N311" i="11"/>
  <c r="O311" i="11" s="1"/>
  <c r="N73" i="11"/>
  <c r="O73" i="11" s="1"/>
  <c r="N256" i="11"/>
  <c r="N248" i="11"/>
  <c r="N26" i="11"/>
  <c r="N14" i="11"/>
  <c r="O14" i="11" s="1"/>
  <c r="N340" i="11"/>
  <c r="N315" i="11"/>
  <c r="O315" i="11" s="1"/>
  <c r="N200" i="11"/>
  <c r="O200" i="11" s="1"/>
  <c r="N189" i="11"/>
  <c r="N325" i="11"/>
  <c r="N158" i="11"/>
  <c r="N279" i="11"/>
  <c r="O279" i="11" s="1"/>
  <c r="N221" i="11"/>
  <c r="O221" i="11" s="1"/>
  <c r="N79" i="11"/>
  <c r="N10" i="11"/>
  <c r="N308" i="11"/>
  <c r="N355" i="11"/>
  <c r="O355" i="11" s="1"/>
  <c r="N348" i="11"/>
  <c r="O348" i="11" s="1"/>
  <c r="N328" i="11"/>
  <c r="N326" i="11"/>
  <c r="N323" i="11"/>
  <c r="N318" i="11"/>
  <c r="O318" i="11" s="1"/>
  <c r="N296" i="11"/>
  <c r="O296" i="11" s="1"/>
  <c r="N210" i="11"/>
  <c r="N150" i="11"/>
  <c r="N101" i="11"/>
  <c r="N46" i="11"/>
  <c r="N24" i="11"/>
  <c r="N33" i="11"/>
  <c r="N13" i="11"/>
  <c r="Q256" i="10"/>
  <c r="R132" i="10"/>
  <c r="R29" i="10"/>
  <c r="R182" i="10"/>
  <c r="Q98" i="10"/>
  <c r="R235" i="10"/>
  <c r="Q29" i="10"/>
  <c r="U29" i="10" s="1"/>
  <c r="R90" i="10"/>
  <c r="O274" i="11"/>
  <c r="O340" i="11"/>
  <c r="J218" i="11"/>
  <c r="K218" i="11"/>
  <c r="N263" i="11"/>
  <c r="O263" i="11" s="1"/>
  <c r="N15" i="11"/>
  <c r="K46" i="15"/>
  <c r="M46" i="15" s="1"/>
  <c r="V88" i="10"/>
  <c r="V102" i="10"/>
  <c r="Q157" i="10"/>
  <c r="N106" i="11"/>
  <c r="N103" i="11"/>
  <c r="O103" i="11" s="1"/>
  <c r="N365" i="11"/>
  <c r="O365" i="11" s="1"/>
  <c r="N290" i="11"/>
  <c r="N284" i="11"/>
  <c r="N271" i="11"/>
  <c r="O271" i="11" s="1"/>
  <c r="N257" i="11"/>
  <c r="N255" i="11"/>
  <c r="O255" i="11" s="1"/>
  <c r="N249" i="11"/>
  <c r="O249" i="11" s="1"/>
  <c r="N232" i="11"/>
  <c r="N228" i="11"/>
  <c r="N224" i="11"/>
  <c r="N206" i="11"/>
  <c r="O206" i="11" s="1"/>
  <c r="N198" i="11"/>
  <c r="N172" i="11"/>
  <c r="N160" i="11"/>
  <c r="N153" i="11"/>
  <c r="O153" i="11" s="1"/>
  <c r="N120" i="11"/>
  <c r="N29" i="11"/>
  <c r="N341" i="11"/>
  <c r="O341" i="11" s="1"/>
  <c r="N287" i="11"/>
  <c r="O287" i="11" s="1"/>
  <c r="V50" i="10"/>
  <c r="V39" i="10"/>
  <c r="V199" i="10"/>
  <c r="V38" i="10"/>
  <c r="R98" i="10"/>
  <c r="Q34" i="10"/>
  <c r="R34" i="10"/>
  <c r="Q185" i="10"/>
  <c r="Q297" i="10"/>
  <c r="Q205" i="10"/>
  <c r="U124" i="10"/>
  <c r="V124" i="10" s="1"/>
  <c r="O141" i="11" l="1"/>
  <c r="O132" i="11"/>
  <c r="O108" i="11"/>
  <c r="O42" i="11"/>
  <c r="O149" i="11"/>
  <c r="O106" i="11"/>
  <c r="O185" i="11"/>
  <c r="O120" i="11"/>
  <c r="O284" i="11"/>
  <c r="O210" i="11"/>
  <c r="O189" i="11"/>
  <c r="O256" i="11"/>
  <c r="O193" i="11"/>
  <c r="O239" i="11"/>
  <c r="O27" i="11"/>
  <c r="O305" i="11"/>
  <c r="O104" i="11"/>
  <c r="O72" i="11"/>
  <c r="O24" i="11"/>
  <c r="O79" i="11"/>
  <c r="O325" i="11"/>
  <c r="O272" i="11"/>
  <c r="O286" i="11"/>
  <c r="O33" i="11"/>
  <c r="O46" i="11"/>
  <c r="O158" i="11"/>
  <c r="O75" i="11"/>
  <c r="O252" i="11"/>
  <c r="O12" i="11"/>
  <c r="O201" i="11"/>
  <c r="O323" i="11"/>
  <c r="O128" i="11"/>
  <c r="N280" i="11"/>
  <c r="O280" i="11" s="1"/>
  <c r="N258" i="11"/>
  <c r="O258" i="11" s="1"/>
  <c r="O317" i="11"/>
  <c r="N254" i="11"/>
  <c r="O254" i="11" s="1"/>
  <c r="O172" i="11"/>
  <c r="O326" i="11"/>
  <c r="O289" i="11"/>
  <c r="O334" i="11"/>
  <c r="O285" i="11"/>
  <c r="O262" i="11"/>
  <c r="O288" i="11"/>
  <c r="O181" i="11"/>
  <c r="O302" i="11"/>
  <c r="O281" i="11"/>
  <c r="O276" i="11"/>
  <c r="O101" i="11"/>
  <c r="O26" i="11"/>
  <c r="O13" i="11"/>
  <c r="O105" i="11"/>
  <c r="O164" i="11"/>
  <c r="O248" i="11"/>
  <c r="O240" i="11"/>
  <c r="N195" i="11"/>
  <c r="O195" i="11" s="1"/>
  <c r="N92" i="11"/>
  <c r="O92" i="11" s="1"/>
  <c r="N22" i="11"/>
  <c r="O22" i="11" s="1"/>
  <c r="O179" i="11"/>
  <c r="O55" i="11"/>
  <c r="O211" i="11"/>
  <c r="O257" i="11"/>
  <c r="O245" i="11"/>
  <c r="O173" i="11"/>
  <c r="O84" i="11"/>
  <c r="O178" i="11"/>
  <c r="O125" i="11"/>
  <c r="O121" i="11"/>
  <c r="N90" i="11"/>
  <c r="O90" i="11" s="1"/>
  <c r="N100" i="11"/>
  <c r="O100" i="11" s="1"/>
  <c r="O198" i="11"/>
  <c r="O228" i="11"/>
  <c r="O160" i="11"/>
  <c r="O224" i="11"/>
  <c r="O232" i="11"/>
  <c r="O97" i="11"/>
  <c r="O150" i="11"/>
  <c r="O25" i="11"/>
  <c r="O155" i="11"/>
  <c r="N80" i="11"/>
  <c r="O80" i="11" s="1"/>
  <c r="O202" i="11"/>
  <c r="O36" i="11"/>
  <c r="O48" i="11"/>
  <c r="O64" i="11"/>
  <c r="O29" i="11"/>
  <c r="O44" i="11"/>
  <c r="N28" i="11"/>
  <c r="O28" i="11" s="1"/>
  <c r="N51" i="11"/>
  <c r="O51" i="11" s="1"/>
  <c r="N21" i="11"/>
  <c r="O21" i="11" s="1"/>
  <c r="J82" i="15"/>
  <c r="K82" i="15"/>
  <c r="M82" i="15" s="1"/>
  <c r="O207" i="11"/>
  <c r="O15" i="11"/>
  <c r="O95" i="11"/>
  <c r="K68" i="15"/>
  <c r="M68" i="15" s="1"/>
  <c r="N68" i="15" s="1"/>
  <c r="U250" i="10"/>
  <c r="V250" i="10" s="1"/>
  <c r="U239" i="10"/>
  <c r="V239" i="10" s="1"/>
  <c r="U139" i="10"/>
  <c r="V139" i="10" s="1"/>
  <c r="U42" i="10"/>
  <c r="V42" i="10" s="1"/>
  <c r="O327" i="11"/>
  <c r="O110" i="11"/>
  <c r="O86" i="11"/>
  <c r="O65" i="11"/>
  <c r="O52" i="11"/>
  <c r="O169" i="11"/>
  <c r="K16" i="15"/>
  <c r="M16" i="15" s="1"/>
  <c r="J16" i="15"/>
  <c r="N16" i="15" s="1"/>
  <c r="J21" i="15"/>
  <c r="N21" i="15" s="1"/>
  <c r="K21" i="15"/>
  <c r="M21" i="15" s="1"/>
  <c r="J38" i="15"/>
  <c r="K38" i="15"/>
  <c r="M38" i="15" s="1"/>
  <c r="J60" i="15"/>
  <c r="N60" i="15" s="1"/>
  <c r="K60" i="15"/>
  <c r="M60" i="15" s="1"/>
  <c r="K66" i="15"/>
  <c r="J66" i="15"/>
  <c r="L66" i="15" s="1"/>
  <c r="M66" i="15" s="1"/>
  <c r="N66" i="15" s="1"/>
  <c r="K69" i="15"/>
  <c r="M69" i="15" s="1"/>
  <c r="N69" i="15" s="1"/>
  <c r="J69" i="15"/>
  <c r="O114" i="11"/>
  <c r="U243" i="10"/>
  <c r="V243" i="10" s="1"/>
  <c r="N362" i="11"/>
  <c r="O362" i="11" s="1"/>
  <c r="P241" i="10"/>
  <c r="R241" i="10"/>
  <c r="U241" i="10" s="1"/>
  <c r="V241" i="10" s="1"/>
  <c r="P292" i="10"/>
  <c r="R292" i="10"/>
  <c r="U292" i="10" s="1"/>
  <c r="V292" i="10" s="1"/>
  <c r="Q284" i="10"/>
  <c r="P279" i="10"/>
  <c r="Q279" i="10"/>
  <c r="R279" i="10"/>
  <c r="P157" i="10"/>
  <c r="R157" i="10"/>
  <c r="U125" i="10"/>
  <c r="V125" i="10" s="1"/>
  <c r="U118" i="10"/>
  <c r="V118" i="10" s="1"/>
  <c r="U101" i="10"/>
  <c r="V101" i="10" s="1"/>
  <c r="O290" i="11"/>
  <c r="O40" i="11"/>
  <c r="O18" i="11"/>
  <c r="O299" i="11"/>
  <c r="Q28" i="10"/>
  <c r="U28" i="10" s="1"/>
  <c r="V28" i="10" s="1"/>
  <c r="U46" i="10"/>
  <c r="V46" i="10" s="1"/>
  <c r="R284" i="10"/>
  <c r="U234" i="10"/>
  <c r="V234" i="10" s="1"/>
  <c r="U219" i="10"/>
  <c r="V219" i="10" s="1"/>
  <c r="P164" i="10"/>
  <c r="V164" i="10" s="1"/>
  <c r="P133" i="10"/>
  <c r="Q133" i="10"/>
  <c r="U104" i="10"/>
  <c r="V104" i="10" s="1"/>
  <c r="U85" i="10"/>
  <c r="V85" i="10" s="1"/>
  <c r="U61" i="10"/>
  <c r="V61" i="10" s="1"/>
  <c r="N360" i="11"/>
  <c r="O360" i="11" s="1"/>
  <c r="N347" i="11"/>
  <c r="O347" i="11" s="1"/>
  <c r="N344" i="11"/>
  <c r="O344" i="11" s="1"/>
  <c r="O303" i="11"/>
  <c r="N266" i="11"/>
  <c r="O266" i="11" s="1"/>
  <c r="N253" i="11"/>
  <c r="O253" i="11" s="1"/>
  <c r="N215" i="11"/>
  <c r="O215" i="11" s="1"/>
  <c r="N182" i="11"/>
  <c r="O182" i="11" s="1"/>
  <c r="N122" i="11"/>
  <c r="O122" i="11" s="1"/>
  <c r="N71" i="11"/>
  <c r="O71" i="11" s="1"/>
  <c r="O19" i="11"/>
  <c r="O278" i="11"/>
  <c r="N209" i="11"/>
  <c r="O209" i="11" s="1"/>
  <c r="O295" i="11"/>
  <c r="N109" i="11"/>
  <c r="O109" i="11" s="1"/>
  <c r="J22" i="15"/>
  <c r="N22" i="15" s="1"/>
  <c r="K22" i="15"/>
  <c r="M22" i="15" s="1"/>
  <c r="K32" i="15"/>
  <c r="M32" i="15" s="1"/>
  <c r="J32" i="15"/>
  <c r="N32" i="15" s="1"/>
  <c r="K39" i="15"/>
  <c r="M39" i="15" s="1"/>
  <c r="N39" i="15" s="1"/>
  <c r="J39" i="15"/>
  <c r="O328" i="11"/>
  <c r="O308" i="11"/>
  <c r="O58" i="11"/>
  <c r="O237" i="11"/>
  <c r="O364" i="11"/>
  <c r="U86" i="10"/>
  <c r="V86" i="10" s="1"/>
  <c r="N171" i="11"/>
  <c r="O171" i="11" s="1"/>
  <c r="U300" i="10"/>
  <c r="V300" i="10" s="1"/>
  <c r="U286" i="10"/>
  <c r="V286" i="10" s="1"/>
  <c r="U277" i="10"/>
  <c r="V277" i="10" s="1"/>
  <c r="U237" i="10"/>
  <c r="V237" i="10" s="1"/>
  <c r="U215" i="10"/>
  <c r="V215" i="10" s="1"/>
  <c r="U201" i="10"/>
  <c r="V201" i="10" s="1"/>
  <c r="U188" i="10"/>
  <c r="V188" i="10" s="1"/>
  <c r="U167" i="10"/>
  <c r="V167" i="10" s="1"/>
  <c r="U163" i="10"/>
  <c r="V163" i="10" s="1"/>
  <c r="U152" i="10"/>
  <c r="P132" i="10"/>
  <c r="V132" i="10" s="1"/>
  <c r="U103" i="10"/>
  <c r="V103" i="10" s="1"/>
  <c r="U92" i="10"/>
  <c r="V92" i="10" s="1"/>
  <c r="U89" i="10"/>
  <c r="V89" i="10" s="1"/>
  <c r="U80" i="10"/>
  <c r="V80" i="10" s="1"/>
  <c r="U69" i="10"/>
  <c r="V69" i="10" s="1"/>
  <c r="U60" i="10"/>
  <c r="V60" i="10" s="1"/>
  <c r="U40" i="10"/>
  <c r="V40" i="10" s="1"/>
  <c r="U23" i="10"/>
  <c r="V23" i="10" s="1"/>
  <c r="N342" i="11"/>
  <c r="O342" i="11" s="1"/>
  <c r="N277" i="11"/>
  <c r="O277" i="11" s="1"/>
  <c r="N265" i="11"/>
  <c r="O265" i="11" s="1"/>
  <c r="O233" i="11"/>
  <c r="N216" i="11"/>
  <c r="O216" i="11" s="1"/>
  <c r="N161" i="11"/>
  <c r="O161" i="11" s="1"/>
  <c r="N137" i="11"/>
  <c r="O137" i="11" s="1"/>
  <c r="O126" i="11"/>
  <c r="O70" i="11"/>
  <c r="N32" i="11"/>
  <c r="O32" i="11" s="1"/>
  <c r="K86" i="15"/>
  <c r="M86" i="15" s="1"/>
  <c r="J86" i="15"/>
  <c r="N86" i="15" s="1"/>
  <c r="U159" i="10"/>
  <c r="V159" i="10" s="1"/>
  <c r="O57" i="11"/>
  <c r="N135" i="11"/>
  <c r="O135" i="11" s="1"/>
  <c r="N190" i="11"/>
  <c r="O190" i="11" s="1"/>
  <c r="U150" i="10"/>
  <c r="V150" i="10" s="1"/>
  <c r="U296" i="10"/>
  <c r="V296" i="10" s="1"/>
  <c r="U251" i="10"/>
  <c r="V251" i="10" s="1"/>
  <c r="U232" i="10"/>
  <c r="V232" i="10" s="1"/>
  <c r="U214" i="10"/>
  <c r="V214" i="10" s="1"/>
  <c r="U206" i="10"/>
  <c r="V206" i="10" s="1"/>
  <c r="U203" i="10"/>
  <c r="V203" i="10" s="1"/>
  <c r="U194" i="10"/>
  <c r="V194" i="10" s="1"/>
  <c r="U178" i="10"/>
  <c r="V178" i="10" s="1"/>
  <c r="U131" i="10"/>
  <c r="V131" i="10" s="1"/>
  <c r="U123" i="10"/>
  <c r="V123" i="10" s="1"/>
  <c r="U95" i="10"/>
  <c r="V95" i="10" s="1"/>
  <c r="N269" i="11"/>
  <c r="O269" i="11" s="1"/>
  <c r="O246" i="11"/>
  <c r="N163" i="11"/>
  <c r="O163" i="11" s="1"/>
  <c r="N156" i="11"/>
  <c r="O156" i="11" s="1"/>
  <c r="O136" i="11"/>
  <c r="N130" i="11"/>
  <c r="O130" i="11" s="1"/>
  <c r="O118" i="11"/>
  <c r="O234" i="11"/>
  <c r="J25" i="15"/>
  <c r="N25" i="15" s="1"/>
  <c r="K28" i="15"/>
  <c r="M28" i="15" s="1"/>
  <c r="J28" i="15"/>
  <c r="N28" i="15" s="1"/>
  <c r="J49" i="15"/>
  <c r="K52" i="15"/>
  <c r="M52" i="15" s="1"/>
  <c r="N52" i="15" s="1"/>
  <c r="J52" i="15"/>
  <c r="K80" i="15"/>
  <c r="M80" i="15" s="1"/>
  <c r="J80" i="15"/>
  <c r="N80" i="15" s="1"/>
  <c r="O187" i="11"/>
  <c r="N30" i="11"/>
  <c r="O30" i="11" s="1"/>
  <c r="N236" i="11"/>
  <c r="O236" i="11" s="1"/>
  <c r="O131" i="11"/>
  <c r="U49" i="10"/>
  <c r="V49" i="10" s="1"/>
  <c r="U106" i="10"/>
  <c r="V106" i="10" s="1"/>
  <c r="N358" i="11"/>
  <c r="O358" i="11" s="1"/>
  <c r="N357" i="11"/>
  <c r="O357" i="11" s="1"/>
  <c r="N352" i="11"/>
  <c r="O352" i="11" s="1"/>
  <c r="N351" i="11"/>
  <c r="O351" i="11" s="1"/>
  <c r="N349" i="11"/>
  <c r="O349" i="11" s="1"/>
  <c r="N346" i="11"/>
  <c r="O346" i="11" s="1"/>
  <c r="N313" i="11"/>
  <c r="O313" i="11" s="1"/>
  <c r="N273" i="11"/>
  <c r="O273" i="11" s="1"/>
  <c r="N205" i="11"/>
  <c r="O205" i="11" s="1"/>
  <c r="N167" i="11"/>
  <c r="O167" i="11" s="1"/>
  <c r="N165" i="11"/>
  <c r="O165" i="11" s="1"/>
  <c r="N162" i="11"/>
  <c r="O162" i="11" s="1"/>
  <c r="N67" i="11"/>
  <c r="O67" i="11" s="1"/>
  <c r="N63" i="11"/>
  <c r="O63" i="11" s="1"/>
  <c r="N45" i="11"/>
  <c r="O45" i="11" s="1"/>
  <c r="N16" i="11"/>
  <c r="O16" i="11" s="1"/>
  <c r="N98" i="11"/>
  <c r="O98" i="11" s="1"/>
  <c r="N94" i="11"/>
  <c r="O94" i="11" s="1"/>
  <c r="R257" i="10"/>
  <c r="R256" i="10"/>
  <c r="U247" i="10"/>
  <c r="V247" i="10" s="1"/>
  <c r="U212" i="10"/>
  <c r="V212" i="10" s="1"/>
  <c r="P205" i="10"/>
  <c r="R173" i="10"/>
  <c r="R142" i="10"/>
  <c r="U140" i="10"/>
  <c r="V140" i="10" s="1"/>
  <c r="R120" i="10"/>
  <c r="Q117" i="10"/>
  <c r="Q116" i="10"/>
  <c r="U116" i="10" s="1"/>
  <c r="V116" i="10" s="1"/>
  <c r="U112" i="10"/>
  <c r="V112" i="10" s="1"/>
  <c r="E301" i="10"/>
  <c r="U294" i="10"/>
  <c r="V294" i="10" s="1"/>
  <c r="U17" i="10"/>
  <c r="V17" i="10" s="1"/>
  <c r="R290" i="10"/>
  <c r="Q290" i="10"/>
  <c r="Q173" i="10"/>
  <c r="U173" i="10" s="1"/>
  <c r="R117" i="10"/>
  <c r="U117" i="10" s="1"/>
  <c r="U98" i="10"/>
  <c r="Q182" i="10"/>
  <c r="U182" i="10" s="1"/>
  <c r="V182" i="10" s="1"/>
  <c r="Q52" i="10"/>
  <c r="U52" i="10" s="1"/>
  <c r="V52" i="10" s="1"/>
  <c r="Q47" i="10"/>
  <c r="U47" i="10" s="1"/>
  <c r="V47" i="10" s="1"/>
  <c r="Q179" i="10"/>
  <c r="U179" i="10" s="1"/>
  <c r="Q164" i="10"/>
  <c r="U164" i="10" s="1"/>
  <c r="Q235" i="10"/>
  <c r="U235" i="10" s="1"/>
  <c r="V235" i="10" s="1"/>
  <c r="R205" i="10"/>
  <c r="U205" i="10" s="1"/>
  <c r="V205" i="10" s="1"/>
  <c r="R138" i="10"/>
  <c r="R126" i="10"/>
  <c r="Q73" i="10"/>
  <c r="U73" i="10" s="1"/>
  <c r="V73" i="10" s="1"/>
  <c r="U288" i="10"/>
  <c r="V288" i="10" s="1"/>
  <c r="U276" i="10"/>
  <c r="U273" i="10"/>
  <c r="V273" i="10" s="1"/>
  <c r="U266" i="10"/>
  <c r="V266" i="10" s="1"/>
  <c r="R261" i="10"/>
  <c r="U258" i="10"/>
  <c r="Q257" i="10"/>
  <c r="U254" i="10"/>
  <c r="V254" i="10" s="1"/>
  <c r="U244" i="10"/>
  <c r="V244" i="10" s="1"/>
  <c r="U224" i="10"/>
  <c r="V224" i="10" s="1"/>
  <c r="U221" i="10"/>
  <c r="V221" i="10" s="1"/>
  <c r="U220" i="10"/>
  <c r="V220" i="10" s="1"/>
  <c r="U217" i="10"/>
  <c r="V217" i="10" s="1"/>
  <c r="U209" i="10"/>
  <c r="V209" i="10" s="1"/>
  <c r="U190" i="10"/>
  <c r="V190" i="10" s="1"/>
  <c r="U186" i="10"/>
  <c r="V186" i="10" s="1"/>
  <c r="P185" i="10"/>
  <c r="P173" i="10"/>
  <c r="U154" i="10"/>
  <c r="V154" i="10" s="1"/>
  <c r="U147" i="10"/>
  <c r="V147" i="10" s="1"/>
  <c r="U143" i="10"/>
  <c r="V143" i="10" s="1"/>
  <c r="P142" i="10"/>
  <c r="P136" i="10"/>
  <c r="Q120" i="10"/>
  <c r="U120" i="10" s="1"/>
  <c r="V120" i="10" s="1"/>
  <c r="P117" i="10"/>
  <c r="P116" i="10"/>
  <c r="U113" i="10"/>
  <c r="V113" i="10" s="1"/>
  <c r="U109" i="10"/>
  <c r="V109" i="10" s="1"/>
  <c r="U100" i="10"/>
  <c r="V100" i="10" s="1"/>
  <c r="U67" i="10"/>
  <c r="V67" i="10" s="1"/>
  <c r="U65" i="10"/>
  <c r="V65" i="10" s="1"/>
  <c r="U57" i="10"/>
  <c r="V57" i="10" s="1"/>
  <c r="U51" i="10"/>
  <c r="V51" i="10" s="1"/>
  <c r="P48" i="10"/>
  <c r="U43" i="10"/>
  <c r="V43" i="10" s="1"/>
  <c r="U37" i="10"/>
  <c r="V37" i="10" s="1"/>
  <c r="U27" i="10"/>
  <c r="V27" i="10" s="1"/>
  <c r="U24" i="10"/>
  <c r="U22" i="10"/>
  <c r="V22" i="10" s="1"/>
  <c r="U16" i="10"/>
  <c r="V16" i="10" s="1"/>
  <c r="U263" i="10"/>
  <c r="V263" i="10" s="1"/>
  <c r="U138" i="10"/>
  <c r="Q230" i="10"/>
  <c r="U230" i="10" s="1"/>
  <c r="P230" i="10"/>
  <c r="R156" i="10"/>
  <c r="U156" i="10" s="1"/>
  <c r="P156" i="10"/>
  <c r="Q146" i="10"/>
  <c r="U146" i="10" s="1"/>
  <c r="P146" i="10"/>
  <c r="Q90" i="10"/>
  <c r="P90" i="10"/>
  <c r="D301" i="10"/>
  <c r="U157" i="10"/>
  <c r="V157" i="10" s="1"/>
  <c r="Q261" i="10"/>
  <c r="U256" i="10"/>
  <c r="U142" i="10"/>
  <c r="V142" i="10" s="1"/>
  <c r="U268" i="10"/>
  <c r="V268" i="10" s="1"/>
  <c r="U284" i="10"/>
  <c r="U299" i="10"/>
  <c r="V299" i="10" s="1"/>
  <c r="R297" i="10"/>
  <c r="U297" i="10" s="1"/>
  <c r="V297" i="10" s="1"/>
  <c r="U267" i="10"/>
  <c r="V267" i="10" s="1"/>
  <c r="P261" i="10"/>
  <c r="P257" i="10"/>
  <c r="P256" i="10"/>
  <c r="U252" i="10"/>
  <c r="V252" i="10" s="1"/>
  <c r="U218" i="10"/>
  <c r="V218" i="10" s="1"/>
  <c r="U213" i="10"/>
  <c r="V213" i="10" s="1"/>
  <c r="U193" i="10"/>
  <c r="V193" i="10" s="1"/>
  <c r="R185" i="10"/>
  <c r="U184" i="10"/>
  <c r="U183" i="10"/>
  <c r="V183" i="10" s="1"/>
  <c r="R136" i="10"/>
  <c r="U136" i="10" s="1"/>
  <c r="V136" i="10" s="1"/>
  <c r="U135" i="10"/>
  <c r="V135" i="10" s="1"/>
  <c r="R133" i="10"/>
  <c r="U133" i="10" s="1"/>
  <c r="V133" i="10" s="1"/>
  <c r="Q132" i="10"/>
  <c r="U127" i="10"/>
  <c r="V127" i="10" s="1"/>
  <c r="P120" i="10"/>
  <c r="U91" i="10"/>
  <c r="V91" i="10" s="1"/>
  <c r="U79" i="10"/>
  <c r="V79" i="10" s="1"/>
  <c r="P34" i="10"/>
  <c r="U31" i="10"/>
  <c r="V31" i="10" s="1"/>
  <c r="U30" i="10"/>
  <c r="V30" i="10" s="1"/>
  <c r="P28" i="10"/>
  <c r="U25" i="10"/>
  <c r="V25" i="10" s="1"/>
  <c r="U21" i="10"/>
  <c r="V21" i="10" s="1"/>
  <c r="U15" i="10"/>
  <c r="V15" i="10" s="1"/>
  <c r="U174" i="10"/>
  <c r="V174" i="10" s="1"/>
  <c r="U68" i="10"/>
  <c r="U82" i="10"/>
  <c r="R161" i="10"/>
  <c r="U161" i="10" s="1"/>
  <c r="P161" i="10"/>
  <c r="R128" i="10"/>
  <c r="U128" i="10" s="1"/>
  <c r="P128" i="10"/>
  <c r="R62" i="10"/>
  <c r="U62" i="10" s="1"/>
  <c r="P62" i="10"/>
  <c r="U132" i="10"/>
  <c r="N61" i="15"/>
  <c r="G89" i="15"/>
  <c r="K83" i="15"/>
  <c r="M83" i="15" s="1"/>
  <c r="N83" i="15" s="1"/>
  <c r="K15" i="15"/>
  <c r="M15" i="15" s="1"/>
  <c r="N15" i="15" s="1"/>
  <c r="K42" i="15"/>
  <c r="M42" i="15" s="1"/>
  <c r="N88" i="15"/>
  <c r="N35" i="15"/>
  <c r="N54" i="15"/>
  <c r="N48" i="15"/>
  <c r="N62" i="15"/>
  <c r="N67" i="15"/>
  <c r="N50" i="15"/>
  <c r="N55" i="15"/>
  <c r="N76" i="15"/>
  <c r="N85" i="15"/>
  <c r="N20" i="15"/>
  <c r="U257" i="10"/>
  <c r="V257" i="10" s="1"/>
  <c r="U187" i="10"/>
  <c r="V187" i="10" s="1"/>
  <c r="U34" i="10"/>
  <c r="U290" i="10"/>
  <c r="V290" i="10" s="1"/>
  <c r="U185" i="10"/>
  <c r="V138" i="10"/>
  <c r="U126" i="10"/>
  <c r="V126" i="10" s="1"/>
  <c r="U48" i="10"/>
  <c r="V48" i="10" s="1"/>
  <c r="U264" i="10"/>
  <c r="V264" i="10" s="1"/>
  <c r="U229" i="10"/>
  <c r="V229" i="10" s="1"/>
  <c r="U198" i="10"/>
  <c r="V198" i="10" s="1"/>
  <c r="U181" i="10"/>
  <c r="V181" i="10" s="1"/>
  <c r="U158" i="10"/>
  <c r="V158" i="10" s="1"/>
  <c r="U134" i="10"/>
  <c r="V134" i="10" s="1"/>
  <c r="U70" i="10"/>
  <c r="V70" i="10" s="1"/>
  <c r="U36" i="10"/>
  <c r="V36" i="10" s="1"/>
  <c r="U26" i="10"/>
  <c r="V26" i="10" s="1"/>
  <c r="U171" i="10"/>
  <c r="V171" i="10" s="1"/>
  <c r="V119" i="10"/>
  <c r="V259" i="10"/>
  <c r="V82" i="10"/>
  <c r="N367" i="11"/>
  <c r="O367" i="11" s="1"/>
  <c r="N332" i="11"/>
  <c r="O332" i="11" s="1"/>
  <c r="N331" i="11"/>
  <c r="O331" i="11" s="1"/>
  <c r="N316" i="11"/>
  <c r="O316" i="11" s="1"/>
  <c r="N314" i="11"/>
  <c r="O314" i="11" s="1"/>
  <c r="N300" i="11"/>
  <c r="O300" i="11" s="1"/>
  <c r="N267" i="11"/>
  <c r="O267" i="11" s="1"/>
  <c r="N214" i="11"/>
  <c r="O214" i="11" s="1"/>
  <c r="N212" i="11"/>
  <c r="O212" i="11" s="1"/>
  <c r="N196" i="11"/>
  <c r="O196" i="11" s="1"/>
  <c r="N186" i="11"/>
  <c r="O186" i="11" s="1"/>
  <c r="N142" i="11"/>
  <c r="O142" i="11" s="1"/>
  <c r="N93" i="11"/>
  <c r="O93" i="11" s="1"/>
  <c r="N89" i="11"/>
  <c r="O89" i="11" s="1"/>
  <c r="N88" i="11"/>
  <c r="O88" i="11" s="1"/>
  <c r="N321" i="11"/>
  <c r="O321" i="11" s="1"/>
  <c r="N91" i="11"/>
  <c r="O91" i="11" s="1"/>
  <c r="N320" i="11"/>
  <c r="O320" i="11" s="1"/>
  <c r="O10" i="11"/>
  <c r="I218" i="11"/>
  <c r="D368" i="11"/>
  <c r="K368" i="11"/>
  <c r="N107" i="11"/>
  <c r="O107" i="11" s="1"/>
  <c r="I368" i="11"/>
  <c r="N218" i="11"/>
  <c r="N359" i="11"/>
  <c r="O359" i="11" s="1"/>
  <c r="N336" i="11"/>
  <c r="O336" i="11" s="1"/>
  <c r="N324" i="11"/>
  <c r="O324" i="11" s="1"/>
  <c r="N309" i="11"/>
  <c r="O309" i="11" s="1"/>
  <c r="N260" i="11"/>
  <c r="O260" i="11" s="1"/>
  <c r="N244" i="11"/>
  <c r="O244" i="11" s="1"/>
  <c r="N243" i="11"/>
  <c r="O243" i="11" s="1"/>
  <c r="N241" i="11"/>
  <c r="O241" i="11" s="1"/>
  <c r="N192" i="11"/>
  <c r="O192" i="11" s="1"/>
  <c r="N177" i="11"/>
  <c r="O177" i="11" s="1"/>
  <c r="N157" i="11"/>
  <c r="O157" i="11" s="1"/>
  <c r="N144" i="11"/>
  <c r="O144" i="11" s="1"/>
  <c r="N99" i="11"/>
  <c r="O99" i="11" s="1"/>
  <c r="N77" i="11"/>
  <c r="O77" i="11" s="1"/>
  <c r="N69" i="11"/>
  <c r="O69" i="11" s="1"/>
  <c r="N50" i="11"/>
  <c r="O50" i="11" s="1"/>
  <c r="N20" i="11"/>
  <c r="O20" i="11" s="1"/>
  <c r="N17" i="11"/>
  <c r="O17" i="11" s="1"/>
  <c r="J368" i="11"/>
  <c r="N194" i="11"/>
  <c r="O194" i="11" s="1"/>
  <c r="N337" i="11"/>
  <c r="O337" i="11" s="1"/>
  <c r="L24" i="15"/>
  <c r="L79" i="15"/>
  <c r="M79" i="15" s="1"/>
  <c r="N79" i="15" s="1"/>
  <c r="N17" i="15"/>
  <c r="N37" i="15"/>
  <c r="N42" i="15"/>
  <c r="N44" i="15"/>
  <c r="N51" i="15"/>
  <c r="N59" i="15"/>
  <c r="N13" i="15"/>
  <c r="N31" i="15"/>
  <c r="N43" i="15"/>
  <c r="N47" i="15"/>
  <c r="N57" i="15"/>
  <c r="N70" i="15"/>
  <c r="N73" i="15"/>
  <c r="N75" i="15"/>
  <c r="N77" i="15"/>
  <c r="N84" i="15"/>
  <c r="N11" i="15"/>
  <c r="L45" i="15"/>
  <c r="M45" i="15" s="1"/>
  <c r="N45" i="15" s="1"/>
  <c r="N26" i="15"/>
  <c r="N29" i="15"/>
  <c r="N36" i="15"/>
  <c r="N46" i="15"/>
  <c r="N82" i="15"/>
  <c r="N19" i="15"/>
  <c r="N30" i="15"/>
  <c r="N33" i="15"/>
  <c r="N41" i="15"/>
  <c r="N64" i="15"/>
  <c r="N71" i="15"/>
  <c r="N74" i="15"/>
  <c r="N78" i="15"/>
  <c r="N81" i="15"/>
  <c r="N34" i="15"/>
  <c r="K12" i="15"/>
  <c r="N27" i="15"/>
  <c r="K49" i="15"/>
  <c r="M49" i="15" s="1"/>
  <c r="K58" i="15"/>
  <c r="M58" i="15" s="1"/>
  <c r="N58" i="15" s="1"/>
  <c r="N72" i="15"/>
  <c r="G115" i="14"/>
  <c r="N319" i="11"/>
  <c r="O319" i="11" s="1"/>
  <c r="N307" i="11"/>
  <c r="O307" i="11" s="1"/>
  <c r="N298" i="11"/>
  <c r="O298" i="11" s="1"/>
  <c r="N297" i="11"/>
  <c r="O297" i="11" s="1"/>
  <c r="N283" i="11"/>
  <c r="O283" i="11" s="1"/>
  <c r="N282" i="11"/>
  <c r="O282" i="11" s="1"/>
  <c r="N226" i="11"/>
  <c r="O226" i="11" s="1"/>
  <c r="N223" i="11"/>
  <c r="O223" i="11" s="1"/>
  <c r="N220" i="11"/>
  <c r="O220" i="11" s="1"/>
  <c r="N219" i="11"/>
  <c r="O219" i="11" s="1"/>
  <c r="N188" i="11"/>
  <c r="O188" i="11" s="1"/>
  <c r="N183" i="11"/>
  <c r="O183" i="11" s="1"/>
  <c r="N174" i="11"/>
  <c r="O174" i="11" s="1"/>
  <c r="N151" i="11"/>
  <c r="O151" i="11" s="1"/>
  <c r="N146" i="11"/>
  <c r="O146" i="11" s="1"/>
  <c r="N123" i="11"/>
  <c r="O123" i="11" s="1"/>
  <c r="N117" i="11"/>
  <c r="O117" i="11" s="1"/>
  <c r="N116" i="11"/>
  <c r="O116" i="11" s="1"/>
  <c r="N96" i="11"/>
  <c r="O96" i="11" s="1"/>
  <c r="N78" i="11"/>
  <c r="O78" i="11" s="1"/>
  <c r="N74" i="11"/>
  <c r="O74" i="11" s="1"/>
  <c r="N66" i="11"/>
  <c r="O66" i="11" s="1"/>
  <c r="N62" i="11"/>
  <c r="O62" i="11" s="1"/>
  <c r="N59" i="11"/>
  <c r="O59" i="11" s="1"/>
  <c r="N54" i="11"/>
  <c r="O54" i="11" s="1"/>
  <c r="N47" i="11"/>
  <c r="O47" i="11" s="1"/>
  <c r="N43" i="11"/>
  <c r="O43" i="11" s="1"/>
  <c r="N34" i="11"/>
  <c r="O34" i="11" s="1"/>
  <c r="N140" i="11"/>
  <c r="O140" i="11" s="1"/>
  <c r="N119" i="11"/>
  <c r="O119" i="11" s="1"/>
  <c r="N113" i="11"/>
  <c r="O113" i="11" s="1"/>
  <c r="N242" i="11"/>
  <c r="O242" i="11" s="1"/>
  <c r="V179" i="10"/>
  <c r="I301" i="10"/>
  <c r="U90" i="10"/>
  <c r="V90" i="10" s="1"/>
  <c r="V83" i="10"/>
  <c r="V94" i="10"/>
  <c r="V114" i="10"/>
  <c r="V129" i="10"/>
  <c r="V141" i="10"/>
  <c r="V184" i="10"/>
  <c r="V196" i="10"/>
  <c r="V200" i="10"/>
  <c r="V207" i="10"/>
  <c r="V211" i="10"/>
  <c r="V223" i="10"/>
  <c r="V228" i="10"/>
  <c r="V231" i="10"/>
  <c r="V236" i="10"/>
  <c r="V240" i="10"/>
  <c r="V258" i="10"/>
  <c r="V270" i="10"/>
  <c r="V272" i="10"/>
  <c r="V274" i="10"/>
  <c r="V276" i="10"/>
  <c r="V278" i="10"/>
  <c r="V283" i="10"/>
  <c r="V291" i="10"/>
  <c r="V284" i="10"/>
  <c r="V98" i="10"/>
  <c r="O81" i="11"/>
  <c r="O102" i="11"/>
  <c r="V11" i="10"/>
  <c r="V13" i="10"/>
  <c r="V19" i="10"/>
  <c r="V24" i="10"/>
  <c r="V32" i="10"/>
  <c r="V44" i="10"/>
  <c r="V53" i="10"/>
  <c r="V55" i="10"/>
  <c r="V64" i="10"/>
  <c r="V66" i="10"/>
  <c r="V68" i="10"/>
  <c r="V76" i="10"/>
  <c r="V148" i="10"/>
  <c r="V152" i="10"/>
  <c r="N38" i="15" l="1"/>
  <c r="O218" i="11"/>
  <c r="O368" i="11" s="1"/>
  <c r="V230" i="10"/>
  <c r="N49" i="15"/>
  <c r="Q301" i="10"/>
  <c r="V34" i="10"/>
  <c r="V185" i="10"/>
  <c r="U261" i="10"/>
  <c r="V261" i="10" s="1"/>
  <c r="U279" i="10"/>
  <c r="V279" i="10" s="1"/>
  <c r="R301" i="10"/>
  <c r="V62" i="10"/>
  <c r="V128" i="10"/>
  <c r="V161" i="10"/>
  <c r="V117" i="10"/>
  <c r="V301" i="10" s="1"/>
  <c r="V146" i="10"/>
  <c r="V156" i="10"/>
  <c r="V173" i="10"/>
  <c r="U301" i="10"/>
  <c r="V256" i="10"/>
  <c r="N368" i="11"/>
  <c r="M24" i="15"/>
  <c r="N24" i="15" s="1"/>
  <c r="L89" i="15"/>
  <c r="K89" i="15"/>
  <c r="M12" i="15"/>
  <c r="J89" i="15"/>
  <c r="V29" i="10"/>
  <c r="P301" i="10"/>
  <c r="N12" i="15" l="1"/>
  <c r="N89" i="15" s="1"/>
  <c r="M89" i="15"/>
</calcChain>
</file>

<file path=xl/comments1.xml><?xml version="1.0" encoding="utf-8"?>
<comments xmlns="http://schemas.openxmlformats.org/spreadsheetml/2006/main">
  <authors>
    <author>Artes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Artes: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<sst xmlns="http://schemas.openxmlformats.org/spreadsheetml/2006/main" count="1789" uniqueCount="1091">
  <si>
    <t xml:space="preserve">          UNIDAD DE INFORMACION PUBLICA</t>
  </si>
  <si>
    <t xml:space="preserve">          MINISTERIO DE CULTURA Y DEPORTES</t>
  </si>
  <si>
    <t>FAUSTINO RAMON FUENTES DE LEON</t>
  </si>
  <si>
    <t>BONOS Y OTRAS REMUNERACIONES</t>
  </si>
  <si>
    <t>MINISTERIO DE CULTURA Y DEPORTES</t>
  </si>
  <si>
    <t>UNIDAD DE INFORMACION PUBLICA</t>
  </si>
  <si>
    <t>NUMERAL 4 ARTICULO 10</t>
  </si>
  <si>
    <t>No.</t>
  </si>
  <si>
    <t>TOTAL</t>
  </si>
  <si>
    <t>RENGLON 029</t>
  </si>
  <si>
    <t>RENGLON 031</t>
  </si>
  <si>
    <t>APELLIDOS Y NOMBRES</t>
  </si>
  <si>
    <t>CARGO</t>
  </si>
  <si>
    <t>SALARIO BASE</t>
  </si>
  <si>
    <t>Bono MCD</t>
  </si>
  <si>
    <t>Bono Profesional</t>
  </si>
  <si>
    <t>Bono de Antigüedad</t>
  </si>
  <si>
    <t>66-2000</t>
  </si>
  <si>
    <t>IGSS</t>
  </si>
  <si>
    <t>ISR</t>
  </si>
  <si>
    <t>TOTAL DE DESCUENTOS</t>
  </si>
  <si>
    <t>LÍQUIDO</t>
  </si>
  <si>
    <t>DESCUENTOS</t>
  </si>
  <si>
    <t>Monto Viáticos</t>
  </si>
  <si>
    <t>CONSERJE</t>
  </si>
  <si>
    <t>TRAMOYISTA</t>
  </si>
  <si>
    <t>DIRECCIÓN GENERAL DE LAS ARTES</t>
  </si>
  <si>
    <t>HANIA CORINA CASTAÑEDA RUIZ</t>
  </si>
  <si>
    <t>ANGEL GABRIEL TEPEU TURUY</t>
  </si>
  <si>
    <t>LESVIA LISETH ALONZO NAVAS DE RODAS</t>
  </si>
  <si>
    <t>MAYRA MARIBEL MENDOZA VALENZUELA</t>
  </si>
  <si>
    <t>LUIS ISAIAS ZAPETA SAQUIC</t>
  </si>
  <si>
    <t>ANA KARINA PINZON FUSTER DE CATALAN</t>
  </si>
  <si>
    <t>MARLIS YAZMIN ALBUREZ ALECIO</t>
  </si>
  <si>
    <t>ELIZARDO SALVADOR DIEGUEZ CABALLEROS</t>
  </si>
  <si>
    <t>ELIZABETH BELINDA GABRIEL OTZOY</t>
  </si>
  <si>
    <t>ALEJANDRO BARRIENTOS ESTRADA</t>
  </si>
  <si>
    <t>MYNOR  BELICE CRUZ QUEVEDO</t>
  </si>
  <si>
    <t>MYNOR DAGOBERTO BARILLAS CASTAÑEDA</t>
  </si>
  <si>
    <t>LAURA ALEJANDRA MORALES SAZO</t>
  </si>
  <si>
    <t xml:space="preserve">CARLOS BENITO CONCOGUA </t>
  </si>
  <si>
    <t>JUAN CARLOS ESCOBAR TRUJILLO</t>
  </si>
  <si>
    <t>LUIS DE JESUS SALUCIO JERONIMO</t>
  </si>
  <si>
    <t>DORA ABELINA CORZANTES VARGAS</t>
  </si>
  <si>
    <t>MANUEL GUZMAN COJ</t>
  </si>
  <si>
    <t xml:space="preserve">IGNACIO GUZMAN COJ </t>
  </si>
  <si>
    <t>VIGILANTE (0000) SIN ESPECIALIDAD (0000)</t>
  </si>
  <si>
    <t>OSCAR ANIBAL CONTRERAS ALAY</t>
  </si>
  <si>
    <t>KIMBERLY AMARILIS FLORES MORALES</t>
  </si>
  <si>
    <t>LUIS ALBERTO CIFUENTES ORTIZ</t>
  </si>
  <si>
    <t>MONICA LISSETH VALLEGOS MUÑOZ</t>
  </si>
  <si>
    <t>ESPERANZA JUDITH RAMIREZ GALINDO</t>
  </si>
  <si>
    <t>JUAN GABRIEL CALEL ROQUEL</t>
  </si>
  <si>
    <t>MARIA DEL CARMEN BOCEL HOM DE BOCEL</t>
  </si>
  <si>
    <t>JULIANA ROSA ALONZO COCHOJIL</t>
  </si>
  <si>
    <t>SANDRA ELIZABETH ESTRADA SOLIS</t>
  </si>
  <si>
    <t>FAUSTINO VALENZUELA SOLARES</t>
  </si>
  <si>
    <t>KAREN FAVIOLA AGUILAR CANEL</t>
  </si>
  <si>
    <t>OPERADOR DE EQUIPO</t>
  </si>
  <si>
    <t>ARNOLDO ROEL CASTILLO CASTILLO</t>
  </si>
  <si>
    <t>FEDERICO RODOLFO MURALLES</t>
  </si>
  <si>
    <t>DIEGO ISRAEL OXCAL MONROY</t>
  </si>
  <si>
    <t>DOMINGO ISAAC CHAVAJAY BIXCUL</t>
  </si>
  <si>
    <t xml:space="preserve">MARIA CAROLINA PALOMO CAJAS </t>
  </si>
  <si>
    <t xml:space="preserve">LUIS ALEJANDRO OCAÑA AJCIP </t>
  </si>
  <si>
    <t>EDUARDO PALAX GUARCAX</t>
  </si>
  <si>
    <t>DIEGO ARMANDO SANTOS SALQUIL</t>
  </si>
  <si>
    <t>DIRLYN SAMARY CANO VILLATORO</t>
  </si>
  <si>
    <t>MAYRA LISSETH OLA LUNA DE BARRIENTOS</t>
  </si>
  <si>
    <t>EDGAR EDUARDO PIRIR YOC</t>
  </si>
  <si>
    <t>NIMROD LIMA OVANDO</t>
  </si>
  <si>
    <t>MELVY ROXANA PEÑATE CHINCHILLA</t>
  </si>
  <si>
    <t xml:space="preserve">LUIS ANGEL TARACENA BETANCOURTH </t>
  </si>
  <si>
    <t>LUIS ALFREDO MORALES LEMUS</t>
  </si>
  <si>
    <t xml:space="preserve">LUIS ROBERTO AQUINO FIGUEROA </t>
  </si>
  <si>
    <t xml:space="preserve">AMADEO SALGUERO REYES </t>
  </si>
  <si>
    <t>IDELFONSO SONTAY IXCOY</t>
  </si>
  <si>
    <t>OLGA YESENIA ALVARADO SIS</t>
  </si>
  <si>
    <t>DIAHANN ANDREA COBOS FLORES</t>
  </si>
  <si>
    <t xml:space="preserve">MARIO SANTIAGO LEY BUCH </t>
  </si>
  <si>
    <t xml:space="preserve">JAIME LEONEL RUCAL SINTO </t>
  </si>
  <si>
    <t>EDY RIGOBERTO PASCUAL ABELAR</t>
  </si>
  <si>
    <t>KEVIN RONALDO BARILLAS SOTO</t>
  </si>
  <si>
    <t>AMALIA EUGENIA OSORIO LUX</t>
  </si>
  <si>
    <t>ASISTENTE ADMINISTRATIVO I (0000) SIN ESPECIALIDAD (0000)</t>
  </si>
  <si>
    <t>ANALISTA DE RECURSOS HUMANOS I (0000) SIN ESPECIALIDAD (0000)</t>
  </si>
  <si>
    <t>ASISTENTE DE CONTABILIDAD II (0000) SIN ESPECIALIDAD (0000)</t>
  </si>
  <si>
    <t>AUXILIAR I (0000) SIN ESPECIALIDAD (0000)</t>
  </si>
  <si>
    <t>ASISTENTE ADMINISTRATIVO II (0000) SIN ESPECIALIDAD (0000)</t>
  </si>
  <si>
    <t>CONSERJE (0000) SIN ESPECIALIDAD (0000)</t>
  </si>
  <si>
    <t>TRAMOYISTA (0000) SIN ESPECIALIDAD (0000)</t>
  </si>
  <si>
    <t>FREDY ORLANDO SAGASTUME VELÁSQUEZ</t>
  </si>
  <si>
    <t>LORENZO FROILÁN TISTOJ CHAN</t>
  </si>
  <si>
    <t xml:space="preserve">CARLOS ALFONSO QUEJ XUC </t>
  </si>
  <si>
    <t>SANDRA VERONICA CORONADO PAREDES</t>
  </si>
  <si>
    <t>WINGSTON OSWALDO GONZÁLEZ REYES</t>
  </si>
  <si>
    <t xml:space="preserve">MARTÍN ESTUARDO DE JESÚS DÍAZ VALDÉS </t>
  </si>
  <si>
    <t>MARIO ENRIQUE CAXAJ RODRIGUEZ</t>
  </si>
  <si>
    <t>BENVENUTO CHAVAJAY GONZÁLEZ</t>
  </si>
  <si>
    <t>OTTO AMILCAR AZURDIA LEIVA</t>
  </si>
  <si>
    <t>JOSE GABRIEL OZAETA GARCÍA</t>
  </si>
  <si>
    <t>OSCAR JUAN PABLO CASTILLO AROCHE</t>
  </si>
  <si>
    <t>LAZARO JAIRO RAMIREZ BALTAZAR</t>
  </si>
  <si>
    <t>RICARDO HUMBERTO TAQUEZ YUCUTE</t>
  </si>
  <si>
    <t>DANIEL ESTUARDO CHINCHILLA PALACIOS</t>
  </si>
  <si>
    <t>EFRAIN CHICOP PEC</t>
  </si>
  <si>
    <t>MARIO RENE DONIS</t>
  </si>
  <si>
    <t>ANTONIO IXJOTOP QUEL</t>
  </si>
  <si>
    <t>EDGAR ROLANDO JOLOM ALTAN</t>
  </si>
  <si>
    <t>BRAYAM ARIEL LETONA LIMA</t>
  </si>
  <si>
    <t>MIGUEL ARNULFO LUNA SOTO</t>
  </si>
  <si>
    <t>DIANA JUDITH PINEDA ORTEGA</t>
  </si>
  <si>
    <t>ALEJANDRO MIGUEL REYES MARTÍNEZ</t>
  </si>
  <si>
    <t>EUSEBIO POR CULAJAY</t>
  </si>
  <si>
    <t>SANTOS TAQUEZ QUEL</t>
  </si>
  <si>
    <t>HENRY DAVID LOPEZ REYES</t>
  </si>
  <si>
    <t>FRANCISCO QUEL CHICOP</t>
  </si>
  <si>
    <t>EDWIN ORLANDO MONTENEGRO MURALLES</t>
  </si>
  <si>
    <t>ALIDA MARIBEL BARRIOS MORALES</t>
  </si>
  <si>
    <t>FRANCISCO ORLANDO SEQUEN RAC</t>
  </si>
  <si>
    <t>GUILLERMO ANTONIO GONZALEZ RODRIGUEZ</t>
  </si>
  <si>
    <t>LUIS ALBERTO TOJINO JULAJU</t>
  </si>
  <si>
    <t>FIANZA</t>
  </si>
  <si>
    <t>ASISTENTE DE PLANIFICACION II (000), SIN ESPECIALIDAD (000)</t>
  </si>
  <si>
    <t>ASISTENTE FINANCIERO II (0000), SIN ESPECIALIDAD (0000)</t>
  </si>
  <si>
    <t>JEFE DE DEPARTAMENTO SUSTANTIVO II (0000), SIN ESPECIALIDAD (0000)</t>
  </si>
  <si>
    <t>HERNAN OMMAR DIAZ MUÑOZ</t>
  </si>
  <si>
    <t>MERCEDES IXCACOJ QUEL</t>
  </si>
  <si>
    <t>NORMA ELIZABETH AREVALO SUTUJ DE MORALES</t>
  </si>
  <si>
    <t>SERGIO EMMANUEL ARRIOLA ROMERO</t>
  </si>
  <si>
    <t>EDGAR LEONEL CARIAS ALARCON</t>
  </si>
  <si>
    <t>JUAN SALVADOR SANDOVAL GUZMÁN</t>
  </si>
  <si>
    <t>Bono MCD Y Bono Administrativo del CCMA</t>
  </si>
  <si>
    <t>HERIBERTO ADAN SILVESTRE ALVAREZ TOMAS</t>
  </si>
  <si>
    <t>JORGE LEONIDAS CUC CHIROY</t>
  </si>
  <si>
    <t>JULIO FERNANDO ARIAS CHACON</t>
  </si>
  <si>
    <t>MARIO FERNANDO FERNANDEZ RIVAS</t>
  </si>
  <si>
    <t>MARIO ROBERTO AYAPAN JOCOP</t>
  </si>
  <si>
    <t>PEON VIGILANTE V</t>
  </si>
  <si>
    <t>ELECTRICISTA II</t>
  </si>
  <si>
    <t>PEON VIGILANTE IV</t>
  </si>
  <si>
    <t>TRABAJADORA VIVANDERA</t>
  </si>
  <si>
    <t>HERRERO II</t>
  </si>
  <si>
    <t>HERRERO III</t>
  </si>
  <si>
    <t>MENSAJERO II</t>
  </si>
  <si>
    <t>JARDINERO II</t>
  </si>
  <si>
    <t>ELECTRICISTA III</t>
  </si>
  <si>
    <t xml:space="preserve">JARDINERO I </t>
  </si>
  <si>
    <t>JORGE ANIBAL TOT GUERRA</t>
  </si>
  <si>
    <t>KATHERINE PAMELA CORDOVA</t>
  </si>
  <si>
    <t>ASTRID FABIOLA MONROY LEIVA</t>
  </si>
  <si>
    <t>DOMINGO ANTONIO VASQUEZ GONZALEZ</t>
  </si>
  <si>
    <t>DULCE ROSMERY TASUY CAJAS</t>
  </si>
  <si>
    <t>GERSON GEOVANI CAP AC</t>
  </si>
  <si>
    <t>GERTRUDIS PUAC MENDEZ</t>
  </si>
  <si>
    <t>JULIA ADRIANA CHINCHILLA LEMUS</t>
  </si>
  <si>
    <t>MARIO DAGOBERTO CRISOSTOMO MACARIO</t>
  </si>
  <si>
    <t>ALBERTO SANDOVAL SANTIAGO</t>
  </si>
  <si>
    <t>MIRIAM SUSANA ARGÜELLO</t>
  </si>
  <si>
    <t>ROGER UNBERTO CASTRO MARTINES</t>
  </si>
  <si>
    <t xml:space="preserve">ASESOR PROFESIONAL ESPECIALIZADO II </t>
  </si>
  <si>
    <t>DIRECTOR TECNICO I</t>
  </si>
  <si>
    <t>PROFESIONAL FINANCIERO I (0000) SIN ESPECIALIDAD (0000)</t>
  </si>
  <si>
    <t xml:space="preserve">ROBERTO ANDRE FRANCO </t>
  </si>
  <si>
    <t>ROBERTO FRANCISCO ACU CASTILLO</t>
  </si>
  <si>
    <t>ENCARGADO DE CALIFICAR ESPECTACULOS (0000) SIN ESPECIALIDAD (0000)</t>
  </si>
  <si>
    <t>ROLANDO CALLEJAS OJOT</t>
  </si>
  <si>
    <t>ROSELIA ALVARADO BARRIOS DE MONROY</t>
  </si>
  <si>
    <t>SERGIO RAFAEL PAZ MALDONADO</t>
  </si>
  <si>
    <t>SEVERIANO YOTZ UJPAN</t>
  </si>
  <si>
    <t>SILVIA VICTORIA ALVARADO BARILLAS</t>
  </si>
  <si>
    <t>SONIA MARITZA AGUILAR DE COLINDRES</t>
  </si>
  <si>
    <t xml:space="preserve">TORIBIO AJ CANIL </t>
  </si>
  <si>
    <t>VANIA ISABEL VARGAS MORALES</t>
  </si>
  <si>
    <t xml:space="preserve">VICTOR YOL QUISQUINAY </t>
  </si>
  <si>
    <t>VIDAL ESTUARDO SARAVIA CASTILLO</t>
  </si>
  <si>
    <t>WALTER RENE SAUCEDO RODRIGUEZ</t>
  </si>
  <si>
    <t>WILFRIDO ORIEL ALVAREZ LOPEZ</t>
  </si>
  <si>
    <t>WILLIAMS AUGUSTO CORADO MENA</t>
  </si>
  <si>
    <t>WILSON DANIEL IXCOY MORAN</t>
  </si>
  <si>
    <t>ZOILA MARISOL ZEPEDA QUIÑONEZ</t>
  </si>
  <si>
    <t>ADIN GIANCARLO RUBIO TREJO</t>
  </si>
  <si>
    <t>MARVIN ESTEBAN CORTEZ BAC</t>
  </si>
  <si>
    <t>MIGUEL ANGEL GUZMAN ALVARADO</t>
  </si>
  <si>
    <t>JAVIER ELISEO TENAS GONZALEZ</t>
  </si>
  <si>
    <t>PILOTO II</t>
  </si>
  <si>
    <t>JUVENTINO CHAVAC SET</t>
  </si>
  <si>
    <t>BODEGUERO IV</t>
  </si>
  <si>
    <t>WALTER ADOLFO ORELLANA SANDOVAL</t>
  </si>
  <si>
    <t>FRANCISCO MORALES SANTOS</t>
  </si>
  <si>
    <t>SEBASTIANA LASTOR MENDEZ</t>
  </si>
  <si>
    <t>HEBER DANIEL POGGIO COLINDRES</t>
  </si>
  <si>
    <t>CRISTOBAL ROLANDO VEGA CARRILLO</t>
  </si>
  <si>
    <t>MANUEL ABELARDO CANIZALES CRUZ</t>
  </si>
  <si>
    <t>MARIO FERNANDO CARDONA RIOS</t>
  </si>
  <si>
    <t>MARIELA DEL ROSARIO CHOJLAN COJULUM DE QUISQUE</t>
  </si>
  <si>
    <t>ANGEL MANUEL CHAVEZ VASQUEZ</t>
  </si>
  <si>
    <t>BLANCA ESTELA MORAN MUÑOZ</t>
  </si>
  <si>
    <t>BLANDINA LUDIBEL PELAEZ HERRERA</t>
  </si>
  <si>
    <t xml:space="preserve">CARLOS ARMANDO ORTEGA GONZALEZ </t>
  </si>
  <si>
    <t>DANNERY MARTALILIA PAIZ FLORES</t>
  </si>
  <si>
    <t>DAVID ESTUARDO GONZALEZ TORRES</t>
  </si>
  <si>
    <t>EDGAR LEONEL ARTIGA JUAREZ</t>
  </si>
  <si>
    <t>EDGAR TOMAS PERUCH HERRERA</t>
  </si>
  <si>
    <t>ELDER LEONEL MORALES VASQUEZ</t>
  </si>
  <si>
    <t xml:space="preserve">ESTUARDO ELISEO TOMAS VELASQUEZ </t>
  </si>
  <si>
    <t xml:space="preserve">ESVIN OBDULIO ROSALES QUIXTAN </t>
  </si>
  <si>
    <t xml:space="preserve">EVELYN ODETH GONZALEZ BOCHE </t>
  </si>
  <si>
    <t>FLOR DE MARIA VIELMAN VASQUEZ</t>
  </si>
  <si>
    <t>FRANCISCO JAVIER GAITAN PEREZ</t>
  </si>
  <si>
    <t>GABRIELA ALEJANDRA MORALES CHAVEZ</t>
  </si>
  <si>
    <t>GRISELDA LISSETTE GONZALEZ VEGA</t>
  </si>
  <si>
    <t xml:space="preserve">HEVER IVAN HERNANDEZ JUAREZ </t>
  </si>
  <si>
    <t>ISAIAS IVAN CASTILLO GONZALEZ</t>
  </si>
  <si>
    <t>JORGE LUIS RODRIGUEZ VELASQUEZ</t>
  </si>
  <si>
    <t>JUAN FRANCISCO VELASQUEZ CAMAJA</t>
  </si>
  <si>
    <t>LOIDY ABIGAIL CITALAN PAC</t>
  </si>
  <si>
    <t>LUIS ALEJANDRO GONZALEZ HERNANDEZ</t>
  </si>
  <si>
    <t>MARTIN  RANCHO CONCOGUA</t>
  </si>
  <si>
    <t>NIMEIRY MORALES  GUZMAN</t>
  </si>
  <si>
    <t>OSMAR ESTUARDO MELIA GRIFFTH</t>
  </si>
  <si>
    <t>ASISTENTE EDITOR DE ARTES GRAFICAS IV (0000), SIN ESPECIALIDAD (0000)</t>
  </si>
  <si>
    <t>VICENTE VENANCIO SANTIZO VELASQUEZ</t>
  </si>
  <si>
    <t>EVER ALFONSO RAMOS HERNANDEZ</t>
  </si>
  <si>
    <t>ANA GALVEZ SUN</t>
  </si>
  <si>
    <t xml:space="preserve">TECNICO DEL CENTRO (0000) SIN ESPECIALIDAD (0000) </t>
  </si>
  <si>
    <t>TECNICO DE ESCUELA (0000) SIN ESPECIALIDAD (0000)</t>
  </si>
  <si>
    <t xml:space="preserve">CARLOS JAVIER PEREZ CORZANTES </t>
  </si>
  <si>
    <t xml:space="preserve">EDGAR NOE XALIX ESQUIT </t>
  </si>
  <si>
    <t>EDWIN JAHZEEL ESTRADA JIMENEZ</t>
  </si>
  <si>
    <t>ELFIDO JOSE AYALA LIMA</t>
  </si>
  <si>
    <t xml:space="preserve">EMILIANO PEREZ SICA </t>
  </si>
  <si>
    <t xml:space="preserve">FATIMA YOLISETH GUERRA PEREZ DE REYES </t>
  </si>
  <si>
    <t>TECNICO DE CONTABILIDAD I (0000), SIN ESPECIALIDAD (0000)</t>
  </si>
  <si>
    <t>HECTOR HERMAN ALVAREZ OROZCO</t>
  </si>
  <si>
    <t>JENNIFER IVONNE CASTILLO MERIDA</t>
  </si>
  <si>
    <t>JORGE AUGUSTO PEREZ LUNA</t>
  </si>
  <si>
    <t>JOSE  DAMIAN CUMES TUY</t>
  </si>
  <si>
    <t xml:space="preserve">JOSE ARMANDO MUÑOZ MOLINA </t>
  </si>
  <si>
    <t>JOSE FERNANDO AGUILAR FERRER</t>
  </si>
  <si>
    <t>JOSE ROLANDO CANTEO PIRIR</t>
  </si>
  <si>
    <t>JUAN JOSE CHANCHAVAC POROJ</t>
  </si>
  <si>
    <t>JULIAN COCHE MENDOZA</t>
  </si>
  <si>
    <t>JULIO CESAR NAVAS MENDEZ</t>
  </si>
  <si>
    <t>KEVIN OSMAN PEREZ QUIÑONEZ</t>
  </si>
  <si>
    <t>LILY ONELIA MENDEZ SARAT</t>
  </si>
  <si>
    <t>LUIS FERNANDO PEREZ MOLINA</t>
  </si>
  <si>
    <t>MARIO NOE MENDEZ MORALES</t>
  </si>
  <si>
    <t xml:space="preserve">PATRICIA EMIGDIA ROBLERO PEREZ </t>
  </si>
  <si>
    <t>TECNICO DE SONIDO II (0000) SIN ESPECIALIDAD (0000)</t>
  </si>
  <si>
    <t>ROXANA MARIBEL VALDEZ BARRIOS</t>
  </si>
  <si>
    <t>JOSE MIGUEL RECINOS BOCHE</t>
  </si>
  <si>
    <t>JEFE DE DEPARTAMENTO TECNICO II (0000) SIN ESPECIALIDAD (0000)</t>
  </si>
  <si>
    <t>JOSE RICARDO SANTOS AGUILAR</t>
  </si>
  <si>
    <t>HUGO LEONEL ARENAS AMEZQUITA</t>
  </si>
  <si>
    <t>LIQUIDO</t>
  </si>
  <si>
    <t>MONTEPIO</t>
  </si>
  <si>
    <t>DOCENTE ARTISTICO 25 PERIODOS (0000) SIN ESPECIALIDAD (0000)</t>
  </si>
  <si>
    <t xml:space="preserve">ALOM MARIELA ESTRADA GARCIA </t>
  </si>
  <si>
    <t>DOCENTE ARTISTICO 20 PERIODOS (0000) SIN ESPECIALIDAD (0000)</t>
  </si>
  <si>
    <t>ANGEL BAUDILIO CANREY MARROQUIN</t>
  </si>
  <si>
    <t>AUGUSTO RENE YOL ORTIZ</t>
  </si>
  <si>
    <t>ASISTENTE ARTISTICO III (0000) SIN ESPECIALIDAD (0000)</t>
  </si>
  <si>
    <t>DOCENTE ARTISTICO 22 PERIODOS (0000) SIN ESPECIALIDAD (0000)</t>
  </si>
  <si>
    <t>CRISTINA FLORIDALMA RAMIREZ FLORES DE ESPAÑA</t>
  </si>
  <si>
    <t>EMILDA MARIA ALEJANDRA FLORES GARCIA</t>
  </si>
  <si>
    <t xml:space="preserve">ERWIN ANTONIO MARTINEZ SANDOVAL </t>
  </si>
  <si>
    <t>FERNANDO ROBERTO DIAZ DUARTE</t>
  </si>
  <si>
    <t>DOCENTE ARTISTICO 21 PERIODOS (0000) SIN ESPECIALIDAD (0000)</t>
  </si>
  <si>
    <t xml:space="preserve">GASPAR IGNACIO CHOLOTIO CHOLOTIO </t>
  </si>
  <si>
    <t>JENER SEBASTIAN ACEYTUNO GARCIA</t>
  </si>
  <si>
    <t>JOSE ARMANDO CHACACH CALI</t>
  </si>
  <si>
    <t>JOSE BENITO GARCIA</t>
  </si>
  <si>
    <t>DOCENTE ARTISTICO 17 PERIODOS (0000) SIN ESPECIALIDAD (0000)</t>
  </si>
  <si>
    <t>JUAN ALEXANDER SALAZAR RAMIREZ</t>
  </si>
  <si>
    <t>DOCENTE ARTISTICO 14 PERIODOS (0000) SIN ESPECIALIDAD (0000)</t>
  </si>
  <si>
    <t>LUIS ALBERTO VALENZUELA RAMIREZ</t>
  </si>
  <si>
    <t>LUIS HUMBERTO MARTINEZ VELASQUEZ</t>
  </si>
  <si>
    <t>MARIA JOSE DIAZ MENDEZ DE TEZEN</t>
  </si>
  <si>
    <t xml:space="preserve">MARIA JOSE GONZALEZ CASTILLO </t>
  </si>
  <si>
    <t>MARIA MORALES PANJOJ</t>
  </si>
  <si>
    <t>MARIA SANTOS IQUITE SEQUEN</t>
  </si>
  <si>
    <t>MARICRUZ DIAZ ARANA</t>
  </si>
  <si>
    <t>MARIO RENE BATZIN SICAJAU</t>
  </si>
  <si>
    <t>MARLON DAVID GUZMAN PEREZ</t>
  </si>
  <si>
    <t>NERY ESTUARDO ESCOBAR MARROQUIN</t>
  </si>
  <si>
    <t>REBECA MONTEAGUDO RODRIGUEZ</t>
  </si>
  <si>
    <t>ROLAND STEPHEN AGUSTIN GARCIA</t>
  </si>
  <si>
    <t>ROMEO ESTUARDO GONZALEZ MEJIA</t>
  </si>
  <si>
    <t>ROSA MARGARITA SILVESTRE DIAZ</t>
  </si>
  <si>
    <t>RUTH NOEMI PORRES RUIZ DE CASTAÑEDA</t>
  </si>
  <si>
    <t>WAINER BRILLANI SAENZ MARTINEZ</t>
  </si>
  <si>
    <t>MARCO TULIO RAMIREZ HERNANDEZ</t>
  </si>
  <si>
    <t>DIRECCION GENERAL DE LAS ARTES</t>
  </si>
  <si>
    <t>ALMA MANUELA CASTRO GOMEZ</t>
  </si>
  <si>
    <t>ARON EMILIO ARMAS MENDOZA</t>
  </si>
  <si>
    <t>BRENDA LUCRECIA DE LEON BLANCO</t>
  </si>
  <si>
    <t>CARLOS BRYANNT ALEJANDRO LOPEZ RODAS</t>
  </si>
  <si>
    <t>CLAUDIA VERONICA LOPEZ GUILLEN</t>
  </si>
  <si>
    <t>CONCEPCION SUQUE CONCOGUA</t>
  </si>
  <si>
    <t>DAVID GERARDO SANTIZO CHAJON</t>
  </si>
  <si>
    <t>EDGAR LEONEL LOPEZ VICENTE</t>
  </si>
  <si>
    <t>EDNA YESENIA CAMO ALDANA</t>
  </si>
  <si>
    <t>JEFE DE SECCION DE SERVICIOS GENERALES (0000), SIN ESPECIALIDAD (0000)</t>
  </si>
  <si>
    <t xml:space="preserve">ELY NEFTALY DE LEON MEDINA </t>
  </si>
  <si>
    <t>ENMA ANITA ESTRADA LOPEZ DE CALDERON</t>
  </si>
  <si>
    <t>ERICK AMILCAR PEREZ LOPEZ</t>
  </si>
  <si>
    <t>ERWIN DANILO CARCAMO LOPEZ</t>
  </si>
  <si>
    <t xml:space="preserve">ESTUARDO ADOLFO LOPEZ CHIAN </t>
  </si>
  <si>
    <t xml:space="preserve">EVA MARIA DE LEON BLANCO </t>
  </si>
  <si>
    <t>FELIX ANTONIO MERIDA LOPEZ</t>
  </si>
  <si>
    <t xml:space="preserve">FRESCIA ZULEMA ESTRADA LOPEZ </t>
  </si>
  <si>
    <t>GERMAN FERNANDO RAXON  EQUITE</t>
  </si>
  <si>
    <t xml:space="preserve">GERSON PASCUAL LOPEZ JACINTO </t>
  </si>
  <si>
    <t>GLENDY PAOLA PALACIOS GOMEZ DE CASTILLO</t>
  </si>
  <si>
    <t>HECTOR ROMEO LOPEZ PORON</t>
  </si>
  <si>
    <t>INGRID JOHANA CHAJON TOXCON</t>
  </si>
  <si>
    <t xml:space="preserve">IRMA YOLANDA LOPEZ VARGAS </t>
  </si>
  <si>
    <t>JEFE DE SECCION DE INVENTARIOS (0000), SIN ESPECIALIDAD (0000)</t>
  </si>
  <si>
    <t>JACKELLINE SUCELI ESTEBAN MONZON</t>
  </si>
  <si>
    <t xml:space="preserve">JEDLEY ESTIVENS LOPEZ ARDON </t>
  </si>
  <si>
    <t>JOSUE EMERSON CHICOL SIMON</t>
  </si>
  <si>
    <t>LEDY DINAEL GOMEZ APEN</t>
  </si>
  <si>
    <t>JEFE SECCION DE PRESUPUESTO (0000) SIN ESPECIALIDAD (0000)</t>
  </si>
  <si>
    <t>LUIS EDUARDO DIEGUEZ LOPEZ</t>
  </si>
  <si>
    <t>MAINOR RAMON CABRERA GOMEZ</t>
  </si>
  <si>
    <t>MANUELA CONCEPCION LOPEZ COLOP</t>
  </si>
  <si>
    <t>MARCOS ESTEBAN SAQUICH LOPEZ</t>
  </si>
  <si>
    <t>MARGARITO LOPEZ GARCIA</t>
  </si>
  <si>
    <t>MARTA YOLANDA MOGOLLON</t>
  </si>
  <si>
    <t>NICOLASA MARIBEL GARCIA LOPEZ</t>
  </si>
  <si>
    <t>PABLO JOSE LOPEZ MATEO</t>
  </si>
  <si>
    <t>YESSICA REBECA MONZON SANCHEZ</t>
  </si>
  <si>
    <t>JOSE FERNANDO LOPEZ ORTIZ</t>
  </si>
  <si>
    <t>DEMECIO DARIO HIDALGO GOMEZ</t>
  </si>
  <si>
    <t>ABELINO TOT (UNICO APELLIDO)</t>
  </si>
  <si>
    <t>ANA LUCINDA URQUIZU SANCHEZ</t>
  </si>
  <si>
    <t>CARLOS DE JESUS SANTOS SACU</t>
  </si>
  <si>
    <t>CHRISTIAN RODOLFO FERRER BERDUO</t>
  </si>
  <si>
    <t>EDGAR FRANCISCO PU ROSALES</t>
  </si>
  <si>
    <t>LORENZO VELASQUEZ (UNICO APELLIDO)</t>
  </si>
  <si>
    <t>OLIVER JESUS RIVAS VASQUEZ</t>
  </si>
  <si>
    <t xml:space="preserve">RAUL ANTONIO LOARCA CASTILLO </t>
  </si>
  <si>
    <t>ROBERTO CHUB (UNICO APELLIDO)</t>
  </si>
  <si>
    <t>ROGER DAVID GUZMAN MORALES</t>
  </si>
  <si>
    <t xml:space="preserve">ZUSI ESMERALDA DE LEON MERIDA DE ROLDAN </t>
  </si>
  <si>
    <t>JESUS ANTONIO ORTIZ LAPOYEU</t>
  </si>
  <si>
    <t>FELIPE DE JESUS CHOCOYO SIAN</t>
  </si>
  <si>
    <t>MADELEIN ALEJANDRA ESCOBAR ORELLANA</t>
  </si>
  <si>
    <t>GABRIELA DEL ROSARIO ZAMORA ARENALES</t>
  </si>
  <si>
    <t>MANUEL ANTONIO DE LEON ESTRADA</t>
  </si>
  <si>
    <t>VICTOR MANUEL SOLIS RAMOS</t>
  </si>
  <si>
    <t>MARLON PAUL DONIS MARTINEZ</t>
  </si>
  <si>
    <t>NEVALI ISMAEL GONZALEZ GONZALEZ</t>
  </si>
  <si>
    <t xml:space="preserve">IGNACIO VICENTE COJON </t>
  </si>
  <si>
    <t>DIRECTOR TECNICO II</t>
  </si>
  <si>
    <t>JORGE ABEL MONTERROSO SANTIZO</t>
  </si>
  <si>
    <t>FRANCISCO JAVIER VEGA ALVIZURES</t>
  </si>
  <si>
    <t>SAQUEO DOMINGO PEREZ CHOLOTIO</t>
  </si>
  <si>
    <t>SHEILA VERONICA RAMIREZ DE ALONZO</t>
  </si>
  <si>
    <t>ALVA CONSUELO LOPEZ MORENO DE VIDES</t>
  </si>
  <si>
    <t>LUIS FELIPE GOMEZ CADENAS</t>
  </si>
  <si>
    <t>MANUELA ANTONIA SARA MENDOZA LOPEZ</t>
  </si>
  <si>
    <t>TOTALES</t>
  </si>
  <si>
    <t>SERVICIOS PROFESIONALES</t>
  </si>
  <si>
    <t>LUCIA DOLORES ARMAS GALVEZ</t>
  </si>
  <si>
    <t>ASISTENTE ADMINISTRATIVO IV (0000) SIN ESPECIALIDAD (0000)</t>
  </si>
  <si>
    <t>OSCAR EDUARDO DAVILA GOMEZ</t>
  </si>
  <si>
    <t>ZONIA DALILA ERAZO CRUZ</t>
  </si>
  <si>
    <t>COORDINADOR DE ACADEMIAS (0000) SIN ESPECIALIDAD (0000)</t>
  </si>
  <si>
    <t>LESLIE ANELISSE ROMERO HERNANDEZ</t>
  </si>
  <si>
    <t>ANA LUCIA MENDIZABAL RUIZ</t>
  </si>
  <si>
    <t>OSWALDO ANTONIO OLIVAREZ MORENO</t>
  </si>
  <si>
    <t>JORGE ANTONIO CHUB POP</t>
  </si>
  <si>
    <t>HUGO ARMANDO GUTIERREZ  MORALES</t>
  </si>
  <si>
    <t>ASISTENTE DE PRESUPUESTO II (0000) SIN ESPECIALIDAD (0000)</t>
  </si>
  <si>
    <t>OLGA LORENA CIFUENTES GARCIA DE CIFUENTES</t>
  </si>
  <si>
    <t>ASISTENTE ADMINISTRATIVO III (0000) SIN ESPECIALIDAD (0000)</t>
  </si>
  <si>
    <t>ASISTENTE ADMINISTRATIVO V (0000) SIN ESPECIALIDAD (0000)</t>
  </si>
  <si>
    <t>ASISTENTE DE RECURSOS HUMANOS I (0000) SIN ESPECIALIDAD (0000)</t>
  </si>
  <si>
    <t>ASISTENTE DE RELACIONES PUBLICAS  (0000) SIN ESPECIALIDAD (0000)</t>
  </si>
  <si>
    <t>AUXILIAR II (0000) SIN ESPECIALIDAD (0000)</t>
  </si>
  <si>
    <t>AUXILIAR PROFESIONAL ADMINISTRATIVO I (0000) SIN ESPECIALIDAD (0000)</t>
  </si>
  <si>
    <t>DOCENTE ARTISTICO 24 PERIODOS (000) SIN ESPECIALIDAD (0000)</t>
  </si>
  <si>
    <t>ESCENOGRAFO (0000) SIN ESPECIALIDAD (0000)</t>
  </si>
  <si>
    <t>INSPECTOR DE ESPECTACULOS (0000) SIN ESPECIALIDAD (0000)</t>
  </si>
  <si>
    <t>JEFE ARTISTICO I (0000) SIN ESPECIALIDAD (0000)</t>
  </si>
  <si>
    <t>JEFE DE CONSERVATORIO NACIONAL (0000) SIN ESPECIALIDAD (0000)</t>
  </si>
  <si>
    <t>JEFE SECCION DE ALMACEN (0000) SIN ESPECIALIDAD (0000)</t>
  </si>
  <si>
    <t>MAESTRO ARTISTICO III (0000) SIN ESPECIALIDAD (0000)</t>
  </si>
  <si>
    <t>SUBJEFE DE DEPARTAMENTO TECNICO II (0000) SIN ESPECIALIDAD (0000)</t>
  </si>
  <si>
    <t>SUPERVISOR DE TAQUILLA (0000) SIN ESPECIALIDAD (0000)</t>
  </si>
  <si>
    <t>TECNICO DE ALMACEN I (0000) SIN ESPECIALIDAD (0000)</t>
  </si>
  <si>
    <t>VIGILANTE JEFE (0000) SIN ESPECIALIDAD (0000)</t>
  </si>
  <si>
    <t>TOTAL  DESCUENTOS</t>
  </si>
  <si>
    <t>VILMA ARACELY ORELLANA RECINOS DE HERRERA</t>
  </si>
  <si>
    <t>HECTOR MACZ TOC</t>
  </si>
  <si>
    <t>MARY ALEJANDRA MANCILLA BALCÁRCEL</t>
  </si>
  <si>
    <t>ANTONIO CACERES</t>
  </si>
  <si>
    <t>ELVIS BERTONI FIGUEROA JUAREZ</t>
  </si>
  <si>
    <t>IRMA YOLANDA DE PAZ GONZALEZ</t>
  </si>
  <si>
    <t>LORENZO GRANDE AVILA</t>
  </si>
  <si>
    <t>MIGUEL ANGEL VELASQUEZ</t>
  </si>
  <si>
    <t>YANIS AHILIN POL VASQUEZ</t>
  </si>
  <si>
    <t>CESAR AUGUSTO BORRAYO ORDOÑEZ</t>
  </si>
  <si>
    <t>EMILIO CHAVEZ CHAMALE</t>
  </si>
  <si>
    <t>FABIAN CAPEN REYES</t>
  </si>
  <si>
    <t>HECTOR ROLANDO ZACARIAS RODRIGUEZ</t>
  </si>
  <si>
    <t>MIGUEL ANGEL PEREZ OSORIO</t>
  </si>
  <si>
    <t>ALEJANDRO DIAZ SOCOREC</t>
  </si>
  <si>
    <t>ANA MARIA PATZAN IQUITE</t>
  </si>
  <si>
    <t>EFRAIN RODRIGUEZ CANO</t>
  </si>
  <si>
    <t>ELIAS CHICOP YUCUTE</t>
  </si>
  <si>
    <t>IRMA MARIVEL DIAZ RAMIREZ</t>
  </si>
  <si>
    <t>LEONEL DIAZ OROZCO</t>
  </si>
  <si>
    <t>MARIA DEL CARMEN CAAL POP</t>
  </si>
  <si>
    <t>MARIA FERNANDA GARCIA MIRANDA</t>
  </si>
  <si>
    <t>VICTOR BATZIN QUEL</t>
  </si>
  <si>
    <t>ALEJANDRO TELON SIMON</t>
  </si>
  <si>
    <t>CONCEPCION CUC CHICOP</t>
  </si>
  <si>
    <t>DIANA MARITZA SAMAYOA CASTRO DE LOPEZ</t>
  </si>
  <si>
    <t>ELVIS ORLANDO SENTE CORDON</t>
  </si>
  <si>
    <t>ESTUARDO AUGUSTO PEÑATE CORDON</t>
  </si>
  <si>
    <t>ISRAEL SICAJAU JOLON</t>
  </si>
  <si>
    <t>JERONIMO RODRIGUEZ IXPATAJ</t>
  </si>
  <si>
    <t>JOSE ALBERTO GIRON CANTE</t>
  </si>
  <si>
    <t>JOSE RAMON AGUILAR ARISANDIETA</t>
  </si>
  <si>
    <t xml:space="preserve">LEON MUCUR IXJOTOP </t>
  </si>
  <si>
    <t>MILAGRO GOMEZ CABRERA</t>
  </si>
  <si>
    <t>NORMA JAQUELINE ARAGON</t>
  </si>
  <si>
    <t>SELVIN OTONIEL LOPEZ MIRANDA</t>
  </si>
  <si>
    <t>DANIEL CHOXIN BUCU</t>
  </si>
  <si>
    <t>OSCAR LEONEL SOCOREC BUCU</t>
  </si>
  <si>
    <t>MARVIN ROLANDO YUCUTE CHICOP</t>
  </si>
  <si>
    <t>MARIELLA ODILIA MARISOL RODRIGUEZ GAMBONI</t>
  </si>
  <si>
    <t>Complemento Salarial</t>
  </si>
  <si>
    <t>Escalafon</t>
  </si>
  <si>
    <t>Bosa</t>
  </si>
  <si>
    <t>Bosin/ Bosia/Bosin 2</t>
  </si>
  <si>
    <t>Gastos de Representación</t>
  </si>
  <si>
    <t>Fianza</t>
  </si>
  <si>
    <t>ABEL ENRIQUE SANTOS GONZALEZ</t>
  </si>
  <si>
    <t>JEFE TECNICO ARTISTICO I</t>
  </si>
  <si>
    <t>se le descuenta en el Ministerio de Educación</t>
  </si>
  <si>
    <t>ABRAHAM CON CULAJAY</t>
  </si>
  <si>
    <t>TRABAJADOR OPERATIVO III</t>
  </si>
  <si>
    <t>ADA ABIGAIL CHITAY BAUTISTA</t>
  </si>
  <si>
    <t>TECNICO ARTISTICO II, MUSICA</t>
  </si>
  <si>
    <t>ADAN DE JESUS FIGUEROA RAMIREZ</t>
  </si>
  <si>
    <t>ADRIANA BEATRIZ IXCOT REYES</t>
  </si>
  <si>
    <t xml:space="preserve">ALCIDES RENE ARGUETA  FERNANDEZ </t>
  </si>
  <si>
    <t>ALEX JOB SIS MORALES</t>
  </si>
  <si>
    <t>TECNICO ARTISTICO III</t>
  </si>
  <si>
    <t>ALEXIS RIGOBERTO MENDEZ HERNANDEZ</t>
  </si>
  <si>
    <t>ALFREDO QUEZADA PEREIRA</t>
  </si>
  <si>
    <t>ALMA ROSA ANA GAITAN DAVILA DE AREVALO</t>
  </si>
  <si>
    <t>ALVARO ALEXANDER REYES SAGASTUME</t>
  </si>
  <si>
    <t>TECNICO ARTISTICO I</t>
  </si>
  <si>
    <t>ALVARO DAVID  MENDEZ JERONIMO</t>
  </si>
  <si>
    <t>ALVARO DAVID CATE CHALI</t>
  </si>
  <si>
    <t>AMADEO ALVIZURES GARCIA</t>
  </si>
  <si>
    <t>ANA ALICIA VILLALTA SURUY</t>
  </si>
  <si>
    <t>TRABAJADOR OPERATIVO IV</t>
  </si>
  <si>
    <t>ANA GABRIELA MAZARIEGOS MORALES</t>
  </si>
  <si>
    <t>ANA LUCRECIA VELEZ PALACIOS</t>
  </si>
  <si>
    <t>TECNICO ARTISTICO II 5 PERIODOS</t>
  </si>
  <si>
    <t>ANA MARYLENA JEREZ MARROQUIN</t>
  </si>
  <si>
    <t>ANA SOFIA VILLAR ALVARADO</t>
  </si>
  <si>
    <t>ANDREA ALVAREZ QUIÑONEZ</t>
  </si>
  <si>
    <t>ANDREA MARIA GALDAMEZ CASTILLO</t>
  </si>
  <si>
    <t>ANGELICA CAROLINA GOMEZ ESTRADA</t>
  </si>
  <si>
    <t>ARMANDO HERNANDEZ GARCIA</t>
  </si>
  <si>
    <t>ASTRID GEORGINE MARROQUIN</t>
  </si>
  <si>
    <t>AURA MARINA GOMEZ MAZATE</t>
  </si>
  <si>
    <t>PROFESIONAL II, ADMINISTRACION</t>
  </si>
  <si>
    <t>BAYRON RENE DARDON</t>
  </si>
  <si>
    <t>BLANCA ILEANA  FLORES MACARIO</t>
  </si>
  <si>
    <t>BLANCA LUZ DELGADO MORALES</t>
  </si>
  <si>
    <t>BYRON ABRAHAM GARCIA RECINOS</t>
  </si>
  <si>
    <t>TECNICO I</t>
  </si>
  <si>
    <t>CARLA EUGENIA JEREZ</t>
  </si>
  <si>
    <t>CARLOS EDUARDO GONZALEZ DE PAZ</t>
  </si>
  <si>
    <t>CARLOS ENRIQUE AJUCHAN CHOC</t>
  </si>
  <si>
    <t>CARLOS ENRIQUE GALDAMEZ CASTILLO</t>
  </si>
  <si>
    <t>CARLOS ESTUARDO GOMEZ MARTINEZ</t>
  </si>
  <si>
    <t>CARLOS OTONIEL GOMEZ TEXAJ</t>
  </si>
  <si>
    <t>CARLOS RAMIRO VIVAR AGUILAR</t>
  </si>
  <si>
    <t xml:space="preserve">TECNICO ARTISTICO II 5 PERIODOS Y JEFE TECNICO ARTISTICO I </t>
  </si>
  <si>
    <t>CARLOS ROBERTO CHALI CUJCUJ</t>
  </si>
  <si>
    <t>CARMEN ADELA HERNANDEZ LUNA</t>
  </si>
  <si>
    <t>CAROLA MISHELL MERIDA SAZO DE ARBIZU</t>
  </si>
  <si>
    <t>TECNICO ARTISTICO I, DANZA</t>
  </si>
  <si>
    <t>CARY MARYLIS MELENDEZ GARCIA</t>
  </si>
  <si>
    <t>CESAR ARMANDO ESTRADA DE LEON</t>
  </si>
  <si>
    <t xml:space="preserve">CESAR AUGUSTO AJAU BURRION </t>
  </si>
  <si>
    <t>CESAR AUGUSTO MORALES PEREZ</t>
  </si>
  <si>
    <t>CESAR HIDARIO CANREY MARROQUIN</t>
  </si>
  <si>
    <t>CHRISTIAN ESCOBAR PALACIOS</t>
  </si>
  <si>
    <t>CINTIA PAOLA FLOR MARIA ALEJANDRA RAMIREZ URIZAR</t>
  </si>
  <si>
    <t>CLAUDIA ISABEL LAMADRID AJANEL DE AZURDIA</t>
  </si>
  <si>
    <t>CLAUDIA KARINA SEGURA AFRE</t>
  </si>
  <si>
    <t>CLAUDIA LUCRECIA GARCIA GUTIERREZ</t>
  </si>
  <si>
    <t>CLAUDIA MARIA CHINCHILLA VETTORAZI DE DIAZ</t>
  </si>
  <si>
    <t>CLAUDIA MARIA GUADALUPE YAX ROSALES</t>
  </si>
  <si>
    <t>CRISTOBAL BUCU PUAC</t>
  </si>
  <si>
    <t>DAFNNE LISSETH FLORES LOPEZ</t>
  </si>
  <si>
    <t>DANIELA CELESTE ARRECIS HERNANDEZ</t>
  </si>
  <si>
    <t>DANY MOISES BARTOLOMIN MUTZUTZ</t>
  </si>
  <si>
    <t>DARIL RAMIRO OLIVA SIERRA</t>
  </si>
  <si>
    <t>DINA ANELISE SANTA CRUZ GALVEZ DE AGUILAR</t>
  </si>
  <si>
    <t>TECNICO ARTISTICO II 25 PERIODOS</t>
  </si>
  <si>
    <t>DOMINGO ALEXANDER SOTZ LOPEZ</t>
  </si>
  <si>
    <t>EDDY LEONEL MONTENEGRO MORATAYA</t>
  </si>
  <si>
    <t>EDDY RENE YANTUCHE CUYAN</t>
  </si>
  <si>
    <t>EDGAR DIONICIO QUISQUINAY ALCOR</t>
  </si>
  <si>
    <t>EDGAR LEONEL SILVA GARCIA</t>
  </si>
  <si>
    <t>EDGAR RENE QUIÑONEZ PEREZ</t>
  </si>
  <si>
    <t>EDGAR RODOLFO ORTEGA MOLINA</t>
  </si>
  <si>
    <t>TECNICO PROFESIONAL I</t>
  </si>
  <si>
    <t>EDWIN ALEXANDER MORA GUZMAN</t>
  </si>
  <si>
    <t>EDVIN ROLANDO MORA GUZMAN</t>
  </si>
  <si>
    <t>EDWIN ARNOLDO RAMIREZ MUÑOZ</t>
  </si>
  <si>
    <t>EDWIN ERNESTO CRUZ GONZALEZ</t>
  </si>
  <si>
    <t>EDWIN GIOVANNI CANO SALAZAR</t>
  </si>
  <si>
    <t>TRABAJADOR OPERATIVO II</t>
  </si>
  <si>
    <t>EDWIN HAROLD GUERRA BAÑOS</t>
  </si>
  <si>
    <t>ELVIA MARGOTH SANABRIA HERNANDEZ</t>
  </si>
  <si>
    <t xml:space="preserve">EMILIA COSIGUA SICAJAU </t>
  </si>
  <si>
    <t>ERICK DOUGLAS CORDOVA ARRIAZA</t>
  </si>
  <si>
    <t>ERICK ROLANDO PANIAGUA</t>
  </si>
  <si>
    <t>ESTHER OBREGON OLAYA DE FLORES</t>
  </si>
  <si>
    <t>EVELYN SHIVONEE GODINEZ OROZCO</t>
  </si>
  <si>
    <t>EVERILDO VICTOR PEREZ CORONADO</t>
  </si>
  <si>
    <t>FELIPE SAULO RODRIGUEZ JERONIMO</t>
  </si>
  <si>
    <t>FELIX ALBERTO AZURDIA MEJIA</t>
  </si>
  <si>
    <t>FERNANDO ISABEL VASQUEZ HERNANDEZ</t>
  </si>
  <si>
    <t>FRANCISCO ALEJANDRO CASTRO ORDOÑEZ</t>
  </si>
  <si>
    <t>FRANCISCO JAVIER CASADO OCHOA</t>
  </si>
  <si>
    <t>FRANQUIL RAUL DE LEON</t>
  </si>
  <si>
    <t>GABINO CHICOP YUCUTE</t>
  </si>
  <si>
    <t>GABRIELA MARIA CORLETO ORANTES</t>
  </si>
  <si>
    <t>GAD ESAU ECHEVERRIA GARCIA</t>
  </si>
  <si>
    <t>GERONIMO BACA SIQUE</t>
  </si>
  <si>
    <t xml:space="preserve">GERSON ANIBAL MALIN HERNANDEZ </t>
  </si>
  <si>
    <t>GIDIA MARILA GALVEZ QUIM</t>
  </si>
  <si>
    <t>OFICINISTA I</t>
  </si>
  <si>
    <t>GIOVANNI CLEMENTINO CIFUENTES DE LEON</t>
  </si>
  <si>
    <t>GREG JOSE DANIEL CISNEROS ARRIAGA</t>
  </si>
  <si>
    <t>GUILLERMO ANTONIO LOPEZ JIMENEZ</t>
  </si>
  <si>
    <t>GUSTAVO ADOLFO GOMEZ GARCIA</t>
  </si>
  <si>
    <t>TECNICO ARTISTICO II 5 PERIODOS Y TECNICO ARTISTICO II</t>
  </si>
  <si>
    <t>HECTOR MAXIMILIANO CASTRO ZAYAS</t>
  </si>
  <si>
    <t>TECNICO ARTISTICO II 5 PERIODOS Y JEFE TECNICO ARTISTICO II</t>
  </si>
  <si>
    <t>HECTOR RENE MALDONADO SANDOVAL</t>
  </si>
  <si>
    <t>HECTOR ROLANDO VELASQUEZ SAMAYOA</t>
  </si>
  <si>
    <t>TECNICO ARTISTICO II 1 HRA.Y JEFE ARTISTICO I</t>
  </si>
  <si>
    <t>HECTOR VINICIO SALAZAR MENENDEZ</t>
  </si>
  <si>
    <t>HEIDI ELENA CORZO PINEDA</t>
  </si>
  <si>
    <t>HELBER AMAURI ANGEL FIGUEROA</t>
  </si>
  <si>
    <t>HERBERT HERMELINDO BOCHE LOPEZ</t>
  </si>
  <si>
    <t>HILARIO ALEJANDRO HERNANADEZ SANTIZO</t>
  </si>
  <si>
    <t>TECNICO ARTISTICO II, 4 HORAS, EDUCACION ARTISTICA</t>
  </si>
  <si>
    <t>ILEANA CRISTHEL YAT OLIVA</t>
  </si>
  <si>
    <t>TECNICO ARTISTICO II 25 PERIOD-EDUCACION ARTISTICA</t>
  </si>
  <si>
    <t>INGRID ELIZABETH MARTINEZ MERIDA</t>
  </si>
  <si>
    <t>TECNICO ARTISTICO II 5 PERIODOS-EDUCACION ARTISTICA</t>
  </si>
  <si>
    <t>INGRID ERNESTINA MORALES PEREZ</t>
  </si>
  <si>
    <t>ISRAEL DEL PILAR RAMIREZ VARELA</t>
  </si>
  <si>
    <t>IUNUHE DE GANDARIAS LOPEZ</t>
  </si>
  <si>
    <t>IVAN MARTIN MARTINEZ PALMA</t>
  </si>
  <si>
    <t>JOHN RICHARDS TZUL IGNACIO</t>
  </si>
  <si>
    <t>JORGE ADALBERTO AJAU BURRION</t>
  </si>
  <si>
    <t>JORGE AURELIO FLORES ARRAZOLA</t>
  </si>
  <si>
    <t>JORGE EMILIO URRUTIA MEDINA</t>
  </si>
  <si>
    <t>JORGE FERNANDO DE LEON FLORES</t>
  </si>
  <si>
    <t>JORGE LEONEL VILLATORO VALDES</t>
  </si>
  <si>
    <t>TECNICO ARTISTICO II 25 PERIOD</t>
  </si>
  <si>
    <t>JORGE MARIO MARTINEZ CHAY</t>
  </si>
  <si>
    <t>JORGE OVIDIO JOLON ITZOL</t>
  </si>
  <si>
    <t>JOSE CRISTOBAL SUCUC BAL</t>
  </si>
  <si>
    <t>JOSE DOMINGO VELASQUEZ MIRANDA</t>
  </si>
  <si>
    <t>JOSE FRANCISCO HERNANDEZ LUNA</t>
  </si>
  <si>
    <t>JOSE LUIS LOPEZ</t>
  </si>
  <si>
    <t>JOSE REANDA MENDOZA</t>
  </si>
  <si>
    <t>JOSEFINA MORALES TAHON</t>
  </si>
  <si>
    <t>TRABAJADOR OPERATIVO II, CONSERJERIA</t>
  </si>
  <si>
    <t>JOSUE ELI BARRIOS ROMERO</t>
  </si>
  <si>
    <t>JOSUE SAUL VASQUEZ GARCIA</t>
  </si>
  <si>
    <t xml:space="preserve">JOYCE SHARON CRUZ ARGUELLO </t>
  </si>
  <si>
    <t>JUAN ANTONIO SEQUEN RAC</t>
  </si>
  <si>
    <t>JUAN CARLOS FRANCO CISNEROS</t>
  </si>
  <si>
    <t>JUAN DANILO RAYMUNDO SACALXOT</t>
  </si>
  <si>
    <t>TECNICO ARTISTICO II 25 PERIODOS Y TECNICO ARTISTICO II 4 PERIODOS-EDUCACION ARTISTICA</t>
  </si>
  <si>
    <t>JUAN GABRIEL YELA LOPEZ</t>
  </si>
  <si>
    <t>JUAN PABLO GUDIEL PEREZ</t>
  </si>
  <si>
    <t>JUANA MIGDALIA RUIZ BARRERA</t>
  </si>
  <si>
    <t>JULIO ALFONSO LIMA MARTINEZ</t>
  </si>
  <si>
    <t>JULIO CESAR FLORES HERNANDEZ</t>
  </si>
  <si>
    <t>JULIO CESAR GARCIA JUARROZ</t>
  </si>
  <si>
    <t>JULIO CESAR LOPEZ HERRERA</t>
  </si>
  <si>
    <t>JULIO CESAR SANTOS CAMPOS</t>
  </si>
  <si>
    <t>JULIO CESAR VILLALOBOS ARROYO</t>
  </si>
  <si>
    <t>JULIO DAVID GALLARDO REYES</t>
  </si>
  <si>
    <t>JULIO RAFAEL OLIVA MORALES</t>
  </si>
  <si>
    <t>KARLA MAGALI SALAS  DE ALVAREZ</t>
  </si>
  <si>
    <t>KARLA MARIA DARDON RIVAS DE HERNANDEZ</t>
  </si>
  <si>
    <t>KENNETH ERICKSON VASQUEZ VILLAGRAN</t>
  </si>
  <si>
    <t>LAURA CRISTINA PELLECER GONZALEZ</t>
  </si>
  <si>
    <t>LAURA ISABEL CORONADO GONZALEZ</t>
  </si>
  <si>
    <t>LESLI DOLORES LOPEZ MORENO</t>
  </si>
  <si>
    <t>LESLIE CLARISSA QUECHE GUITZOL</t>
  </si>
  <si>
    <t>LIGIA CELESTE LOPEZ VELASQUEZ</t>
  </si>
  <si>
    <t>LIGIA IRENE ALVARADO ESTRADA</t>
  </si>
  <si>
    <t>LILIANA MARITZA MURGA ARMAS</t>
  </si>
  <si>
    <t>LIZY ANNEL ROMAN MORALES</t>
  </si>
  <si>
    <t>LUCIA ESTER QUINTANA DUBON</t>
  </si>
  <si>
    <t>LUCY YESENIA ZUÑIGA REVOLORIO</t>
  </si>
  <si>
    <t>LUDWIN CONSTANTINO VASQUEZ GOMEZ</t>
  </si>
  <si>
    <t>LUIS ADOLFO MIJANGOS RECINOS</t>
  </si>
  <si>
    <t>TECNICO ARTISTICO II-MUSICA</t>
  </si>
  <si>
    <t>LUIS ALBERTO DEL AGUILA GONZALEZ</t>
  </si>
  <si>
    <t>LUIS ALBERTO TALA DE LA CRUZ</t>
  </si>
  <si>
    <t>LUIS FERNANDO JUAREZ</t>
  </si>
  <si>
    <t>LUIS RENE MOSCOSO ORELLANA</t>
  </si>
  <si>
    <t>MACARIO DANIEL LIMATUJ VALDEZ</t>
  </si>
  <si>
    <t>MAINOR IBAN PINEDA GRANADOS</t>
  </si>
  <si>
    <t>MANFER ENRIQUE GOMEZ CISNEROS</t>
  </si>
  <si>
    <t>MANUEL ANGEL CELADA CARTAGENA</t>
  </si>
  <si>
    <t>MANUEL MATEO SUAR</t>
  </si>
  <si>
    <t>MARCIO SANTIAGO CHAMALE ORTIZ</t>
  </si>
  <si>
    <t>MARCO ANTONIO BARRIOS RENDON</t>
  </si>
  <si>
    <t>MARCO VINICIO BARRIOS HERRERA</t>
  </si>
  <si>
    <t>MARIA ALEJANDRA RIZZO ARRIVILLAGA</t>
  </si>
  <si>
    <t>MARIA ANTONIETA BRAN ANDRADE DE CHARNAUD</t>
  </si>
  <si>
    <t>MARIA DEL ROSARIO MORALES SOLORZANO</t>
  </si>
  <si>
    <t>MARIA DEL ROSARIO VASQUEZ GARCIA</t>
  </si>
  <si>
    <t>MARIA DOLORES MENDOZA GALVEZ  DE VALENCIA</t>
  </si>
  <si>
    <t>MARIA ESTEFANI MONTUFAR CASTRO DE CASTRO</t>
  </si>
  <si>
    <t>MARIA ESTELA BOCHE RECINOS</t>
  </si>
  <si>
    <t>MARIA EUGENIA CUA</t>
  </si>
  <si>
    <t>MARIA ISABEL CAC CASTRO</t>
  </si>
  <si>
    <t>MARIA JOSE MAGAÑA COUTIÑO</t>
  </si>
  <si>
    <t>MARIA LUISA GUARCAS CAAL</t>
  </si>
  <si>
    <t>MARIA VICTORIA SANTIZO URIZAR</t>
  </si>
  <si>
    <t>MARIAJOSE MANCILLA GOMEZ</t>
  </si>
  <si>
    <t>MARINA YOLANDA LEMUS GARCIA</t>
  </si>
  <si>
    <t>MARIO EDUARDO FAJARDO CONTRERAS</t>
  </si>
  <si>
    <t>MARIO OSWALDO CUBUR QUEXEL</t>
  </si>
  <si>
    <t>MARTHA LUCIA RIVERA MANSILLA</t>
  </si>
  <si>
    <t>MARVIN ARDANY LOPEZ ALVARADO</t>
  </si>
  <si>
    <t>MARVIN ARTURO CABRERA GUERRERO</t>
  </si>
  <si>
    <t>MARVIN GEOVANNI FUENTES RAMIREZ</t>
  </si>
  <si>
    <t>MAYNOR ANIBAL FUENTES RAMIREZ</t>
  </si>
  <si>
    <t>MAYNOR RENE ORDOÑEZ FLORES</t>
  </si>
  <si>
    <t>MAYRA ALEJANDRA SANTIZO CHAVEZ</t>
  </si>
  <si>
    <t>MIGUEL ANGEL  ROMERO ZETINA</t>
  </si>
  <si>
    <t>MILTON GUSTAVO  SANCHEZ GARCIA</t>
  </si>
  <si>
    <t>TRABAJADOR OPERATIVO II-CONSERJERIA</t>
  </si>
  <si>
    <t>MIRIAM CARLOTA MAZARIEGOS GARCIA</t>
  </si>
  <si>
    <t>MIRIAN CATALINA GIRON GONZALEZ</t>
  </si>
  <si>
    <t>MIRNA CONCEPCION GOMEZ CADENAS</t>
  </si>
  <si>
    <t>MIRNA ELIZABETH DE LEON DIAZ</t>
  </si>
  <si>
    <t>MOISES ABRAHAM LOPEZ JIMENEZ</t>
  </si>
  <si>
    <t>MONICA IVONNE ORTIZ LOPEZ</t>
  </si>
  <si>
    <t>MONICA ROSA VICTORIA LOU GARRIDO</t>
  </si>
  <si>
    <t>MONICA SARMIENTOS ROLDAN</t>
  </si>
  <si>
    <t>NERY ADOLFO  PINEDA</t>
  </si>
  <si>
    <t>TRABAJADOR OPERATIVO III-OPERACION EQUIPO PROYECCION</t>
  </si>
  <si>
    <t>NERY ROLANDO AGUILAR SANCHEZ</t>
  </si>
  <si>
    <t>NORIA SAMANTHA SANTANA MUÑOZ</t>
  </si>
  <si>
    <t>OSWALDO ENRIQUE VALLADARES</t>
  </si>
  <si>
    <t>OTTO ARNOLDO LEMUS BENITEZ</t>
  </si>
  <si>
    <t>OTTO DANILO HERNANDEZ XITUMUL</t>
  </si>
  <si>
    <t>PEDRO ADALBERTO VELASQUEZ MORENO</t>
  </si>
  <si>
    <t>PEDRO ALBERTO JAYES GUEVARA</t>
  </si>
  <si>
    <t>RAQUEL VICTORIA BETSABE SANTOS AZURDIA</t>
  </si>
  <si>
    <t>RAUL YOSIMAR CHOY CAMEY</t>
  </si>
  <si>
    <t>RENE ALBERTO CASTRO HEINEMANN</t>
  </si>
  <si>
    <t>RENE HAROLDO RAMIREZ HERNANDEZ</t>
  </si>
  <si>
    <t>REYNA ISABEL HERCULES PEREZ</t>
  </si>
  <si>
    <t>REYNA PATRICIA SANTIZO URIZAR</t>
  </si>
  <si>
    <t>REYNALDO BENJAMIN CALDERON CASTILLO</t>
  </si>
  <si>
    <t>RICARDO JOSE DEL CARMEN FORTUNY</t>
  </si>
  <si>
    <t>RITA CLARISSA SANTIZO CASTELLANOS</t>
  </si>
  <si>
    <t>ROBERTA REYNA BARRIOS GOMEZ</t>
  </si>
  <si>
    <t>RODOLFO ARMANDO OLIVA LEON</t>
  </si>
  <si>
    <t>ROGER FEDERICO OVALLE RODAS</t>
  </si>
  <si>
    <t>ROLAN DAVID CASASOLA MAZARIEGOS</t>
  </si>
  <si>
    <t>ROSALIA MANUELA MENDEZ MACARIO</t>
  </si>
  <si>
    <t>ROSALIO EDUARDO SAC RACANCOJ</t>
  </si>
  <si>
    <t>ROY ALEXANDER GALVEZ MOYA</t>
  </si>
  <si>
    <t>TECNICO PROFESIONAL I, CONTABILIDAD</t>
  </si>
  <si>
    <t>SARA IVONNE REYNA MONTENEGRO</t>
  </si>
  <si>
    <t>SERGIO ANTONIO TZIC FUENTES</t>
  </si>
  <si>
    <t>SERGIO DANILO DIAZ AVENDAÑO</t>
  </si>
  <si>
    <t>SERGIO ERNESTO RODAS VELASQUEZ</t>
  </si>
  <si>
    <t>SERGIO ESTUARDO PACACHE TAJIN</t>
  </si>
  <si>
    <t>SERGIO FERNANDO REYES SAGASTUME</t>
  </si>
  <si>
    <t>SERGIO ROGELIO SALAY CONTRERAS</t>
  </si>
  <si>
    <t>SERGIO ROLANDO ALVARADO VALENZUELA</t>
  </si>
  <si>
    <t>SILVIA CLARA LUZ JUAREZ QUIQUIVIX DE GARCIA SALAS</t>
  </si>
  <si>
    <t>SIOMARA ESTHER CASTELLANOS BOBADILLA</t>
  </si>
  <si>
    <t>SONIA ANNABELLA MARCOS BOBADILLA  DE MARTINEZ</t>
  </si>
  <si>
    <t>SONIA ELVIA SOTO GARRIDO</t>
  </si>
  <si>
    <t>TELMA RAQUEL DIAZ DONIS DE GARCIA</t>
  </si>
  <si>
    <t xml:space="preserve">JEFE TECNICO ARTISTICO I </t>
  </si>
  <si>
    <t>TULIO RENATO CARRILLO DUARTE</t>
  </si>
  <si>
    <t>VICTOR HUGO RODAS PADILLA</t>
  </si>
  <si>
    <t>VIDAL GARCIA VELASQUEZ</t>
  </si>
  <si>
    <t>VITALINA SACTIC BATZIN DE BATZIN</t>
  </si>
  <si>
    <t>VIVIAN CATALINA CASTELLANOS  DE GONZALEZ</t>
  </si>
  <si>
    <t>VIVIAN ERICKA ARANA TORRES  DE MONZON</t>
  </si>
  <si>
    <t>WALESKA SIEKAVIZZA ROJAS</t>
  </si>
  <si>
    <t>WENDY MARISELA RAMIREZ LOPEZ</t>
  </si>
  <si>
    <t>WILLIAM OSWALDO ALVAREZ ALVAREZ</t>
  </si>
  <si>
    <t>TRABAJADOR OPERATIVO III-RESGUARDO Y VIGILANCIA</t>
  </si>
  <si>
    <t>WINSTON PAUL MANUEL RUIZ ALVARADO</t>
  </si>
  <si>
    <t>YURI VLADIMIR CRUZ QUEVEDO</t>
  </si>
  <si>
    <t>ZOILA CAROLINA MACA LOPEZ DE FLORES</t>
  </si>
  <si>
    <t>ZOILA ELIZABETH VASQUEZ ROJAS</t>
  </si>
  <si>
    <t>ZOILA LUZ POLANCO CORONADO</t>
  </si>
  <si>
    <t>ZUHAN VIVIANA CUELLAR MORATAYA</t>
  </si>
  <si>
    <t>ZULEYMA JEANETH TORRES CARDONA</t>
  </si>
  <si>
    <t>JORGE LUIS MARIN AREVALO</t>
  </si>
  <si>
    <t>JAIME JOSE ANDRES IXCOL VASQUEZ</t>
  </si>
  <si>
    <t>WILVER VINICIO VILLACINDA GOLIA</t>
  </si>
  <si>
    <t>JUAN JOSE CARVAJAL GODINEZ</t>
  </si>
  <si>
    <t>SANDRA PATRICIA CHAVAC MELETZ</t>
  </si>
  <si>
    <t>LESLI JASMIN NAJERA BERGANZA</t>
  </si>
  <si>
    <t>JOSUE DAVID PEREZ VICENTE</t>
  </si>
  <si>
    <t>HECTOR ROLANDO PIRIR SEQUEN</t>
  </si>
  <si>
    <t>JORGE MANUEL OLIVA MORALES</t>
  </si>
  <si>
    <t>JULIO CESAR SANTOS AZURDIA</t>
  </si>
  <si>
    <t>HERBERT GIOVANNI IGNACIO AJUCHAN</t>
  </si>
  <si>
    <t>CLASES PASIVAS</t>
  </si>
  <si>
    <t>Montepío</t>
  </si>
  <si>
    <t>EDY WILFREDO BAL CHIGUIL</t>
  </si>
  <si>
    <t>ASISTENTE PROFESIONAL ESPECIALIZADO IV</t>
  </si>
  <si>
    <t>JEFE TECNICO ARTISTICO I-MUSICA</t>
  </si>
  <si>
    <t>TECNICO II-COMPRAS Y SUMINISTROS</t>
  </si>
  <si>
    <t>TECNICO II-GRABACION Y SONIDO</t>
  </si>
  <si>
    <t>TECNICO II-CONTABILIDAD</t>
  </si>
  <si>
    <t>TECNICO III-RELACIONES PUBLICAS</t>
  </si>
  <si>
    <t>TECNICO III-CONTABILIDAD</t>
  </si>
  <si>
    <t>TECNICO ARTISTICO III-MUSICA</t>
  </si>
  <si>
    <t>JEFE TECNICO I-ADMINISTRACION</t>
  </si>
  <si>
    <t>TECNICO PROFESIONAL I-ADMINISTRACION</t>
  </si>
  <si>
    <t xml:space="preserve">Monto Viáticos </t>
  </si>
  <si>
    <t>SERVICIOS TÉCNICOS</t>
  </si>
  <si>
    <t>MARIAJOSE MORAN AVALOS</t>
  </si>
  <si>
    <t>ANA VERONICA GIRON MARTINEZ</t>
  </si>
  <si>
    <t>SILBER ORLANDO GARCIA REYES</t>
  </si>
  <si>
    <t>AXEL NOLBERTO DE JESUS SANCHEZ ORANTES</t>
  </si>
  <si>
    <t>MARIO JOSUE CARRILLO CARRILLO</t>
  </si>
  <si>
    <t>TECNICO ARTISTICO II 6 HRS.</t>
  </si>
  <si>
    <t>Bono Salario Minimo</t>
  </si>
  <si>
    <t>ASISTENTE DE ADQUISICIONES II (0000) SIN ESPECIALIDAD (0000)</t>
  </si>
  <si>
    <t>Dietas</t>
  </si>
  <si>
    <t>DIETAS</t>
  </si>
  <si>
    <t>MONTO VIATICOS</t>
  </si>
  <si>
    <t>ERICK ORLANDO SALAZAR COYOY</t>
  </si>
  <si>
    <t>ASESOR PROFESIONAL ESPECIALIZADO</t>
  </si>
  <si>
    <t>MARCO ANTONIO AJAU BURRION</t>
  </si>
  <si>
    <t>DULCIDA CLARIBEL GARCIA REYES</t>
  </si>
  <si>
    <t>JOSUE MISAEL MATIAS DE LEON</t>
  </si>
  <si>
    <t>JOSE AMILCAR BOCHE  QUIÑONEZ</t>
  </si>
  <si>
    <t>JEFE DEPARTAMENTO TECNICO II (0000) SIN ESPECIALIDAD (0000)</t>
  </si>
  <si>
    <t>PROFESIONAL JURIDICO I (0000) SIN ESPECIALIDAD (0000)</t>
  </si>
  <si>
    <t>ASTRID DINORA VICENTE MARROQUIN</t>
  </si>
  <si>
    <t>DAIRIN GABRIELA GAMBOA GIRÓN</t>
  </si>
  <si>
    <t>ANA OLIVIA CASTAÑEDA ARROYO</t>
  </si>
  <si>
    <t>WILLIAM UBALDO OSORIO SALMERÓN</t>
  </si>
  <si>
    <t xml:space="preserve">Bono Ajuste Salario Mínimo        </t>
  </si>
  <si>
    <t>ENCARGADA II DE OPERACIONES DE MAQUINARIA Y EQUIPO</t>
  </si>
  <si>
    <t>CARPINTERO IV</t>
  </si>
  <si>
    <t>JAQUELIN LISBETH MONROY RAMÍREZ DE TOP</t>
  </si>
  <si>
    <t>KEVIN DANILO MORALES MEJÍA</t>
  </si>
  <si>
    <t>TIPO DE SERVICIO</t>
  </si>
  <si>
    <t>RITA ALEJANDRA SOSA MORALES</t>
  </si>
  <si>
    <t>YESSICA MARLENI GÓMEZ LÓPEZ DE BARRIENTOS</t>
  </si>
  <si>
    <t>RONALDO GERONIMO LOPEZ MAZARIEGOS</t>
  </si>
  <si>
    <t>HONORARIOS</t>
  </si>
  <si>
    <t>RONALD CRISTIAN GEOVANI SANTIZO JUAREZ</t>
  </si>
  <si>
    <t>DISRAELY DARIN MANFREDY JOM HERNANDEZ</t>
  </si>
  <si>
    <t>GLENDI KARINA MATZIR XIA</t>
  </si>
  <si>
    <t>ASISTENTE PEDADOGO (0000) SIN ESPECIALIDAD (0000)</t>
  </si>
  <si>
    <t>ELVIN ORLANDO MAZARIEGOS GÓMEZ</t>
  </si>
  <si>
    <t>ELDER ELIEL SOC ROSALES</t>
  </si>
  <si>
    <t>FELIX ALFREDO MUL YAC</t>
  </si>
  <si>
    <t>JUANITA BELDAD SOTO GUERRA</t>
  </si>
  <si>
    <t>CECILIA MARISOL MORALES GUEVARA</t>
  </si>
  <si>
    <t>JENNYFER YULISSA GABRIEL ALVAREZ</t>
  </si>
  <si>
    <t>KAREN YOJANA SALAZAR ROMERO</t>
  </si>
  <si>
    <t>DALILA AZUCENA AGUSTIN QUEVEDO</t>
  </si>
  <si>
    <t>OBDULIO ARNOLDO AMPEREZ MENDOZA</t>
  </si>
  <si>
    <t>SELVYN ALCIDES SANTIAGO CHOGÜIX BAL</t>
  </si>
  <si>
    <t>ADA ODETTE CRUZ GARCÍA DE CASTILLO</t>
  </si>
  <si>
    <t>Jornal Diario</t>
  </si>
  <si>
    <t>Nombres y Apellidos</t>
  </si>
  <si>
    <t>Cargo</t>
  </si>
  <si>
    <t>MARÍA JOSÉ ARÉVALO</t>
  </si>
  <si>
    <t>NELY RAQUEL ARIAS GALICIA</t>
  </si>
  <si>
    <t>BRENDA PATRICIA PICÓN GARCÍA</t>
  </si>
  <si>
    <t>MARÍA EDUARDA CASTILLO ORDOÑEZ DE MONTENEGRO</t>
  </si>
  <si>
    <t>MANUEL LISANDRO QUEJÚ GARCIA</t>
  </si>
  <si>
    <t>ANA LUCÍA PADILLA ORELLANA</t>
  </si>
  <si>
    <t>FIELDING UDINE ROLDAN LEMUS</t>
  </si>
  <si>
    <t>EDIN OMAR VÁSQUEZ ECHEVERRÍA</t>
  </si>
  <si>
    <t>JUAN HELIODORO PICHIYÁ CULAJAY</t>
  </si>
  <si>
    <t>LESTON URIEL CULAJAY HERNÁNDEZ</t>
  </si>
  <si>
    <t>MARÍA GISEL MILIAN CHACÓN</t>
  </si>
  <si>
    <t>HILARÍA MARÍA GUZMÁN HERNÁNDEZ</t>
  </si>
  <si>
    <t xml:space="preserve">VERA LUCÍA DÍAZ AGUILAR </t>
  </si>
  <si>
    <t>SONIA ELIZABETH PIRIR CURUP</t>
  </si>
  <si>
    <t>MIGUEL ÁNGEL SANDOVAL VÁSQUEZ</t>
  </si>
  <si>
    <t>PEDRO MENDEZ PUAC</t>
  </si>
  <si>
    <t>FREDDY MANUEL BUENAFE TORRES</t>
  </si>
  <si>
    <t>TECNICO ARTISTICO II-DANZA</t>
  </si>
  <si>
    <t>SERVICIOS TECNICOS</t>
  </si>
  <si>
    <t>LIDIA EVANGELINA CELESTE TUM HERNANDEZ</t>
  </si>
  <si>
    <t>MAYRA MALVIRA LÓPEZ GARRIDO</t>
  </si>
  <si>
    <t>DORA LEONOR URRUTIA MORALES DE MORALES</t>
  </si>
  <si>
    <t>WILLIAM ALBERTO PÉREZ CHOPÉN</t>
  </si>
  <si>
    <t>ANA INES ESTRADA BARRIENTOS DE RAMIREZ</t>
  </si>
  <si>
    <t>ERICKA ANELIZ VARGAS SALGUERO</t>
  </si>
  <si>
    <t>IRIS YVETTE MENENDEZ CALDERON DE REVOLORIO</t>
  </si>
  <si>
    <t>FRANCISCO ANTONIO SOTO PEREIRA</t>
  </si>
  <si>
    <t>JOSÉ FRANCISCO ARRIOLA VÁSQUEZ</t>
  </si>
  <si>
    <t>JOSÉ MARÍA CORZO BARRAZA</t>
  </si>
  <si>
    <t>CARLOS ALBERTO HIGUEROS LUNA</t>
  </si>
  <si>
    <t>HERCILIA VICTORIA VARGAS GARCÍA</t>
  </si>
  <si>
    <t>EDUARDO MARTÍNEZ RODRÍGUEZ</t>
  </si>
  <si>
    <t>JUAN CARLOS PÉREZ DÍAZ</t>
  </si>
  <si>
    <t>IQOQUI JUAN ALEJANDRO CHIRIZ AJU</t>
  </si>
  <si>
    <t>RODOLFO COLMENARES ARANDI</t>
  </si>
  <si>
    <t>PILOTO II VEHICULO PESADO</t>
  </si>
  <si>
    <t>JUAN PABLO ARIZA GONZÁLEZ</t>
  </si>
  <si>
    <t xml:space="preserve">WENDY MARIANA RODAS CARRILLO DE POLANCO </t>
  </si>
  <si>
    <t>OSCAR ROLANDO FUENTES MARROQUIN</t>
  </si>
  <si>
    <t>ENRIQUE AUGUSTO NORIEGA MORALES</t>
  </si>
  <si>
    <t>GUSTAVO ARMANDO TECUN PAMAL</t>
  </si>
  <si>
    <t>DIEGO JOSE MONTUFAR MILIAN</t>
  </si>
  <si>
    <t>JULIO ROBERTO GARCIA RAYMUNDO</t>
  </si>
  <si>
    <t>JEFE TECNICO ARTISTICO II-DIRECCION ARTISTICA</t>
  </si>
  <si>
    <t>DANIEL ROBERTO CARLOS CUX NOTZ</t>
  </si>
  <si>
    <t>MARVIN ARTURO ESCOBAR MARROQUIN</t>
  </si>
  <si>
    <t xml:space="preserve">SONIA LUCRECIA RIVERA DE JIMENEZ </t>
  </si>
  <si>
    <t xml:space="preserve">PEDRO LUIS PANQUIMAJ PAZ </t>
  </si>
  <si>
    <t xml:space="preserve">OSWALDO LEM PEREZ </t>
  </si>
  <si>
    <t>EDGAR DAGOBERTO BUCARO PEREZ</t>
  </si>
  <si>
    <t xml:space="preserve">WALTER ANTONIO FLORES CIFUENTES </t>
  </si>
  <si>
    <t>KARLA SUCELY BARRIENTOS RAMIREZ</t>
  </si>
  <si>
    <t>ERICK MERARDO REYES RAMIREZ</t>
  </si>
  <si>
    <t>ANA GRACIELA ALFARO YANES</t>
  </si>
  <si>
    <t>YOSSEF GABRIEL RIVAS LOARCA</t>
  </si>
  <si>
    <t xml:space="preserve"> ABEL ELISEO PEREZ LOPEZ </t>
  </si>
  <si>
    <t>GLENDA EILEEN JUAREZ OLIVA</t>
  </si>
  <si>
    <t>RUDY EDUARDO VASQUEZ BARRIOS</t>
  </si>
  <si>
    <t>RENATA MARIA MENENDEZ FRANCO</t>
  </si>
  <si>
    <t>ANY ELIZABETH SANTOS POCASANGRE</t>
  </si>
  <si>
    <t>JOSÉ MARIANO FLORES HERNÁNDEZ</t>
  </si>
  <si>
    <t>SIGRID PRISILA MANCILLA CASTRO</t>
  </si>
  <si>
    <t>SILVIA LORENA FERNANDEZ VILLATORO</t>
  </si>
  <si>
    <t>MIGUEL ANGEL SINAI CAAL</t>
  </si>
  <si>
    <t>CHRYSTIAN ALI ROJAS PEREZ</t>
  </si>
  <si>
    <t>PILOTO II VEHICULO PESADOS</t>
  </si>
  <si>
    <t>ERWIN ALBERTO GONZALEZ MENDEZ</t>
  </si>
  <si>
    <t>KIMBERLY ABIGAIL DE LA CRUZ LOPEZ</t>
  </si>
  <si>
    <t>RENGLON 011</t>
  </si>
  <si>
    <t>JOSUÉ FERNANDO JIMENEZ TORRES</t>
  </si>
  <si>
    <t>ASTRID XIOMARA LOPEZ ESTEVEZ</t>
  </si>
  <si>
    <t>ANGEL ESTEBAN SOLARES ESTRADA</t>
  </si>
  <si>
    <t>ANA CRISTINA FIGUEROA RUANO</t>
  </si>
  <si>
    <t>CARLOS WALDEMAR MEZA DÍAZ</t>
  </si>
  <si>
    <t>BYRON SERGIO VARGAS PEREZ</t>
  </si>
  <si>
    <t>EDGAR ARNOLDO QUICHE CHIYAL</t>
  </si>
  <si>
    <t>IGOR DE GANDARIAS IRIARTE</t>
  </si>
  <si>
    <t>PAOLA MARGARITA SAMAYOA MERIDA</t>
  </si>
  <si>
    <t>VIVIAN MARILENA HERNANDEZ TOBAR</t>
  </si>
  <si>
    <t>CLAUDIA MARÍA CIUDAD REAL SOLIS</t>
  </si>
  <si>
    <t>BENIGNO CUTZAL QUIAN</t>
  </si>
  <si>
    <t xml:space="preserve">MELIZA GABRIELA CORADO RODRIGUEZ </t>
  </si>
  <si>
    <t>LUIS ALBERTO LOPEZ VASQUEZ</t>
  </si>
  <si>
    <t>DOCENTE ARTISTICO 18 PERIODOS (0000) SIN ESPECIALIDAD (0000)</t>
  </si>
  <si>
    <t>DOCENTE ARTISTICO 11 PERIODOS (0000) SIN ESPECIALIDAD (0000)</t>
  </si>
  <si>
    <t>JEFE DEL DEPARTAMENTO SUSTANTIVO II (0000) SIN ESPECIALIDAD (0000)</t>
  </si>
  <si>
    <t xml:space="preserve">CARLOS ALBERTO OJEDA MONTERROSO </t>
  </si>
  <si>
    <t>NORMAN ROBERTO BARRIOS HERRERA</t>
  </si>
  <si>
    <t>JOAQUIN ORELLANA MEJIA</t>
  </si>
  <si>
    <t>BYRON LEONEL GARCIA FUENTES</t>
  </si>
  <si>
    <t>STEPAHNIE DANIELA HERRERA PEREZ</t>
  </si>
  <si>
    <t>JORGE ANDRES ECHEVERRIA ALVARADO</t>
  </si>
  <si>
    <t xml:space="preserve">COORDINADOR ADMINISTRATIVO (0000) SIN ESPECIALIDAD (0000) </t>
  </si>
  <si>
    <t>VERA PATRICIA BOLAÑOS SANTOS</t>
  </si>
  <si>
    <t>LUIS FREDERICK VANEGAS ALVARADO</t>
  </si>
  <si>
    <t>MIRIAM MERCEDES SOYOS</t>
  </si>
  <si>
    <t>ANDY ALEXANDER CAYAX MUÑOZ</t>
  </si>
  <si>
    <t>MARIO HUGO MARADIAGA LOPEZ</t>
  </si>
  <si>
    <t>GUSTAVO ADOLFO ORTEGA CORDOVA</t>
  </si>
  <si>
    <t>DOUGLAS AGUSTIN VASQUEZ VIDES</t>
  </si>
  <si>
    <t>JEFE DE DEPARTAMENTO SUSTANTIVO II (0000) SIN ESPECIALIDAD (0000)</t>
  </si>
  <si>
    <t>ASISTENTE PEDAGOGO (0000) SIN ESPECIALIDAD (0000)</t>
  </si>
  <si>
    <t>DIEGO ALEXANDER RODRIGUEX RUIZ</t>
  </si>
  <si>
    <t xml:space="preserve">JOSE GUILLERMO OJER BARRIOS </t>
  </si>
  <si>
    <t>TECNICO ARTISTICO III, DANZA</t>
  </si>
  <si>
    <t xml:space="preserve">ROSA DALILA ESPAÑA MEDINA </t>
  </si>
  <si>
    <t>DAVID JOSUE ORTIZ PAREDES</t>
  </si>
  <si>
    <t>EDWIN NICOLAS POP GONZALEZ</t>
  </si>
  <si>
    <t>LUIS HUMBERTO VILLAGRAN  JUAREZ</t>
  </si>
  <si>
    <t>MARVIN ESTEBAN REYES GONZALEZ</t>
  </si>
  <si>
    <t>PABLO MAURICIO ELDER EDUARDO COMPA</t>
  </si>
  <si>
    <t>SINTIA ELIZABETH SANTOS GONZALEZ</t>
  </si>
  <si>
    <t>TOMAS ALEXANDER MORALES XON</t>
  </si>
  <si>
    <t xml:space="preserve">VALERIA VELASQUEZ LECOINTE </t>
  </si>
  <si>
    <t>WILFREDO RODERICO GONZALEZ GAITAN</t>
  </si>
  <si>
    <t xml:space="preserve">ALEX FERNANDO ESTEVEZ GODOY </t>
  </si>
  <si>
    <t>BERNER JOSUE MAZARIEGOS AJIN</t>
  </si>
  <si>
    <t>CARLOS ENRIQUE PEREZ VELASQUEZ</t>
  </si>
  <si>
    <t>ELVIS OLINTEN PEREZ HERNANDEZ</t>
  </si>
  <si>
    <t>FULVIA GREIS SIM CUCA DE PEREZ</t>
  </si>
  <si>
    <t xml:space="preserve">HENRY MOISES ARGUETA VELASQUEZ </t>
  </si>
  <si>
    <t>IRMA ISABEL RODAS MELENDEZ DE ARGUETA</t>
  </si>
  <si>
    <t xml:space="preserve">JOSE ANTONIO RAMOS SANCHEZ </t>
  </si>
  <si>
    <t xml:space="preserve">JOSE ANTONIO REQUENA AMEZQUITA </t>
  </si>
  <si>
    <t xml:space="preserve">LUIS JOSE CURUP UZ </t>
  </si>
  <si>
    <t>MARLEN CORINA PEREZ HERNANDEZ DE COLINDRES</t>
  </si>
  <si>
    <t xml:space="preserve">OSCAR DAVID MEDEZ CAMEY </t>
  </si>
  <si>
    <t>ROSEMARY ELIZABETH MENDEZ RAMOS</t>
  </si>
  <si>
    <t xml:space="preserve">WALTER BAUDILIO TZUL VELIZ </t>
  </si>
  <si>
    <t>ALEJANDRA MARIA ISABEL HERNANDEZ PORRES</t>
  </si>
  <si>
    <t>CARMEN PRISCILA GARCIA GARCIA</t>
  </si>
  <si>
    <t>EDILZAR AMALIEL PALACIOS MARTINEZ</t>
  </si>
  <si>
    <t xml:space="preserve">ELISA MARIA ALEJANDRA ESCOBAR CASTAÑEDA </t>
  </si>
  <si>
    <t>HENRY LEONEL JOJ GARCIA</t>
  </si>
  <si>
    <t xml:space="preserve">JOSUE DAVID TOCAL CHIPIX </t>
  </si>
  <si>
    <t xml:space="preserve">JUAN FERNANDO ORTIZ PEREZ </t>
  </si>
  <si>
    <t xml:space="preserve">JUANA ORTIZ FELIPE </t>
  </si>
  <si>
    <t>LUIS MIGUEL GARCIA PEREZ</t>
  </si>
  <si>
    <t xml:space="preserve">MANOLO BENJAMIN DELGADO BERGANZA </t>
  </si>
  <si>
    <t>MARIA FELISSA TURCIOS PARADA</t>
  </si>
  <si>
    <t>MARTA VIOLETA CHINCHILLA MARROQUIN DE ROMAN</t>
  </si>
  <si>
    <t xml:space="preserve">OSCAR JAVIER FRANCO RAMIREZ </t>
  </si>
  <si>
    <t>DIRECTOR ARTISTICO (0000) SIN ESPECIALIDAD (0000)</t>
  </si>
  <si>
    <t xml:space="preserve">SHEILA DYAN MEZA RAMIREZ </t>
  </si>
  <si>
    <t>VERLY ESTEFANY GARCIA OVALLE</t>
  </si>
  <si>
    <t xml:space="preserve">YESICA ANGELICA ELIAS TECUM </t>
  </si>
  <si>
    <t xml:space="preserve">YASSODIN NATALY VELASQUEZ VILLATORO </t>
  </si>
  <si>
    <t xml:space="preserve">CARLOS ALEXANDER GOMEZ VEGA </t>
  </si>
  <si>
    <t>CLESMY CARMINA LOPEZ DE LEMUS</t>
  </si>
  <si>
    <t>DANIEL ESTUARDO GONZALEZ LOPEZ</t>
  </si>
  <si>
    <t>ELDER ESTUARDO TUBIN SIMON</t>
  </si>
  <si>
    <t xml:space="preserve">JOSUE HIPOLITO ALVARADO CAMPOS </t>
  </si>
  <si>
    <t>JEFE DE SECCION DE TESORERIA (0000) SIN ESPECIALIDAD (0000)</t>
  </si>
  <si>
    <t>MAGDA JULIETA BOJ DE LEON</t>
  </si>
  <si>
    <t xml:space="preserve">MARTIN LOPEZ GARCIA </t>
  </si>
  <si>
    <t xml:space="preserve">NANCY MICHELLE AVILA MONZON </t>
  </si>
  <si>
    <t xml:space="preserve">OSWALDO FLORES LOPEZ </t>
  </si>
  <si>
    <t>DENNIS GEHOVANNY XUM XUM</t>
  </si>
  <si>
    <t>ELVIRA DE JESUS MACHIC SAPON</t>
  </si>
  <si>
    <t xml:space="preserve">SILVIA DE JESUS HERNANDEZ ALVAREZ </t>
  </si>
  <si>
    <t>SIRIA ALEJANDRA PEREZ MONROY</t>
  </si>
  <si>
    <t>JEFE DE COMPRAS (0000) SIN ESPECIALIDAD (0000)</t>
  </si>
  <si>
    <t>CONDUCTOR (0000) SIN ESPECIALIDAD (0000)</t>
  </si>
  <si>
    <t>JEFE DE SECCION DE CONTABILIDAD (0000) SIN ESPECIALIDAD (0000)</t>
  </si>
  <si>
    <t>ESDRAS NEHEMIAS HERNANDEZ REYES</t>
  </si>
  <si>
    <t>OTTO RENE ARANA MELCHOR</t>
  </si>
  <si>
    <t>ESTELA DELFINA CHOY CAN DE CUMEZ</t>
  </si>
  <si>
    <t>GABRIELA JOMARA GONZALEZ LOPEZ</t>
  </si>
  <si>
    <t>OLIVER MARCELINO SILVESTRE DELGADO</t>
  </si>
  <si>
    <t>IVAN ESTUARDO RECINOS RODRIGUEZ</t>
  </si>
  <si>
    <t>TECNICO ARTISTICO II 25 PERIODOS - EDUCACION ARTISTICA</t>
  </si>
  <si>
    <t>DIRECTOR TECNICO III</t>
  </si>
  <si>
    <t>TECNICO ARTISTICO II UNA HRA - EDUCACION ARTISTICA</t>
  </si>
  <si>
    <t>TECNICO ARTISTICO II 5 PERIODOS Y TECNICO ARTISTICO III MUSICA</t>
  </si>
  <si>
    <t>TECNICO ARTISTICO II 5 PERIODOS Y JEFE TECNICO ARTISTICO I, MUSICA</t>
  </si>
  <si>
    <t>TECNICO ARTISTICO II 5 PERIODOS, EDUCACION ARTISTICA</t>
  </si>
  <si>
    <t>TRABAJADOR OPERATIVO III, CONSERJERIA</t>
  </si>
  <si>
    <t>TECNICO ARTISTICO II 4 HRS., MUSICA</t>
  </si>
  <si>
    <t>TECNICO ARTISTICO II 5 PERIODOS, EDUACION ARTISTICA</t>
  </si>
  <si>
    <t>TRABAJADOR OPERATIVO III, MENSAJERIA</t>
  </si>
  <si>
    <t>TRABAJADO OPERATIVO  III, CONSERJERIA</t>
  </si>
  <si>
    <t>TECNICO ARTISTICO II 5 PERIODOS, EDUCACION ARTISTICA Y TECNICO ARTISTICO III-ESCENOGRAFIA</t>
  </si>
  <si>
    <t>ASESOR PROFESIONAL ESPECIALIDADO IV, ADMINISTRACION</t>
  </si>
  <si>
    <t>JEFE TECNICO ARTISTICO II, DIRECCION ARTISTICA</t>
  </si>
  <si>
    <t>JEFE TECNICO ARTISTICO I, DIRECCION ARTISTICA</t>
  </si>
  <si>
    <t>TECNICO ARTISTICO III, MUSICA</t>
  </si>
  <si>
    <t>TECNICO PROFESIONAL II, ADMINISTRACION</t>
  </si>
  <si>
    <t>XOCHITL MENDOZA JANSCH DE TEYLOR</t>
  </si>
  <si>
    <t>JEFE TECNICO ARTISTICO I, MUSICA</t>
  </si>
  <si>
    <t>JEFE TECNICO ARTISTICO I. MUSICA</t>
  </si>
  <si>
    <t>TECNICO ARTÍSTICO II, MUSICA</t>
  </si>
  <si>
    <t>TECNICO ARTISTICO I, MUSICA</t>
  </si>
  <si>
    <t>TECNICO ARTISTICO III-DANZA</t>
  </si>
  <si>
    <t>JEFE TECNICO ARTISTICO I, COREOGRAFIA</t>
  </si>
  <si>
    <t>OSCAR ANIVAL LEON GONZALEZ</t>
  </si>
  <si>
    <t>TECNICO ARTISTICO II, DANZA</t>
  </si>
  <si>
    <t>ASISTENTE PROFESIONAL IV, ADMINISTRACION</t>
  </si>
  <si>
    <t>SECRETARIO OFICINISTA, ACTIVADES SECRETARIALES</t>
  </si>
  <si>
    <t>OFICINISTA II, OFICINA</t>
  </si>
  <si>
    <t>TECNICO ARTÍSTICO III, DANZA</t>
  </si>
  <si>
    <t>TECNICO ARTÍSTICO I, DANZA</t>
  </si>
  <si>
    <t>JEFE TECNICO ARTISTICO II, MUSICA</t>
  </si>
  <si>
    <t xml:space="preserve">DIRECTOR TECNICO II. ADMINISTRACION </t>
  </si>
  <si>
    <t>TRABAJADOR ESPECIALZIADO I, LUMINOTECNIA</t>
  </si>
  <si>
    <t>TRABAJADOR OPERATIVO II, RESGUARDO Y VIGILANCIA</t>
  </si>
  <si>
    <t>TRABAJADOR ESPECIALIZADO II, GRABACION Y SONIDO</t>
  </si>
  <si>
    <t>ASISTENTE PROFESIONAL I, ADMINISTRACION</t>
  </si>
  <si>
    <t>TRABAJADOR OPERATIVO III, CONDUCCION DE VEHICULOS</t>
  </si>
  <si>
    <t>TRABAJADOR OPERATIVO III, RESGUARDO Y VIGILANCIA</t>
  </si>
  <si>
    <t>OFICINISTA IV, CONTABILIDAD</t>
  </si>
  <si>
    <t>TRABAJADOR OPERATIVO IV, RESGUARDO Y VIGILANCIA</t>
  </si>
  <si>
    <t>TRABAJADOR ESPECIALIZADO II, CARPINTERIA</t>
  </si>
  <si>
    <t>TRABAJADOR OPERATIVO III, JARDINERIA</t>
  </si>
  <si>
    <t>TECNICO ARTISTICO I, ESCENOGRAFIA</t>
  </si>
  <si>
    <t>TRABAJADOR ESPECIALIZADO JEFE I, UTILERIA TEATRAL</t>
  </si>
  <si>
    <t>ASESOR PROFESIONAL ESPECIALIZADO IV, INVESTIGACION SOCIAL</t>
  </si>
  <si>
    <t>TECNICO ARTISTICO II 25 PERIODOS, EDUCACION ARTISTICA</t>
  </si>
  <si>
    <t>TECNICO ARTISTICO II 4 PERIODOS, EDUCACION ARTISTICA</t>
  </si>
  <si>
    <t>TECNICO I, PROMOCION CULTURAL Y DEPORTIVA</t>
  </si>
  <si>
    <t>MARCO TULIO VILLAGRAN MUÑOZ</t>
  </si>
  <si>
    <t>CARLOS ALBERTO CUSTODIO LEMUS</t>
  </si>
  <si>
    <t>CINTHYA GABRIELA TORRES DE LEÓN</t>
  </si>
  <si>
    <t>FERNANDO MORALES TREJO</t>
  </si>
  <si>
    <t>DEBORA ILEANA HERNANDEZ LOPEZ</t>
  </si>
  <si>
    <t xml:space="preserve">MARIO JOSUE DEL COMPARE SEGURA </t>
  </si>
  <si>
    <t xml:space="preserve">DANIEL ALEJANDRO LUX LÓPEZ </t>
  </si>
  <si>
    <t xml:space="preserve"> JEFE TECNICO ARTISTICO I, DIRECCION ARTISTICA</t>
  </si>
  <si>
    <t xml:space="preserve">GÉNESIS ANNABELLA CHOJOLÁN LÓPEZ </t>
  </si>
  <si>
    <t xml:space="preserve">AUXILIAR II (0000) SIN ESPECIALIDAD (0000) </t>
  </si>
  <si>
    <t>DINORA ELENA MALDONADO BARRERA</t>
  </si>
  <si>
    <t>MARIA REGINA DEL ROSARIO FLORES HERRARTE DE MARTINEZ</t>
  </si>
  <si>
    <t>EGARD FERNANDO LOPEZ</t>
  </si>
  <si>
    <t>DIRECTOR DE DIFUSION DE LAS ARTES</t>
  </si>
  <si>
    <t>SERGIO WALDEMAR MAX MOYA</t>
  </si>
  <si>
    <t>JOSE ANTONIO PARADA SARAVIA</t>
  </si>
  <si>
    <t xml:space="preserve">KAREN  JASMIN MORALES JOR </t>
  </si>
  <si>
    <t>TAMMY MARLENY FIGUEROA GUAMUCH</t>
  </si>
  <si>
    <t xml:space="preserve">JESSICA MARIELA TIRADO VÁSQUEZ </t>
  </si>
  <si>
    <t xml:space="preserve">MARIA ANTONIETA PABLO TAMAYAC </t>
  </si>
  <si>
    <t xml:space="preserve">SERGIO EMILIO GORDILLO RODRIGUEZ </t>
  </si>
  <si>
    <t xml:space="preserve">EVELYN LISSETH SAMAYOA CORNEL </t>
  </si>
  <si>
    <t>RENGLON 021</t>
  </si>
  <si>
    <t>WERNER RUBELSY DE LEON ESCOBAR</t>
  </si>
  <si>
    <t>PILOTO</t>
  </si>
  <si>
    <t xml:space="preserve">IRMA MARIBEL ESTRADA ESTRADA </t>
  </si>
  <si>
    <t>PRYSCILLA RAQUEL HERNANDEZ GARCIA</t>
  </si>
  <si>
    <t>KEVIN OTONIEL ORTIZ LEMUS</t>
  </si>
  <si>
    <t>CARMEN PETRONA AJCUC TEPEU DE AJCUC</t>
  </si>
  <si>
    <t>JOSE MARIA COJULUM GONZALEZ</t>
  </si>
  <si>
    <t>JAIME ENRIQUE REYES BARRIOS</t>
  </si>
  <si>
    <t>EDWIN AAZRON GUZMAN MONTERROSO</t>
  </si>
  <si>
    <t>OLIVIA FABIOLA OVALLE CARCUZ</t>
  </si>
  <si>
    <t>MAYRA ESTELA OSORIO AGUILAR</t>
  </si>
  <si>
    <t>SHERLYN VIRGINA JAUCH AGUSTÍN</t>
  </si>
  <si>
    <t>JOSE PABLO GARCÍA-SALAS GONZÁLEZ</t>
  </si>
  <si>
    <t>LILIAN GERALDINA PEREZ AVILA</t>
  </si>
  <si>
    <t>JOSE ALFREDO CANO ROSALES</t>
  </si>
  <si>
    <t>CESAR SAZO JUAREZ</t>
  </si>
  <si>
    <t>31 DE MARZO DE 2019</t>
  </si>
  <si>
    <t>DANNA ROSARIO ZAMBRANO GÁLVEZ</t>
  </si>
  <si>
    <t>PROFESIONAL JURÍDICO I (0000) SIN ESPECIALIDAD (0000)</t>
  </si>
  <si>
    <t>KARLA GIOVANA MOYA BELTETÓN DE COSSÍO</t>
  </si>
  <si>
    <t>DIRECTOR ARTÍSTICO (0000) SIN ESPECIALIDAD (0000)</t>
  </si>
  <si>
    <t xml:space="preserve">AMILKAR KONRADO W RIVAS GALICIA </t>
  </si>
  <si>
    <t>JORGE ESTUARDO LÓPEZ RUANO</t>
  </si>
  <si>
    <t xml:space="preserve">EDWIN IVÁN DUBÓN ORDÓÑEZ </t>
  </si>
  <si>
    <t>GERSON ANTONIO MORALES ESQUIVEL</t>
  </si>
  <si>
    <t>PAOLA ALEJANDRA PIVARAL CRUZ</t>
  </si>
  <si>
    <t>MARIA TERESA GRAMAJO PÉREZ</t>
  </si>
  <si>
    <t>JUAN DIONICIO (ÚNICO APELLIDO)</t>
  </si>
  <si>
    <t>Marzo 2019</t>
  </si>
  <si>
    <t>FRANCISCO JOSUE LOPEZ LEMUS</t>
  </si>
  <si>
    <t>JULIO CESAR GREGORIO GODOY</t>
  </si>
  <si>
    <t>NOELIA EUNICE FIGUEROA RECEN</t>
  </si>
  <si>
    <t>HEYLYN ARLEMY VALENZUELA MORALES</t>
  </si>
  <si>
    <t>ASISTENTE ADIMINISTRATIVO III (0000) SIN ESPECIALIDAD (0000)</t>
  </si>
  <si>
    <t>ALEJANDRA TELLES CONDE</t>
  </si>
  <si>
    <t xml:space="preserve">               MINISTERIO DE CULTURA Y DEPORTES</t>
  </si>
  <si>
    <t xml:space="preserve">            UNIDAD DE INFORMACION PUBLICA</t>
  </si>
  <si>
    <t xml:space="preserve">            DIRECCIÓN GENERAL DE LAS ARTES</t>
  </si>
  <si>
    <t>SUB GRUPO 18</t>
  </si>
  <si>
    <t xml:space="preserve">   NUMERAL 4 ARTICULO 10</t>
  </si>
  <si>
    <t>30 DE MARZO  2019</t>
  </si>
  <si>
    <t>UBICACIÓN FÍSICA</t>
  </si>
  <si>
    <t xml:space="preserve"> TOTAL DE HONORARIO</t>
  </si>
  <si>
    <t>QUAN BAUER JOSE CARLOS</t>
  </si>
  <si>
    <t>DIRECCION Y COORDINACION</t>
  </si>
  <si>
    <t>LOPEZ RODOLFO</t>
  </si>
  <si>
    <t>FORMACION ARTÍSTICA</t>
  </si>
  <si>
    <t>CARMEN PEDROZA</t>
  </si>
  <si>
    <t>DIEGO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</si>
</sst>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&quot;Q&quot;* #,##0.00_-;\-&quot;Q&quot;* #,##0.00_-;_-&quot;Q&quot;* &quot;-&quot;??_-;_-@_-"/>
    <numFmt numFmtId="165" formatCode="_-* #,##0.00_-;\-* #,##0.00_-;_-* &quot;-&quot;??_-;_-@_-"/>
    <numFmt numFmtId="166" formatCode="#,##0.00\ &quot;€&quot;;\-#,##0.00\ &quot;€&quot;"/>
    <numFmt numFmtId="167" formatCode="_(\Q* #,##0.00_);_(\Q* \(#,##0.00\);_(\Q* \-??_);_(@_)"/>
    <numFmt numFmtId="168" formatCode="&quot;Q&quot;#,##0.00"/>
    <numFmt numFmtId="169" formatCode="_([$Q-100A]* #,##0.00_);_([$Q-100A]* \(#,##0.00\);_([$Q-100A]* &quot;-&quot;??_);_(@_)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Verdana"/>
      <family val="2"/>
    </font>
    <font>
      <sz val="8"/>
      <name val="Verdana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966FF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3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8">
    <xf numFmtId="0" fontId="0" fillId="0" borderId="0"/>
    <xf numFmtId="0" fontId="6" fillId="0" borderId="0"/>
    <xf numFmtId="0" fontId="1" fillId="0" borderId="0"/>
    <xf numFmtId="0" fontId="1" fillId="0" borderId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2" fillId="0" borderId="0" applyFill="0" applyBorder="0" applyAlignment="0" applyProtection="0"/>
    <xf numFmtId="167" fontId="2" fillId="0" borderId="0" applyFill="0" applyBorder="0" applyAlignment="0" applyProtection="0"/>
    <xf numFmtId="167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2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7" fillId="0" borderId="0">
      <alignment vertical="top"/>
    </xf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3">
    <xf numFmtId="0" fontId="0" fillId="0" borderId="0" xfId="0"/>
    <xf numFmtId="0" fontId="3" fillId="0" borderId="0" xfId="0" applyFont="1"/>
    <xf numFmtId="0" fontId="8" fillId="0" borderId="0" xfId="0" applyFont="1"/>
    <xf numFmtId="168" fontId="0" fillId="0" borderId="0" xfId="0" applyNumberFormat="1" applyAlignment="1">
      <alignment horizontal="right"/>
    </xf>
    <xf numFmtId="4" fontId="0" fillId="0" borderId="0" xfId="0" applyNumberFormat="1"/>
    <xf numFmtId="44" fontId="15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4" fontId="16" fillId="0" borderId="1" xfId="0" applyNumberFormat="1" applyFont="1" applyBorder="1" applyAlignment="1">
      <alignment horizontal="left" vertical="center" wrapText="1"/>
    </xf>
    <xf numFmtId="44" fontId="16" fillId="0" borderId="1" xfId="28" applyNumberFormat="1" applyFont="1" applyBorder="1" applyAlignment="1">
      <alignment horizontal="left" vertical="center" wrapText="1"/>
    </xf>
    <xf numFmtId="44" fontId="16" fillId="0" borderId="1" xfId="31" applyNumberFormat="1" applyFont="1" applyBorder="1" applyAlignment="1">
      <alignment horizontal="left" vertical="center" wrapText="1"/>
    </xf>
    <xf numFmtId="44" fontId="16" fillId="0" borderId="1" xfId="38" applyNumberFormat="1" applyFont="1" applyBorder="1" applyAlignment="1">
      <alignment horizontal="left" vertical="center" wrapText="1"/>
    </xf>
    <xf numFmtId="44" fontId="16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4" fontId="15" fillId="5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44" fontId="15" fillId="0" borderId="2" xfId="0" applyNumberFormat="1" applyFont="1" applyBorder="1" applyAlignment="1">
      <alignment horizontal="left" vertical="center" wrapText="1"/>
    </xf>
    <xf numFmtId="44" fontId="15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44" fontId="16" fillId="0" borderId="1" xfId="13" applyNumberFormat="1" applyFont="1" applyBorder="1" applyAlignment="1">
      <alignment horizontal="left" vertical="center" wrapText="1"/>
    </xf>
    <xf numFmtId="44" fontId="21" fillId="0" borderId="1" xfId="0" applyNumberFormat="1" applyFont="1" applyBorder="1" applyAlignment="1">
      <alignment horizontal="left" vertical="center" wrapText="1"/>
    </xf>
    <xf numFmtId="44" fontId="16" fillId="0" borderId="1" xfId="3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" xfId="13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44" fontId="17" fillId="0" borderId="8" xfId="0" applyNumberFormat="1" applyFont="1" applyBorder="1" applyAlignment="1">
      <alignment horizontal="left" vertical="center"/>
    </xf>
    <xf numFmtId="167" fontId="17" fillId="0" borderId="2" xfId="0" applyNumberFormat="1" applyFont="1" applyBorder="1" applyAlignment="1">
      <alignment horizontal="left" vertical="center"/>
    </xf>
    <xf numFmtId="169" fontId="17" fillId="0" borderId="2" xfId="0" applyNumberFormat="1" applyFont="1" applyBorder="1" applyAlignment="1">
      <alignment horizontal="left" vertical="center"/>
    </xf>
    <xf numFmtId="167" fontId="17" fillId="0" borderId="2" xfId="16" applyFont="1" applyBorder="1" applyAlignment="1">
      <alignment horizontal="left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44" fontId="22" fillId="0" borderId="8" xfId="0" applyNumberFormat="1" applyFont="1" applyBorder="1" applyAlignment="1">
      <alignment horizontal="right" vertical="center"/>
    </xf>
    <xf numFmtId="167" fontId="17" fillId="0" borderId="8" xfId="0" applyNumberFormat="1" applyFont="1" applyBorder="1" applyAlignment="1">
      <alignment horizontal="center" vertical="center"/>
    </xf>
    <xf numFmtId="44" fontId="16" fillId="0" borderId="10" xfId="0" applyNumberFormat="1" applyFont="1" applyBorder="1" applyAlignment="1">
      <alignment horizontal="left" vertical="center" wrapText="1"/>
    </xf>
    <xf numFmtId="44" fontId="16" fillId="0" borderId="4" xfId="38" applyNumberFormat="1" applyFont="1" applyBorder="1" applyAlignment="1">
      <alignment horizontal="left" vertical="center" wrapText="1"/>
    </xf>
    <xf numFmtId="44" fontId="16" fillId="0" borderId="4" xfId="28" applyNumberFormat="1" applyFont="1" applyBorder="1" applyAlignment="1">
      <alignment horizontal="left" vertical="center" wrapText="1"/>
    </xf>
    <xf numFmtId="44" fontId="16" fillId="0" borderId="4" xfId="13" applyNumberFormat="1" applyFont="1" applyBorder="1" applyAlignment="1">
      <alignment horizontal="left" vertical="center" wrapText="1"/>
    </xf>
    <xf numFmtId="44" fontId="16" fillId="0" borderId="4" xfId="0" applyNumberFormat="1" applyFont="1" applyBorder="1" applyAlignment="1">
      <alignment horizontal="left" vertical="center"/>
    </xf>
    <xf numFmtId="44" fontId="16" fillId="0" borderId="11" xfId="0" applyNumberFormat="1" applyFont="1" applyBorder="1" applyAlignment="1">
      <alignment horizontal="left" vertical="center" wrapText="1"/>
    </xf>
    <xf numFmtId="37" fontId="23" fillId="6" borderId="1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4" fontId="15" fillId="5" borderId="2" xfId="0" applyNumberFormat="1" applyFont="1" applyFill="1" applyBorder="1" applyAlignment="1">
      <alignment horizontal="left" vertical="center" wrapText="1"/>
    </xf>
    <xf numFmtId="44" fontId="15" fillId="5" borderId="2" xfId="11" applyFont="1" applyFill="1" applyBorder="1" applyAlignment="1">
      <alignment horizontal="left" vertical="center" wrapText="1"/>
    </xf>
    <xf numFmtId="44" fontId="15" fillId="5" borderId="2" xfId="16" applyNumberFormat="1" applyFont="1" applyFill="1" applyBorder="1" applyAlignment="1">
      <alignment horizontal="left" vertical="center" wrapText="1"/>
    </xf>
    <xf numFmtId="44" fontId="15" fillId="5" borderId="1" xfId="0" applyNumberFormat="1" applyFont="1" applyFill="1" applyBorder="1" applyAlignment="1">
      <alignment horizontal="left" vertical="center" wrapText="1"/>
    </xf>
    <xf numFmtId="44" fontId="18" fillId="5" borderId="1" xfId="8" applyNumberFormat="1" applyFont="1" applyFill="1" applyBorder="1" applyAlignment="1">
      <alignment horizontal="left" vertical="center" wrapText="1"/>
    </xf>
    <xf numFmtId="44" fontId="15" fillId="5" borderId="1" xfId="22" applyFont="1" applyFill="1" applyBorder="1" applyAlignment="1">
      <alignment horizontal="left" vertical="center"/>
    </xf>
    <xf numFmtId="44" fontId="15" fillId="5" borderId="1" xfId="16" applyNumberFormat="1" applyFont="1" applyFill="1" applyBorder="1" applyAlignment="1">
      <alignment horizontal="left" vertical="center" wrapText="1"/>
    </xf>
    <xf numFmtId="44" fontId="18" fillId="5" borderId="1" xfId="0" applyNumberFormat="1" applyFont="1" applyFill="1" applyBorder="1" applyAlignment="1">
      <alignment horizontal="left" vertical="center" wrapText="1"/>
    </xf>
    <xf numFmtId="44" fontId="15" fillId="5" borderId="1" xfId="1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168" fontId="18" fillId="5" borderId="1" xfId="16" applyNumberFormat="1" applyFont="1" applyFill="1" applyBorder="1" applyAlignment="1">
      <alignment horizontal="left" vertical="center" wrapText="1"/>
    </xf>
    <xf numFmtId="44" fontId="15" fillId="5" borderId="1" xfId="25" applyNumberFormat="1" applyFont="1" applyFill="1" applyBorder="1" applyAlignment="1">
      <alignment horizontal="left" vertical="center" wrapText="1"/>
    </xf>
    <xf numFmtId="44" fontId="23" fillId="5" borderId="1" xfId="0" applyNumberFormat="1" applyFont="1" applyFill="1" applyBorder="1" applyAlignment="1">
      <alignment horizontal="left" vertical="center" wrapText="1"/>
    </xf>
    <xf numFmtId="44" fontId="15" fillId="5" borderId="1" xfId="19" applyNumberFormat="1" applyFont="1" applyFill="1" applyBorder="1" applyAlignment="1">
      <alignment horizontal="left" vertical="center"/>
    </xf>
    <xf numFmtId="1" fontId="18" fillId="5" borderId="1" xfId="0" applyNumberFormat="1" applyFont="1" applyFill="1" applyBorder="1" applyAlignment="1">
      <alignment horizontal="left" vertical="center" wrapText="1"/>
    </xf>
    <xf numFmtId="44" fontId="18" fillId="5" borderId="1" xfId="16" applyNumberFormat="1" applyFont="1" applyFill="1" applyBorder="1" applyAlignment="1">
      <alignment horizontal="left" vertical="center" wrapText="1"/>
    </xf>
    <xf numFmtId="168" fontId="18" fillId="5" borderId="1" xfId="17" applyNumberFormat="1" applyFont="1" applyFill="1" applyBorder="1" applyAlignment="1">
      <alignment horizontal="left" vertical="center" wrapText="1"/>
    </xf>
    <xf numFmtId="169" fontId="18" fillId="5" borderId="1" xfId="17" applyNumberFormat="1" applyFont="1" applyFill="1" applyBorder="1" applyAlignment="1">
      <alignment horizontal="left" vertical="center"/>
    </xf>
    <xf numFmtId="0" fontId="18" fillId="5" borderId="1" xfId="33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44" fontId="15" fillId="5" borderId="1" xfId="19" applyNumberFormat="1" applyFont="1" applyFill="1" applyBorder="1" applyAlignment="1">
      <alignment horizontal="left" vertical="center" wrapText="1"/>
    </xf>
    <xf numFmtId="44" fontId="15" fillId="5" borderId="1" xfId="13" applyNumberFormat="1" applyFont="1" applyFill="1" applyBorder="1" applyAlignment="1">
      <alignment horizontal="left" vertical="center" wrapText="1"/>
    </xf>
    <xf numFmtId="168" fontId="15" fillId="5" borderId="1" xfId="16" applyNumberFormat="1" applyFont="1" applyFill="1" applyBorder="1" applyAlignment="1">
      <alignment horizontal="left" vertical="center"/>
    </xf>
    <xf numFmtId="44" fontId="15" fillId="5" borderId="1" xfId="16" applyNumberFormat="1" applyFont="1" applyFill="1" applyBorder="1" applyAlignment="1">
      <alignment horizontal="left" vertical="center"/>
    </xf>
    <xf numFmtId="44" fontId="18" fillId="5" borderId="1" xfId="16" applyNumberFormat="1" applyFont="1" applyFill="1" applyBorder="1" applyAlignment="1">
      <alignment horizontal="left" vertical="center"/>
    </xf>
    <xf numFmtId="168" fontId="15" fillId="5" borderId="1" xfId="0" applyNumberFormat="1" applyFont="1" applyFill="1" applyBorder="1" applyAlignment="1">
      <alignment horizontal="right" vertical="center" wrapText="1"/>
    </xf>
    <xf numFmtId="44" fontId="15" fillId="5" borderId="1" xfId="0" applyNumberFormat="1" applyFont="1" applyFill="1" applyBorder="1" applyAlignment="1">
      <alignment horizontal="right" vertical="center" wrapText="1"/>
    </xf>
    <xf numFmtId="44" fontId="18" fillId="5" borderId="1" xfId="13" applyNumberFormat="1" applyFont="1" applyFill="1" applyBorder="1" applyAlignment="1">
      <alignment horizontal="right" vertical="center" wrapText="1"/>
    </xf>
    <xf numFmtId="44" fontId="18" fillId="5" borderId="1" xfId="19" applyNumberFormat="1" applyFont="1" applyFill="1" applyBorder="1" applyAlignment="1">
      <alignment horizontal="left" vertical="center" wrapText="1"/>
    </xf>
    <xf numFmtId="0" fontId="18" fillId="5" borderId="1" xfId="32" applyFont="1" applyFill="1" applyBorder="1" applyAlignment="1">
      <alignment horizontal="left" vertical="center" wrapText="1"/>
    </xf>
    <xf numFmtId="44" fontId="15" fillId="5" borderId="1" xfId="15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9" fontId="15" fillId="5" borderId="1" xfId="5" applyNumberFormat="1" applyFont="1" applyFill="1" applyBorder="1" applyAlignment="1">
      <alignment horizontal="left" vertical="center"/>
    </xf>
    <xf numFmtId="44" fontId="15" fillId="5" borderId="1" xfId="39" applyNumberFormat="1" applyFont="1" applyFill="1" applyBorder="1" applyAlignment="1">
      <alignment horizontal="left" vertical="center" wrapText="1"/>
    </xf>
    <xf numFmtId="44" fontId="23" fillId="5" borderId="1" xfId="0" applyNumberFormat="1" applyFont="1" applyFill="1" applyBorder="1" applyAlignment="1">
      <alignment horizontal="left" vertical="center"/>
    </xf>
    <xf numFmtId="44" fontId="15" fillId="5" borderId="1" xfId="7" applyNumberFormat="1" applyFont="1" applyFill="1" applyBorder="1" applyAlignment="1">
      <alignment horizontal="left" vertical="center"/>
    </xf>
    <xf numFmtId="44" fontId="15" fillId="5" borderId="1" xfId="44" applyNumberFormat="1" applyFont="1" applyFill="1" applyBorder="1" applyAlignment="1">
      <alignment horizontal="left" vertical="center" wrapText="1"/>
    </xf>
    <xf numFmtId="44" fontId="15" fillId="5" borderId="1" xfId="5" applyNumberFormat="1" applyFont="1" applyFill="1" applyBorder="1" applyAlignment="1">
      <alignment horizontal="left" vertical="center"/>
    </xf>
    <xf numFmtId="44" fontId="15" fillId="5" borderId="1" xfId="4" applyNumberFormat="1" applyFont="1" applyFill="1" applyBorder="1" applyAlignment="1">
      <alignment horizontal="left" vertical="center" wrapText="1"/>
    </xf>
    <xf numFmtId="44" fontId="18" fillId="5" borderId="1" xfId="22" applyFont="1" applyFill="1" applyBorder="1" applyAlignment="1">
      <alignment horizontal="left" vertical="center"/>
    </xf>
    <xf numFmtId="44" fontId="18" fillId="5" borderId="1" xfId="0" applyNumberFormat="1" applyFont="1" applyFill="1" applyBorder="1" applyAlignment="1">
      <alignment horizontal="left" vertical="center"/>
    </xf>
    <xf numFmtId="44" fontId="15" fillId="5" borderId="1" xfId="15" applyFont="1" applyFill="1" applyBorder="1" applyAlignment="1">
      <alignment horizontal="left" vertical="center"/>
    </xf>
    <xf numFmtId="44" fontId="15" fillId="5" borderId="1" xfId="11" applyFont="1" applyFill="1" applyBorder="1" applyAlignment="1">
      <alignment horizontal="left" vertical="center"/>
    </xf>
    <xf numFmtId="44" fontId="15" fillId="5" borderId="1" xfId="29" applyNumberFormat="1" applyFont="1" applyFill="1" applyBorder="1" applyAlignment="1">
      <alignment horizontal="left" vertical="center" wrapText="1"/>
    </xf>
    <xf numFmtId="44" fontId="23" fillId="5" borderId="1" xfId="7" applyNumberFormat="1" applyFont="1" applyFill="1" applyBorder="1" applyAlignment="1">
      <alignment horizontal="left" vertical="center" wrapText="1"/>
    </xf>
    <xf numFmtId="44" fontId="15" fillId="5" borderId="1" xfId="18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44" fontId="18" fillId="5" borderId="1" xfId="4" applyNumberFormat="1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164" fontId="18" fillId="5" borderId="1" xfId="10" applyNumberFormat="1" applyFont="1" applyFill="1" applyBorder="1" applyAlignment="1">
      <alignment horizontal="left" vertical="center" wrapText="1"/>
    </xf>
    <xf numFmtId="44" fontId="15" fillId="5" borderId="1" xfId="2" applyNumberFormat="1" applyFont="1" applyFill="1" applyBorder="1" applyAlignment="1">
      <alignment horizontal="left" vertical="center" wrapText="1"/>
    </xf>
    <xf numFmtId="44" fontId="15" fillId="5" borderId="1" xfId="36" applyNumberFormat="1" applyFont="1" applyFill="1" applyBorder="1" applyAlignment="1">
      <alignment horizontal="left" vertical="center" wrapText="1"/>
    </xf>
    <xf numFmtId="44" fontId="18" fillId="5" borderId="1" xfId="39" applyNumberFormat="1" applyFont="1" applyFill="1" applyBorder="1" applyAlignment="1">
      <alignment horizontal="left" vertical="center" wrapText="1"/>
    </xf>
    <xf numFmtId="44" fontId="15" fillId="5" borderId="1" xfId="7" applyNumberFormat="1" applyFont="1" applyFill="1" applyBorder="1" applyAlignment="1">
      <alignment horizontal="left" vertical="center" wrapText="1"/>
    </xf>
    <xf numFmtId="44" fontId="23" fillId="5" borderId="1" xfId="8" applyNumberFormat="1" applyFont="1" applyFill="1" applyBorder="1" applyAlignment="1">
      <alignment horizontal="left" vertical="center" wrapText="1"/>
    </xf>
    <xf numFmtId="44" fontId="15" fillId="5" borderId="1" xfId="4" applyNumberFormat="1" applyFont="1" applyFill="1" applyBorder="1" applyAlignment="1">
      <alignment horizontal="left" vertical="center"/>
    </xf>
    <xf numFmtId="44" fontId="18" fillId="5" borderId="1" xfId="44" applyNumberFormat="1" applyFont="1" applyFill="1" applyBorder="1" applyAlignment="1">
      <alignment horizontal="left" vertical="center" wrapText="1"/>
    </xf>
    <xf numFmtId="169" fontId="23" fillId="5" borderId="1" xfId="5" applyNumberFormat="1" applyFont="1" applyFill="1" applyBorder="1" applyAlignment="1">
      <alignment horizontal="left" vertical="center" wrapText="1"/>
    </xf>
    <xf numFmtId="44" fontId="18" fillId="5" borderId="1" xfId="3" applyNumberFormat="1" applyFont="1" applyFill="1" applyBorder="1" applyAlignment="1">
      <alignment horizontal="left" vertical="center" wrapText="1"/>
    </xf>
    <xf numFmtId="44" fontId="15" fillId="5" borderId="1" xfId="35" applyNumberFormat="1" applyFont="1" applyFill="1" applyBorder="1" applyAlignment="1">
      <alignment horizontal="left" vertical="center" wrapText="1"/>
    </xf>
    <xf numFmtId="44" fontId="23" fillId="5" borderId="1" xfId="5" applyNumberFormat="1" applyFont="1" applyFill="1" applyBorder="1" applyAlignment="1">
      <alignment horizontal="left" vertical="center"/>
    </xf>
    <xf numFmtId="0" fontId="18" fillId="5" borderId="1" xfId="2" applyFont="1" applyFill="1" applyBorder="1" applyAlignment="1">
      <alignment horizontal="left" vertical="center" wrapText="1"/>
    </xf>
    <xf numFmtId="44" fontId="18" fillId="5" borderId="1" xfId="9" applyNumberFormat="1" applyFont="1" applyFill="1" applyBorder="1" applyAlignment="1">
      <alignment horizontal="left" vertical="center" wrapText="1"/>
    </xf>
    <xf numFmtId="44" fontId="16" fillId="0" borderId="1" xfId="16" applyNumberFormat="1" applyFont="1" applyBorder="1" applyAlignment="1">
      <alignment horizontal="left" vertical="center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1" fontId="18" fillId="5" borderId="4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68" fontId="18" fillId="5" borderId="1" xfId="12" applyNumberFormat="1" applyFont="1" applyFill="1" applyBorder="1" applyAlignment="1">
      <alignment vertical="center" wrapText="1"/>
    </xf>
    <xf numFmtId="0" fontId="18" fillId="5" borderId="1" xfId="24" applyFont="1" applyFill="1" applyBorder="1" applyAlignment="1">
      <alignment horizontal="left" vertical="center" wrapText="1"/>
    </xf>
    <xf numFmtId="169" fontId="18" fillId="5" borderId="1" xfId="6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69" fontId="15" fillId="5" borderId="1" xfId="12" applyNumberFormat="1" applyFont="1" applyFill="1" applyBorder="1" applyAlignment="1">
      <alignment wrapText="1"/>
    </xf>
    <xf numFmtId="168" fontId="15" fillId="0" borderId="1" xfId="12" applyNumberFormat="1" applyFont="1" applyBorder="1"/>
    <xf numFmtId="1" fontId="15" fillId="6" borderId="1" xfId="0" applyNumberFormat="1" applyFont="1" applyFill="1" applyBorder="1" applyAlignment="1">
      <alignment horizontal="center" vertical="center" wrapText="1"/>
    </xf>
    <xf numFmtId="44" fontId="15" fillId="0" borderId="4" xfId="0" applyNumberFormat="1" applyFont="1" applyBorder="1" applyAlignment="1">
      <alignment horizontal="left" vertical="center" wrapText="1"/>
    </xf>
    <xf numFmtId="44" fontId="15" fillId="0" borderId="3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5" borderId="1" xfId="33" applyFont="1" applyFill="1" applyBorder="1" applyAlignment="1">
      <alignment horizontal="left" vertical="center" wrapText="1"/>
    </xf>
    <xf numFmtId="44" fontId="15" fillId="5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left" vertical="center" wrapText="1"/>
    </xf>
    <xf numFmtId="169" fontId="23" fillId="0" borderId="1" xfId="5" applyNumberFormat="1" applyFont="1" applyBorder="1" applyAlignment="1">
      <alignment horizontal="right" wrapText="1"/>
    </xf>
    <xf numFmtId="169" fontId="23" fillId="0" borderId="1" xfId="12" applyNumberFormat="1" applyFont="1" applyBorder="1" applyAlignment="1">
      <alignment wrapText="1"/>
    </xf>
    <xf numFmtId="0" fontId="15" fillId="0" borderId="1" xfId="45" applyFont="1" applyBorder="1" applyAlignment="1">
      <alignment horizontal="left" vertical="center" wrapText="1"/>
    </xf>
    <xf numFmtId="0" fontId="15" fillId="0" borderId="1" xfId="45" applyFont="1" applyBorder="1" applyAlignment="1">
      <alignment horizontal="left" vertical="center"/>
    </xf>
    <xf numFmtId="167" fontId="15" fillId="0" borderId="1" xfId="16" applyFont="1" applyBorder="1" applyAlignment="1">
      <alignment horizontal="center" vertical="center"/>
    </xf>
    <xf numFmtId="169" fontId="15" fillId="0" borderId="1" xfId="0" applyNumberFormat="1" applyFont="1" applyBorder="1" applyAlignment="1">
      <alignment horizontal="center" vertical="center" wrapText="1"/>
    </xf>
    <xf numFmtId="44" fontId="15" fillId="0" borderId="10" xfId="0" applyNumberFormat="1" applyFont="1" applyBorder="1" applyAlignment="1">
      <alignment horizontal="center" vertical="center"/>
    </xf>
    <xf numFmtId="167" fontId="15" fillId="0" borderId="1" xfId="16" applyFont="1" applyBorder="1" applyAlignment="1">
      <alignment horizontal="center" vertical="center" wrapText="1"/>
    </xf>
    <xf numFmtId="167" fontId="15" fillId="3" borderId="1" xfId="16" applyFont="1" applyFill="1" applyBorder="1" applyAlignment="1">
      <alignment horizontal="center" vertical="center" wrapText="1"/>
    </xf>
    <xf numFmtId="167" fontId="15" fillId="2" borderId="1" xfId="16" applyFont="1" applyFill="1" applyBorder="1" applyAlignment="1">
      <alignment horizontal="center" vertical="center"/>
    </xf>
    <xf numFmtId="167" fontId="15" fillId="0" borderId="4" xfId="16" applyFont="1" applyBorder="1" applyAlignment="1">
      <alignment horizontal="center" vertical="center"/>
    </xf>
    <xf numFmtId="169" fontId="15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 wrapText="1"/>
    </xf>
    <xf numFmtId="44" fontId="15" fillId="0" borderId="14" xfId="0" applyNumberFormat="1" applyFont="1" applyBorder="1" applyAlignment="1">
      <alignment horizontal="left" vertical="center" wrapText="1"/>
    </xf>
    <xf numFmtId="44" fontId="15" fillId="0" borderId="4" xfId="0" applyNumberFormat="1" applyFont="1" applyBorder="1" applyAlignment="1">
      <alignment horizontal="left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168" fontId="3" fillId="4" borderId="25" xfId="0" applyNumberFormat="1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168" fontId="3" fillId="4" borderId="28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25" fillId="0" borderId="1" xfId="0" applyFont="1" applyBorder="1"/>
    <xf numFmtId="0" fontId="26" fillId="0" borderId="1" xfId="0" applyFont="1" applyBorder="1"/>
    <xf numFmtId="168" fontId="0" fillId="0" borderId="1" xfId="0" applyNumberFormat="1" applyBorder="1"/>
    <xf numFmtId="0" fontId="27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168" fontId="26" fillId="5" borderId="1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center"/>
    </xf>
  </cellXfs>
  <cellStyles count="48">
    <cellStyle name="Excel Built-in Normal" xfId="1"/>
    <cellStyle name="Excel Built-in Normal 2" xfId="2"/>
    <cellStyle name="Excel Built-in Normal_FORMATO NUMERAL 4 DICIEMBRE 2014 VIATICOS" xfId="3"/>
    <cellStyle name="Millares" xfId="4" builtinId="3"/>
    <cellStyle name="Millares 2" xfId="5"/>
    <cellStyle name="Millares 2 2 2 7" xfId="6"/>
    <cellStyle name="Millares 5" xfId="7"/>
    <cellStyle name="Millares 5 2" xfId="8"/>
    <cellStyle name="Millares 5 2 2" xfId="9"/>
    <cellStyle name="Millares 5 2 2 7" xfId="10"/>
    <cellStyle name="Moneda" xfId="11" builtinId="4"/>
    <cellStyle name="Moneda 12 2" xfId="12"/>
    <cellStyle name="Moneda 2" xfId="13"/>
    <cellStyle name="Moneda 2 2" xfId="14"/>
    <cellStyle name="Moneda 2 2 2" xfId="15"/>
    <cellStyle name="Moneda 2 3" xfId="16"/>
    <cellStyle name="Moneda 2 33" xfId="17"/>
    <cellStyle name="Moneda 2 5 3" xfId="18"/>
    <cellStyle name="Moneda 2_FORMATO NUMERAL 4 DICIEMBRE 2014 VIATICOS" xfId="19"/>
    <cellStyle name="Moneda 26" xfId="20"/>
    <cellStyle name="Moneda 5" xfId="21"/>
    <cellStyle name="Moneda 5 2" xfId="22"/>
    <cellStyle name="Normal" xfId="0" builtinId="0"/>
    <cellStyle name="Normal 10 3 2" xfId="23"/>
    <cellStyle name="Normal 10 5" xfId="24"/>
    <cellStyle name="Normal 11" xfId="25"/>
    <cellStyle name="Normal 15 10" xfId="26"/>
    <cellStyle name="Normal 17 2" xfId="27"/>
    <cellStyle name="Normal 2" xfId="28"/>
    <cellStyle name="Normal 2 2" xfId="29"/>
    <cellStyle name="Normal 21" xfId="30"/>
    <cellStyle name="Normal 23" xfId="31"/>
    <cellStyle name="Normal 3" xfId="32"/>
    <cellStyle name="Normal 3_OCUPADAS ARTES 26 AGO" xfId="33"/>
    <cellStyle name="Normal 4 10" xfId="34"/>
    <cellStyle name="Normal 4 10 2" xfId="35"/>
    <cellStyle name="Normal 4 10 3" xfId="45"/>
    <cellStyle name="Normal 4 10_FORMATO NUMERAL 4 DICIEMBRE 2014 VIATICOS" xfId="36"/>
    <cellStyle name="Normal 7 10" xfId="37"/>
    <cellStyle name="Normal 7 10 2" xfId="38"/>
    <cellStyle name="Normal 7 10 2 3" xfId="47"/>
    <cellStyle name="Normal 7 10_FORMATO NUMERAL 4 DICIEMBRE 2014 VIATICOS" xfId="39"/>
    <cellStyle name="Normal 8" xfId="40"/>
    <cellStyle name="Normal 8 2" xfId="41"/>
    <cellStyle name="Normal 8 2 3" xfId="46"/>
    <cellStyle name="Normal 9 2" xfId="42"/>
    <cellStyle name="Normal 9 2 3" xfId="43"/>
    <cellStyle name="Normal 9 2_FORMATO NUMERAL 4 DICIEMBRE 2014 VIATICOS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2247900</xdr:colOff>
      <xdr:row>4</xdr:row>
      <xdr:rowOff>152400</xdr:rowOff>
    </xdr:to>
    <xdr:pic>
      <xdr:nvPicPr>
        <xdr:cNvPr id="23584" name="Picture 2">
          <a:extLst>
            <a:ext uri="{FF2B5EF4-FFF2-40B4-BE49-F238E27FC236}">
              <a16:creationId xmlns:a16="http://schemas.microsoft.com/office/drawing/2014/main" xmlns="" id="{00000000-0008-0000-0000-000020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26384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2343150</xdr:colOff>
      <xdr:row>5</xdr:row>
      <xdr:rowOff>28575</xdr:rowOff>
    </xdr:to>
    <xdr:pic>
      <xdr:nvPicPr>
        <xdr:cNvPr id="23585" name="Picture 2">
          <a:extLst>
            <a:ext uri="{FF2B5EF4-FFF2-40B4-BE49-F238E27FC236}">
              <a16:creationId xmlns:a16="http://schemas.microsoft.com/office/drawing/2014/main" xmlns="" id="{00000000-0008-0000-0000-00002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2705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2247900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26384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2343150</xdr:colOff>
      <xdr:row>5</xdr:row>
      <xdr:rowOff>28575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2705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CD863B72-6747-406F-8A87-3DC6F16177D6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77AA944A-2827-432B-8F70-815D42CF1C18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xmlns="" id="{F856FE07-E0BC-4434-AD2D-4CBD79BC40C6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xmlns="" id="{7DB9652E-1D51-4BAC-B476-79442006ED41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9" name="7 CuadroTexto">
          <a:extLst>
            <a:ext uri="{FF2B5EF4-FFF2-40B4-BE49-F238E27FC236}">
              <a16:creationId xmlns:a16="http://schemas.microsoft.com/office/drawing/2014/main" xmlns="" id="{827AD2D8-3F3F-4718-A7AA-DF27F19632F0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0" name="8 CuadroTexto">
          <a:extLst>
            <a:ext uri="{FF2B5EF4-FFF2-40B4-BE49-F238E27FC236}">
              <a16:creationId xmlns:a16="http://schemas.microsoft.com/office/drawing/2014/main" xmlns="" id="{82D3F9E5-622B-4A0B-9485-AB0A4810BEAF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xmlns="" id="{3B381894-CDB1-4BBC-B153-1F7EFC381181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2" name="10 CuadroTexto">
          <a:extLst>
            <a:ext uri="{FF2B5EF4-FFF2-40B4-BE49-F238E27FC236}">
              <a16:creationId xmlns:a16="http://schemas.microsoft.com/office/drawing/2014/main" xmlns="" id="{CF057C98-522E-45D3-8394-A6DB6758FC9F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3" name="11 CuadroTexto">
          <a:extLst>
            <a:ext uri="{FF2B5EF4-FFF2-40B4-BE49-F238E27FC236}">
              <a16:creationId xmlns:a16="http://schemas.microsoft.com/office/drawing/2014/main" xmlns="" id="{7EA86198-256F-4F53-9D6A-8BD63FACCC3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4" name="12 CuadroTexto">
          <a:extLst>
            <a:ext uri="{FF2B5EF4-FFF2-40B4-BE49-F238E27FC236}">
              <a16:creationId xmlns:a16="http://schemas.microsoft.com/office/drawing/2014/main" xmlns="" id="{BAAE1DA4-5B31-44B4-8B77-5AAAC3F9AD8B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5" name="13 CuadroTexto">
          <a:extLst>
            <a:ext uri="{FF2B5EF4-FFF2-40B4-BE49-F238E27FC236}">
              <a16:creationId xmlns:a16="http://schemas.microsoft.com/office/drawing/2014/main" xmlns="" id="{1C820C33-E82C-49FA-A929-441A91974DB5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6" name="14 CuadroTexto">
          <a:extLst>
            <a:ext uri="{FF2B5EF4-FFF2-40B4-BE49-F238E27FC236}">
              <a16:creationId xmlns:a16="http://schemas.microsoft.com/office/drawing/2014/main" xmlns="" id="{A38B3F39-1EA0-421B-99C9-0F0D86D0F225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7" name="15 CuadroTexto">
          <a:extLst>
            <a:ext uri="{FF2B5EF4-FFF2-40B4-BE49-F238E27FC236}">
              <a16:creationId xmlns:a16="http://schemas.microsoft.com/office/drawing/2014/main" xmlns="" id="{5D2DD095-454B-4D99-97D0-BDC8654BC103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8" name="16 CuadroTexto">
          <a:extLst>
            <a:ext uri="{FF2B5EF4-FFF2-40B4-BE49-F238E27FC236}">
              <a16:creationId xmlns:a16="http://schemas.microsoft.com/office/drawing/2014/main" xmlns="" id="{EAE1840B-FB82-437D-A4FF-18C8DFDF7B2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19" name="17 CuadroTexto">
          <a:extLst>
            <a:ext uri="{FF2B5EF4-FFF2-40B4-BE49-F238E27FC236}">
              <a16:creationId xmlns:a16="http://schemas.microsoft.com/office/drawing/2014/main" xmlns="" id="{CA2CC1D1-72A9-4C16-86D5-7BED87FE24E3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0" name="18 CuadroTexto">
          <a:extLst>
            <a:ext uri="{FF2B5EF4-FFF2-40B4-BE49-F238E27FC236}">
              <a16:creationId xmlns:a16="http://schemas.microsoft.com/office/drawing/2014/main" xmlns="" id="{ACC64006-E93C-47DD-BF37-2D663FA59C66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1" name="19 CuadroTexto">
          <a:extLst>
            <a:ext uri="{FF2B5EF4-FFF2-40B4-BE49-F238E27FC236}">
              <a16:creationId xmlns:a16="http://schemas.microsoft.com/office/drawing/2014/main" xmlns="" id="{431C66E0-FE5B-4EE8-8CFD-AFC47252594D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2" name="20 CuadroTexto">
          <a:extLst>
            <a:ext uri="{FF2B5EF4-FFF2-40B4-BE49-F238E27FC236}">
              <a16:creationId xmlns:a16="http://schemas.microsoft.com/office/drawing/2014/main" xmlns="" id="{A6DFCB3A-7AB0-4D75-A6E6-EE0C1D569986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3" name="21 CuadroTexto">
          <a:extLst>
            <a:ext uri="{FF2B5EF4-FFF2-40B4-BE49-F238E27FC236}">
              <a16:creationId xmlns:a16="http://schemas.microsoft.com/office/drawing/2014/main" xmlns="" id="{3F6B61D8-77E7-42FD-B9F1-2E50937ABED6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4" name="22 CuadroTexto">
          <a:extLst>
            <a:ext uri="{FF2B5EF4-FFF2-40B4-BE49-F238E27FC236}">
              <a16:creationId xmlns:a16="http://schemas.microsoft.com/office/drawing/2014/main" xmlns="" id="{7EF61A6D-5A4F-4A14-B4A3-763CF6E09822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5" name="23 CuadroTexto">
          <a:extLst>
            <a:ext uri="{FF2B5EF4-FFF2-40B4-BE49-F238E27FC236}">
              <a16:creationId xmlns:a16="http://schemas.microsoft.com/office/drawing/2014/main" xmlns="" id="{C39C68DE-F005-4137-9CF6-21A4498B8CF0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6" name="24 CuadroTexto">
          <a:extLst>
            <a:ext uri="{FF2B5EF4-FFF2-40B4-BE49-F238E27FC236}">
              <a16:creationId xmlns:a16="http://schemas.microsoft.com/office/drawing/2014/main" xmlns="" id="{C4C1A95C-94BD-45A5-9793-4D7A48594901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7" name="25 CuadroTexto">
          <a:extLst>
            <a:ext uri="{FF2B5EF4-FFF2-40B4-BE49-F238E27FC236}">
              <a16:creationId xmlns:a16="http://schemas.microsoft.com/office/drawing/2014/main" xmlns="" id="{EEC79AF0-E910-4FF2-9023-4B7E7E62DC6C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8" name="26 CuadroTexto">
          <a:extLst>
            <a:ext uri="{FF2B5EF4-FFF2-40B4-BE49-F238E27FC236}">
              <a16:creationId xmlns:a16="http://schemas.microsoft.com/office/drawing/2014/main" xmlns="" id="{EF7FC3C7-838D-4732-AB25-D29AB6D471E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29" name="27 CuadroTexto">
          <a:extLst>
            <a:ext uri="{FF2B5EF4-FFF2-40B4-BE49-F238E27FC236}">
              <a16:creationId xmlns:a16="http://schemas.microsoft.com/office/drawing/2014/main" xmlns="" id="{577E3015-9C9B-46EC-8078-148E3CA0482A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0" name="28 CuadroTexto">
          <a:extLst>
            <a:ext uri="{FF2B5EF4-FFF2-40B4-BE49-F238E27FC236}">
              <a16:creationId xmlns:a16="http://schemas.microsoft.com/office/drawing/2014/main" xmlns="" id="{86E2F27D-DB6B-4BD5-957E-E0BA36E8CA4B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1" name="29 CuadroTexto">
          <a:extLst>
            <a:ext uri="{FF2B5EF4-FFF2-40B4-BE49-F238E27FC236}">
              <a16:creationId xmlns:a16="http://schemas.microsoft.com/office/drawing/2014/main" xmlns="" id="{3130E648-2DAA-47A7-A343-9B072B8EE600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2" name="30 CuadroTexto">
          <a:extLst>
            <a:ext uri="{FF2B5EF4-FFF2-40B4-BE49-F238E27FC236}">
              <a16:creationId xmlns:a16="http://schemas.microsoft.com/office/drawing/2014/main" xmlns="" id="{0C3E9114-A416-4D0F-9E3F-88B2A1BD4FE1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3" name="31 CuadroTexto">
          <a:extLst>
            <a:ext uri="{FF2B5EF4-FFF2-40B4-BE49-F238E27FC236}">
              <a16:creationId xmlns:a16="http://schemas.microsoft.com/office/drawing/2014/main" xmlns="" id="{E38CBDF5-0431-4870-B7E5-A3F48565964F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4" name="32 CuadroTexto">
          <a:extLst>
            <a:ext uri="{FF2B5EF4-FFF2-40B4-BE49-F238E27FC236}">
              <a16:creationId xmlns:a16="http://schemas.microsoft.com/office/drawing/2014/main" xmlns="" id="{56206387-4E79-41E7-84E2-48ED5CEA2936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5" name="33 CuadroTexto">
          <a:extLst>
            <a:ext uri="{FF2B5EF4-FFF2-40B4-BE49-F238E27FC236}">
              <a16:creationId xmlns:a16="http://schemas.microsoft.com/office/drawing/2014/main" xmlns="" id="{AAD339F1-0271-49C3-B1D6-49C663A34C6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6" name="34 CuadroTexto">
          <a:extLst>
            <a:ext uri="{FF2B5EF4-FFF2-40B4-BE49-F238E27FC236}">
              <a16:creationId xmlns:a16="http://schemas.microsoft.com/office/drawing/2014/main" xmlns="" id="{575B95AC-6654-42D0-92F3-019BE1D8EE55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7" name="35 CuadroTexto">
          <a:extLst>
            <a:ext uri="{FF2B5EF4-FFF2-40B4-BE49-F238E27FC236}">
              <a16:creationId xmlns:a16="http://schemas.microsoft.com/office/drawing/2014/main" xmlns="" id="{077AED60-68D8-42AF-A98D-55DFE08CFBA9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8" name="36 CuadroTexto">
          <a:extLst>
            <a:ext uri="{FF2B5EF4-FFF2-40B4-BE49-F238E27FC236}">
              <a16:creationId xmlns:a16="http://schemas.microsoft.com/office/drawing/2014/main" xmlns="" id="{5BA89B2D-2034-417C-BFBB-568070D0E4A8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39" name="37 CuadroTexto">
          <a:extLst>
            <a:ext uri="{FF2B5EF4-FFF2-40B4-BE49-F238E27FC236}">
              <a16:creationId xmlns:a16="http://schemas.microsoft.com/office/drawing/2014/main" xmlns="" id="{C79E4FD5-126E-4950-A595-0315C0919E9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0" name="38 CuadroTexto">
          <a:extLst>
            <a:ext uri="{FF2B5EF4-FFF2-40B4-BE49-F238E27FC236}">
              <a16:creationId xmlns:a16="http://schemas.microsoft.com/office/drawing/2014/main" xmlns="" id="{9D1479AA-47EE-4F51-9C4C-374FE223191D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1" name="39 CuadroTexto">
          <a:extLst>
            <a:ext uri="{FF2B5EF4-FFF2-40B4-BE49-F238E27FC236}">
              <a16:creationId xmlns:a16="http://schemas.microsoft.com/office/drawing/2014/main" xmlns="" id="{B049E571-9530-412F-97D6-621425815BE7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2" name="40 CuadroTexto">
          <a:extLst>
            <a:ext uri="{FF2B5EF4-FFF2-40B4-BE49-F238E27FC236}">
              <a16:creationId xmlns:a16="http://schemas.microsoft.com/office/drawing/2014/main" xmlns="" id="{659476A0-2EB2-4AFC-B07B-449482E3D8A8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3" name="41 CuadroTexto">
          <a:extLst>
            <a:ext uri="{FF2B5EF4-FFF2-40B4-BE49-F238E27FC236}">
              <a16:creationId xmlns:a16="http://schemas.microsoft.com/office/drawing/2014/main" xmlns="" id="{52EC225D-B476-42E7-B77C-7F4324464FD4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4" name="42 CuadroTexto">
          <a:extLst>
            <a:ext uri="{FF2B5EF4-FFF2-40B4-BE49-F238E27FC236}">
              <a16:creationId xmlns:a16="http://schemas.microsoft.com/office/drawing/2014/main" xmlns="" id="{307307DD-1298-49F4-9462-EF2C5BB0F58B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5" name="43 CuadroTexto">
          <a:extLst>
            <a:ext uri="{FF2B5EF4-FFF2-40B4-BE49-F238E27FC236}">
              <a16:creationId xmlns:a16="http://schemas.microsoft.com/office/drawing/2014/main" xmlns="" id="{2F855326-A409-4744-96BF-92223DB723F5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6" name="44 CuadroTexto">
          <a:extLst>
            <a:ext uri="{FF2B5EF4-FFF2-40B4-BE49-F238E27FC236}">
              <a16:creationId xmlns:a16="http://schemas.microsoft.com/office/drawing/2014/main" xmlns="" id="{7F036A05-5DA6-4B5B-8C17-7639FBA5BC7D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7" name="45 CuadroTexto">
          <a:extLst>
            <a:ext uri="{FF2B5EF4-FFF2-40B4-BE49-F238E27FC236}">
              <a16:creationId xmlns:a16="http://schemas.microsoft.com/office/drawing/2014/main" xmlns="" id="{ED394F07-6843-473B-A8C9-1E2577DD8605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8" name="46 CuadroTexto">
          <a:extLst>
            <a:ext uri="{FF2B5EF4-FFF2-40B4-BE49-F238E27FC236}">
              <a16:creationId xmlns:a16="http://schemas.microsoft.com/office/drawing/2014/main" xmlns="" id="{0F0A6A64-A648-4344-A50E-C3FD494A7907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49" name="47 CuadroTexto">
          <a:extLst>
            <a:ext uri="{FF2B5EF4-FFF2-40B4-BE49-F238E27FC236}">
              <a16:creationId xmlns:a16="http://schemas.microsoft.com/office/drawing/2014/main" xmlns="" id="{A7CB897C-197F-4AC8-8C47-98D3F8F8DB82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0" name="48 CuadroTexto">
          <a:extLst>
            <a:ext uri="{FF2B5EF4-FFF2-40B4-BE49-F238E27FC236}">
              <a16:creationId xmlns:a16="http://schemas.microsoft.com/office/drawing/2014/main" xmlns="" id="{4936581E-6DFF-4CA9-AB00-28C8B18E06FB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1" name="49 CuadroTexto">
          <a:extLst>
            <a:ext uri="{FF2B5EF4-FFF2-40B4-BE49-F238E27FC236}">
              <a16:creationId xmlns:a16="http://schemas.microsoft.com/office/drawing/2014/main" xmlns="" id="{E99BF84D-7523-4C49-A73C-FAA53642C7B3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2" name="50 CuadroTexto">
          <a:extLst>
            <a:ext uri="{FF2B5EF4-FFF2-40B4-BE49-F238E27FC236}">
              <a16:creationId xmlns:a16="http://schemas.microsoft.com/office/drawing/2014/main" xmlns="" id="{FF4ED785-02E4-4E72-B4D4-E79785C38946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3" name="51 CuadroTexto">
          <a:extLst>
            <a:ext uri="{FF2B5EF4-FFF2-40B4-BE49-F238E27FC236}">
              <a16:creationId xmlns:a16="http://schemas.microsoft.com/office/drawing/2014/main" xmlns="" id="{C7D36B79-C66C-4C4B-B382-C3720FD167CF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4" name="52 CuadroTexto">
          <a:extLst>
            <a:ext uri="{FF2B5EF4-FFF2-40B4-BE49-F238E27FC236}">
              <a16:creationId xmlns:a16="http://schemas.microsoft.com/office/drawing/2014/main" xmlns="" id="{77784FC9-A5A5-4522-9A89-5335A46B1434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5" name="53 CuadroTexto">
          <a:extLst>
            <a:ext uri="{FF2B5EF4-FFF2-40B4-BE49-F238E27FC236}">
              <a16:creationId xmlns:a16="http://schemas.microsoft.com/office/drawing/2014/main" xmlns="" id="{D2367721-8A54-4849-BFCE-9C0BBF48970B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6" name="54 CuadroTexto">
          <a:extLst>
            <a:ext uri="{FF2B5EF4-FFF2-40B4-BE49-F238E27FC236}">
              <a16:creationId xmlns:a16="http://schemas.microsoft.com/office/drawing/2014/main" xmlns="" id="{23DE1F6C-F41F-4D8B-8101-65B52C0D4636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7" name="55 CuadroTexto">
          <a:extLst>
            <a:ext uri="{FF2B5EF4-FFF2-40B4-BE49-F238E27FC236}">
              <a16:creationId xmlns:a16="http://schemas.microsoft.com/office/drawing/2014/main" xmlns="" id="{7738F65B-96D6-47C7-A54B-3EDDC9458B28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8" name="56 CuadroTexto">
          <a:extLst>
            <a:ext uri="{FF2B5EF4-FFF2-40B4-BE49-F238E27FC236}">
              <a16:creationId xmlns:a16="http://schemas.microsoft.com/office/drawing/2014/main" xmlns="" id="{7A93317C-1287-4159-AA3E-9A1C690B7C65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59" name="57 CuadroTexto">
          <a:extLst>
            <a:ext uri="{FF2B5EF4-FFF2-40B4-BE49-F238E27FC236}">
              <a16:creationId xmlns:a16="http://schemas.microsoft.com/office/drawing/2014/main" xmlns="" id="{55D8F715-7C30-44B6-8693-F95C790AE75F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0" name="58 CuadroTexto">
          <a:extLst>
            <a:ext uri="{FF2B5EF4-FFF2-40B4-BE49-F238E27FC236}">
              <a16:creationId xmlns:a16="http://schemas.microsoft.com/office/drawing/2014/main" xmlns="" id="{01646C5D-C5C5-48B6-ADB2-BAF3EAB4640A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1" name="59 CuadroTexto">
          <a:extLst>
            <a:ext uri="{FF2B5EF4-FFF2-40B4-BE49-F238E27FC236}">
              <a16:creationId xmlns:a16="http://schemas.microsoft.com/office/drawing/2014/main" xmlns="" id="{94A86685-F322-4230-80DC-6D7FCC1E740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2" name="60 CuadroTexto">
          <a:extLst>
            <a:ext uri="{FF2B5EF4-FFF2-40B4-BE49-F238E27FC236}">
              <a16:creationId xmlns:a16="http://schemas.microsoft.com/office/drawing/2014/main" xmlns="" id="{BA3C217E-8AF0-46AE-A9C9-5A97B9D91962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3" name="61 CuadroTexto">
          <a:extLst>
            <a:ext uri="{FF2B5EF4-FFF2-40B4-BE49-F238E27FC236}">
              <a16:creationId xmlns:a16="http://schemas.microsoft.com/office/drawing/2014/main" xmlns="" id="{39402269-31A0-4FAC-BA31-5ECC546BC887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4" name="62 CuadroTexto">
          <a:extLst>
            <a:ext uri="{FF2B5EF4-FFF2-40B4-BE49-F238E27FC236}">
              <a16:creationId xmlns:a16="http://schemas.microsoft.com/office/drawing/2014/main" xmlns="" id="{DE472CC6-E3FE-46F7-94DF-ACC9C7DFE665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5" name="63 CuadroTexto">
          <a:extLst>
            <a:ext uri="{FF2B5EF4-FFF2-40B4-BE49-F238E27FC236}">
              <a16:creationId xmlns:a16="http://schemas.microsoft.com/office/drawing/2014/main" xmlns="" id="{C30B7D78-45D5-4DA5-A94C-761663362B85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6" name="64 CuadroTexto">
          <a:extLst>
            <a:ext uri="{FF2B5EF4-FFF2-40B4-BE49-F238E27FC236}">
              <a16:creationId xmlns:a16="http://schemas.microsoft.com/office/drawing/2014/main" xmlns="" id="{F404CEA3-27CC-4497-B33C-C2998AEB350C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7" name="65 CuadroTexto">
          <a:extLst>
            <a:ext uri="{FF2B5EF4-FFF2-40B4-BE49-F238E27FC236}">
              <a16:creationId xmlns:a16="http://schemas.microsoft.com/office/drawing/2014/main" xmlns="" id="{1F4B97F1-5361-4345-8762-17273BFE1E2B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8" name="66 CuadroTexto">
          <a:extLst>
            <a:ext uri="{FF2B5EF4-FFF2-40B4-BE49-F238E27FC236}">
              <a16:creationId xmlns:a16="http://schemas.microsoft.com/office/drawing/2014/main" xmlns="" id="{395192EE-545C-4C9C-96E7-C1DB0F72F6E0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69" name="67 CuadroTexto">
          <a:extLst>
            <a:ext uri="{FF2B5EF4-FFF2-40B4-BE49-F238E27FC236}">
              <a16:creationId xmlns:a16="http://schemas.microsoft.com/office/drawing/2014/main" xmlns="" id="{F75EF937-7578-481C-B7A4-A3849703FBCD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0" name="68 CuadroTexto">
          <a:extLst>
            <a:ext uri="{FF2B5EF4-FFF2-40B4-BE49-F238E27FC236}">
              <a16:creationId xmlns:a16="http://schemas.microsoft.com/office/drawing/2014/main" xmlns="" id="{727908C1-05B0-4959-9670-D58999D7588C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1" name="69 CuadroTexto">
          <a:extLst>
            <a:ext uri="{FF2B5EF4-FFF2-40B4-BE49-F238E27FC236}">
              <a16:creationId xmlns:a16="http://schemas.microsoft.com/office/drawing/2014/main" xmlns="" id="{A90B22C7-AB9F-471F-8756-4313B8775DEC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2" name="70 CuadroTexto">
          <a:extLst>
            <a:ext uri="{FF2B5EF4-FFF2-40B4-BE49-F238E27FC236}">
              <a16:creationId xmlns:a16="http://schemas.microsoft.com/office/drawing/2014/main" xmlns="" id="{516C9493-633A-4264-8FEB-948584A38540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3" name="71 CuadroTexto">
          <a:extLst>
            <a:ext uri="{FF2B5EF4-FFF2-40B4-BE49-F238E27FC236}">
              <a16:creationId xmlns:a16="http://schemas.microsoft.com/office/drawing/2014/main" xmlns="" id="{93924CE0-4C90-498E-8D40-DDA5FC40D699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4" name="72 CuadroTexto">
          <a:extLst>
            <a:ext uri="{FF2B5EF4-FFF2-40B4-BE49-F238E27FC236}">
              <a16:creationId xmlns:a16="http://schemas.microsoft.com/office/drawing/2014/main" xmlns="" id="{1DD5E3EF-705F-49C3-ACBE-5D7B23160EC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5" name="73 CuadroTexto">
          <a:extLst>
            <a:ext uri="{FF2B5EF4-FFF2-40B4-BE49-F238E27FC236}">
              <a16:creationId xmlns:a16="http://schemas.microsoft.com/office/drawing/2014/main" xmlns="" id="{0CD9DEDC-5D2A-4508-B959-F5D7EDABD45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6" name="74 CuadroTexto">
          <a:extLst>
            <a:ext uri="{FF2B5EF4-FFF2-40B4-BE49-F238E27FC236}">
              <a16:creationId xmlns:a16="http://schemas.microsoft.com/office/drawing/2014/main" xmlns="" id="{AF903180-9E8A-466B-A380-9FD0B35FBE9E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55</xdr:row>
      <xdr:rowOff>0</xdr:rowOff>
    </xdr:from>
    <xdr:ext cx="184731" cy="264560"/>
    <xdr:sp macro="" textlink="">
      <xdr:nvSpPr>
        <xdr:cNvPr id="77" name="75 CuadroTexto">
          <a:extLst>
            <a:ext uri="{FF2B5EF4-FFF2-40B4-BE49-F238E27FC236}">
              <a16:creationId xmlns:a16="http://schemas.microsoft.com/office/drawing/2014/main" xmlns="" id="{0D56CCCD-C082-4FA9-A499-144DF5909AAA}"/>
            </a:ext>
          </a:extLst>
        </xdr:cNvPr>
        <xdr:cNvSpPr txBox="1"/>
      </xdr:nvSpPr>
      <xdr:spPr>
        <a:xfrm>
          <a:off x="174117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1" name="76 CuadroTexto">
          <a:extLst>
            <a:ext uri="{FF2B5EF4-FFF2-40B4-BE49-F238E27FC236}">
              <a16:creationId xmlns:a16="http://schemas.microsoft.com/office/drawing/2014/main" xmlns="" id="{09ECB757-1BD1-4DAA-95F3-157C92A97D62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2" name="77 CuadroTexto">
          <a:extLst>
            <a:ext uri="{FF2B5EF4-FFF2-40B4-BE49-F238E27FC236}">
              <a16:creationId xmlns:a16="http://schemas.microsoft.com/office/drawing/2014/main" xmlns="" id="{307694BA-7A3C-4E71-AB88-1664F60D79C8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3" name="78 CuadroTexto">
          <a:extLst>
            <a:ext uri="{FF2B5EF4-FFF2-40B4-BE49-F238E27FC236}">
              <a16:creationId xmlns:a16="http://schemas.microsoft.com/office/drawing/2014/main" xmlns="" id="{A931513D-C2BB-46AF-A853-EE4D49E8FDC5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4" name="79 CuadroTexto">
          <a:extLst>
            <a:ext uri="{FF2B5EF4-FFF2-40B4-BE49-F238E27FC236}">
              <a16:creationId xmlns:a16="http://schemas.microsoft.com/office/drawing/2014/main" xmlns="" id="{6404D444-7D65-4D21-9D7F-B2A0430288BC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5" name="80 CuadroTexto">
          <a:extLst>
            <a:ext uri="{FF2B5EF4-FFF2-40B4-BE49-F238E27FC236}">
              <a16:creationId xmlns:a16="http://schemas.microsoft.com/office/drawing/2014/main" xmlns="" id="{5E826B66-0453-419D-8344-BA9F2DDEB8B2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6" name="81 CuadroTexto">
          <a:extLst>
            <a:ext uri="{FF2B5EF4-FFF2-40B4-BE49-F238E27FC236}">
              <a16:creationId xmlns:a16="http://schemas.microsoft.com/office/drawing/2014/main" xmlns="" id="{D8A90DC0-F0FF-415F-8E3D-3AE60E0B6E57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7" name="82 CuadroTexto">
          <a:extLst>
            <a:ext uri="{FF2B5EF4-FFF2-40B4-BE49-F238E27FC236}">
              <a16:creationId xmlns:a16="http://schemas.microsoft.com/office/drawing/2014/main" xmlns="" id="{EB0F98F2-5286-47B8-92FB-EA1CC7FEBF6F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8" name="83 CuadroTexto">
          <a:extLst>
            <a:ext uri="{FF2B5EF4-FFF2-40B4-BE49-F238E27FC236}">
              <a16:creationId xmlns:a16="http://schemas.microsoft.com/office/drawing/2014/main" xmlns="" id="{6C8F2768-F11E-4277-AB2E-25FF8FD10C4D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59" name="84 CuadroTexto">
          <a:extLst>
            <a:ext uri="{FF2B5EF4-FFF2-40B4-BE49-F238E27FC236}">
              <a16:creationId xmlns:a16="http://schemas.microsoft.com/office/drawing/2014/main" xmlns="" id="{6D9CC451-26FF-4418-ABAF-B78E2ED72ECC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0" name="85 CuadroTexto">
          <a:extLst>
            <a:ext uri="{FF2B5EF4-FFF2-40B4-BE49-F238E27FC236}">
              <a16:creationId xmlns:a16="http://schemas.microsoft.com/office/drawing/2014/main" xmlns="" id="{3FF9B73F-CCB5-41AC-BAA5-B6C20D664225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1" name="86 CuadroTexto">
          <a:extLst>
            <a:ext uri="{FF2B5EF4-FFF2-40B4-BE49-F238E27FC236}">
              <a16:creationId xmlns:a16="http://schemas.microsoft.com/office/drawing/2014/main" xmlns="" id="{D43FC9D4-31B8-4A39-ACBD-618BBEC62A44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2" name="87 CuadroTexto">
          <a:extLst>
            <a:ext uri="{FF2B5EF4-FFF2-40B4-BE49-F238E27FC236}">
              <a16:creationId xmlns:a16="http://schemas.microsoft.com/office/drawing/2014/main" xmlns="" id="{96E721B7-6789-475D-BAAA-8D970A858A16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3" name="88 CuadroTexto">
          <a:extLst>
            <a:ext uri="{FF2B5EF4-FFF2-40B4-BE49-F238E27FC236}">
              <a16:creationId xmlns:a16="http://schemas.microsoft.com/office/drawing/2014/main" xmlns="" id="{C2C76249-2549-4E39-8EB5-2ED7029A0520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4" name="89 CuadroTexto">
          <a:extLst>
            <a:ext uri="{FF2B5EF4-FFF2-40B4-BE49-F238E27FC236}">
              <a16:creationId xmlns:a16="http://schemas.microsoft.com/office/drawing/2014/main" xmlns="" id="{9EF46176-E980-4CC1-88B2-D909C10D6717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5" name="90 CuadroTexto">
          <a:extLst>
            <a:ext uri="{FF2B5EF4-FFF2-40B4-BE49-F238E27FC236}">
              <a16:creationId xmlns:a16="http://schemas.microsoft.com/office/drawing/2014/main" xmlns="" id="{3CE24FA5-2C4D-4025-B2EA-992275A21A75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6" name="91 CuadroTexto">
          <a:extLst>
            <a:ext uri="{FF2B5EF4-FFF2-40B4-BE49-F238E27FC236}">
              <a16:creationId xmlns:a16="http://schemas.microsoft.com/office/drawing/2014/main" xmlns="" id="{D00127C9-AE57-411E-B45F-97958EAA85A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7" name="92 CuadroTexto">
          <a:extLst>
            <a:ext uri="{FF2B5EF4-FFF2-40B4-BE49-F238E27FC236}">
              <a16:creationId xmlns:a16="http://schemas.microsoft.com/office/drawing/2014/main" xmlns="" id="{ADB8484E-2F9E-4E33-B968-8D9DF3488B4D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8" name="93 CuadroTexto">
          <a:extLst>
            <a:ext uri="{FF2B5EF4-FFF2-40B4-BE49-F238E27FC236}">
              <a16:creationId xmlns:a16="http://schemas.microsoft.com/office/drawing/2014/main" xmlns="" id="{6C09BB11-3919-4D17-BE1B-41B6CA4D75B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69" name="94 CuadroTexto">
          <a:extLst>
            <a:ext uri="{FF2B5EF4-FFF2-40B4-BE49-F238E27FC236}">
              <a16:creationId xmlns:a16="http://schemas.microsoft.com/office/drawing/2014/main" xmlns="" id="{4A52D0CB-A3E3-4BF2-9B1D-62AC7AAE8375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0" name="95 CuadroTexto">
          <a:extLst>
            <a:ext uri="{FF2B5EF4-FFF2-40B4-BE49-F238E27FC236}">
              <a16:creationId xmlns:a16="http://schemas.microsoft.com/office/drawing/2014/main" xmlns="" id="{649A1B82-B356-4E53-84C9-1D4B8DD5AFF7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1" name="96 CuadroTexto">
          <a:extLst>
            <a:ext uri="{FF2B5EF4-FFF2-40B4-BE49-F238E27FC236}">
              <a16:creationId xmlns:a16="http://schemas.microsoft.com/office/drawing/2014/main" xmlns="" id="{3E2F707C-6108-49C5-BADE-FA58C6381EAD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2" name="97 CuadroTexto">
          <a:extLst>
            <a:ext uri="{FF2B5EF4-FFF2-40B4-BE49-F238E27FC236}">
              <a16:creationId xmlns:a16="http://schemas.microsoft.com/office/drawing/2014/main" xmlns="" id="{A86E8459-7816-4652-A6C5-7A7C0BD39C7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3" name="98 CuadroTexto">
          <a:extLst>
            <a:ext uri="{FF2B5EF4-FFF2-40B4-BE49-F238E27FC236}">
              <a16:creationId xmlns:a16="http://schemas.microsoft.com/office/drawing/2014/main" xmlns="" id="{78AC1AD6-B5C5-4EDD-86B7-D01CC2BE857B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4" name="99 CuadroTexto">
          <a:extLst>
            <a:ext uri="{FF2B5EF4-FFF2-40B4-BE49-F238E27FC236}">
              <a16:creationId xmlns:a16="http://schemas.microsoft.com/office/drawing/2014/main" xmlns="" id="{12199B75-FBDF-4A7F-AC86-12B7D5442E1F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5" name="100 CuadroTexto">
          <a:extLst>
            <a:ext uri="{FF2B5EF4-FFF2-40B4-BE49-F238E27FC236}">
              <a16:creationId xmlns:a16="http://schemas.microsoft.com/office/drawing/2014/main" xmlns="" id="{4C2B5370-DB52-49B9-ACA2-47F69AADEBE6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6" name="101 CuadroTexto">
          <a:extLst>
            <a:ext uri="{FF2B5EF4-FFF2-40B4-BE49-F238E27FC236}">
              <a16:creationId xmlns:a16="http://schemas.microsoft.com/office/drawing/2014/main" xmlns="" id="{9AF09FAD-F4AA-44CB-A3CF-9490E2BBD32D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7" name="102 CuadroTexto">
          <a:extLst>
            <a:ext uri="{FF2B5EF4-FFF2-40B4-BE49-F238E27FC236}">
              <a16:creationId xmlns:a16="http://schemas.microsoft.com/office/drawing/2014/main" xmlns="" id="{E51962B5-4968-44D2-8E32-A7853E18A95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8" name="103 CuadroTexto">
          <a:extLst>
            <a:ext uri="{FF2B5EF4-FFF2-40B4-BE49-F238E27FC236}">
              <a16:creationId xmlns:a16="http://schemas.microsoft.com/office/drawing/2014/main" xmlns="" id="{A2BDDBE6-6030-4A0D-97E0-4E16F4FF6FD5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79" name="104 CuadroTexto">
          <a:extLst>
            <a:ext uri="{FF2B5EF4-FFF2-40B4-BE49-F238E27FC236}">
              <a16:creationId xmlns:a16="http://schemas.microsoft.com/office/drawing/2014/main" xmlns="" id="{E851614E-C3E2-4B1D-87F0-E6D75F2BDDF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0" name="105 CuadroTexto">
          <a:extLst>
            <a:ext uri="{FF2B5EF4-FFF2-40B4-BE49-F238E27FC236}">
              <a16:creationId xmlns:a16="http://schemas.microsoft.com/office/drawing/2014/main" xmlns="" id="{D119BE47-5022-4E42-8D9A-43C573AC99B0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1" name="106 CuadroTexto">
          <a:extLst>
            <a:ext uri="{FF2B5EF4-FFF2-40B4-BE49-F238E27FC236}">
              <a16:creationId xmlns:a16="http://schemas.microsoft.com/office/drawing/2014/main" xmlns="" id="{7BBCDAAF-4B7C-47ED-B50C-BCC1674540A5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2" name="107 CuadroTexto">
          <a:extLst>
            <a:ext uri="{FF2B5EF4-FFF2-40B4-BE49-F238E27FC236}">
              <a16:creationId xmlns:a16="http://schemas.microsoft.com/office/drawing/2014/main" xmlns="" id="{A00134F1-F557-4176-BAE9-77EE282D7954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3" name="108 CuadroTexto">
          <a:extLst>
            <a:ext uri="{FF2B5EF4-FFF2-40B4-BE49-F238E27FC236}">
              <a16:creationId xmlns:a16="http://schemas.microsoft.com/office/drawing/2014/main" xmlns="" id="{2DF6A3F1-5205-45ED-82CC-2FCDCEA920E8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4" name="109 CuadroTexto">
          <a:extLst>
            <a:ext uri="{FF2B5EF4-FFF2-40B4-BE49-F238E27FC236}">
              <a16:creationId xmlns:a16="http://schemas.microsoft.com/office/drawing/2014/main" xmlns="" id="{8D6DC52C-C336-48B1-81C8-054F0C46EE23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5" name="110 CuadroTexto">
          <a:extLst>
            <a:ext uri="{FF2B5EF4-FFF2-40B4-BE49-F238E27FC236}">
              <a16:creationId xmlns:a16="http://schemas.microsoft.com/office/drawing/2014/main" xmlns="" id="{9215D75B-16A4-48AC-8A34-18032C4D5B66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6" name="111 CuadroTexto">
          <a:extLst>
            <a:ext uri="{FF2B5EF4-FFF2-40B4-BE49-F238E27FC236}">
              <a16:creationId xmlns:a16="http://schemas.microsoft.com/office/drawing/2014/main" xmlns="" id="{C8FF501F-B8A6-4FBA-B144-C8587CE0B277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7" name="112 CuadroTexto">
          <a:extLst>
            <a:ext uri="{FF2B5EF4-FFF2-40B4-BE49-F238E27FC236}">
              <a16:creationId xmlns:a16="http://schemas.microsoft.com/office/drawing/2014/main" xmlns="" id="{C587AFCE-8C44-41E4-910C-A59A92FE56E0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8" name="113 CuadroTexto">
          <a:extLst>
            <a:ext uri="{FF2B5EF4-FFF2-40B4-BE49-F238E27FC236}">
              <a16:creationId xmlns:a16="http://schemas.microsoft.com/office/drawing/2014/main" xmlns="" id="{48210972-DD47-4629-A96D-60FDC89A2940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89" name="114 CuadroTexto">
          <a:extLst>
            <a:ext uri="{FF2B5EF4-FFF2-40B4-BE49-F238E27FC236}">
              <a16:creationId xmlns:a16="http://schemas.microsoft.com/office/drawing/2014/main" xmlns="" id="{466ABBEB-ECC5-44CA-A4D5-952613F161EE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0" name="115 CuadroTexto">
          <a:extLst>
            <a:ext uri="{FF2B5EF4-FFF2-40B4-BE49-F238E27FC236}">
              <a16:creationId xmlns:a16="http://schemas.microsoft.com/office/drawing/2014/main" xmlns="" id="{D641E48A-43E1-4178-8F06-47203EAE45AD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1" name="116 CuadroTexto">
          <a:extLst>
            <a:ext uri="{FF2B5EF4-FFF2-40B4-BE49-F238E27FC236}">
              <a16:creationId xmlns:a16="http://schemas.microsoft.com/office/drawing/2014/main" xmlns="" id="{53868878-4B25-42E6-87C9-2731DAB970C9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2" name="117 CuadroTexto">
          <a:extLst>
            <a:ext uri="{FF2B5EF4-FFF2-40B4-BE49-F238E27FC236}">
              <a16:creationId xmlns:a16="http://schemas.microsoft.com/office/drawing/2014/main" xmlns="" id="{5F8F12FB-6A3B-4DC3-AF60-F6EDA35ECAC1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3" name="118 CuadroTexto">
          <a:extLst>
            <a:ext uri="{FF2B5EF4-FFF2-40B4-BE49-F238E27FC236}">
              <a16:creationId xmlns:a16="http://schemas.microsoft.com/office/drawing/2014/main" xmlns="" id="{FF4F186B-CD39-4347-A017-DB45547F2729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4" name="119 CuadroTexto">
          <a:extLst>
            <a:ext uri="{FF2B5EF4-FFF2-40B4-BE49-F238E27FC236}">
              <a16:creationId xmlns:a16="http://schemas.microsoft.com/office/drawing/2014/main" xmlns="" id="{0D2DB8C2-56FA-432F-B70A-AF5AFAACDD1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5" name="120 CuadroTexto">
          <a:extLst>
            <a:ext uri="{FF2B5EF4-FFF2-40B4-BE49-F238E27FC236}">
              <a16:creationId xmlns:a16="http://schemas.microsoft.com/office/drawing/2014/main" xmlns="" id="{591A9F58-C7BE-4F52-B5D0-85D68AE7B128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6" name="121 CuadroTexto">
          <a:extLst>
            <a:ext uri="{FF2B5EF4-FFF2-40B4-BE49-F238E27FC236}">
              <a16:creationId xmlns:a16="http://schemas.microsoft.com/office/drawing/2014/main" xmlns="" id="{3DF69D2D-BD09-4D19-AE3C-12A1DF55FEEE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7" name="122 CuadroTexto">
          <a:extLst>
            <a:ext uri="{FF2B5EF4-FFF2-40B4-BE49-F238E27FC236}">
              <a16:creationId xmlns:a16="http://schemas.microsoft.com/office/drawing/2014/main" xmlns="" id="{D8F049BD-9F63-45CD-A79C-EDD1507588E8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8" name="123 CuadroTexto">
          <a:extLst>
            <a:ext uri="{FF2B5EF4-FFF2-40B4-BE49-F238E27FC236}">
              <a16:creationId xmlns:a16="http://schemas.microsoft.com/office/drawing/2014/main" xmlns="" id="{99AF2D49-B855-4236-BADD-F69CBC9CA6B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199" name="124 CuadroTexto">
          <a:extLst>
            <a:ext uri="{FF2B5EF4-FFF2-40B4-BE49-F238E27FC236}">
              <a16:creationId xmlns:a16="http://schemas.microsoft.com/office/drawing/2014/main" xmlns="" id="{60AC726E-425F-466E-A75B-9D80D6942432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0" name="125 CuadroTexto">
          <a:extLst>
            <a:ext uri="{FF2B5EF4-FFF2-40B4-BE49-F238E27FC236}">
              <a16:creationId xmlns:a16="http://schemas.microsoft.com/office/drawing/2014/main" xmlns="" id="{34986283-7FA1-4949-B12E-0D03D698C43B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1" name="126 CuadroTexto">
          <a:extLst>
            <a:ext uri="{FF2B5EF4-FFF2-40B4-BE49-F238E27FC236}">
              <a16:creationId xmlns:a16="http://schemas.microsoft.com/office/drawing/2014/main" xmlns="" id="{E23FE837-BFBB-4E88-940C-B0FCE49C40C7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2" name="127 CuadroTexto">
          <a:extLst>
            <a:ext uri="{FF2B5EF4-FFF2-40B4-BE49-F238E27FC236}">
              <a16:creationId xmlns:a16="http://schemas.microsoft.com/office/drawing/2014/main" xmlns="" id="{013B27EC-5C30-49F2-B12C-32049B3AD768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3" name="128 CuadroTexto">
          <a:extLst>
            <a:ext uri="{FF2B5EF4-FFF2-40B4-BE49-F238E27FC236}">
              <a16:creationId xmlns:a16="http://schemas.microsoft.com/office/drawing/2014/main" xmlns="" id="{95E6841D-55CC-4EE3-BD01-B240EDEED1B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4" name="129 CuadroTexto">
          <a:extLst>
            <a:ext uri="{FF2B5EF4-FFF2-40B4-BE49-F238E27FC236}">
              <a16:creationId xmlns:a16="http://schemas.microsoft.com/office/drawing/2014/main" xmlns="" id="{149BC495-9198-451F-A929-B13D64CB4548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5" name="130 CuadroTexto">
          <a:extLst>
            <a:ext uri="{FF2B5EF4-FFF2-40B4-BE49-F238E27FC236}">
              <a16:creationId xmlns:a16="http://schemas.microsoft.com/office/drawing/2014/main" xmlns="" id="{B825A213-B2FE-41CE-9B15-7B5736E52966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6" name="131 CuadroTexto">
          <a:extLst>
            <a:ext uri="{FF2B5EF4-FFF2-40B4-BE49-F238E27FC236}">
              <a16:creationId xmlns:a16="http://schemas.microsoft.com/office/drawing/2014/main" xmlns="" id="{AE44D68C-1FA9-48A5-98E4-F28870B96E67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7" name="132 CuadroTexto">
          <a:extLst>
            <a:ext uri="{FF2B5EF4-FFF2-40B4-BE49-F238E27FC236}">
              <a16:creationId xmlns:a16="http://schemas.microsoft.com/office/drawing/2014/main" xmlns="" id="{B32637B8-A8A1-4A96-9951-57DD4EA51CB3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8" name="133 CuadroTexto">
          <a:extLst>
            <a:ext uri="{FF2B5EF4-FFF2-40B4-BE49-F238E27FC236}">
              <a16:creationId xmlns:a16="http://schemas.microsoft.com/office/drawing/2014/main" xmlns="" id="{D81E18D9-B715-4FAA-89DB-15309A3DED82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09" name="134 CuadroTexto">
          <a:extLst>
            <a:ext uri="{FF2B5EF4-FFF2-40B4-BE49-F238E27FC236}">
              <a16:creationId xmlns:a16="http://schemas.microsoft.com/office/drawing/2014/main" xmlns="" id="{2C501BBB-96D9-475C-862D-4DE851E3CB2D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0" name="135 CuadroTexto">
          <a:extLst>
            <a:ext uri="{FF2B5EF4-FFF2-40B4-BE49-F238E27FC236}">
              <a16:creationId xmlns:a16="http://schemas.microsoft.com/office/drawing/2014/main" xmlns="" id="{A8C229F4-6D1B-4B48-8985-B1A1993F3FA0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1" name="136 CuadroTexto">
          <a:extLst>
            <a:ext uri="{FF2B5EF4-FFF2-40B4-BE49-F238E27FC236}">
              <a16:creationId xmlns:a16="http://schemas.microsoft.com/office/drawing/2014/main" xmlns="" id="{4B65D66E-02DC-4513-8E82-D32837ADFD2F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2" name="137 CuadroTexto">
          <a:extLst>
            <a:ext uri="{FF2B5EF4-FFF2-40B4-BE49-F238E27FC236}">
              <a16:creationId xmlns:a16="http://schemas.microsoft.com/office/drawing/2014/main" xmlns="" id="{1C0582F6-6853-4CFD-935B-381FFCF3EC02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3" name="138 CuadroTexto">
          <a:extLst>
            <a:ext uri="{FF2B5EF4-FFF2-40B4-BE49-F238E27FC236}">
              <a16:creationId xmlns:a16="http://schemas.microsoft.com/office/drawing/2014/main" xmlns="" id="{C64CAC13-8ABF-439C-AD13-2906EE570B8D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4" name="139 CuadroTexto">
          <a:extLst>
            <a:ext uri="{FF2B5EF4-FFF2-40B4-BE49-F238E27FC236}">
              <a16:creationId xmlns:a16="http://schemas.microsoft.com/office/drawing/2014/main" xmlns="" id="{4A6D46D6-7EF4-4649-AD8C-E500EDF3D5FE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5" name="140 CuadroTexto">
          <a:extLst>
            <a:ext uri="{FF2B5EF4-FFF2-40B4-BE49-F238E27FC236}">
              <a16:creationId xmlns:a16="http://schemas.microsoft.com/office/drawing/2014/main" xmlns="" id="{E57356FF-C242-4844-8389-285062B0797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6" name="141 CuadroTexto">
          <a:extLst>
            <a:ext uri="{FF2B5EF4-FFF2-40B4-BE49-F238E27FC236}">
              <a16:creationId xmlns:a16="http://schemas.microsoft.com/office/drawing/2014/main" xmlns="" id="{9ED27935-921E-4937-A8A7-CA962A63EC8A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7" name="142 CuadroTexto">
          <a:extLst>
            <a:ext uri="{FF2B5EF4-FFF2-40B4-BE49-F238E27FC236}">
              <a16:creationId xmlns:a16="http://schemas.microsoft.com/office/drawing/2014/main" xmlns="" id="{3D501DC1-424F-4FFE-83C5-6C3342352DE6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8" name="143 CuadroTexto">
          <a:extLst>
            <a:ext uri="{FF2B5EF4-FFF2-40B4-BE49-F238E27FC236}">
              <a16:creationId xmlns:a16="http://schemas.microsoft.com/office/drawing/2014/main" xmlns="" id="{506B0BDF-2E61-4D1A-A342-02046BDF7EDF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19" name="144 CuadroTexto">
          <a:extLst>
            <a:ext uri="{FF2B5EF4-FFF2-40B4-BE49-F238E27FC236}">
              <a16:creationId xmlns:a16="http://schemas.microsoft.com/office/drawing/2014/main" xmlns="" id="{30E86881-5815-4E44-813A-45167EF914B8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20" name="145 CuadroTexto">
          <a:extLst>
            <a:ext uri="{FF2B5EF4-FFF2-40B4-BE49-F238E27FC236}">
              <a16:creationId xmlns:a16="http://schemas.microsoft.com/office/drawing/2014/main" xmlns="" id="{264DDAC6-F2C7-47E1-A2B2-3DE7EE0D66E6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21" name="146 CuadroTexto">
          <a:extLst>
            <a:ext uri="{FF2B5EF4-FFF2-40B4-BE49-F238E27FC236}">
              <a16:creationId xmlns:a16="http://schemas.microsoft.com/office/drawing/2014/main" xmlns="" id="{8AF8711E-776B-45F3-A5FC-5792C6128C1D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22" name="147 CuadroTexto">
          <a:extLst>
            <a:ext uri="{FF2B5EF4-FFF2-40B4-BE49-F238E27FC236}">
              <a16:creationId xmlns:a16="http://schemas.microsoft.com/office/drawing/2014/main" xmlns="" id="{6E8A785B-EF7D-4F38-8FE0-36EF139D9B34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oneCellAnchor>
    <xdr:from>
      <xdr:col>3</xdr:col>
      <xdr:colOff>571500</xdr:colOff>
      <xdr:row>207</xdr:row>
      <xdr:rowOff>0</xdr:rowOff>
    </xdr:from>
    <xdr:ext cx="184731" cy="264560"/>
    <xdr:sp macro="" textlink="">
      <xdr:nvSpPr>
        <xdr:cNvPr id="223" name="148 CuadroTexto">
          <a:extLst>
            <a:ext uri="{FF2B5EF4-FFF2-40B4-BE49-F238E27FC236}">
              <a16:creationId xmlns:a16="http://schemas.microsoft.com/office/drawing/2014/main" xmlns="" id="{032BC716-0AE0-46D9-A94E-46796549F9A7}"/>
            </a:ext>
          </a:extLst>
        </xdr:cNvPr>
        <xdr:cNvSpPr txBox="1"/>
      </xdr:nvSpPr>
      <xdr:spPr>
        <a:xfrm>
          <a:off x="174117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G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2333625</xdr:colOff>
      <xdr:row>4</xdr:row>
      <xdr:rowOff>28575</xdr:rowOff>
    </xdr:to>
    <xdr:pic>
      <xdr:nvPicPr>
        <xdr:cNvPr id="21962" name="Picture 2">
          <a:extLst>
            <a:ext uri="{FF2B5EF4-FFF2-40B4-BE49-F238E27FC236}">
              <a16:creationId xmlns:a16="http://schemas.microsoft.com/office/drawing/2014/main" xmlns="" id="{00000000-0008-0000-0200-0000CA5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2819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1504950</xdr:colOff>
      <xdr:row>2</xdr:row>
      <xdr:rowOff>238125</xdr:rowOff>
    </xdr:to>
    <xdr:pic>
      <xdr:nvPicPr>
        <xdr:cNvPr id="22982" name="Picture 2">
          <a:extLst>
            <a:ext uri="{FF2B5EF4-FFF2-40B4-BE49-F238E27FC236}">
              <a16:creationId xmlns:a16="http://schemas.microsoft.com/office/drawing/2014/main" xmlns="" id="{00000000-0008-0000-0300-0000C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0"/>
          <a:ext cx="2028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95250</xdr:rowOff>
    </xdr:from>
    <xdr:to>
      <xdr:col>1</xdr:col>
      <xdr:colOff>1352550</xdr:colOff>
      <xdr:row>6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57175"/>
          <a:ext cx="1619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1"/>
  <sheetViews>
    <sheetView showGridLines="0" tabSelected="1" zoomScale="91" zoomScaleNormal="91" workbookViewId="0">
      <selection activeCell="B11" sqref="B11"/>
    </sheetView>
  </sheetViews>
  <sheetFormatPr baseColWidth="10" defaultColWidth="11.5703125" defaultRowHeight="12.75" x14ac:dyDescent="0.2"/>
  <cols>
    <col min="1" max="1" width="6.5703125" style="6" customWidth="1"/>
    <col min="2" max="2" width="42.5703125" style="7" customWidth="1"/>
    <col min="3" max="3" width="27.85546875" style="8" customWidth="1"/>
    <col min="4" max="4" width="12.42578125" style="8" customWidth="1"/>
    <col min="5" max="10" width="15.140625" style="8" customWidth="1"/>
    <col min="11" max="12" width="15.140625" style="8" hidden="1" customWidth="1"/>
    <col min="13" max="16" width="15.140625" style="8" customWidth="1"/>
    <col min="17" max="20" width="15.140625" style="8" hidden="1" customWidth="1"/>
    <col min="21" max="21" width="15.140625" style="8" customWidth="1"/>
    <col min="22" max="22" width="14.42578125" style="8" customWidth="1"/>
    <col min="23" max="23" width="12.140625" style="8" customWidth="1"/>
    <col min="24" max="28" width="11.5703125" style="9" customWidth="1"/>
    <col min="29" max="16384" width="11.5703125" style="9"/>
  </cols>
  <sheetData>
    <row r="1" spans="1:26" ht="19.5" customHeight="1" x14ac:dyDescent="0.2">
      <c r="A1" s="16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6" ht="12.75" customHeight="1" x14ac:dyDescent="0.2">
      <c r="A2" s="169" t="s">
        <v>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6" ht="14.25" customHeight="1" x14ac:dyDescent="0.2">
      <c r="A3" s="169" t="s">
        <v>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6" ht="14.25" customHeight="1" x14ac:dyDescent="0.2">
      <c r="A4" s="169" t="s">
        <v>293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70"/>
      <c r="R4" s="170"/>
      <c r="S4" s="170"/>
      <c r="T4" s="170"/>
      <c r="U4" s="170"/>
      <c r="V4" s="170"/>
      <c r="W4" s="170"/>
      <c r="X4" s="10"/>
      <c r="Y4" s="10"/>
      <c r="Z4" s="10"/>
    </row>
    <row r="5" spans="1:26" ht="14.25" customHeight="1" x14ac:dyDescent="0.2">
      <c r="A5" s="169" t="s">
        <v>868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  <c r="Q5" s="170"/>
      <c r="R5" s="170"/>
      <c r="S5" s="170"/>
      <c r="T5" s="170"/>
      <c r="U5" s="170"/>
      <c r="V5" s="170"/>
      <c r="W5" s="170"/>
      <c r="X5" s="10"/>
      <c r="Y5" s="10"/>
      <c r="Z5" s="10"/>
    </row>
    <row r="6" spans="1:26" ht="14.25" customHeight="1" x14ac:dyDescent="0.2">
      <c r="A6" s="169" t="s">
        <v>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70"/>
      <c r="R6" s="170"/>
      <c r="S6" s="170"/>
      <c r="T6" s="170"/>
      <c r="U6" s="170"/>
      <c r="V6" s="170"/>
      <c r="W6" s="170"/>
      <c r="X6" s="11"/>
      <c r="Y6" s="11"/>
      <c r="Z6" s="11"/>
    </row>
    <row r="7" spans="1:26" ht="13.5" thickBot="1" x14ac:dyDescent="0.25">
      <c r="A7" s="167" t="s">
        <v>1058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  <c r="Q7" s="168"/>
      <c r="R7" s="168"/>
      <c r="S7" s="168"/>
      <c r="T7" s="168"/>
      <c r="U7" s="168"/>
      <c r="V7" s="168"/>
      <c r="W7" s="168"/>
    </row>
    <row r="8" spans="1:26" ht="12.95" customHeight="1" x14ac:dyDescent="0.2">
      <c r="A8" s="159" t="s">
        <v>7</v>
      </c>
      <c r="B8" s="163" t="s">
        <v>11</v>
      </c>
      <c r="C8" s="165" t="s">
        <v>12</v>
      </c>
      <c r="D8" s="163" t="s">
        <v>13</v>
      </c>
      <c r="E8" s="163" t="s">
        <v>3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 t="s">
        <v>22</v>
      </c>
      <c r="R8" s="163"/>
      <c r="S8" s="163"/>
      <c r="T8" s="163"/>
      <c r="U8" s="163"/>
      <c r="V8" s="165" t="s">
        <v>21</v>
      </c>
      <c r="W8" s="161" t="s">
        <v>23</v>
      </c>
    </row>
    <row r="9" spans="1:26" ht="24.75" thickBot="1" x14ac:dyDescent="0.25">
      <c r="A9" s="160"/>
      <c r="B9" s="164"/>
      <c r="C9" s="166"/>
      <c r="D9" s="164"/>
      <c r="E9" s="34" t="s">
        <v>435</v>
      </c>
      <c r="F9" s="34" t="s">
        <v>436</v>
      </c>
      <c r="G9" s="34" t="s">
        <v>14</v>
      </c>
      <c r="H9" s="34" t="s">
        <v>437</v>
      </c>
      <c r="I9" s="34" t="s">
        <v>438</v>
      </c>
      <c r="J9" s="34" t="s">
        <v>15</v>
      </c>
      <c r="K9" s="34" t="s">
        <v>16</v>
      </c>
      <c r="L9" s="34" t="s">
        <v>755</v>
      </c>
      <c r="M9" s="34" t="s">
        <v>17</v>
      </c>
      <c r="N9" s="34" t="s">
        <v>439</v>
      </c>
      <c r="O9" s="34" t="s">
        <v>757</v>
      </c>
      <c r="P9" s="34" t="s">
        <v>8</v>
      </c>
      <c r="Q9" s="34" t="s">
        <v>18</v>
      </c>
      <c r="R9" s="34" t="s">
        <v>735</v>
      </c>
      <c r="S9" s="34" t="s">
        <v>19</v>
      </c>
      <c r="T9" s="34" t="s">
        <v>440</v>
      </c>
      <c r="U9" s="34" t="s">
        <v>20</v>
      </c>
      <c r="V9" s="166"/>
      <c r="W9" s="162"/>
    </row>
    <row r="10" spans="1:26" ht="60.75" customHeight="1" x14ac:dyDescent="0.2">
      <c r="A10" s="133">
        <v>1</v>
      </c>
      <c r="B10" s="57" t="s">
        <v>441</v>
      </c>
      <c r="C10" s="57" t="s">
        <v>442</v>
      </c>
      <c r="D10" s="58">
        <v>2885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7">
        <f>SUM(D10:N10)</f>
        <v>2885</v>
      </c>
      <c r="Q10" s="57">
        <f t="shared" ref="Q10:Q39" si="0">(D10+E10+F10+G10+H10+I10+J10+K10+N10)*3%</f>
        <v>86.55</v>
      </c>
      <c r="R10" s="57">
        <f>(D10+E10+F10+G10+H10+I10+J10+K10+N10)*11%</f>
        <v>317.35000000000002</v>
      </c>
      <c r="S10" s="57" t="s">
        <v>443</v>
      </c>
      <c r="T10" s="57">
        <v>0</v>
      </c>
      <c r="U10" s="23">
        <f>(Q10+R10+T10)</f>
        <v>403.9</v>
      </c>
      <c r="V10" s="23">
        <f t="shared" ref="V10:V72" si="1">P10-U10</f>
        <v>2481.1</v>
      </c>
      <c r="W10" s="23">
        <v>0</v>
      </c>
      <c r="X10" s="130"/>
      <c r="Y10" s="130"/>
      <c r="Z10" s="130"/>
    </row>
    <row r="11" spans="1:26" ht="33.950000000000003" customHeight="1" x14ac:dyDescent="0.2">
      <c r="A11" s="133">
        <v>2</v>
      </c>
      <c r="B11" s="21" t="s">
        <v>444</v>
      </c>
      <c r="C11" s="60" t="s">
        <v>1008</v>
      </c>
      <c r="D11" s="61">
        <v>1074</v>
      </c>
      <c r="E11" s="62">
        <v>1000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600</v>
      </c>
      <c r="M11" s="63">
        <v>250</v>
      </c>
      <c r="N11" s="63">
        <v>0</v>
      </c>
      <c r="O11" s="63">
        <v>0</v>
      </c>
      <c r="P11" s="57">
        <f t="shared" ref="P11:P74" si="2">SUM(D11:N11)</f>
        <v>2924</v>
      </c>
      <c r="Q11" s="60">
        <f>(D11+E11+F11+G11+H11+I11+J11+K11+N11+L11)*3%</f>
        <v>80.22</v>
      </c>
      <c r="R11" s="60">
        <f>(D11+E11+F11+G11+H11+I11+J11+K11+N11+L11)*11%</f>
        <v>294.14</v>
      </c>
      <c r="S11" s="60">
        <v>0</v>
      </c>
      <c r="T11" s="57">
        <v>0</v>
      </c>
      <c r="U11" s="5">
        <f t="shared" ref="U11:U72" si="3">(Q11+R11+T11)</f>
        <v>374.36</v>
      </c>
      <c r="V11" s="5">
        <f t="shared" si="1"/>
        <v>2549.64</v>
      </c>
      <c r="W11" s="23">
        <v>0</v>
      </c>
      <c r="X11" s="130"/>
      <c r="Y11" s="130"/>
      <c r="Z11" s="130"/>
    </row>
    <row r="12" spans="1:26" ht="33.950000000000003" customHeight="1" x14ac:dyDescent="0.2">
      <c r="A12" s="133">
        <v>3</v>
      </c>
      <c r="B12" s="64" t="s">
        <v>446</v>
      </c>
      <c r="C12" s="64" t="s">
        <v>447</v>
      </c>
      <c r="D12" s="63">
        <v>1350</v>
      </c>
      <c r="E12" s="63">
        <v>2000</v>
      </c>
      <c r="F12" s="63">
        <v>0</v>
      </c>
      <c r="G12" s="63">
        <v>0</v>
      </c>
      <c r="H12" s="63">
        <v>1600</v>
      </c>
      <c r="I12" s="63">
        <v>2900</v>
      </c>
      <c r="J12" s="63">
        <v>0</v>
      </c>
      <c r="K12" s="63">
        <v>50</v>
      </c>
      <c r="L12" s="63">
        <v>0</v>
      </c>
      <c r="M12" s="63">
        <v>250</v>
      </c>
      <c r="N12" s="63">
        <v>0</v>
      </c>
      <c r="O12" s="63">
        <v>0</v>
      </c>
      <c r="P12" s="57">
        <f t="shared" si="2"/>
        <v>8150</v>
      </c>
      <c r="Q12" s="60">
        <f t="shared" si="0"/>
        <v>237</v>
      </c>
      <c r="R12" s="60">
        <f>(D12+E12+F12+G12+H12+I12+J12+K12+N12)*13%</f>
        <v>1027</v>
      </c>
      <c r="S12" s="60">
        <v>145.13</v>
      </c>
      <c r="T12" s="57">
        <v>106.18</v>
      </c>
      <c r="U12" s="5">
        <f t="shared" si="3"/>
        <v>1370.18</v>
      </c>
      <c r="V12" s="5">
        <f t="shared" si="1"/>
        <v>6779.82</v>
      </c>
      <c r="W12" s="23">
        <f>517</f>
        <v>517</v>
      </c>
      <c r="X12" s="130"/>
      <c r="Y12" s="130"/>
      <c r="Z12" s="130"/>
    </row>
    <row r="13" spans="1:26" ht="33.950000000000003" customHeight="1" x14ac:dyDescent="0.2">
      <c r="A13" s="133">
        <v>4</v>
      </c>
      <c r="B13" s="60" t="s">
        <v>448</v>
      </c>
      <c r="C13" s="64" t="s">
        <v>447</v>
      </c>
      <c r="D13" s="65">
        <v>1350</v>
      </c>
      <c r="E13" s="63">
        <v>2000</v>
      </c>
      <c r="F13" s="63">
        <v>0</v>
      </c>
      <c r="G13" s="63">
        <v>0</v>
      </c>
      <c r="H13" s="63">
        <v>0</v>
      </c>
      <c r="I13" s="63">
        <v>4500</v>
      </c>
      <c r="J13" s="63">
        <v>0</v>
      </c>
      <c r="K13" s="63">
        <v>0</v>
      </c>
      <c r="L13" s="63">
        <v>0</v>
      </c>
      <c r="M13" s="63">
        <v>250</v>
      </c>
      <c r="N13" s="63">
        <v>0</v>
      </c>
      <c r="O13" s="63">
        <v>0</v>
      </c>
      <c r="P13" s="57">
        <f t="shared" si="2"/>
        <v>8100</v>
      </c>
      <c r="Q13" s="60">
        <f t="shared" si="0"/>
        <v>235.5</v>
      </c>
      <c r="R13" s="60">
        <f>(D13+E13+F13+G13+H13+I13+J13+K13+N13)*13%</f>
        <v>1020.5</v>
      </c>
      <c r="S13" s="60">
        <v>143.03</v>
      </c>
      <c r="T13" s="57">
        <v>0</v>
      </c>
      <c r="U13" s="5">
        <f t="shared" si="3"/>
        <v>1256</v>
      </c>
      <c r="V13" s="5">
        <f t="shared" si="1"/>
        <v>6844</v>
      </c>
      <c r="W13" s="23">
        <v>0</v>
      </c>
      <c r="X13" s="130"/>
      <c r="Y13" s="130"/>
      <c r="Z13" s="130"/>
    </row>
    <row r="14" spans="1:26" ht="33.950000000000003" customHeight="1" x14ac:dyDescent="0.2">
      <c r="A14" s="133">
        <v>5</v>
      </c>
      <c r="B14" s="64" t="s">
        <v>449</v>
      </c>
      <c r="C14" s="64" t="s">
        <v>447</v>
      </c>
      <c r="D14" s="63">
        <v>1350</v>
      </c>
      <c r="E14" s="63">
        <v>2000</v>
      </c>
      <c r="F14" s="63">
        <v>0</v>
      </c>
      <c r="G14" s="63">
        <v>0</v>
      </c>
      <c r="H14" s="63">
        <v>1600</v>
      </c>
      <c r="I14" s="63">
        <v>2900</v>
      </c>
      <c r="J14" s="63">
        <v>0</v>
      </c>
      <c r="K14" s="63">
        <v>0</v>
      </c>
      <c r="L14" s="63">
        <v>0</v>
      </c>
      <c r="M14" s="63">
        <v>250</v>
      </c>
      <c r="N14" s="63">
        <v>0</v>
      </c>
      <c r="O14" s="63">
        <v>0</v>
      </c>
      <c r="P14" s="57">
        <f t="shared" si="2"/>
        <v>8100</v>
      </c>
      <c r="Q14" s="60">
        <f t="shared" si="0"/>
        <v>235.5</v>
      </c>
      <c r="R14" s="60">
        <f>(D14+E14+F14+G14+H14+I14+J14+K14+N14)*13%</f>
        <v>1020.5</v>
      </c>
      <c r="S14" s="60">
        <v>143.03</v>
      </c>
      <c r="T14" s="57">
        <v>0</v>
      </c>
      <c r="U14" s="5">
        <f t="shared" si="3"/>
        <v>1256</v>
      </c>
      <c r="V14" s="5">
        <f t="shared" si="1"/>
        <v>6844</v>
      </c>
      <c r="W14" s="23">
        <f>630</f>
        <v>630</v>
      </c>
      <c r="X14" s="130"/>
      <c r="Y14" s="130"/>
      <c r="Z14" s="130"/>
    </row>
    <row r="15" spans="1:26" ht="33.950000000000003" customHeight="1" x14ac:dyDescent="0.2">
      <c r="A15" s="133">
        <v>6</v>
      </c>
      <c r="B15" s="60" t="s">
        <v>450</v>
      </c>
      <c r="C15" s="60" t="s">
        <v>988</v>
      </c>
      <c r="D15" s="65">
        <v>1634</v>
      </c>
      <c r="E15" s="63">
        <v>2400</v>
      </c>
      <c r="F15" s="63">
        <v>0</v>
      </c>
      <c r="G15" s="63">
        <v>0</v>
      </c>
      <c r="H15" s="63">
        <v>2200</v>
      </c>
      <c r="I15" s="63">
        <v>3200</v>
      </c>
      <c r="J15" s="63">
        <v>0</v>
      </c>
      <c r="K15" s="63">
        <v>75</v>
      </c>
      <c r="L15" s="63">
        <v>0</v>
      </c>
      <c r="M15" s="63">
        <v>250</v>
      </c>
      <c r="N15" s="63">
        <v>0</v>
      </c>
      <c r="O15" s="63">
        <v>0</v>
      </c>
      <c r="P15" s="57">
        <f t="shared" si="2"/>
        <v>9759</v>
      </c>
      <c r="Q15" s="60">
        <f t="shared" si="0"/>
        <v>285.27</v>
      </c>
      <c r="R15" s="60">
        <f>(D15+E15+F15+G15+H15+I15+J15+K15+N15)*14%</f>
        <v>1331.26</v>
      </c>
      <c r="S15" s="60">
        <v>207.96</v>
      </c>
      <c r="T15" s="57">
        <v>0</v>
      </c>
      <c r="U15" s="5">
        <f t="shared" si="3"/>
        <v>1616.53</v>
      </c>
      <c r="V15" s="5">
        <f t="shared" si="1"/>
        <v>8142.47</v>
      </c>
      <c r="W15" s="23">
        <v>0</v>
      </c>
      <c r="X15" s="130"/>
      <c r="Y15" s="130"/>
      <c r="Z15" s="130"/>
    </row>
    <row r="16" spans="1:26" ht="33.950000000000003" customHeight="1" x14ac:dyDescent="0.2">
      <c r="A16" s="133">
        <v>7</v>
      </c>
      <c r="B16" s="60" t="s">
        <v>451</v>
      </c>
      <c r="C16" s="60" t="s">
        <v>744</v>
      </c>
      <c r="D16" s="65">
        <v>1476</v>
      </c>
      <c r="E16" s="63">
        <v>2000</v>
      </c>
      <c r="F16" s="63">
        <v>0</v>
      </c>
      <c r="G16" s="63">
        <v>0</v>
      </c>
      <c r="H16" s="63">
        <v>1900</v>
      </c>
      <c r="I16" s="63">
        <v>2600</v>
      </c>
      <c r="J16" s="63">
        <v>0</v>
      </c>
      <c r="K16" s="63">
        <v>50</v>
      </c>
      <c r="L16" s="63">
        <v>0</v>
      </c>
      <c r="M16" s="63">
        <v>250</v>
      </c>
      <c r="N16" s="63">
        <v>0</v>
      </c>
      <c r="O16" s="63">
        <v>0</v>
      </c>
      <c r="P16" s="57">
        <f t="shared" si="2"/>
        <v>8276</v>
      </c>
      <c r="Q16" s="60">
        <f t="shared" si="0"/>
        <v>240.78</v>
      </c>
      <c r="R16" s="60">
        <f>(D16+E16+F16+G16+H16+I16+J16+K16+N16)*14%</f>
        <v>1123.6400000000001</v>
      </c>
      <c r="S16" s="60">
        <v>146.41</v>
      </c>
      <c r="T16" s="57">
        <v>0</v>
      </c>
      <c r="U16" s="5">
        <f t="shared" si="3"/>
        <v>1364.42</v>
      </c>
      <c r="V16" s="5">
        <f t="shared" si="1"/>
        <v>6911.58</v>
      </c>
      <c r="W16" s="23">
        <v>0</v>
      </c>
      <c r="X16" s="130"/>
      <c r="Y16" s="130"/>
      <c r="Z16" s="130"/>
    </row>
    <row r="17" spans="1:26" ht="33.950000000000003" customHeight="1" x14ac:dyDescent="0.2">
      <c r="A17" s="133">
        <v>8</v>
      </c>
      <c r="B17" s="66" t="s">
        <v>823</v>
      </c>
      <c r="C17" s="67" t="s">
        <v>491</v>
      </c>
      <c r="D17" s="68">
        <v>1223</v>
      </c>
      <c r="E17" s="63">
        <v>0</v>
      </c>
      <c r="F17" s="63">
        <v>0</v>
      </c>
      <c r="G17" s="63">
        <v>0</v>
      </c>
      <c r="H17" s="63">
        <v>1300</v>
      </c>
      <c r="I17" s="63">
        <v>3200</v>
      </c>
      <c r="J17" s="63">
        <v>0</v>
      </c>
      <c r="K17" s="63">
        <v>0</v>
      </c>
      <c r="L17" s="63">
        <v>0</v>
      </c>
      <c r="M17" s="63">
        <v>250</v>
      </c>
      <c r="N17" s="63">
        <v>0</v>
      </c>
      <c r="O17" s="63">
        <v>0</v>
      </c>
      <c r="P17" s="57">
        <f t="shared" si="2"/>
        <v>5973</v>
      </c>
      <c r="Q17" s="60">
        <f t="shared" si="0"/>
        <v>171.69</v>
      </c>
      <c r="R17" s="60">
        <f>(D17+E17+F17+G17+H17+I17+J17+K17+N17)*12%</f>
        <v>686.76</v>
      </c>
      <c r="S17" s="60">
        <v>0</v>
      </c>
      <c r="T17" s="57">
        <v>0</v>
      </c>
      <c r="U17" s="5">
        <f t="shared" si="3"/>
        <v>858.45</v>
      </c>
      <c r="V17" s="5">
        <f t="shared" si="1"/>
        <v>5114.55</v>
      </c>
      <c r="W17" s="23">
        <v>0</v>
      </c>
      <c r="X17" s="130"/>
      <c r="Y17" s="130"/>
      <c r="Z17" s="130"/>
    </row>
    <row r="18" spans="1:26" ht="33.950000000000003" customHeight="1" x14ac:dyDescent="0.2">
      <c r="A18" s="133">
        <v>9</v>
      </c>
      <c r="B18" s="67" t="s">
        <v>752</v>
      </c>
      <c r="C18" s="67" t="s">
        <v>447</v>
      </c>
      <c r="D18" s="65">
        <v>1350</v>
      </c>
      <c r="E18" s="63">
        <v>0</v>
      </c>
      <c r="F18" s="63">
        <v>0</v>
      </c>
      <c r="G18" s="63">
        <v>0</v>
      </c>
      <c r="H18" s="63">
        <v>0</v>
      </c>
      <c r="I18" s="63">
        <v>4500</v>
      </c>
      <c r="J18" s="63">
        <v>0</v>
      </c>
      <c r="K18" s="63">
        <v>0</v>
      </c>
      <c r="L18" s="63">
        <v>0</v>
      </c>
      <c r="M18" s="63">
        <v>250</v>
      </c>
      <c r="N18" s="63">
        <v>0</v>
      </c>
      <c r="O18" s="63">
        <v>0</v>
      </c>
      <c r="P18" s="57">
        <f t="shared" si="2"/>
        <v>6100</v>
      </c>
      <c r="Q18" s="60">
        <f t="shared" si="0"/>
        <v>175.5</v>
      </c>
      <c r="R18" s="60">
        <f>(D18+E18+F18+G18+H18+I18+J18+K18+N18)*12%</f>
        <v>702</v>
      </c>
      <c r="S18" s="60">
        <v>61.96</v>
      </c>
      <c r="T18" s="57">
        <v>0</v>
      </c>
      <c r="U18" s="5">
        <f t="shared" si="3"/>
        <v>877.5</v>
      </c>
      <c r="V18" s="5">
        <f t="shared" si="1"/>
        <v>5222.5</v>
      </c>
      <c r="W18" s="23">
        <v>0</v>
      </c>
      <c r="X18" s="130"/>
      <c r="Y18" s="130"/>
      <c r="Z18" s="130"/>
    </row>
    <row r="19" spans="1:26" ht="45.75" customHeight="1" x14ac:dyDescent="0.2">
      <c r="A19" s="133">
        <v>10</v>
      </c>
      <c r="B19" s="60" t="s">
        <v>453</v>
      </c>
      <c r="C19" s="60" t="s">
        <v>442</v>
      </c>
      <c r="D19" s="65">
        <v>2885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57">
        <f t="shared" si="2"/>
        <v>2885</v>
      </c>
      <c r="Q19" s="60">
        <f t="shared" si="0"/>
        <v>86.55</v>
      </c>
      <c r="R19" s="60">
        <f>(D19+E19+F19+G19+H19+I19+J19+K19+N19)*11%</f>
        <v>317.35000000000002</v>
      </c>
      <c r="S19" s="60" t="s">
        <v>443</v>
      </c>
      <c r="T19" s="57">
        <v>0</v>
      </c>
      <c r="U19" s="5">
        <f t="shared" si="3"/>
        <v>403.9</v>
      </c>
      <c r="V19" s="5">
        <f t="shared" si="1"/>
        <v>2481.1</v>
      </c>
      <c r="W19" s="23">
        <v>0</v>
      </c>
      <c r="X19" s="130"/>
      <c r="Y19" s="130"/>
      <c r="Z19" s="130"/>
    </row>
    <row r="20" spans="1:26" ht="33.950000000000003" customHeight="1" x14ac:dyDescent="0.2">
      <c r="A20" s="133">
        <v>11</v>
      </c>
      <c r="B20" s="60" t="s">
        <v>454</v>
      </c>
      <c r="C20" s="60" t="s">
        <v>988</v>
      </c>
      <c r="D20" s="65">
        <v>1634</v>
      </c>
      <c r="E20" s="63">
        <v>2400</v>
      </c>
      <c r="F20" s="63">
        <v>0</v>
      </c>
      <c r="G20" s="63">
        <v>0</v>
      </c>
      <c r="H20" s="63">
        <v>3000</v>
      </c>
      <c r="I20" s="63">
        <v>2400</v>
      </c>
      <c r="J20" s="63">
        <v>0</v>
      </c>
      <c r="K20" s="63">
        <v>75</v>
      </c>
      <c r="L20" s="63">
        <v>0</v>
      </c>
      <c r="M20" s="63">
        <v>250</v>
      </c>
      <c r="N20" s="63">
        <v>0</v>
      </c>
      <c r="O20" s="63">
        <v>0</v>
      </c>
      <c r="P20" s="57">
        <f t="shared" si="2"/>
        <v>9759</v>
      </c>
      <c r="Q20" s="60">
        <f t="shared" si="0"/>
        <v>285.27</v>
      </c>
      <c r="R20" s="60">
        <f>(D20+E20+F20+G20+H20+I20+J20+K20+N20)*11%</f>
        <v>1045.99</v>
      </c>
      <c r="S20" s="60">
        <v>207.96</v>
      </c>
      <c r="T20" s="57">
        <v>0</v>
      </c>
      <c r="U20" s="5">
        <f t="shared" si="3"/>
        <v>1331.26</v>
      </c>
      <c r="V20" s="5">
        <f t="shared" si="1"/>
        <v>8427.74</v>
      </c>
      <c r="W20" s="23">
        <v>0</v>
      </c>
      <c r="X20" s="130"/>
      <c r="Y20" s="130"/>
      <c r="Z20" s="130"/>
    </row>
    <row r="21" spans="1:26" ht="33.950000000000003" customHeight="1" x14ac:dyDescent="0.2">
      <c r="A21" s="133">
        <v>12</v>
      </c>
      <c r="B21" s="60" t="s">
        <v>455</v>
      </c>
      <c r="C21" s="60" t="s">
        <v>988</v>
      </c>
      <c r="D21" s="65">
        <v>1634</v>
      </c>
      <c r="E21" s="63">
        <v>2400</v>
      </c>
      <c r="F21" s="63">
        <v>0</v>
      </c>
      <c r="G21" s="63">
        <v>0</v>
      </c>
      <c r="H21" s="63">
        <v>0</v>
      </c>
      <c r="I21" s="63">
        <v>5400</v>
      </c>
      <c r="J21" s="63">
        <v>0</v>
      </c>
      <c r="K21" s="63">
        <v>75</v>
      </c>
      <c r="L21" s="63">
        <v>0</v>
      </c>
      <c r="M21" s="63">
        <v>250</v>
      </c>
      <c r="N21" s="63">
        <v>0</v>
      </c>
      <c r="O21" s="63">
        <v>0</v>
      </c>
      <c r="P21" s="57">
        <f t="shared" si="2"/>
        <v>9759</v>
      </c>
      <c r="Q21" s="60">
        <f t="shared" si="0"/>
        <v>285.27</v>
      </c>
      <c r="R21" s="60">
        <f>(D21+E21+F21+G21+H21+I21+J21+K21+N21)*14%</f>
        <v>1331.26</v>
      </c>
      <c r="S21" s="60">
        <v>206.92</v>
      </c>
      <c r="T21" s="57">
        <v>0</v>
      </c>
      <c r="U21" s="5">
        <f t="shared" si="3"/>
        <v>1616.53</v>
      </c>
      <c r="V21" s="5">
        <f t="shared" si="1"/>
        <v>8142.47</v>
      </c>
      <c r="W21" s="23">
        <v>0</v>
      </c>
      <c r="X21" s="130"/>
      <c r="Y21" s="130"/>
      <c r="Z21" s="130"/>
    </row>
    <row r="22" spans="1:26" ht="33.950000000000003" customHeight="1" x14ac:dyDescent="0.2">
      <c r="A22" s="133">
        <v>13</v>
      </c>
      <c r="B22" s="60" t="s">
        <v>456</v>
      </c>
      <c r="C22" s="60" t="s">
        <v>738</v>
      </c>
      <c r="D22" s="65">
        <v>1634</v>
      </c>
      <c r="E22" s="63">
        <v>2000</v>
      </c>
      <c r="F22" s="63">
        <v>0</v>
      </c>
      <c r="G22" s="63">
        <v>0</v>
      </c>
      <c r="H22" s="63">
        <v>0</v>
      </c>
      <c r="I22" s="63">
        <v>5400</v>
      </c>
      <c r="J22" s="63">
        <v>0</v>
      </c>
      <c r="K22" s="63">
        <v>0</v>
      </c>
      <c r="L22" s="63">
        <v>0</v>
      </c>
      <c r="M22" s="63">
        <v>250</v>
      </c>
      <c r="N22" s="63">
        <v>0</v>
      </c>
      <c r="O22" s="63">
        <v>0</v>
      </c>
      <c r="P22" s="57">
        <f t="shared" si="2"/>
        <v>9284</v>
      </c>
      <c r="Q22" s="60">
        <f t="shared" si="0"/>
        <v>271.02</v>
      </c>
      <c r="R22" s="60">
        <f>(D22+E22+F22+G22+H22+I22+J22+K22+N22)*14%</f>
        <v>1264.76</v>
      </c>
      <c r="S22" s="60">
        <v>188.24</v>
      </c>
      <c r="T22" s="57">
        <v>121.42</v>
      </c>
      <c r="U22" s="5">
        <f t="shared" si="3"/>
        <v>1657.2</v>
      </c>
      <c r="V22" s="5">
        <f t="shared" si="1"/>
        <v>7626.8</v>
      </c>
      <c r="W22" s="23">
        <v>0</v>
      </c>
      <c r="X22" s="130"/>
      <c r="Y22" s="130"/>
      <c r="Z22" s="130"/>
    </row>
    <row r="23" spans="1:26" ht="33.950000000000003" customHeight="1" x14ac:dyDescent="0.2">
      <c r="A23" s="133">
        <v>14</v>
      </c>
      <c r="B23" s="64" t="s">
        <v>458</v>
      </c>
      <c r="C23" s="60" t="s">
        <v>744</v>
      </c>
      <c r="D23" s="63">
        <v>1476</v>
      </c>
      <c r="E23" s="63">
        <v>2000</v>
      </c>
      <c r="F23" s="63">
        <v>0</v>
      </c>
      <c r="G23" s="63">
        <v>0</v>
      </c>
      <c r="H23" s="63">
        <v>1900</v>
      </c>
      <c r="I23" s="63">
        <v>2600</v>
      </c>
      <c r="J23" s="63">
        <v>0</v>
      </c>
      <c r="K23" s="63">
        <v>0</v>
      </c>
      <c r="L23" s="63">
        <v>0</v>
      </c>
      <c r="M23" s="63">
        <v>250</v>
      </c>
      <c r="N23" s="63">
        <v>0</v>
      </c>
      <c r="O23" s="63">
        <v>0</v>
      </c>
      <c r="P23" s="57">
        <f t="shared" si="2"/>
        <v>8226</v>
      </c>
      <c r="Q23" s="60">
        <f t="shared" si="0"/>
        <v>239.28</v>
      </c>
      <c r="R23" s="60">
        <f>(D23+E23+F23+G23+H23+I23+J23+K23+N23)*14%</f>
        <v>1116.6400000000001</v>
      </c>
      <c r="S23" s="60">
        <v>148.33000000000001</v>
      </c>
      <c r="T23" s="57">
        <v>0</v>
      </c>
      <c r="U23" s="5">
        <f t="shared" si="3"/>
        <v>1355.92</v>
      </c>
      <c r="V23" s="5">
        <f t="shared" si="1"/>
        <v>6870.08</v>
      </c>
      <c r="W23" s="23">
        <v>0</v>
      </c>
      <c r="X23" s="130"/>
      <c r="Y23" s="130"/>
      <c r="Z23" s="130"/>
    </row>
    <row r="24" spans="1:26" ht="33.950000000000003" customHeight="1" x14ac:dyDescent="0.2">
      <c r="A24" s="133">
        <v>15</v>
      </c>
      <c r="B24" s="64" t="s">
        <v>459</v>
      </c>
      <c r="C24" s="64" t="s">
        <v>744</v>
      </c>
      <c r="D24" s="63">
        <v>1476</v>
      </c>
      <c r="E24" s="63">
        <v>2000</v>
      </c>
      <c r="F24" s="63">
        <v>0</v>
      </c>
      <c r="G24" s="63">
        <v>0</v>
      </c>
      <c r="H24" s="63">
        <v>1900</v>
      </c>
      <c r="I24" s="63">
        <v>2600</v>
      </c>
      <c r="J24" s="63">
        <v>0</v>
      </c>
      <c r="K24" s="63">
        <v>35</v>
      </c>
      <c r="L24" s="63">
        <v>0</v>
      </c>
      <c r="M24" s="63">
        <v>250</v>
      </c>
      <c r="N24" s="63">
        <v>0</v>
      </c>
      <c r="O24" s="63">
        <v>0</v>
      </c>
      <c r="P24" s="57">
        <f t="shared" si="2"/>
        <v>8261</v>
      </c>
      <c r="Q24" s="60">
        <f t="shared" si="0"/>
        <v>240.33</v>
      </c>
      <c r="R24" s="60">
        <f>(D24+E24+F24+G24+H24+I24+J24+K24+N24)*14%</f>
        <v>1121.54</v>
      </c>
      <c r="S24" s="60">
        <v>145.79</v>
      </c>
      <c r="T24" s="57">
        <v>0</v>
      </c>
      <c r="U24" s="5">
        <f t="shared" si="3"/>
        <v>1361.87</v>
      </c>
      <c r="V24" s="5">
        <f t="shared" si="1"/>
        <v>6899.13</v>
      </c>
      <c r="W24" s="23">
        <v>0</v>
      </c>
      <c r="X24" s="130"/>
      <c r="Y24" s="130"/>
      <c r="Z24" s="130"/>
    </row>
    <row r="25" spans="1:26" ht="51" customHeight="1" x14ac:dyDescent="0.2">
      <c r="A25" s="133">
        <v>16</v>
      </c>
      <c r="B25" s="60" t="s">
        <v>460</v>
      </c>
      <c r="C25" s="60" t="s">
        <v>984</v>
      </c>
      <c r="D25" s="65">
        <v>1634</v>
      </c>
      <c r="E25" s="63">
        <v>2400</v>
      </c>
      <c r="F25" s="63">
        <v>0</v>
      </c>
      <c r="G25" s="63">
        <v>0</v>
      </c>
      <c r="H25" s="63">
        <v>2200</v>
      </c>
      <c r="I25" s="63">
        <v>3200</v>
      </c>
      <c r="J25" s="63">
        <v>0</v>
      </c>
      <c r="K25" s="63">
        <v>75</v>
      </c>
      <c r="L25" s="63">
        <v>0</v>
      </c>
      <c r="M25" s="63">
        <v>250</v>
      </c>
      <c r="N25" s="63">
        <v>0</v>
      </c>
      <c r="O25" s="63">
        <v>0</v>
      </c>
      <c r="P25" s="57">
        <f t="shared" si="2"/>
        <v>9759</v>
      </c>
      <c r="Q25" s="60">
        <f t="shared" si="0"/>
        <v>285.27</v>
      </c>
      <c r="R25" s="60">
        <f>(D25+E25+F25+G25+H25+I25+J25+K25+N25)*14%</f>
        <v>1331.26</v>
      </c>
      <c r="S25" s="60">
        <v>207.96</v>
      </c>
      <c r="T25" s="57">
        <v>0</v>
      </c>
      <c r="U25" s="5">
        <f t="shared" si="3"/>
        <v>1616.53</v>
      </c>
      <c r="V25" s="5">
        <f t="shared" si="1"/>
        <v>8142.47</v>
      </c>
      <c r="W25" s="23">
        <v>0</v>
      </c>
      <c r="X25" s="130"/>
      <c r="Y25" s="130"/>
      <c r="Z25" s="130"/>
    </row>
    <row r="26" spans="1:26" ht="33.950000000000003" customHeight="1" x14ac:dyDescent="0.2">
      <c r="A26" s="133">
        <v>17</v>
      </c>
      <c r="B26" s="60" t="s">
        <v>461</v>
      </c>
      <c r="C26" s="60" t="s">
        <v>462</v>
      </c>
      <c r="D26" s="65">
        <v>1105</v>
      </c>
      <c r="E26" s="63">
        <v>671</v>
      </c>
      <c r="F26" s="63">
        <v>0</v>
      </c>
      <c r="G26" s="63">
        <v>1000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250</v>
      </c>
      <c r="N26" s="63">
        <v>0</v>
      </c>
      <c r="O26" s="63">
        <v>0</v>
      </c>
      <c r="P26" s="57">
        <f t="shared" si="2"/>
        <v>3026</v>
      </c>
      <c r="Q26" s="60">
        <f t="shared" si="0"/>
        <v>83.28</v>
      </c>
      <c r="R26" s="60">
        <f>(D26+E26+F26+G26+H26+I26+J26+K26+N26)*11%</f>
        <v>305.36</v>
      </c>
      <c r="S26" s="60">
        <v>0</v>
      </c>
      <c r="T26" s="57">
        <v>0</v>
      </c>
      <c r="U26" s="5">
        <f t="shared" si="3"/>
        <v>388.64</v>
      </c>
      <c r="V26" s="5">
        <f t="shared" si="1"/>
        <v>2637.36</v>
      </c>
      <c r="W26" s="23">
        <v>0</v>
      </c>
      <c r="X26" s="130"/>
      <c r="Y26" s="130"/>
      <c r="Z26" s="130"/>
    </row>
    <row r="27" spans="1:26" ht="33.950000000000003" customHeight="1" x14ac:dyDescent="0.2">
      <c r="A27" s="133">
        <v>18</v>
      </c>
      <c r="B27" s="60" t="s">
        <v>463</v>
      </c>
      <c r="C27" s="60" t="s">
        <v>985</v>
      </c>
      <c r="D27" s="65">
        <v>1476</v>
      </c>
      <c r="E27" s="63">
        <v>2000</v>
      </c>
      <c r="F27" s="63">
        <v>0</v>
      </c>
      <c r="G27" s="63">
        <v>1900</v>
      </c>
      <c r="H27" s="63">
        <v>0</v>
      </c>
      <c r="I27" s="63">
        <v>2600</v>
      </c>
      <c r="J27" s="63">
        <v>0</v>
      </c>
      <c r="K27" s="63">
        <v>50</v>
      </c>
      <c r="L27" s="63">
        <v>0</v>
      </c>
      <c r="M27" s="63">
        <v>250</v>
      </c>
      <c r="N27" s="63">
        <v>0</v>
      </c>
      <c r="O27" s="63">
        <v>0</v>
      </c>
      <c r="P27" s="57">
        <f t="shared" si="2"/>
        <v>8276</v>
      </c>
      <c r="Q27" s="60">
        <f t="shared" si="0"/>
        <v>240.78</v>
      </c>
      <c r="R27" s="60">
        <f>(D27+E27+F27+G27+H27+I27+J27+K27+N27)*14%</f>
        <v>1123.6400000000001</v>
      </c>
      <c r="S27" s="60">
        <v>146.41</v>
      </c>
      <c r="T27" s="57">
        <v>0</v>
      </c>
      <c r="U27" s="5">
        <f t="shared" si="3"/>
        <v>1364.42</v>
      </c>
      <c r="V27" s="5">
        <f t="shared" si="1"/>
        <v>6911.58</v>
      </c>
      <c r="W27" s="23">
        <v>0</v>
      </c>
      <c r="X27" s="130"/>
      <c r="Y27" s="130"/>
      <c r="Z27" s="130"/>
    </row>
    <row r="28" spans="1:26" ht="33.950000000000003" customHeight="1" x14ac:dyDescent="0.2">
      <c r="A28" s="133">
        <v>19</v>
      </c>
      <c r="B28" s="60" t="s">
        <v>464</v>
      </c>
      <c r="C28" s="60" t="s">
        <v>465</v>
      </c>
      <c r="D28" s="65">
        <f>485*6</f>
        <v>2910</v>
      </c>
      <c r="E28" s="63">
        <v>0</v>
      </c>
      <c r="F28" s="63">
        <f>606.25*6</f>
        <v>3637.5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57">
        <f t="shared" si="2"/>
        <v>6547.5</v>
      </c>
      <c r="Q28" s="60">
        <f t="shared" si="0"/>
        <v>196.43</v>
      </c>
      <c r="R28" s="60">
        <f>(D28+E28+F28+G28+H28+I28+J28+K28+N28)*11%</f>
        <v>720.23</v>
      </c>
      <c r="S28" s="60">
        <v>48.18</v>
      </c>
      <c r="T28" s="57">
        <v>0</v>
      </c>
      <c r="U28" s="5">
        <f t="shared" si="3"/>
        <v>916.66</v>
      </c>
      <c r="V28" s="5">
        <f t="shared" si="1"/>
        <v>5630.84</v>
      </c>
      <c r="W28" s="23">
        <v>0</v>
      </c>
      <c r="X28" s="130"/>
      <c r="Y28" s="130"/>
      <c r="Z28" s="130"/>
    </row>
    <row r="29" spans="1:26" ht="47.25" customHeight="1" x14ac:dyDescent="0.2">
      <c r="A29" s="133">
        <v>20</v>
      </c>
      <c r="B29" s="60" t="s">
        <v>466</v>
      </c>
      <c r="C29" s="60" t="s">
        <v>565</v>
      </c>
      <c r="D29" s="65">
        <f>485*3</f>
        <v>1455</v>
      </c>
      <c r="E29" s="63">
        <v>0</v>
      </c>
      <c r="F29" s="63">
        <f>363.75*3</f>
        <v>1091.25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57">
        <f t="shared" si="2"/>
        <v>2546.25</v>
      </c>
      <c r="Q29" s="60">
        <f t="shared" si="0"/>
        <v>76.39</v>
      </c>
      <c r="R29" s="60">
        <f>(D29+E29+F29+G29+H29+I29+J29+K29+N29)*11%</f>
        <v>280.08999999999997</v>
      </c>
      <c r="S29" s="60">
        <v>0</v>
      </c>
      <c r="T29" s="57">
        <v>0</v>
      </c>
      <c r="U29" s="5">
        <f t="shared" si="3"/>
        <v>356.48</v>
      </c>
      <c r="V29" s="5">
        <f t="shared" si="1"/>
        <v>2189.77</v>
      </c>
      <c r="W29" s="23">
        <v>0</v>
      </c>
      <c r="X29" s="130"/>
      <c r="Y29" s="130"/>
      <c r="Z29" s="130"/>
    </row>
    <row r="30" spans="1:26" ht="33.950000000000003" customHeight="1" x14ac:dyDescent="0.2">
      <c r="A30" s="133">
        <v>21</v>
      </c>
      <c r="B30" s="60" t="s">
        <v>467</v>
      </c>
      <c r="C30" s="60" t="s">
        <v>904</v>
      </c>
      <c r="D30" s="65">
        <v>1476</v>
      </c>
      <c r="E30" s="63">
        <v>2000</v>
      </c>
      <c r="F30" s="63">
        <v>0</v>
      </c>
      <c r="G30" s="63">
        <v>1900</v>
      </c>
      <c r="H30" s="63">
        <v>0</v>
      </c>
      <c r="I30" s="63">
        <v>2600</v>
      </c>
      <c r="J30" s="63">
        <v>0</v>
      </c>
      <c r="K30" s="63">
        <v>35</v>
      </c>
      <c r="L30" s="63">
        <v>0</v>
      </c>
      <c r="M30" s="63">
        <v>250</v>
      </c>
      <c r="N30" s="63">
        <v>0</v>
      </c>
      <c r="O30" s="63">
        <v>0</v>
      </c>
      <c r="P30" s="57">
        <f t="shared" si="2"/>
        <v>8261</v>
      </c>
      <c r="Q30" s="60">
        <f t="shared" si="0"/>
        <v>240.33</v>
      </c>
      <c r="R30" s="60">
        <f>(D30+E30+F30+G30+H30+I30+J30+K30+N30)*14%</f>
        <v>1121.54</v>
      </c>
      <c r="S30" s="60">
        <v>145.79</v>
      </c>
      <c r="T30" s="57">
        <v>0</v>
      </c>
      <c r="U30" s="5">
        <f t="shared" si="3"/>
        <v>1361.87</v>
      </c>
      <c r="V30" s="5">
        <f t="shared" si="1"/>
        <v>6899.13</v>
      </c>
      <c r="W30" s="23">
        <v>0</v>
      </c>
      <c r="X30" s="130"/>
      <c r="Y30" s="130"/>
      <c r="Z30" s="130"/>
    </row>
    <row r="31" spans="1:26" ht="33.950000000000003" customHeight="1" x14ac:dyDescent="0.2">
      <c r="A31" s="133">
        <v>22</v>
      </c>
      <c r="B31" s="66" t="s">
        <v>750</v>
      </c>
      <c r="C31" s="67" t="s">
        <v>976</v>
      </c>
      <c r="D31" s="65">
        <v>1074</v>
      </c>
      <c r="E31" s="63">
        <v>0</v>
      </c>
      <c r="F31" s="63">
        <v>0</v>
      </c>
      <c r="G31" s="63">
        <v>1000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250</v>
      </c>
      <c r="N31" s="63">
        <v>0</v>
      </c>
      <c r="O31" s="63">
        <v>0</v>
      </c>
      <c r="P31" s="57">
        <f t="shared" si="2"/>
        <v>2324</v>
      </c>
      <c r="Q31" s="60">
        <f t="shared" si="0"/>
        <v>62.22</v>
      </c>
      <c r="R31" s="60">
        <f>(D31+E31+F31+G31+H31+I31+J31+K31+N31)*11%</f>
        <v>228.14</v>
      </c>
      <c r="S31" s="60">
        <v>0</v>
      </c>
      <c r="T31" s="57">
        <v>0</v>
      </c>
      <c r="U31" s="5">
        <f t="shared" si="3"/>
        <v>290.36</v>
      </c>
      <c r="V31" s="5">
        <f t="shared" si="1"/>
        <v>2033.64</v>
      </c>
      <c r="W31" s="23">
        <v>0</v>
      </c>
      <c r="X31" s="130"/>
      <c r="Y31" s="130"/>
      <c r="Z31" s="130"/>
    </row>
    <row r="32" spans="1:26" ht="33.950000000000003" customHeight="1" x14ac:dyDescent="0.2">
      <c r="A32" s="133">
        <v>23</v>
      </c>
      <c r="B32" s="60" t="s">
        <v>468</v>
      </c>
      <c r="C32" s="64" t="s">
        <v>984</v>
      </c>
      <c r="D32" s="65">
        <v>1634</v>
      </c>
      <c r="E32" s="63">
        <v>2400</v>
      </c>
      <c r="F32" s="63">
        <v>0</v>
      </c>
      <c r="G32" s="63">
        <v>0</v>
      </c>
      <c r="H32" s="63">
        <v>2200</v>
      </c>
      <c r="I32" s="63">
        <v>3200</v>
      </c>
      <c r="J32" s="63">
        <v>0</v>
      </c>
      <c r="K32" s="63">
        <v>75</v>
      </c>
      <c r="L32" s="63">
        <v>0</v>
      </c>
      <c r="M32" s="63">
        <v>250</v>
      </c>
      <c r="N32" s="63">
        <v>0</v>
      </c>
      <c r="O32" s="63">
        <v>0</v>
      </c>
      <c r="P32" s="57">
        <f t="shared" si="2"/>
        <v>9759</v>
      </c>
      <c r="Q32" s="60">
        <f t="shared" si="0"/>
        <v>285.27</v>
      </c>
      <c r="R32" s="60">
        <f>(D32+E32+F32+G32+H32+I32+J32+K32+N32)*14%</f>
        <v>1331.26</v>
      </c>
      <c r="S32" s="60">
        <v>207.62</v>
      </c>
      <c r="T32" s="57">
        <v>0</v>
      </c>
      <c r="U32" s="5">
        <f t="shared" si="3"/>
        <v>1616.53</v>
      </c>
      <c r="V32" s="5">
        <f t="shared" si="1"/>
        <v>8142.47</v>
      </c>
      <c r="W32" s="23">
        <v>0</v>
      </c>
      <c r="X32" s="130"/>
      <c r="Y32" s="130"/>
      <c r="Z32" s="130"/>
    </row>
    <row r="33" spans="1:26" ht="33.950000000000003" customHeight="1" x14ac:dyDescent="0.2">
      <c r="A33" s="133">
        <v>24</v>
      </c>
      <c r="B33" s="60" t="s">
        <v>469</v>
      </c>
      <c r="C33" s="60" t="s">
        <v>988</v>
      </c>
      <c r="D33" s="65">
        <v>1634</v>
      </c>
      <c r="E33" s="63">
        <v>2400</v>
      </c>
      <c r="F33" s="63">
        <v>0</v>
      </c>
      <c r="G33" s="63">
        <v>0</v>
      </c>
      <c r="H33" s="63">
        <v>3000</v>
      </c>
      <c r="I33" s="63">
        <v>2400</v>
      </c>
      <c r="J33" s="63">
        <v>0</v>
      </c>
      <c r="K33" s="63">
        <v>0</v>
      </c>
      <c r="L33" s="63">
        <v>0</v>
      </c>
      <c r="M33" s="63">
        <v>250</v>
      </c>
      <c r="N33" s="63">
        <v>0</v>
      </c>
      <c r="O33" s="63">
        <v>0</v>
      </c>
      <c r="P33" s="57">
        <f t="shared" si="2"/>
        <v>9684</v>
      </c>
      <c r="Q33" s="60">
        <f t="shared" si="0"/>
        <v>283.02</v>
      </c>
      <c r="R33" s="60">
        <f>(D33+E33+F33+G33+H33+I33+J33+K33+N33)*14%</f>
        <v>1320.76</v>
      </c>
      <c r="S33" s="60">
        <v>206.92</v>
      </c>
      <c r="T33" s="57">
        <v>0</v>
      </c>
      <c r="U33" s="5">
        <f t="shared" si="3"/>
        <v>1603.78</v>
      </c>
      <c r="V33" s="5">
        <f t="shared" si="1"/>
        <v>8080.22</v>
      </c>
      <c r="W33" s="23">
        <v>0</v>
      </c>
      <c r="X33" s="130"/>
      <c r="Y33" s="130"/>
      <c r="Z33" s="130"/>
    </row>
    <row r="34" spans="1:26" ht="33.950000000000003" customHeight="1" x14ac:dyDescent="0.2">
      <c r="A34" s="133">
        <v>25</v>
      </c>
      <c r="B34" s="60" t="s">
        <v>470</v>
      </c>
      <c r="C34" s="64" t="s">
        <v>995</v>
      </c>
      <c r="D34" s="65">
        <v>1350</v>
      </c>
      <c r="E34" s="63">
        <f>2000</f>
        <v>2000</v>
      </c>
      <c r="F34" s="63">
        <v>0</v>
      </c>
      <c r="G34" s="63">
        <v>0</v>
      </c>
      <c r="H34" s="63">
        <v>1600</v>
      </c>
      <c r="I34" s="63">
        <f>2900</f>
        <v>2900</v>
      </c>
      <c r="J34" s="63">
        <v>0</v>
      </c>
      <c r="K34" s="63">
        <v>75</v>
      </c>
      <c r="L34" s="63">
        <v>0</v>
      </c>
      <c r="M34" s="63">
        <v>250</v>
      </c>
      <c r="N34" s="63">
        <v>0</v>
      </c>
      <c r="O34" s="63">
        <v>0</v>
      </c>
      <c r="P34" s="57">
        <f t="shared" si="2"/>
        <v>8175</v>
      </c>
      <c r="Q34" s="60">
        <f t="shared" si="0"/>
        <v>237.75</v>
      </c>
      <c r="R34" s="60">
        <f>(D34+E34+F34+G34+H34+I34+J34+K34+N34)*13%</f>
        <v>1030.25</v>
      </c>
      <c r="S34" s="60">
        <v>146.18</v>
      </c>
      <c r="T34" s="57">
        <v>0</v>
      </c>
      <c r="U34" s="5">
        <f t="shared" si="3"/>
        <v>1268</v>
      </c>
      <c r="V34" s="5">
        <f t="shared" si="1"/>
        <v>6907</v>
      </c>
      <c r="W34" s="23">
        <v>0</v>
      </c>
      <c r="X34" s="130"/>
      <c r="Y34" s="130"/>
      <c r="Z34" s="130"/>
    </row>
    <row r="35" spans="1:26" ht="33.950000000000003" customHeight="1" x14ac:dyDescent="0.2">
      <c r="A35" s="133">
        <v>26</v>
      </c>
      <c r="B35" s="60" t="s">
        <v>471</v>
      </c>
      <c r="C35" s="60" t="s">
        <v>1001</v>
      </c>
      <c r="D35" s="65">
        <v>1792</v>
      </c>
      <c r="E35" s="63">
        <v>2500</v>
      </c>
      <c r="F35" s="63">
        <v>0</v>
      </c>
      <c r="G35" s="63">
        <v>2500</v>
      </c>
      <c r="H35" s="63">
        <v>0</v>
      </c>
      <c r="I35" s="63">
        <v>3000</v>
      </c>
      <c r="J35" s="63">
        <v>0</v>
      </c>
      <c r="K35" s="63">
        <v>50</v>
      </c>
      <c r="L35" s="63">
        <v>0</v>
      </c>
      <c r="M35" s="63">
        <v>250</v>
      </c>
      <c r="N35" s="63">
        <v>0</v>
      </c>
      <c r="O35" s="63">
        <v>0</v>
      </c>
      <c r="P35" s="57">
        <f t="shared" si="2"/>
        <v>10092</v>
      </c>
      <c r="Q35" s="60">
        <f t="shared" si="0"/>
        <v>295.26</v>
      </c>
      <c r="R35" s="60">
        <f>(D35+E35+F35+G35+H35+I35+J35+K35+N35)*14%</f>
        <v>1377.88</v>
      </c>
      <c r="S35" s="60">
        <v>221.78</v>
      </c>
      <c r="T35" s="57">
        <v>0</v>
      </c>
      <c r="U35" s="5">
        <f t="shared" si="3"/>
        <v>1673.14</v>
      </c>
      <c r="V35" s="5">
        <f t="shared" si="1"/>
        <v>8418.86</v>
      </c>
      <c r="W35" s="23">
        <f>205.6+206.1</f>
        <v>411.7</v>
      </c>
      <c r="X35" s="130"/>
      <c r="Y35" s="130"/>
      <c r="Z35" s="130"/>
    </row>
    <row r="36" spans="1:26" ht="33.950000000000003" customHeight="1" x14ac:dyDescent="0.2">
      <c r="A36" s="133">
        <v>27</v>
      </c>
      <c r="B36" s="60" t="s">
        <v>472</v>
      </c>
      <c r="C36" s="64" t="s">
        <v>447</v>
      </c>
      <c r="D36" s="65">
        <v>1350</v>
      </c>
      <c r="E36" s="63">
        <v>1500</v>
      </c>
      <c r="F36" s="63">
        <v>0</v>
      </c>
      <c r="G36" s="63">
        <v>0</v>
      </c>
      <c r="H36" s="63">
        <v>0</v>
      </c>
      <c r="I36" s="63">
        <v>4500</v>
      </c>
      <c r="J36" s="63">
        <v>0</v>
      </c>
      <c r="K36" s="63">
        <v>0</v>
      </c>
      <c r="L36" s="63">
        <v>0</v>
      </c>
      <c r="M36" s="63">
        <v>250</v>
      </c>
      <c r="N36" s="63">
        <v>0</v>
      </c>
      <c r="O36" s="63">
        <v>0</v>
      </c>
      <c r="P36" s="57">
        <f t="shared" si="2"/>
        <v>7600</v>
      </c>
      <c r="Q36" s="60">
        <f t="shared" si="0"/>
        <v>220.5</v>
      </c>
      <c r="R36" s="60">
        <f>(D36+E36+F36+G36+H36+I36+J36+K36+N36)*11%</f>
        <v>808.5</v>
      </c>
      <c r="S36" s="60">
        <v>122.03</v>
      </c>
      <c r="T36" s="57">
        <v>0</v>
      </c>
      <c r="U36" s="5">
        <f t="shared" si="3"/>
        <v>1029</v>
      </c>
      <c r="V36" s="5">
        <f t="shared" si="1"/>
        <v>6571</v>
      </c>
      <c r="W36" s="23">
        <v>0</v>
      </c>
      <c r="X36" s="130"/>
      <c r="Y36" s="130"/>
      <c r="Z36" s="130"/>
    </row>
    <row r="37" spans="1:26" ht="33.950000000000003" customHeight="1" x14ac:dyDescent="0.2">
      <c r="A37" s="133">
        <v>28</v>
      </c>
      <c r="B37" s="60" t="s">
        <v>473</v>
      </c>
      <c r="C37" s="69" t="s">
        <v>474</v>
      </c>
      <c r="D37" s="65">
        <v>3525</v>
      </c>
      <c r="E37" s="63">
        <v>1800</v>
      </c>
      <c r="F37" s="63">
        <v>0</v>
      </c>
      <c r="G37" s="63">
        <v>1800</v>
      </c>
      <c r="H37" s="63">
        <v>0</v>
      </c>
      <c r="I37" s="63">
        <v>0</v>
      </c>
      <c r="J37" s="63">
        <v>375</v>
      </c>
      <c r="K37" s="63">
        <v>0</v>
      </c>
      <c r="L37" s="63">
        <v>0</v>
      </c>
      <c r="M37" s="63">
        <v>250</v>
      </c>
      <c r="N37" s="63">
        <v>0</v>
      </c>
      <c r="O37" s="63">
        <v>0</v>
      </c>
      <c r="P37" s="57">
        <f t="shared" si="2"/>
        <v>7750</v>
      </c>
      <c r="Q37" s="60">
        <f t="shared" si="0"/>
        <v>225</v>
      </c>
      <c r="R37" s="60">
        <f>(D37+E37+F37+G37+H37+I37+J37+K37+N37)*13%</f>
        <v>975</v>
      </c>
      <c r="S37" s="60">
        <v>128.33000000000001</v>
      </c>
      <c r="T37" s="57">
        <v>100.8</v>
      </c>
      <c r="U37" s="5">
        <f t="shared" si="3"/>
        <v>1300.8</v>
      </c>
      <c r="V37" s="5">
        <f t="shared" si="1"/>
        <v>6449.2</v>
      </c>
      <c r="W37" s="23">
        <v>0</v>
      </c>
      <c r="X37" s="130"/>
      <c r="Y37" s="130"/>
      <c r="Z37" s="130"/>
    </row>
    <row r="38" spans="1:26" ht="33.950000000000003" customHeight="1" x14ac:dyDescent="0.2">
      <c r="A38" s="133">
        <v>29</v>
      </c>
      <c r="B38" s="60" t="s">
        <v>475</v>
      </c>
      <c r="C38" s="60" t="s">
        <v>744</v>
      </c>
      <c r="D38" s="65">
        <v>1476</v>
      </c>
      <c r="E38" s="63">
        <v>1600</v>
      </c>
      <c r="F38" s="63">
        <v>0</v>
      </c>
      <c r="G38" s="63">
        <v>0</v>
      </c>
      <c r="H38" s="63">
        <v>1900</v>
      </c>
      <c r="I38" s="63">
        <v>0</v>
      </c>
      <c r="J38" s="63">
        <v>0</v>
      </c>
      <c r="K38" s="63">
        <v>75</v>
      </c>
      <c r="L38" s="63">
        <v>0</v>
      </c>
      <c r="M38" s="63">
        <v>250</v>
      </c>
      <c r="N38" s="63">
        <v>0</v>
      </c>
      <c r="O38" s="63">
        <v>0</v>
      </c>
      <c r="P38" s="57">
        <f t="shared" si="2"/>
        <v>5301</v>
      </c>
      <c r="Q38" s="60">
        <f t="shared" si="0"/>
        <v>151.53</v>
      </c>
      <c r="R38" s="60">
        <f>(D38+E38+F38+G38+H38+I38+J38+K38+N38)*12%</f>
        <v>606.12</v>
      </c>
      <c r="S38" s="60">
        <v>26.94</v>
      </c>
      <c r="T38" s="57">
        <v>0</v>
      </c>
      <c r="U38" s="5">
        <f t="shared" si="3"/>
        <v>757.65</v>
      </c>
      <c r="V38" s="5">
        <f t="shared" si="1"/>
        <v>4543.3500000000004</v>
      </c>
      <c r="W38" s="23">
        <f>595</f>
        <v>595</v>
      </c>
      <c r="X38" s="130"/>
      <c r="Y38" s="130"/>
      <c r="Z38" s="130"/>
    </row>
    <row r="39" spans="1:26" ht="45.75" customHeight="1" x14ac:dyDescent="0.2">
      <c r="A39" s="133">
        <v>30</v>
      </c>
      <c r="B39" s="60" t="s">
        <v>476</v>
      </c>
      <c r="C39" s="60" t="s">
        <v>993</v>
      </c>
      <c r="D39" s="65">
        <v>1634</v>
      </c>
      <c r="E39" s="63">
        <v>2400</v>
      </c>
      <c r="F39" s="63">
        <v>0</v>
      </c>
      <c r="G39" s="63">
        <v>0</v>
      </c>
      <c r="H39" s="63">
        <v>2200</v>
      </c>
      <c r="I39" s="63">
        <v>3200</v>
      </c>
      <c r="J39" s="63">
        <v>0</v>
      </c>
      <c r="K39" s="63">
        <v>75</v>
      </c>
      <c r="L39" s="63">
        <v>0</v>
      </c>
      <c r="M39" s="63">
        <v>250</v>
      </c>
      <c r="N39" s="63">
        <v>0</v>
      </c>
      <c r="O39" s="63">
        <v>0</v>
      </c>
      <c r="P39" s="57">
        <f t="shared" si="2"/>
        <v>9759</v>
      </c>
      <c r="Q39" s="60">
        <f t="shared" si="0"/>
        <v>285.27</v>
      </c>
      <c r="R39" s="60">
        <f>(D39+E39+F39+G39+H39+I39+J39+K39+N39)*14%</f>
        <v>1331.26</v>
      </c>
      <c r="S39" s="60">
        <v>207.96</v>
      </c>
      <c r="T39" s="57">
        <v>0</v>
      </c>
      <c r="U39" s="5">
        <f t="shared" si="3"/>
        <v>1616.53</v>
      </c>
      <c r="V39" s="5">
        <f t="shared" si="1"/>
        <v>8142.47</v>
      </c>
      <c r="W39" s="23">
        <v>0</v>
      </c>
      <c r="X39" s="130"/>
      <c r="Y39" s="130"/>
      <c r="Z39" s="130"/>
    </row>
    <row r="40" spans="1:26" ht="33.950000000000003" customHeight="1" x14ac:dyDescent="0.2">
      <c r="A40" s="133">
        <v>31</v>
      </c>
      <c r="B40" s="60" t="s">
        <v>477</v>
      </c>
      <c r="C40" s="60" t="s">
        <v>744</v>
      </c>
      <c r="D40" s="65">
        <v>1476</v>
      </c>
      <c r="E40" s="63">
        <v>2000</v>
      </c>
      <c r="F40" s="63">
        <v>0</v>
      </c>
      <c r="G40" s="63">
        <v>0</v>
      </c>
      <c r="H40" s="63">
        <v>1900</v>
      </c>
      <c r="I40" s="63">
        <v>2600</v>
      </c>
      <c r="J40" s="63">
        <v>0</v>
      </c>
      <c r="K40" s="63">
        <v>50</v>
      </c>
      <c r="L40" s="63">
        <v>0</v>
      </c>
      <c r="M40" s="63">
        <v>250</v>
      </c>
      <c r="N40" s="63">
        <v>0</v>
      </c>
      <c r="O40" s="63">
        <v>0</v>
      </c>
      <c r="P40" s="57">
        <f t="shared" si="2"/>
        <v>8276</v>
      </c>
      <c r="Q40" s="60">
        <f t="shared" ref="Q40:Q48" si="4">(D40+E40+F40+G40+H40+I40+J40+K40+N40)*3%</f>
        <v>240.78</v>
      </c>
      <c r="R40" s="60">
        <f>(D40+E40+F40+G40+H40+I40+J40+K40+N40)*14%</f>
        <v>1123.6400000000001</v>
      </c>
      <c r="S40" s="60">
        <v>146.41</v>
      </c>
      <c r="T40" s="57">
        <v>0</v>
      </c>
      <c r="U40" s="5">
        <f t="shared" si="3"/>
        <v>1364.42</v>
      </c>
      <c r="V40" s="5">
        <f t="shared" si="1"/>
        <v>6911.58</v>
      </c>
      <c r="W40" s="23">
        <v>0</v>
      </c>
      <c r="X40" s="130"/>
      <c r="Y40" s="130"/>
      <c r="Z40" s="130"/>
    </row>
    <row r="41" spans="1:26" ht="33.950000000000003" customHeight="1" x14ac:dyDescent="0.2">
      <c r="A41" s="133">
        <v>32</v>
      </c>
      <c r="B41" s="60" t="s">
        <v>478</v>
      </c>
      <c r="C41" s="60" t="s">
        <v>479</v>
      </c>
      <c r="D41" s="63">
        <v>2885</v>
      </c>
      <c r="E41" s="63">
        <v>0</v>
      </c>
      <c r="F41" s="63">
        <v>2885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57">
        <f t="shared" si="2"/>
        <v>5770</v>
      </c>
      <c r="Q41" s="60">
        <f t="shared" si="4"/>
        <v>173.1</v>
      </c>
      <c r="R41" s="60">
        <f>(D41+E41+F41+G41+H41+I41+J41+K41+N41)*12%</f>
        <v>692.4</v>
      </c>
      <c r="S41" s="60">
        <v>46.06</v>
      </c>
      <c r="T41" s="57">
        <v>0</v>
      </c>
      <c r="U41" s="5">
        <f t="shared" si="3"/>
        <v>865.5</v>
      </c>
      <c r="V41" s="5">
        <f t="shared" si="1"/>
        <v>4904.5</v>
      </c>
      <c r="W41" s="23">
        <v>0</v>
      </c>
      <c r="X41" s="130"/>
      <c r="Y41" s="130"/>
      <c r="Z41" s="130"/>
    </row>
    <row r="42" spans="1:26" ht="33.950000000000003" customHeight="1" x14ac:dyDescent="0.2">
      <c r="A42" s="133">
        <v>33</v>
      </c>
      <c r="B42" s="60" t="s">
        <v>480</v>
      </c>
      <c r="C42" s="64" t="s">
        <v>447</v>
      </c>
      <c r="D42" s="65">
        <v>1350</v>
      </c>
      <c r="E42" s="63">
        <v>2000</v>
      </c>
      <c r="F42" s="63">
        <v>0</v>
      </c>
      <c r="G42" s="63">
        <v>0</v>
      </c>
      <c r="H42" s="63">
        <v>1600</v>
      </c>
      <c r="I42" s="63">
        <v>2900</v>
      </c>
      <c r="J42" s="63">
        <v>0</v>
      </c>
      <c r="K42" s="63">
        <v>75</v>
      </c>
      <c r="L42" s="63">
        <v>0</v>
      </c>
      <c r="M42" s="63">
        <v>250</v>
      </c>
      <c r="N42" s="63">
        <v>0</v>
      </c>
      <c r="O42" s="63">
        <v>0</v>
      </c>
      <c r="P42" s="57">
        <f t="shared" si="2"/>
        <v>8175</v>
      </c>
      <c r="Q42" s="60">
        <f t="shared" si="4"/>
        <v>237.75</v>
      </c>
      <c r="R42" s="60">
        <f>(D42+E42+F42+G42+H42+I42+J42+K42+N42)*13%</f>
        <v>1030.25</v>
      </c>
      <c r="S42" s="60">
        <v>146.18</v>
      </c>
      <c r="T42" s="57">
        <v>0</v>
      </c>
      <c r="U42" s="5">
        <f t="shared" si="3"/>
        <v>1268</v>
      </c>
      <c r="V42" s="5">
        <f t="shared" si="1"/>
        <v>6907</v>
      </c>
      <c r="W42" s="23">
        <f>591</f>
        <v>591</v>
      </c>
      <c r="X42" s="130"/>
      <c r="Y42" s="130"/>
      <c r="Z42" s="130"/>
    </row>
    <row r="43" spans="1:26" ht="48" customHeight="1" x14ac:dyDescent="0.2">
      <c r="A43" s="133">
        <v>34</v>
      </c>
      <c r="B43" s="60" t="s">
        <v>481</v>
      </c>
      <c r="C43" s="60" t="s">
        <v>975</v>
      </c>
      <c r="D43" s="65">
        <v>485</v>
      </c>
      <c r="E43" s="63">
        <v>0</v>
      </c>
      <c r="F43" s="63">
        <v>606.25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57">
        <f t="shared" si="2"/>
        <v>1091.25</v>
      </c>
      <c r="Q43" s="60">
        <f t="shared" si="4"/>
        <v>32.74</v>
      </c>
      <c r="R43" s="60">
        <f>(D43+E43+F43+G43+H43+I43+J43+K43+N43)*10%</f>
        <v>109.13</v>
      </c>
      <c r="S43" s="60">
        <v>0</v>
      </c>
      <c r="T43" s="57">
        <v>0</v>
      </c>
      <c r="U43" s="5">
        <f t="shared" si="3"/>
        <v>141.87</v>
      </c>
      <c r="V43" s="5">
        <f t="shared" si="1"/>
        <v>949.38</v>
      </c>
      <c r="W43" s="23">
        <v>0</v>
      </c>
      <c r="X43" s="130"/>
      <c r="Y43" s="130"/>
      <c r="Z43" s="130"/>
    </row>
    <row r="44" spans="1:26" ht="33.950000000000003" customHeight="1" x14ac:dyDescent="0.2">
      <c r="A44" s="133">
        <v>35</v>
      </c>
      <c r="B44" s="60" t="s">
        <v>482</v>
      </c>
      <c r="C44" s="60" t="s">
        <v>744</v>
      </c>
      <c r="D44" s="65">
        <v>1476</v>
      </c>
      <c r="E44" s="63">
        <v>2000</v>
      </c>
      <c r="F44" s="63">
        <v>0</v>
      </c>
      <c r="G44" s="63">
        <v>0</v>
      </c>
      <c r="H44" s="63">
        <v>1900</v>
      </c>
      <c r="I44" s="63">
        <v>2600</v>
      </c>
      <c r="J44" s="63">
        <v>0</v>
      </c>
      <c r="K44" s="63">
        <v>50</v>
      </c>
      <c r="L44" s="63">
        <v>0</v>
      </c>
      <c r="M44" s="63">
        <v>250</v>
      </c>
      <c r="N44" s="63">
        <v>0</v>
      </c>
      <c r="O44" s="63">
        <v>0</v>
      </c>
      <c r="P44" s="57">
        <f t="shared" si="2"/>
        <v>8276</v>
      </c>
      <c r="Q44" s="60">
        <f t="shared" si="4"/>
        <v>240.78</v>
      </c>
      <c r="R44" s="60">
        <f>(D44+E44+F44+G44+H44+I44+J44+K44+N44)*14%</f>
        <v>1123.6400000000001</v>
      </c>
      <c r="S44" s="60">
        <v>146.41</v>
      </c>
      <c r="T44" s="57">
        <v>0</v>
      </c>
      <c r="U44" s="5">
        <f t="shared" si="3"/>
        <v>1364.42</v>
      </c>
      <c r="V44" s="5">
        <f t="shared" si="1"/>
        <v>6911.58</v>
      </c>
      <c r="W44" s="23">
        <v>0</v>
      </c>
      <c r="X44" s="130"/>
      <c r="Y44" s="130"/>
      <c r="Z44" s="130"/>
    </row>
    <row r="45" spans="1:26" ht="33.950000000000003" customHeight="1" x14ac:dyDescent="0.2">
      <c r="A45" s="133">
        <v>36</v>
      </c>
      <c r="B45" s="60" t="s">
        <v>483</v>
      </c>
      <c r="C45" s="60" t="s">
        <v>988</v>
      </c>
      <c r="D45" s="65">
        <v>1634</v>
      </c>
      <c r="E45" s="63">
        <v>2400</v>
      </c>
      <c r="F45" s="63">
        <v>0</v>
      </c>
      <c r="G45" s="63">
        <v>0</v>
      </c>
      <c r="H45" s="63">
        <v>0</v>
      </c>
      <c r="I45" s="63">
        <v>5400</v>
      </c>
      <c r="J45" s="63">
        <v>0</v>
      </c>
      <c r="K45" s="63">
        <v>0</v>
      </c>
      <c r="L45" s="63">
        <v>0</v>
      </c>
      <c r="M45" s="63">
        <v>250</v>
      </c>
      <c r="N45" s="63">
        <v>0</v>
      </c>
      <c r="O45" s="63">
        <v>0</v>
      </c>
      <c r="P45" s="57">
        <f t="shared" si="2"/>
        <v>9684</v>
      </c>
      <c r="Q45" s="60">
        <f t="shared" si="4"/>
        <v>283.02</v>
      </c>
      <c r="R45" s="60">
        <f>(D45+E45+F45+G45+H45+I45+J45+K45+N45)*14%</f>
        <v>1320.76</v>
      </c>
      <c r="S45" s="60">
        <v>204.84</v>
      </c>
      <c r="T45" s="57">
        <v>126.79</v>
      </c>
      <c r="U45" s="5">
        <f t="shared" si="3"/>
        <v>1730.57</v>
      </c>
      <c r="V45" s="5">
        <f t="shared" si="1"/>
        <v>7953.43</v>
      </c>
      <c r="W45" s="23">
        <v>0</v>
      </c>
      <c r="X45" s="130"/>
      <c r="Y45" s="130"/>
      <c r="Z45" s="130"/>
    </row>
    <row r="46" spans="1:26" ht="33.950000000000003" customHeight="1" x14ac:dyDescent="0.2">
      <c r="A46" s="133">
        <v>37</v>
      </c>
      <c r="B46" s="60" t="s">
        <v>484</v>
      </c>
      <c r="C46" s="60" t="s">
        <v>447</v>
      </c>
      <c r="D46" s="65">
        <v>1350</v>
      </c>
      <c r="E46" s="63">
        <v>2000</v>
      </c>
      <c r="F46" s="63">
        <v>0</v>
      </c>
      <c r="G46" s="63">
        <v>0</v>
      </c>
      <c r="H46" s="63">
        <v>0</v>
      </c>
      <c r="I46" s="63">
        <v>4500</v>
      </c>
      <c r="J46" s="63">
        <v>0</v>
      </c>
      <c r="K46" s="63">
        <v>0</v>
      </c>
      <c r="L46" s="63">
        <v>0</v>
      </c>
      <c r="M46" s="63">
        <v>250</v>
      </c>
      <c r="N46" s="63">
        <v>0</v>
      </c>
      <c r="O46" s="63">
        <v>0</v>
      </c>
      <c r="P46" s="57">
        <f t="shared" si="2"/>
        <v>8100</v>
      </c>
      <c r="Q46" s="60">
        <f t="shared" si="4"/>
        <v>235.5</v>
      </c>
      <c r="R46" s="60">
        <f>(D46+E46+F46+G46+H46+I46+J46+K46+N46)*15%</f>
        <v>1177.5</v>
      </c>
      <c r="S46" s="70">
        <v>143.03</v>
      </c>
      <c r="T46" s="57">
        <v>0</v>
      </c>
      <c r="U46" s="5">
        <f t="shared" si="3"/>
        <v>1413</v>
      </c>
      <c r="V46" s="5">
        <f t="shared" si="1"/>
        <v>6687</v>
      </c>
      <c r="W46" s="23">
        <v>0</v>
      </c>
      <c r="X46" s="130"/>
      <c r="Y46" s="130"/>
      <c r="Z46" s="130"/>
    </row>
    <row r="47" spans="1:26" ht="39.75" customHeight="1" x14ac:dyDescent="0.2">
      <c r="A47" s="133">
        <v>38</v>
      </c>
      <c r="B47" s="60" t="s">
        <v>485</v>
      </c>
      <c r="C47" s="60" t="s">
        <v>565</v>
      </c>
      <c r="D47" s="65">
        <f>485*3</f>
        <v>1455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57">
        <f t="shared" si="2"/>
        <v>1455</v>
      </c>
      <c r="Q47" s="60">
        <f t="shared" si="4"/>
        <v>43.65</v>
      </c>
      <c r="R47" s="60">
        <f>(D47+E47+F47+G47+H47+I47+J47+K47+N47)*10%</f>
        <v>145.5</v>
      </c>
      <c r="S47" s="60">
        <v>0</v>
      </c>
      <c r="T47" s="57">
        <v>0</v>
      </c>
      <c r="U47" s="5">
        <f t="shared" si="3"/>
        <v>189.15</v>
      </c>
      <c r="V47" s="5">
        <f t="shared" si="1"/>
        <v>1265.8499999999999</v>
      </c>
      <c r="W47" s="23">
        <v>0</v>
      </c>
      <c r="X47" s="130"/>
      <c r="Y47" s="130"/>
      <c r="Z47" s="130"/>
    </row>
    <row r="48" spans="1:26" ht="33.950000000000003" customHeight="1" x14ac:dyDescent="0.2">
      <c r="A48" s="133">
        <v>39</v>
      </c>
      <c r="B48" s="60" t="s">
        <v>486</v>
      </c>
      <c r="C48" s="60" t="s">
        <v>487</v>
      </c>
      <c r="D48" s="65">
        <f>(485*4)+1634</f>
        <v>3574</v>
      </c>
      <c r="E48" s="63">
        <v>2400</v>
      </c>
      <c r="F48" s="63">
        <f>606.25*4</f>
        <v>2425</v>
      </c>
      <c r="G48" s="63">
        <v>0</v>
      </c>
      <c r="H48" s="63">
        <v>0</v>
      </c>
      <c r="I48" s="63">
        <v>5400</v>
      </c>
      <c r="J48" s="63">
        <v>0</v>
      </c>
      <c r="K48" s="63">
        <v>0</v>
      </c>
      <c r="L48" s="63">
        <v>0</v>
      </c>
      <c r="M48" s="63">
        <v>250</v>
      </c>
      <c r="N48" s="63">
        <v>0</v>
      </c>
      <c r="O48" s="63">
        <v>0</v>
      </c>
      <c r="P48" s="57">
        <f t="shared" si="2"/>
        <v>14049</v>
      </c>
      <c r="Q48" s="60">
        <f t="shared" si="4"/>
        <v>413.97</v>
      </c>
      <c r="R48" s="60">
        <f>(D48+E48+F48+G48+H48+I48+J48+K48+N48)*15%</f>
        <v>2069.85</v>
      </c>
      <c r="S48" s="60">
        <v>385.99</v>
      </c>
      <c r="T48" s="57">
        <v>0</v>
      </c>
      <c r="U48" s="5">
        <f t="shared" si="3"/>
        <v>2483.8200000000002</v>
      </c>
      <c r="V48" s="5">
        <f t="shared" si="1"/>
        <v>11565.18</v>
      </c>
      <c r="W48" s="23">
        <v>0</v>
      </c>
      <c r="X48" s="130"/>
      <c r="Y48" s="130"/>
      <c r="Z48" s="130"/>
    </row>
    <row r="49" spans="1:26" ht="33.950000000000003" customHeight="1" x14ac:dyDescent="0.2">
      <c r="A49" s="133">
        <v>40</v>
      </c>
      <c r="B49" s="60" t="s">
        <v>488</v>
      </c>
      <c r="C49" s="60" t="s">
        <v>445</v>
      </c>
      <c r="D49" s="65">
        <v>1074</v>
      </c>
      <c r="E49" s="63">
        <v>400</v>
      </c>
      <c r="F49" s="63">
        <v>0</v>
      </c>
      <c r="G49" s="63">
        <v>1000</v>
      </c>
      <c r="H49" s="63">
        <v>0</v>
      </c>
      <c r="I49" s="63">
        <v>0</v>
      </c>
      <c r="J49" s="63">
        <v>0</v>
      </c>
      <c r="K49" s="63">
        <v>0</v>
      </c>
      <c r="L49" s="63">
        <v>200</v>
      </c>
      <c r="M49" s="63">
        <v>250</v>
      </c>
      <c r="N49" s="63">
        <v>0</v>
      </c>
      <c r="O49" s="63">
        <v>0</v>
      </c>
      <c r="P49" s="57">
        <f t="shared" si="2"/>
        <v>2924</v>
      </c>
      <c r="Q49" s="60">
        <f>(D49+E49+F49+G49+H49+I49+J49+K49+N49+L49)*3%</f>
        <v>80.22</v>
      </c>
      <c r="R49" s="60">
        <f>(D49+E49+F49+G49+H49+I49+J49+K49+N49)*11%</f>
        <v>272.14</v>
      </c>
      <c r="S49" s="60">
        <v>0</v>
      </c>
      <c r="T49" s="57">
        <v>0</v>
      </c>
      <c r="U49" s="5">
        <f t="shared" si="3"/>
        <v>352.36</v>
      </c>
      <c r="V49" s="5">
        <f t="shared" si="1"/>
        <v>2571.64</v>
      </c>
      <c r="W49" s="23">
        <v>0</v>
      </c>
      <c r="X49" s="130"/>
      <c r="Y49" s="130"/>
      <c r="Z49" s="130"/>
    </row>
    <row r="50" spans="1:26" ht="33.950000000000003" customHeight="1" x14ac:dyDescent="0.2">
      <c r="A50" s="133">
        <v>41</v>
      </c>
      <c r="B50" s="60" t="s">
        <v>489</v>
      </c>
      <c r="C50" s="60" t="s">
        <v>619</v>
      </c>
      <c r="D50" s="65">
        <v>1350</v>
      </c>
      <c r="E50" s="63">
        <v>2000</v>
      </c>
      <c r="F50" s="63">
        <v>0</v>
      </c>
      <c r="G50" s="63">
        <v>0</v>
      </c>
      <c r="H50" s="63">
        <v>0</v>
      </c>
      <c r="I50" s="63">
        <v>4500</v>
      </c>
      <c r="J50" s="63">
        <v>0</v>
      </c>
      <c r="K50" s="63">
        <v>75</v>
      </c>
      <c r="L50" s="63">
        <v>0</v>
      </c>
      <c r="M50" s="63">
        <v>250</v>
      </c>
      <c r="N50" s="63">
        <v>0</v>
      </c>
      <c r="O50" s="63">
        <v>0</v>
      </c>
      <c r="P50" s="57">
        <f t="shared" si="2"/>
        <v>8175</v>
      </c>
      <c r="Q50" s="60">
        <f>(D50+E50+F50+G50+H50+I50+J50+K50+N50)*3%</f>
        <v>237.75</v>
      </c>
      <c r="R50" s="60">
        <f>(D50+E50+F50+G50+H50+I50+J50+K50+N50)*13%</f>
        <v>1030.25</v>
      </c>
      <c r="S50" s="60">
        <v>146.18</v>
      </c>
      <c r="T50" s="57">
        <v>0</v>
      </c>
      <c r="U50" s="5">
        <f t="shared" si="3"/>
        <v>1268</v>
      </c>
      <c r="V50" s="5">
        <f t="shared" si="1"/>
        <v>6907</v>
      </c>
      <c r="W50" s="23">
        <v>0</v>
      </c>
      <c r="X50" s="130"/>
      <c r="Y50" s="130"/>
      <c r="Z50" s="130"/>
    </row>
    <row r="51" spans="1:26" ht="33.950000000000003" customHeight="1" x14ac:dyDescent="0.2">
      <c r="A51" s="133">
        <v>42</v>
      </c>
      <c r="B51" s="64" t="s">
        <v>490</v>
      </c>
      <c r="C51" s="60" t="s">
        <v>491</v>
      </c>
      <c r="D51" s="63">
        <v>1223</v>
      </c>
      <c r="E51" s="60">
        <v>2000</v>
      </c>
      <c r="F51" s="63">
        <v>0</v>
      </c>
      <c r="G51" s="63">
        <v>0</v>
      </c>
      <c r="H51" s="63">
        <v>1300</v>
      </c>
      <c r="I51" s="63">
        <v>3200</v>
      </c>
      <c r="J51" s="63">
        <v>0</v>
      </c>
      <c r="K51" s="63">
        <v>0</v>
      </c>
      <c r="L51" s="63">
        <v>0</v>
      </c>
      <c r="M51" s="63">
        <v>250</v>
      </c>
      <c r="N51" s="63">
        <v>0</v>
      </c>
      <c r="O51" s="63">
        <v>0</v>
      </c>
      <c r="P51" s="57">
        <f t="shared" si="2"/>
        <v>7973</v>
      </c>
      <c r="Q51" s="60">
        <f>(D51+E51+F51+G51+H51+I51+J51+K51+N51)*3%</f>
        <v>231.69</v>
      </c>
      <c r="R51" s="60">
        <f>(D51+E51+F51+G51+H51+I51+J51+K51+N51)*11%</f>
        <v>849.53</v>
      </c>
      <c r="S51" s="60">
        <v>137.69</v>
      </c>
      <c r="T51" s="57">
        <v>0</v>
      </c>
      <c r="U51" s="5">
        <f t="shared" si="3"/>
        <v>1081.22</v>
      </c>
      <c r="V51" s="5">
        <f t="shared" si="1"/>
        <v>6891.78</v>
      </c>
      <c r="W51" s="23">
        <v>0</v>
      </c>
      <c r="X51" s="130"/>
      <c r="Y51" s="130"/>
      <c r="Z51" s="130"/>
    </row>
    <row r="52" spans="1:26" ht="33.950000000000003" customHeight="1" x14ac:dyDescent="0.2">
      <c r="A52" s="133">
        <v>43</v>
      </c>
      <c r="B52" s="60" t="s">
        <v>492</v>
      </c>
      <c r="C52" s="60" t="s">
        <v>817</v>
      </c>
      <c r="D52" s="65">
        <v>1350</v>
      </c>
      <c r="E52" s="63">
        <f>2000</f>
        <v>2000</v>
      </c>
      <c r="F52" s="63">
        <v>0</v>
      </c>
      <c r="G52" s="63">
        <v>0</v>
      </c>
      <c r="H52" s="63">
        <v>1600</v>
      </c>
      <c r="I52" s="63">
        <v>2900</v>
      </c>
      <c r="J52" s="63">
        <v>0</v>
      </c>
      <c r="K52" s="63">
        <v>0</v>
      </c>
      <c r="L52" s="63">
        <v>0</v>
      </c>
      <c r="M52" s="63">
        <v>250</v>
      </c>
      <c r="N52" s="63">
        <v>0</v>
      </c>
      <c r="O52" s="63">
        <v>0</v>
      </c>
      <c r="P52" s="57">
        <f t="shared" si="2"/>
        <v>8100</v>
      </c>
      <c r="Q52" s="60">
        <f>(D52+E52+F52+G52+H52+I52+J52+K52+N52)*3%</f>
        <v>235.5</v>
      </c>
      <c r="R52" s="60">
        <f>(D52+E52+F52+G52+H52+I52+J52+K52+N52)*13%</f>
        <v>1020.5</v>
      </c>
      <c r="S52" s="60">
        <v>143.34</v>
      </c>
      <c r="T52" s="57">
        <v>0</v>
      </c>
      <c r="U52" s="5">
        <f t="shared" si="3"/>
        <v>1256</v>
      </c>
      <c r="V52" s="5">
        <f t="shared" si="1"/>
        <v>6844</v>
      </c>
      <c r="W52" s="23">
        <v>0</v>
      </c>
      <c r="X52" s="130"/>
      <c r="Y52" s="130"/>
      <c r="Z52" s="130"/>
    </row>
    <row r="53" spans="1:26" ht="33.950000000000003" customHeight="1" x14ac:dyDescent="0.2">
      <c r="A53" s="133">
        <v>44</v>
      </c>
      <c r="B53" s="60" t="s">
        <v>493</v>
      </c>
      <c r="C53" s="64" t="s">
        <v>995</v>
      </c>
      <c r="D53" s="65">
        <v>1350</v>
      </c>
      <c r="E53" s="63">
        <v>2000</v>
      </c>
      <c r="F53" s="63">
        <v>0</v>
      </c>
      <c r="G53" s="63">
        <v>0</v>
      </c>
      <c r="H53" s="63">
        <v>1600</v>
      </c>
      <c r="I53" s="63">
        <v>2900</v>
      </c>
      <c r="J53" s="63">
        <v>0</v>
      </c>
      <c r="K53" s="63">
        <v>0</v>
      </c>
      <c r="L53" s="63">
        <v>0</v>
      </c>
      <c r="M53" s="63">
        <v>250</v>
      </c>
      <c r="N53" s="63">
        <v>0</v>
      </c>
      <c r="O53" s="63">
        <v>0</v>
      </c>
      <c r="P53" s="57">
        <f t="shared" si="2"/>
        <v>8100</v>
      </c>
      <c r="Q53" s="60">
        <f>(D53+E53+F53+G53+H53+I53+J53+K53+N53)*3%</f>
        <v>235.5</v>
      </c>
      <c r="R53" s="60">
        <f>(D53+E53+F53+G53+H53+I53+J53+K53+N53)*13%</f>
        <v>1020.5</v>
      </c>
      <c r="S53" s="60">
        <v>143.03</v>
      </c>
      <c r="T53" s="57">
        <v>0</v>
      </c>
      <c r="U53" s="5">
        <f t="shared" si="3"/>
        <v>1256</v>
      </c>
      <c r="V53" s="5">
        <f t="shared" si="1"/>
        <v>6844</v>
      </c>
      <c r="W53" s="23">
        <v>0</v>
      </c>
      <c r="X53" s="130"/>
      <c r="Y53" s="130"/>
      <c r="Z53" s="130"/>
    </row>
    <row r="54" spans="1:26" ht="33.950000000000003" customHeight="1" x14ac:dyDescent="0.2">
      <c r="A54" s="133">
        <v>45</v>
      </c>
      <c r="B54" s="60" t="s">
        <v>494</v>
      </c>
      <c r="C54" s="60" t="s">
        <v>1005</v>
      </c>
      <c r="D54" s="65">
        <v>1135</v>
      </c>
      <c r="E54" s="63">
        <v>500</v>
      </c>
      <c r="F54" s="63">
        <v>0</v>
      </c>
      <c r="G54" s="63">
        <v>1000</v>
      </c>
      <c r="H54" s="63">
        <v>0</v>
      </c>
      <c r="I54" s="63">
        <v>0</v>
      </c>
      <c r="J54" s="63">
        <v>0</v>
      </c>
      <c r="K54" s="63">
        <v>0</v>
      </c>
      <c r="L54" s="63">
        <v>200</v>
      </c>
      <c r="M54" s="63">
        <v>250</v>
      </c>
      <c r="N54" s="63">
        <v>0</v>
      </c>
      <c r="O54" s="63">
        <v>0</v>
      </c>
      <c r="P54" s="57">
        <f t="shared" si="2"/>
        <v>3085</v>
      </c>
      <c r="Q54" s="60">
        <f>(D54+E54+F54+G54+H54+I54+J54+K54+N54+L54)*3%</f>
        <v>85.05</v>
      </c>
      <c r="R54" s="60">
        <f>(D54+E54+F54+G54+H54+I54+J54+K54+N54+L54)*11%</f>
        <v>311.85000000000002</v>
      </c>
      <c r="S54" s="60">
        <v>0</v>
      </c>
      <c r="T54" s="57">
        <v>0</v>
      </c>
      <c r="U54" s="5">
        <f t="shared" si="3"/>
        <v>396.9</v>
      </c>
      <c r="V54" s="5">
        <f t="shared" si="1"/>
        <v>2688.1</v>
      </c>
      <c r="W54" s="23">
        <v>0</v>
      </c>
      <c r="X54" s="130"/>
      <c r="Y54" s="130"/>
      <c r="Z54" s="130"/>
    </row>
    <row r="55" spans="1:26" ht="33.950000000000003" customHeight="1" x14ac:dyDescent="0.2">
      <c r="A55" s="133">
        <v>46</v>
      </c>
      <c r="B55" s="60" t="s">
        <v>495</v>
      </c>
      <c r="C55" s="60" t="s">
        <v>1005</v>
      </c>
      <c r="D55" s="65">
        <v>1135</v>
      </c>
      <c r="E55" s="63">
        <v>400</v>
      </c>
      <c r="F55" s="63">
        <v>0</v>
      </c>
      <c r="G55" s="63">
        <v>1000</v>
      </c>
      <c r="H55" s="63">
        <v>0</v>
      </c>
      <c r="I55" s="63">
        <v>0</v>
      </c>
      <c r="J55" s="63">
        <v>0</v>
      </c>
      <c r="K55" s="63">
        <v>75</v>
      </c>
      <c r="L55" s="63">
        <v>0</v>
      </c>
      <c r="M55" s="63">
        <v>250</v>
      </c>
      <c r="N55" s="63">
        <v>0</v>
      </c>
      <c r="O55" s="63">
        <v>0</v>
      </c>
      <c r="P55" s="57">
        <f t="shared" si="2"/>
        <v>2860</v>
      </c>
      <c r="Q55" s="60">
        <f t="shared" ref="Q55:Q63" si="5">(D55+E55+F55+G55+H55+I55+J55+K55+N55)*3%</f>
        <v>78.3</v>
      </c>
      <c r="R55" s="60">
        <f>(D55+E55+F55+G55+H55+I55+J55+K55+N55)*11%</f>
        <v>287.10000000000002</v>
      </c>
      <c r="S55" s="60">
        <v>0</v>
      </c>
      <c r="T55" s="57">
        <v>0</v>
      </c>
      <c r="U55" s="5">
        <f t="shared" si="3"/>
        <v>365.4</v>
      </c>
      <c r="V55" s="5">
        <f t="shared" si="1"/>
        <v>2494.6</v>
      </c>
      <c r="W55" s="23">
        <v>0</v>
      </c>
      <c r="X55" s="130"/>
      <c r="Y55" s="130"/>
      <c r="Z55" s="130"/>
    </row>
    <row r="56" spans="1:26" ht="33.950000000000003" customHeight="1" x14ac:dyDescent="0.2">
      <c r="A56" s="133">
        <v>47</v>
      </c>
      <c r="B56" s="60" t="s">
        <v>496</v>
      </c>
      <c r="C56" s="60" t="s">
        <v>744</v>
      </c>
      <c r="D56" s="65">
        <v>1476</v>
      </c>
      <c r="E56" s="63">
        <v>2000</v>
      </c>
      <c r="F56" s="63">
        <v>0</v>
      </c>
      <c r="G56" s="63">
        <v>0</v>
      </c>
      <c r="H56" s="63">
        <v>1900</v>
      </c>
      <c r="I56" s="63">
        <v>2600</v>
      </c>
      <c r="J56" s="63">
        <v>0</v>
      </c>
      <c r="K56" s="63">
        <v>50</v>
      </c>
      <c r="L56" s="63">
        <v>0</v>
      </c>
      <c r="M56" s="63">
        <v>250</v>
      </c>
      <c r="N56" s="63">
        <v>0</v>
      </c>
      <c r="O56" s="63">
        <v>0</v>
      </c>
      <c r="P56" s="57">
        <f t="shared" si="2"/>
        <v>8276</v>
      </c>
      <c r="Q56" s="60">
        <f t="shared" si="5"/>
        <v>240.78</v>
      </c>
      <c r="R56" s="60">
        <f>(D56+E56+F56+G56+H56+I56+J56+K56+N56)*14%</f>
        <v>1123.6400000000001</v>
      </c>
      <c r="S56" s="60">
        <v>146.41</v>
      </c>
      <c r="T56" s="57">
        <v>0</v>
      </c>
      <c r="U56" s="5">
        <f t="shared" si="3"/>
        <v>1364.42</v>
      </c>
      <c r="V56" s="5">
        <f t="shared" si="1"/>
        <v>6911.58</v>
      </c>
      <c r="W56" s="23">
        <v>0</v>
      </c>
      <c r="X56" s="130"/>
      <c r="Y56" s="130"/>
      <c r="Z56" s="130"/>
    </row>
    <row r="57" spans="1:26" ht="33.950000000000003" customHeight="1" x14ac:dyDescent="0.2">
      <c r="A57" s="133">
        <v>48</v>
      </c>
      <c r="B57" s="60" t="s">
        <v>497</v>
      </c>
      <c r="C57" s="60" t="s">
        <v>619</v>
      </c>
      <c r="D57" s="65">
        <v>1350</v>
      </c>
      <c r="E57" s="63">
        <v>2000</v>
      </c>
      <c r="F57" s="63">
        <v>0</v>
      </c>
      <c r="G57" s="63">
        <v>0</v>
      </c>
      <c r="H57" s="63">
        <v>0</v>
      </c>
      <c r="I57" s="63">
        <v>4500</v>
      </c>
      <c r="J57" s="63">
        <v>0</v>
      </c>
      <c r="K57" s="63">
        <v>0</v>
      </c>
      <c r="L57" s="63">
        <v>0</v>
      </c>
      <c r="M57" s="63">
        <v>250</v>
      </c>
      <c r="N57" s="63">
        <v>0</v>
      </c>
      <c r="O57" s="63">
        <v>0</v>
      </c>
      <c r="P57" s="57">
        <f t="shared" si="2"/>
        <v>8100</v>
      </c>
      <c r="Q57" s="60">
        <f t="shared" si="5"/>
        <v>235.5</v>
      </c>
      <c r="R57" s="60">
        <f>(D57+E57+F57+G57+H57+I57+J57+K57+N57)*13%</f>
        <v>1020.5</v>
      </c>
      <c r="S57" s="60">
        <v>143.03</v>
      </c>
      <c r="T57" s="57">
        <v>0</v>
      </c>
      <c r="U57" s="5">
        <f t="shared" si="3"/>
        <v>1256</v>
      </c>
      <c r="V57" s="5">
        <f t="shared" si="1"/>
        <v>6844</v>
      </c>
      <c r="W57" s="23">
        <v>0</v>
      </c>
      <c r="X57" s="130"/>
      <c r="Y57" s="130"/>
      <c r="Z57" s="130"/>
    </row>
    <row r="58" spans="1:26" ht="49.5" customHeight="1" x14ac:dyDescent="0.2">
      <c r="A58" s="133">
        <v>49</v>
      </c>
      <c r="B58" s="64" t="s">
        <v>498</v>
      </c>
      <c r="C58" s="64" t="s">
        <v>996</v>
      </c>
      <c r="D58" s="63">
        <v>2441</v>
      </c>
      <c r="E58" s="63">
        <v>1000</v>
      </c>
      <c r="F58" s="63">
        <v>0</v>
      </c>
      <c r="G58" s="63">
        <v>1000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250</v>
      </c>
      <c r="N58" s="63">
        <v>0</v>
      </c>
      <c r="O58" s="63">
        <v>0</v>
      </c>
      <c r="P58" s="57">
        <f t="shared" si="2"/>
        <v>4691</v>
      </c>
      <c r="Q58" s="60">
        <f t="shared" si="5"/>
        <v>133.22999999999999</v>
      </c>
      <c r="R58" s="60">
        <f>(D58+E58+F58+G58+H58+I58+J58+K58+N58)*12%</f>
        <v>532.91999999999996</v>
      </c>
      <c r="S58" s="60">
        <v>0</v>
      </c>
      <c r="T58" s="57">
        <v>0</v>
      </c>
      <c r="U58" s="5">
        <f t="shared" si="3"/>
        <v>666.15</v>
      </c>
      <c r="V58" s="5">
        <f t="shared" si="1"/>
        <v>4024.85</v>
      </c>
      <c r="W58" s="23">
        <v>0</v>
      </c>
      <c r="X58" s="130"/>
      <c r="Y58" s="130"/>
      <c r="Z58" s="130"/>
    </row>
    <row r="59" spans="1:26" ht="33.950000000000003" customHeight="1" x14ac:dyDescent="0.2">
      <c r="A59" s="133">
        <v>50</v>
      </c>
      <c r="B59" s="60" t="s">
        <v>499</v>
      </c>
      <c r="C59" s="64" t="s">
        <v>447</v>
      </c>
      <c r="D59" s="65">
        <v>1350</v>
      </c>
      <c r="E59" s="63">
        <v>2000</v>
      </c>
      <c r="F59" s="63">
        <v>0</v>
      </c>
      <c r="G59" s="63">
        <v>0</v>
      </c>
      <c r="H59" s="63">
        <v>1600</v>
      </c>
      <c r="I59" s="63">
        <v>2900</v>
      </c>
      <c r="J59" s="63">
        <v>0</v>
      </c>
      <c r="K59" s="63">
        <v>75</v>
      </c>
      <c r="L59" s="63">
        <v>0</v>
      </c>
      <c r="M59" s="63">
        <v>250</v>
      </c>
      <c r="N59" s="63">
        <v>0</v>
      </c>
      <c r="O59" s="63">
        <v>0</v>
      </c>
      <c r="P59" s="57">
        <f t="shared" si="2"/>
        <v>8175</v>
      </c>
      <c r="Q59" s="60">
        <f t="shared" si="5"/>
        <v>237.75</v>
      </c>
      <c r="R59" s="60">
        <f>(D59+E59+F59+G59+H59+I59+J59+K59+N59)*13%</f>
        <v>1030.25</v>
      </c>
      <c r="S59" s="60">
        <v>146.18</v>
      </c>
      <c r="T59" s="57">
        <v>0</v>
      </c>
      <c r="U59" s="5">
        <f t="shared" si="3"/>
        <v>1268</v>
      </c>
      <c r="V59" s="5">
        <f t="shared" si="1"/>
        <v>6907</v>
      </c>
      <c r="W59" s="23">
        <f>339</f>
        <v>339</v>
      </c>
      <c r="X59" s="130"/>
      <c r="Y59" s="130"/>
      <c r="Z59" s="130"/>
    </row>
    <row r="60" spans="1:26" ht="33.950000000000003" customHeight="1" x14ac:dyDescent="0.2">
      <c r="A60" s="133">
        <v>51</v>
      </c>
      <c r="B60" s="60" t="s">
        <v>500</v>
      </c>
      <c r="C60" s="60" t="s">
        <v>452</v>
      </c>
      <c r="D60" s="65">
        <v>1476</v>
      </c>
      <c r="E60" s="63">
        <v>2000</v>
      </c>
      <c r="F60" s="63">
        <v>0</v>
      </c>
      <c r="G60" s="63">
        <v>1900</v>
      </c>
      <c r="H60" s="63">
        <v>0</v>
      </c>
      <c r="I60" s="63">
        <v>2600</v>
      </c>
      <c r="J60" s="63">
        <v>0</v>
      </c>
      <c r="K60" s="63">
        <v>50</v>
      </c>
      <c r="L60" s="63">
        <v>0</v>
      </c>
      <c r="M60" s="63">
        <v>250</v>
      </c>
      <c r="N60" s="63">
        <v>0</v>
      </c>
      <c r="O60" s="63">
        <v>0</v>
      </c>
      <c r="P60" s="57">
        <f t="shared" si="2"/>
        <v>8276</v>
      </c>
      <c r="Q60" s="60">
        <f t="shared" si="5"/>
        <v>240.78</v>
      </c>
      <c r="R60" s="60">
        <f>(D60+E60+F60+G60+H60+I60+J60+K60+N60)*14%</f>
        <v>1123.6400000000001</v>
      </c>
      <c r="S60" s="60">
        <v>146.41</v>
      </c>
      <c r="T60" s="57">
        <v>0</v>
      </c>
      <c r="U60" s="5">
        <f t="shared" si="3"/>
        <v>1364.42</v>
      </c>
      <c r="V60" s="5">
        <f t="shared" si="1"/>
        <v>6911.58</v>
      </c>
      <c r="W60" s="23">
        <v>0</v>
      </c>
      <c r="X60" s="130"/>
      <c r="Y60" s="130"/>
      <c r="Z60" s="130"/>
    </row>
    <row r="61" spans="1:26" ht="33.950000000000003" customHeight="1" x14ac:dyDescent="0.2">
      <c r="A61" s="133">
        <v>52</v>
      </c>
      <c r="B61" s="60" t="s">
        <v>501</v>
      </c>
      <c r="C61" s="60" t="s">
        <v>992</v>
      </c>
      <c r="D61" s="65">
        <v>1476</v>
      </c>
      <c r="E61" s="63">
        <v>2000</v>
      </c>
      <c r="F61" s="63">
        <v>0</v>
      </c>
      <c r="G61" s="63">
        <v>0</v>
      </c>
      <c r="H61" s="63">
        <v>1900</v>
      </c>
      <c r="I61" s="63">
        <v>2600</v>
      </c>
      <c r="J61" s="63">
        <v>0</v>
      </c>
      <c r="K61" s="63">
        <v>75</v>
      </c>
      <c r="L61" s="63">
        <v>0</v>
      </c>
      <c r="M61" s="63">
        <v>250</v>
      </c>
      <c r="N61" s="63">
        <v>0</v>
      </c>
      <c r="O61" s="63">
        <v>0</v>
      </c>
      <c r="P61" s="57">
        <f t="shared" si="2"/>
        <v>8301</v>
      </c>
      <c r="Q61" s="60">
        <f t="shared" si="5"/>
        <v>241.53</v>
      </c>
      <c r="R61" s="60">
        <f>(D61+E61+F61+G61+H61+I61+J61+K61+N61)*14%</f>
        <v>1127.1400000000001</v>
      </c>
      <c r="S61" s="60">
        <v>160.85</v>
      </c>
      <c r="T61" s="57">
        <v>0</v>
      </c>
      <c r="U61" s="5">
        <f t="shared" si="3"/>
        <v>1368.67</v>
      </c>
      <c r="V61" s="5">
        <f t="shared" si="1"/>
        <v>6932.33</v>
      </c>
      <c r="W61" s="23">
        <v>0</v>
      </c>
      <c r="X61" s="130"/>
      <c r="Y61" s="130"/>
      <c r="Z61" s="130"/>
    </row>
    <row r="62" spans="1:26" ht="51.75" customHeight="1" x14ac:dyDescent="0.2">
      <c r="A62" s="133">
        <v>53</v>
      </c>
      <c r="B62" s="64" t="s">
        <v>502</v>
      </c>
      <c r="C62" s="64" t="s">
        <v>975</v>
      </c>
      <c r="D62" s="63">
        <f>485*4</f>
        <v>1940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57">
        <f t="shared" si="2"/>
        <v>1940</v>
      </c>
      <c r="Q62" s="60">
        <f t="shared" si="5"/>
        <v>58.2</v>
      </c>
      <c r="R62" s="60">
        <f>(D62+E62+F62+G62+H62+I62+J62+K62+N62)*10%</f>
        <v>194</v>
      </c>
      <c r="S62" s="60">
        <v>0</v>
      </c>
      <c r="T62" s="57">
        <v>0</v>
      </c>
      <c r="U62" s="5">
        <f t="shared" si="3"/>
        <v>252.2</v>
      </c>
      <c r="V62" s="5">
        <f t="shared" si="1"/>
        <v>1687.8</v>
      </c>
      <c r="W62" s="23">
        <v>0</v>
      </c>
      <c r="X62" s="130"/>
      <c r="Y62" s="130"/>
      <c r="Z62" s="130"/>
    </row>
    <row r="63" spans="1:26" ht="33.950000000000003" customHeight="1" x14ac:dyDescent="0.2">
      <c r="A63" s="133">
        <v>54</v>
      </c>
      <c r="B63" s="60" t="s">
        <v>503</v>
      </c>
      <c r="C63" s="64" t="s">
        <v>984</v>
      </c>
      <c r="D63" s="65">
        <v>1634</v>
      </c>
      <c r="E63" s="63">
        <v>2400</v>
      </c>
      <c r="F63" s="63">
        <v>0</v>
      </c>
      <c r="G63" s="63">
        <v>0</v>
      </c>
      <c r="H63" s="63">
        <v>2200</v>
      </c>
      <c r="I63" s="63">
        <v>3200</v>
      </c>
      <c r="J63" s="63">
        <v>0</v>
      </c>
      <c r="K63" s="63">
        <v>75</v>
      </c>
      <c r="L63" s="63">
        <v>0</v>
      </c>
      <c r="M63" s="63">
        <v>250</v>
      </c>
      <c r="N63" s="63">
        <v>0</v>
      </c>
      <c r="O63" s="63">
        <v>0</v>
      </c>
      <c r="P63" s="57">
        <f t="shared" si="2"/>
        <v>9759</v>
      </c>
      <c r="Q63" s="60">
        <f t="shared" si="5"/>
        <v>285.27</v>
      </c>
      <c r="R63" s="60">
        <f>(D63+E63+F63+G63+H63+I63+J63+K63+N63)*14%</f>
        <v>1331.26</v>
      </c>
      <c r="S63" s="60">
        <v>207.96</v>
      </c>
      <c r="T63" s="57">
        <v>0</v>
      </c>
      <c r="U63" s="5">
        <f t="shared" si="3"/>
        <v>1616.53</v>
      </c>
      <c r="V63" s="5">
        <f t="shared" si="1"/>
        <v>8142.47</v>
      </c>
      <c r="W63" s="23">
        <v>0</v>
      </c>
      <c r="X63" s="130"/>
      <c r="Y63" s="130"/>
      <c r="Z63" s="130"/>
    </row>
    <row r="64" spans="1:26" ht="33.950000000000003" customHeight="1" x14ac:dyDescent="0.2">
      <c r="A64" s="133">
        <v>55</v>
      </c>
      <c r="B64" s="60" t="s">
        <v>504</v>
      </c>
      <c r="C64" s="60" t="s">
        <v>1008</v>
      </c>
      <c r="D64" s="65">
        <v>1074</v>
      </c>
      <c r="E64" s="63">
        <v>400</v>
      </c>
      <c r="F64" s="63">
        <v>0</v>
      </c>
      <c r="G64" s="63">
        <v>1000</v>
      </c>
      <c r="H64" s="63">
        <v>0</v>
      </c>
      <c r="I64" s="63">
        <v>0</v>
      </c>
      <c r="J64" s="63">
        <v>0</v>
      </c>
      <c r="K64" s="63">
        <v>0</v>
      </c>
      <c r="L64" s="63">
        <v>200</v>
      </c>
      <c r="M64" s="63">
        <v>250</v>
      </c>
      <c r="N64" s="63">
        <v>0</v>
      </c>
      <c r="O64" s="63">
        <v>0</v>
      </c>
      <c r="P64" s="57">
        <f t="shared" si="2"/>
        <v>2924</v>
      </c>
      <c r="Q64" s="60">
        <f>(D64+E64+F64+G64+H64+I64+J64+K64+N64+L64)*3%</f>
        <v>80.22</v>
      </c>
      <c r="R64" s="60">
        <f>(D64+E64+F64+G64+H64+I64+J64+K64+N64+L64)*11%</f>
        <v>294.14</v>
      </c>
      <c r="S64" s="60">
        <v>0</v>
      </c>
      <c r="T64" s="57">
        <v>0</v>
      </c>
      <c r="U64" s="5">
        <f t="shared" si="3"/>
        <v>374.36</v>
      </c>
      <c r="V64" s="5">
        <f t="shared" si="1"/>
        <v>2549.64</v>
      </c>
      <c r="W64" s="23">
        <v>0</v>
      </c>
      <c r="X64" s="130"/>
      <c r="Y64" s="130"/>
      <c r="Z64" s="130"/>
    </row>
    <row r="65" spans="1:26" ht="33.950000000000003" customHeight="1" x14ac:dyDescent="0.2">
      <c r="A65" s="133">
        <v>56</v>
      </c>
      <c r="B65" s="60" t="s">
        <v>505</v>
      </c>
      <c r="C65" s="60" t="s">
        <v>447</v>
      </c>
      <c r="D65" s="65">
        <v>1350</v>
      </c>
      <c r="E65" s="63">
        <v>2000</v>
      </c>
      <c r="F65" s="63">
        <v>0</v>
      </c>
      <c r="G65" s="63">
        <v>0</v>
      </c>
      <c r="H65" s="63">
        <v>0</v>
      </c>
      <c r="I65" s="63">
        <v>4500</v>
      </c>
      <c r="J65" s="63">
        <v>0</v>
      </c>
      <c r="K65" s="63">
        <v>0</v>
      </c>
      <c r="L65" s="63">
        <v>0</v>
      </c>
      <c r="M65" s="63">
        <v>250</v>
      </c>
      <c r="N65" s="63">
        <v>0</v>
      </c>
      <c r="O65" s="63">
        <v>0</v>
      </c>
      <c r="P65" s="57">
        <f t="shared" si="2"/>
        <v>8100</v>
      </c>
      <c r="Q65" s="60">
        <f>(D65+E65+F65+G65+H65+I65+J65+K65+N65)*3%</f>
        <v>235.5</v>
      </c>
      <c r="R65" s="60">
        <f>(D65+E65+F65+G65+H65+I65+J65+K65+N65)*13%</f>
        <v>1020.5</v>
      </c>
      <c r="S65" s="60">
        <v>174.5</v>
      </c>
      <c r="T65" s="57">
        <v>0</v>
      </c>
      <c r="U65" s="5">
        <f t="shared" si="3"/>
        <v>1256</v>
      </c>
      <c r="V65" s="5">
        <f t="shared" si="1"/>
        <v>6844</v>
      </c>
      <c r="W65" s="23">
        <v>0</v>
      </c>
      <c r="X65" s="130"/>
      <c r="Y65" s="130"/>
      <c r="Z65" s="130"/>
    </row>
    <row r="66" spans="1:26" ht="33.950000000000003" customHeight="1" x14ac:dyDescent="0.2">
      <c r="A66" s="133">
        <v>57</v>
      </c>
      <c r="B66" s="60" t="s">
        <v>506</v>
      </c>
      <c r="C66" s="64" t="s">
        <v>447</v>
      </c>
      <c r="D66" s="65">
        <v>1350</v>
      </c>
      <c r="E66" s="63">
        <v>2000</v>
      </c>
      <c r="F66" s="63">
        <v>0</v>
      </c>
      <c r="G66" s="63">
        <v>0</v>
      </c>
      <c r="H66" s="63">
        <v>1600</v>
      </c>
      <c r="I66" s="63">
        <v>2900</v>
      </c>
      <c r="J66" s="63">
        <v>0</v>
      </c>
      <c r="K66" s="63">
        <v>0</v>
      </c>
      <c r="L66" s="63">
        <v>0</v>
      </c>
      <c r="M66" s="63">
        <v>250</v>
      </c>
      <c r="N66" s="63">
        <v>0</v>
      </c>
      <c r="O66" s="63">
        <v>0</v>
      </c>
      <c r="P66" s="57">
        <f t="shared" si="2"/>
        <v>8100</v>
      </c>
      <c r="Q66" s="60">
        <f>(D66+E66+F66+G66+H66+I66+J66+K66+N66)*3%</f>
        <v>235.5</v>
      </c>
      <c r="R66" s="60">
        <f>(D66+E66+F66+G66+H66+I66+J66+K66+N66)*13%</f>
        <v>1020.5</v>
      </c>
      <c r="S66" s="60">
        <v>143.03</v>
      </c>
      <c r="T66" s="57">
        <v>0</v>
      </c>
      <c r="U66" s="5">
        <f t="shared" si="3"/>
        <v>1256</v>
      </c>
      <c r="V66" s="5">
        <f t="shared" si="1"/>
        <v>6844</v>
      </c>
      <c r="W66" s="23">
        <v>0</v>
      </c>
      <c r="X66" s="130"/>
      <c r="Y66" s="130"/>
      <c r="Z66" s="130"/>
    </row>
    <row r="67" spans="1:26" ht="33.950000000000003" customHeight="1" x14ac:dyDescent="0.2">
      <c r="A67" s="133">
        <v>58</v>
      </c>
      <c r="B67" s="60" t="s">
        <v>507</v>
      </c>
      <c r="C67" s="60" t="s">
        <v>447</v>
      </c>
      <c r="D67" s="65">
        <v>1350</v>
      </c>
      <c r="E67" s="63">
        <v>2000</v>
      </c>
      <c r="F67" s="63">
        <v>0</v>
      </c>
      <c r="G67" s="63">
        <v>0</v>
      </c>
      <c r="H67" s="63">
        <v>0</v>
      </c>
      <c r="I67" s="63">
        <v>4500</v>
      </c>
      <c r="J67" s="63">
        <v>0</v>
      </c>
      <c r="K67" s="63">
        <v>0</v>
      </c>
      <c r="L67" s="63">
        <v>0</v>
      </c>
      <c r="M67" s="63">
        <v>250</v>
      </c>
      <c r="N67" s="63">
        <v>0</v>
      </c>
      <c r="O67" s="63">
        <v>0</v>
      </c>
      <c r="P67" s="57">
        <f t="shared" si="2"/>
        <v>8100</v>
      </c>
      <c r="Q67" s="60">
        <f>(D67+E67+F67+G67+H67+I67+J67+K67+N67)*3%</f>
        <v>235.5</v>
      </c>
      <c r="R67" s="60">
        <f>(D67+E67+F67+G67+H67+I67+J67+K67+N67)*13%</f>
        <v>1020.5</v>
      </c>
      <c r="S67" s="60">
        <v>143.03</v>
      </c>
      <c r="T67" s="57">
        <v>0</v>
      </c>
      <c r="U67" s="5">
        <f t="shared" si="3"/>
        <v>1256</v>
      </c>
      <c r="V67" s="5">
        <f t="shared" si="1"/>
        <v>6844</v>
      </c>
      <c r="W67" s="23">
        <v>0</v>
      </c>
      <c r="X67" s="130"/>
      <c r="Y67" s="130"/>
      <c r="Z67" s="130"/>
    </row>
    <row r="68" spans="1:26" ht="33.950000000000003" customHeight="1" x14ac:dyDescent="0.2">
      <c r="A68" s="133">
        <v>59</v>
      </c>
      <c r="B68" s="60" t="s">
        <v>508</v>
      </c>
      <c r="C68" s="60" t="s">
        <v>445</v>
      </c>
      <c r="D68" s="65">
        <v>1074</v>
      </c>
      <c r="E68" s="63">
        <v>0</v>
      </c>
      <c r="F68" s="63">
        <v>0</v>
      </c>
      <c r="G68" s="63">
        <v>1000</v>
      </c>
      <c r="H68" s="63">
        <v>0</v>
      </c>
      <c r="I68" s="63">
        <v>0</v>
      </c>
      <c r="J68" s="63">
        <v>0</v>
      </c>
      <c r="K68" s="63">
        <v>0</v>
      </c>
      <c r="L68" s="63">
        <v>600</v>
      </c>
      <c r="M68" s="63">
        <v>250</v>
      </c>
      <c r="N68" s="63">
        <v>0</v>
      </c>
      <c r="O68" s="63">
        <v>0</v>
      </c>
      <c r="P68" s="57">
        <f t="shared" si="2"/>
        <v>2924</v>
      </c>
      <c r="Q68" s="60">
        <f>(D68+E68+F68+G68+H68+I68+J68+K68+N68+L68)*3%</f>
        <v>80.22</v>
      </c>
      <c r="R68" s="60">
        <f>(D68+E68+F68+G68+H68+I68+J68+K68+N68)*11%</f>
        <v>228.14</v>
      </c>
      <c r="S68" s="60">
        <v>0</v>
      </c>
      <c r="T68" s="57">
        <v>0</v>
      </c>
      <c r="U68" s="5">
        <f t="shared" si="3"/>
        <v>308.36</v>
      </c>
      <c r="V68" s="5">
        <f t="shared" si="1"/>
        <v>2615.64</v>
      </c>
      <c r="W68" s="23">
        <v>0</v>
      </c>
      <c r="X68" s="130"/>
      <c r="Y68" s="130"/>
      <c r="Z68" s="130"/>
    </row>
    <row r="69" spans="1:26" ht="33.950000000000003" customHeight="1" x14ac:dyDescent="0.2">
      <c r="A69" s="133">
        <v>60</v>
      </c>
      <c r="B69" s="60" t="s">
        <v>509</v>
      </c>
      <c r="C69" s="64" t="s">
        <v>447</v>
      </c>
      <c r="D69" s="65">
        <v>1350</v>
      </c>
      <c r="E69" s="63">
        <v>2000</v>
      </c>
      <c r="F69" s="63">
        <v>0</v>
      </c>
      <c r="G69" s="63">
        <v>0</v>
      </c>
      <c r="H69" s="63">
        <v>1600</v>
      </c>
      <c r="I69" s="63">
        <v>2900</v>
      </c>
      <c r="J69" s="63">
        <v>0</v>
      </c>
      <c r="K69" s="63">
        <v>75</v>
      </c>
      <c r="L69" s="63">
        <v>0</v>
      </c>
      <c r="M69" s="63">
        <v>250</v>
      </c>
      <c r="N69" s="63">
        <v>0</v>
      </c>
      <c r="O69" s="63">
        <v>0</v>
      </c>
      <c r="P69" s="57">
        <f t="shared" si="2"/>
        <v>8175</v>
      </c>
      <c r="Q69" s="60">
        <f t="shared" ref="Q69:Q74" si="6">(D69+E69+F69+G69+H69+I69+J69+K69+N69)*3%</f>
        <v>237.75</v>
      </c>
      <c r="R69" s="60">
        <f>(D69+E69+F69+G69+H69+I69+J69+K69+N69)*13%</f>
        <v>1030.25</v>
      </c>
      <c r="S69" s="60">
        <v>146.18</v>
      </c>
      <c r="T69" s="57">
        <v>0</v>
      </c>
      <c r="U69" s="5">
        <f t="shared" si="3"/>
        <v>1268</v>
      </c>
      <c r="V69" s="5">
        <f t="shared" si="1"/>
        <v>6907</v>
      </c>
      <c r="W69" s="23">
        <f>545</f>
        <v>545</v>
      </c>
      <c r="X69" s="130"/>
      <c r="Y69" s="130"/>
      <c r="Z69" s="130"/>
    </row>
    <row r="70" spans="1:26" ht="33.950000000000003" customHeight="1" x14ac:dyDescent="0.2">
      <c r="A70" s="133">
        <v>61</v>
      </c>
      <c r="B70" s="64" t="s">
        <v>783</v>
      </c>
      <c r="C70" s="64" t="s">
        <v>510</v>
      </c>
      <c r="D70" s="71">
        <v>2425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57">
        <f t="shared" si="2"/>
        <v>2425</v>
      </c>
      <c r="Q70" s="60">
        <f t="shared" si="6"/>
        <v>72.75</v>
      </c>
      <c r="R70" s="60">
        <f>(D70+E70+F70+G70+H70+I70+J70+K70+N70)*11%</f>
        <v>266.75</v>
      </c>
      <c r="S70" s="60">
        <v>0</v>
      </c>
      <c r="T70" s="57">
        <v>0</v>
      </c>
      <c r="U70" s="5">
        <f t="shared" si="3"/>
        <v>339.5</v>
      </c>
      <c r="V70" s="5">
        <f t="shared" si="1"/>
        <v>2085.5</v>
      </c>
      <c r="W70" s="23">
        <v>0</v>
      </c>
      <c r="X70" s="130"/>
      <c r="Y70" s="130"/>
      <c r="Z70" s="130"/>
    </row>
    <row r="71" spans="1:26" ht="33.950000000000003" customHeight="1" x14ac:dyDescent="0.2">
      <c r="A71" s="133">
        <v>62</v>
      </c>
      <c r="B71" s="60" t="s">
        <v>511</v>
      </c>
      <c r="C71" s="60" t="s">
        <v>457</v>
      </c>
      <c r="D71" s="65">
        <v>2885</v>
      </c>
      <c r="E71" s="63">
        <v>0</v>
      </c>
      <c r="F71" s="63">
        <v>721.25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57">
        <f t="shared" si="2"/>
        <v>3606.25</v>
      </c>
      <c r="Q71" s="60">
        <f t="shared" si="6"/>
        <v>108.19</v>
      </c>
      <c r="R71" s="60">
        <f>(D71+E71+F71+G71+H71+I71+J71+K71+N71)*11%</f>
        <v>396.69</v>
      </c>
      <c r="S71" s="60">
        <v>0</v>
      </c>
      <c r="T71" s="57">
        <v>0</v>
      </c>
      <c r="U71" s="5">
        <f t="shared" si="3"/>
        <v>504.88</v>
      </c>
      <c r="V71" s="5">
        <f t="shared" si="1"/>
        <v>3101.37</v>
      </c>
      <c r="W71" s="23">
        <v>0</v>
      </c>
      <c r="X71" s="130"/>
      <c r="Y71" s="130"/>
      <c r="Z71" s="130"/>
    </row>
    <row r="72" spans="1:26" ht="33.950000000000003" customHeight="1" x14ac:dyDescent="0.2">
      <c r="A72" s="133">
        <v>63</v>
      </c>
      <c r="B72" s="72" t="s">
        <v>821</v>
      </c>
      <c r="C72" s="67" t="s">
        <v>355</v>
      </c>
      <c r="D72" s="73">
        <v>10261</v>
      </c>
      <c r="E72" s="63">
        <v>0</v>
      </c>
      <c r="F72" s="63">
        <v>0</v>
      </c>
      <c r="G72" s="63">
        <v>5000</v>
      </c>
      <c r="H72" s="63">
        <v>0</v>
      </c>
      <c r="I72" s="63">
        <v>0</v>
      </c>
      <c r="J72" s="63">
        <v>375</v>
      </c>
      <c r="K72" s="63">
        <v>0</v>
      </c>
      <c r="L72" s="63">
        <v>0</v>
      </c>
      <c r="M72" s="63">
        <v>250</v>
      </c>
      <c r="N72" s="63">
        <v>0</v>
      </c>
      <c r="O72" s="63">
        <v>0</v>
      </c>
      <c r="P72" s="57">
        <f t="shared" si="2"/>
        <v>15886</v>
      </c>
      <c r="Q72" s="60">
        <f t="shared" si="6"/>
        <v>469.08</v>
      </c>
      <c r="R72" s="60">
        <f>(D72+E72+F72+G72+H72+I72+J72+K72+N72)*15%</f>
        <v>2345.4</v>
      </c>
      <c r="S72" s="60">
        <v>448.93</v>
      </c>
      <c r="T72" s="57">
        <v>210.15</v>
      </c>
      <c r="U72" s="5">
        <f t="shared" si="3"/>
        <v>3024.63</v>
      </c>
      <c r="V72" s="5">
        <f t="shared" si="1"/>
        <v>12861.37</v>
      </c>
      <c r="W72" s="23">
        <v>0</v>
      </c>
      <c r="X72" s="130"/>
      <c r="Y72" s="130"/>
      <c r="Z72" s="130"/>
    </row>
    <row r="73" spans="1:26" ht="33.950000000000003" customHeight="1" x14ac:dyDescent="0.2">
      <c r="A73" s="133">
        <v>64</v>
      </c>
      <c r="B73" s="60" t="s">
        <v>763</v>
      </c>
      <c r="C73" s="60" t="s">
        <v>565</v>
      </c>
      <c r="D73" s="65">
        <f>485*2</f>
        <v>970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57">
        <f t="shared" si="2"/>
        <v>970</v>
      </c>
      <c r="Q73" s="60">
        <f t="shared" si="6"/>
        <v>29.1</v>
      </c>
      <c r="R73" s="60">
        <f>(D73+E73+F73+G73+H73+I73+J73+K73+N73)*10%</f>
        <v>97</v>
      </c>
      <c r="S73" s="60">
        <v>0</v>
      </c>
      <c r="T73" s="57">
        <v>0</v>
      </c>
      <c r="U73" s="5">
        <f t="shared" ref="U73:U131" si="7">(Q73+R73+T73)</f>
        <v>126.1</v>
      </c>
      <c r="V73" s="5">
        <f t="shared" ref="V73:V135" si="8">P73-U73</f>
        <v>843.9</v>
      </c>
      <c r="W73" s="23">
        <v>0</v>
      </c>
      <c r="X73" s="130"/>
      <c r="Y73" s="130"/>
      <c r="Z73" s="130"/>
    </row>
    <row r="74" spans="1:26" ht="33.950000000000003" customHeight="1" x14ac:dyDescent="0.2">
      <c r="A74" s="133">
        <v>65</v>
      </c>
      <c r="B74" s="64" t="s">
        <v>736</v>
      </c>
      <c r="C74" s="64" t="s">
        <v>739</v>
      </c>
      <c r="D74" s="65">
        <v>1381</v>
      </c>
      <c r="E74" s="63">
        <v>600</v>
      </c>
      <c r="F74" s="63">
        <v>0</v>
      </c>
      <c r="G74" s="63">
        <v>1000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250</v>
      </c>
      <c r="N74" s="63">
        <v>0</v>
      </c>
      <c r="O74" s="63">
        <v>0</v>
      </c>
      <c r="P74" s="57">
        <f t="shared" si="2"/>
        <v>3231</v>
      </c>
      <c r="Q74" s="60">
        <f t="shared" si="6"/>
        <v>89.43</v>
      </c>
      <c r="R74" s="60">
        <f>(D74+E74+F74+G74+H74+I74+J74+K74+N74)*11%</f>
        <v>327.91</v>
      </c>
      <c r="S74" s="60">
        <v>0</v>
      </c>
      <c r="T74" s="57">
        <v>0</v>
      </c>
      <c r="U74" s="5">
        <f t="shared" si="7"/>
        <v>417.34</v>
      </c>
      <c r="V74" s="5">
        <f t="shared" si="8"/>
        <v>2813.66</v>
      </c>
      <c r="W74" s="23">
        <v>0</v>
      </c>
      <c r="X74" s="130"/>
      <c r="Y74" s="130"/>
      <c r="Z74" s="130"/>
    </row>
    <row r="75" spans="1:26" ht="33.950000000000003" customHeight="1" x14ac:dyDescent="0.2">
      <c r="A75" s="133">
        <v>66</v>
      </c>
      <c r="B75" s="60" t="s">
        <v>512</v>
      </c>
      <c r="C75" s="60" t="s">
        <v>1011</v>
      </c>
      <c r="D75" s="65">
        <v>1135</v>
      </c>
      <c r="E75" s="63">
        <v>500</v>
      </c>
      <c r="F75" s="63">
        <v>0</v>
      </c>
      <c r="G75" s="63">
        <v>1000</v>
      </c>
      <c r="H75" s="63">
        <v>0</v>
      </c>
      <c r="I75" s="63">
        <v>0</v>
      </c>
      <c r="J75" s="63">
        <v>0</v>
      </c>
      <c r="K75" s="63">
        <v>50</v>
      </c>
      <c r="L75" s="63">
        <v>200</v>
      </c>
      <c r="M75" s="63">
        <v>250</v>
      </c>
      <c r="N75" s="63">
        <v>0</v>
      </c>
      <c r="O75" s="63">
        <v>0</v>
      </c>
      <c r="P75" s="57">
        <f t="shared" ref="P75:P136" si="9">SUM(D75:N75)</f>
        <v>3135</v>
      </c>
      <c r="Q75" s="60">
        <f>(D75+E75+F75+G75+H75+I75+J75+K75+N75+L75)*3%</f>
        <v>86.55</v>
      </c>
      <c r="R75" s="60">
        <f>(D75+E75+F75+G75+H75+I75+J75+K75+N75+L75)*11%</f>
        <v>317.35000000000002</v>
      </c>
      <c r="S75" s="60">
        <v>0</v>
      </c>
      <c r="T75" s="57">
        <v>0</v>
      </c>
      <c r="U75" s="5">
        <f t="shared" si="7"/>
        <v>403.9</v>
      </c>
      <c r="V75" s="5">
        <f t="shared" si="8"/>
        <v>2731.1</v>
      </c>
      <c r="W75" s="23">
        <v>0</v>
      </c>
      <c r="X75" s="130"/>
      <c r="Y75" s="130"/>
      <c r="Z75" s="130"/>
    </row>
    <row r="76" spans="1:26" ht="33.950000000000003" customHeight="1" x14ac:dyDescent="0.2">
      <c r="A76" s="133">
        <v>67</v>
      </c>
      <c r="B76" s="60" t="s">
        <v>513</v>
      </c>
      <c r="C76" s="60" t="s">
        <v>744</v>
      </c>
      <c r="D76" s="65">
        <v>1476</v>
      </c>
      <c r="E76" s="63">
        <v>2000</v>
      </c>
      <c r="F76" s="63">
        <v>0</v>
      </c>
      <c r="G76" s="63">
        <v>0</v>
      </c>
      <c r="H76" s="63">
        <v>1900</v>
      </c>
      <c r="I76" s="63">
        <v>2600</v>
      </c>
      <c r="J76" s="63">
        <v>0</v>
      </c>
      <c r="K76" s="63">
        <v>0</v>
      </c>
      <c r="L76" s="63">
        <v>0</v>
      </c>
      <c r="M76" s="63">
        <v>250</v>
      </c>
      <c r="N76" s="63">
        <v>0</v>
      </c>
      <c r="O76" s="63">
        <v>0</v>
      </c>
      <c r="P76" s="57">
        <f t="shared" si="9"/>
        <v>8226</v>
      </c>
      <c r="Q76" s="60">
        <f>(D76+E76+F76+G76+H76+I76+J76+K76+N76)*3%</f>
        <v>239.28</v>
      </c>
      <c r="R76" s="60">
        <f>(D76+E76+F76+G76+H76+I76+J76+K76+N76)*13%</f>
        <v>1036.8800000000001</v>
      </c>
      <c r="S76" s="60">
        <v>148.33000000000001</v>
      </c>
      <c r="T76" s="57">
        <v>0</v>
      </c>
      <c r="U76" s="5">
        <f t="shared" si="7"/>
        <v>1276.1600000000001</v>
      </c>
      <c r="V76" s="5">
        <f t="shared" si="8"/>
        <v>6949.84</v>
      </c>
      <c r="W76" s="23">
        <v>0</v>
      </c>
      <c r="X76" s="130"/>
      <c r="Y76" s="130"/>
      <c r="Z76" s="130"/>
    </row>
    <row r="77" spans="1:26" ht="33.950000000000003" customHeight="1" x14ac:dyDescent="0.2">
      <c r="A77" s="133">
        <v>68</v>
      </c>
      <c r="B77" s="60" t="s">
        <v>514</v>
      </c>
      <c r="C77" s="64" t="s">
        <v>447</v>
      </c>
      <c r="D77" s="65">
        <v>1350</v>
      </c>
      <c r="E77" s="63">
        <v>2000</v>
      </c>
      <c r="F77" s="63">
        <v>0</v>
      </c>
      <c r="G77" s="63">
        <v>0</v>
      </c>
      <c r="H77" s="63">
        <v>1600</v>
      </c>
      <c r="I77" s="63">
        <v>2900</v>
      </c>
      <c r="J77" s="63">
        <v>0</v>
      </c>
      <c r="K77" s="63">
        <v>0</v>
      </c>
      <c r="L77" s="63">
        <v>0</v>
      </c>
      <c r="M77" s="63">
        <v>250</v>
      </c>
      <c r="N77" s="63">
        <v>0</v>
      </c>
      <c r="O77" s="63">
        <v>0</v>
      </c>
      <c r="P77" s="57">
        <f t="shared" si="9"/>
        <v>8100</v>
      </c>
      <c r="Q77" s="60">
        <f>(D77+E77+F77+G77+H77+I77+J77+K77+N77)*3%</f>
        <v>235.5</v>
      </c>
      <c r="R77" s="60">
        <f>(D77+E77+F77+G77+H77+I77+J77+K77+N77)*13%</f>
        <v>1020.5</v>
      </c>
      <c r="S77" s="60">
        <v>143.03</v>
      </c>
      <c r="T77" s="57">
        <v>0</v>
      </c>
      <c r="U77" s="5">
        <f t="shared" si="7"/>
        <v>1256</v>
      </c>
      <c r="V77" s="5">
        <f t="shared" si="8"/>
        <v>6844</v>
      </c>
      <c r="W77" s="23">
        <v>0</v>
      </c>
      <c r="X77" s="130"/>
      <c r="Y77" s="130"/>
      <c r="Z77" s="130"/>
    </row>
    <row r="78" spans="1:26" ht="33.950000000000003" customHeight="1" x14ac:dyDescent="0.2">
      <c r="A78" s="133">
        <v>69</v>
      </c>
      <c r="B78" s="72" t="s">
        <v>849</v>
      </c>
      <c r="C78" s="72" t="s">
        <v>971</v>
      </c>
      <c r="D78" s="74">
        <v>10949</v>
      </c>
      <c r="E78" s="63">
        <v>0</v>
      </c>
      <c r="F78" s="63">
        <v>0</v>
      </c>
      <c r="G78" s="74">
        <v>5000</v>
      </c>
      <c r="H78" s="63">
        <v>0</v>
      </c>
      <c r="I78" s="75">
        <v>0</v>
      </c>
      <c r="J78" s="63">
        <v>375</v>
      </c>
      <c r="K78" s="63">
        <v>0</v>
      </c>
      <c r="L78" s="63">
        <v>0</v>
      </c>
      <c r="M78" s="63">
        <v>250</v>
      </c>
      <c r="N78" s="63">
        <v>6000</v>
      </c>
      <c r="O78" s="63">
        <v>0</v>
      </c>
      <c r="P78" s="57">
        <f t="shared" si="9"/>
        <v>22574</v>
      </c>
      <c r="Q78" s="60">
        <f>(D78+E78+F78+G78+H78+I78+J78+K78)*3%</f>
        <v>489.72</v>
      </c>
      <c r="R78" s="60">
        <f>(D78+E78+F78+G78+H78+I78+J78+K78)*15%</f>
        <v>2448.6</v>
      </c>
      <c r="S78" s="60">
        <v>832.41</v>
      </c>
      <c r="T78" s="57">
        <v>219.39</v>
      </c>
      <c r="U78" s="5">
        <f t="shared" si="7"/>
        <v>3157.71</v>
      </c>
      <c r="V78" s="5">
        <f t="shared" si="8"/>
        <v>19416.29</v>
      </c>
      <c r="W78" s="23">
        <v>0</v>
      </c>
      <c r="X78" s="130"/>
      <c r="Y78" s="130"/>
      <c r="Z78" s="130"/>
    </row>
    <row r="79" spans="1:26" ht="33.950000000000003" customHeight="1" x14ac:dyDescent="0.2">
      <c r="A79" s="133">
        <v>70</v>
      </c>
      <c r="B79" s="60" t="s">
        <v>515</v>
      </c>
      <c r="C79" s="60" t="s">
        <v>462</v>
      </c>
      <c r="D79" s="65">
        <v>1105</v>
      </c>
      <c r="E79" s="63">
        <v>400</v>
      </c>
      <c r="F79" s="63">
        <v>0</v>
      </c>
      <c r="G79" s="63">
        <v>1000</v>
      </c>
      <c r="H79" s="63">
        <v>0</v>
      </c>
      <c r="I79" s="63">
        <v>0</v>
      </c>
      <c r="J79" s="63">
        <v>0</v>
      </c>
      <c r="K79" s="63">
        <v>75</v>
      </c>
      <c r="L79" s="63">
        <v>0</v>
      </c>
      <c r="M79" s="63">
        <v>250</v>
      </c>
      <c r="N79" s="63">
        <v>0</v>
      </c>
      <c r="O79" s="63">
        <v>0</v>
      </c>
      <c r="P79" s="57">
        <f t="shared" si="9"/>
        <v>2830</v>
      </c>
      <c r="Q79" s="60">
        <f t="shared" ref="Q79:Q86" si="10">(D79+E79+F79+G79+H79+I79+J79+K79+N79)*3%</f>
        <v>77.400000000000006</v>
      </c>
      <c r="R79" s="60">
        <f>(D79+E79+F79+G79+H79+I79+J79+K79+N79)*11%</f>
        <v>283.8</v>
      </c>
      <c r="S79" s="60">
        <v>0</v>
      </c>
      <c r="T79" s="57">
        <v>0</v>
      </c>
      <c r="U79" s="5">
        <f t="shared" si="7"/>
        <v>361.2</v>
      </c>
      <c r="V79" s="5">
        <f t="shared" si="8"/>
        <v>2468.8000000000002</v>
      </c>
      <c r="W79" s="23">
        <v>0</v>
      </c>
      <c r="X79" s="130"/>
      <c r="Y79" s="130"/>
      <c r="Z79" s="130"/>
    </row>
    <row r="80" spans="1:26" ht="33.950000000000003" customHeight="1" x14ac:dyDescent="0.2">
      <c r="A80" s="133">
        <v>71</v>
      </c>
      <c r="B80" s="60" t="s">
        <v>516</v>
      </c>
      <c r="C80" s="60" t="s">
        <v>984</v>
      </c>
      <c r="D80" s="65">
        <v>1634</v>
      </c>
      <c r="E80" s="63">
        <v>1800</v>
      </c>
      <c r="F80" s="63">
        <v>0</v>
      </c>
      <c r="G80" s="63">
        <v>1000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250</v>
      </c>
      <c r="N80" s="63">
        <v>0</v>
      </c>
      <c r="O80" s="63">
        <v>0</v>
      </c>
      <c r="P80" s="57">
        <f t="shared" si="9"/>
        <v>4684</v>
      </c>
      <c r="Q80" s="60">
        <f t="shared" si="10"/>
        <v>133.02000000000001</v>
      </c>
      <c r="R80" s="60">
        <f>(D80+E80+F80+G80+H80+I80+J80+K80+N80)*12%</f>
        <v>532.08000000000004</v>
      </c>
      <c r="S80" s="60">
        <v>1.78</v>
      </c>
      <c r="T80" s="57">
        <v>0</v>
      </c>
      <c r="U80" s="5">
        <f t="shared" si="7"/>
        <v>665.1</v>
      </c>
      <c r="V80" s="5">
        <f t="shared" si="8"/>
        <v>4018.9</v>
      </c>
      <c r="W80" s="23">
        <v>0</v>
      </c>
      <c r="X80" s="130"/>
      <c r="Y80" s="130"/>
      <c r="Z80" s="130"/>
    </row>
    <row r="81" spans="1:26" ht="33.950000000000003" customHeight="1" x14ac:dyDescent="0.2">
      <c r="A81" s="133">
        <v>72</v>
      </c>
      <c r="B81" s="60" t="s">
        <v>517</v>
      </c>
      <c r="C81" s="60" t="s">
        <v>742</v>
      </c>
      <c r="D81" s="65">
        <v>1460</v>
      </c>
      <c r="E81" s="63">
        <v>600</v>
      </c>
      <c r="F81" s="63">
        <v>0</v>
      </c>
      <c r="G81" s="63">
        <v>1000</v>
      </c>
      <c r="H81" s="63">
        <v>0</v>
      </c>
      <c r="I81" s="63">
        <v>0</v>
      </c>
      <c r="J81" s="63">
        <v>0</v>
      </c>
      <c r="K81" s="63">
        <v>75</v>
      </c>
      <c r="L81" s="63">
        <v>0</v>
      </c>
      <c r="M81" s="63">
        <v>250</v>
      </c>
      <c r="N81" s="63">
        <v>0</v>
      </c>
      <c r="O81" s="63">
        <v>0</v>
      </c>
      <c r="P81" s="57">
        <f t="shared" si="9"/>
        <v>3385</v>
      </c>
      <c r="Q81" s="60">
        <f t="shared" si="10"/>
        <v>94.05</v>
      </c>
      <c r="R81" s="60">
        <f>(D81+E81+F81+G81+H81+I81+J81+K81+N81)*11%</f>
        <v>344.85</v>
      </c>
      <c r="S81" s="60">
        <v>0</v>
      </c>
      <c r="T81" s="57">
        <v>0</v>
      </c>
      <c r="U81" s="5">
        <f t="shared" si="7"/>
        <v>438.9</v>
      </c>
      <c r="V81" s="5">
        <f t="shared" si="8"/>
        <v>2946.1</v>
      </c>
      <c r="W81" s="23">
        <v>0</v>
      </c>
      <c r="X81" s="130"/>
      <c r="Y81" s="130"/>
      <c r="Z81" s="130"/>
    </row>
    <row r="82" spans="1:26" ht="33.950000000000003" customHeight="1" x14ac:dyDescent="0.2">
      <c r="A82" s="133">
        <v>73</v>
      </c>
      <c r="B82" s="66" t="s">
        <v>1031</v>
      </c>
      <c r="C82" s="137" t="s">
        <v>1032</v>
      </c>
      <c r="D82" s="131">
        <v>10261</v>
      </c>
      <c r="E82" s="63">
        <v>1800</v>
      </c>
      <c r="F82" s="63">
        <v>0</v>
      </c>
      <c r="G82" s="63">
        <v>5000</v>
      </c>
      <c r="H82" s="63">
        <v>0</v>
      </c>
      <c r="I82" s="63">
        <v>0</v>
      </c>
      <c r="J82" s="63">
        <v>375</v>
      </c>
      <c r="K82" s="63">
        <v>0</v>
      </c>
      <c r="L82" s="63">
        <v>0</v>
      </c>
      <c r="M82" s="63">
        <v>250</v>
      </c>
      <c r="N82" s="63">
        <v>0</v>
      </c>
      <c r="O82" s="63">
        <v>0</v>
      </c>
      <c r="P82" s="57">
        <f t="shared" si="9"/>
        <v>17686</v>
      </c>
      <c r="Q82" s="60">
        <f t="shared" si="10"/>
        <v>523.08000000000004</v>
      </c>
      <c r="R82" s="60">
        <f>(D82+E82+F82+G82+H82+I82+J82+K82+N82)*15%</f>
        <v>2615.4</v>
      </c>
      <c r="S82" s="60">
        <v>0</v>
      </c>
      <c r="T82" s="57">
        <v>0</v>
      </c>
      <c r="U82" s="5">
        <f>(Q82+R82+T82)</f>
        <v>3138.48</v>
      </c>
      <c r="V82" s="5">
        <f t="shared" si="8"/>
        <v>14547.52</v>
      </c>
      <c r="W82" s="23">
        <v>0</v>
      </c>
      <c r="X82" s="130"/>
      <c r="Y82" s="130"/>
      <c r="Z82" s="130"/>
    </row>
    <row r="83" spans="1:26" ht="33.950000000000003" customHeight="1" x14ac:dyDescent="0.2">
      <c r="A83" s="133">
        <v>74</v>
      </c>
      <c r="B83" s="69" t="s">
        <v>519</v>
      </c>
      <c r="C83" s="60" t="s">
        <v>744</v>
      </c>
      <c r="D83" s="63">
        <v>1476</v>
      </c>
      <c r="E83" s="63">
        <v>2000</v>
      </c>
      <c r="F83" s="63">
        <v>0</v>
      </c>
      <c r="G83" s="63">
        <v>0</v>
      </c>
      <c r="H83" s="63">
        <v>1900</v>
      </c>
      <c r="I83" s="63">
        <v>2600</v>
      </c>
      <c r="J83" s="63">
        <v>0</v>
      </c>
      <c r="K83" s="63">
        <v>50</v>
      </c>
      <c r="L83" s="63">
        <v>0</v>
      </c>
      <c r="M83" s="63">
        <v>250</v>
      </c>
      <c r="N83" s="63">
        <v>0</v>
      </c>
      <c r="O83" s="63">
        <v>0</v>
      </c>
      <c r="P83" s="57">
        <f t="shared" si="9"/>
        <v>8276</v>
      </c>
      <c r="Q83" s="60">
        <f t="shared" si="10"/>
        <v>240.78</v>
      </c>
      <c r="R83" s="60">
        <f>(D83+E83+F83+G83+H83+I83+J83+K83+N83)*14%</f>
        <v>1123.6400000000001</v>
      </c>
      <c r="S83" s="60">
        <v>146.41</v>
      </c>
      <c r="T83" s="57">
        <v>0</v>
      </c>
      <c r="U83" s="5">
        <f t="shared" si="7"/>
        <v>1364.42</v>
      </c>
      <c r="V83" s="5">
        <f t="shared" si="8"/>
        <v>6911.58</v>
      </c>
      <c r="W83" s="23">
        <v>0</v>
      </c>
      <c r="X83" s="130"/>
      <c r="Y83" s="130"/>
      <c r="Z83" s="130"/>
    </row>
    <row r="84" spans="1:26" ht="33.950000000000003" customHeight="1" x14ac:dyDescent="0.2">
      <c r="A84" s="133">
        <v>75</v>
      </c>
      <c r="B84" s="60" t="s">
        <v>520</v>
      </c>
      <c r="C84" s="60" t="s">
        <v>744</v>
      </c>
      <c r="D84" s="65">
        <v>1476</v>
      </c>
      <c r="E84" s="63">
        <v>2000</v>
      </c>
      <c r="F84" s="63">
        <v>0</v>
      </c>
      <c r="G84" s="63">
        <v>0</v>
      </c>
      <c r="H84" s="63">
        <v>1900</v>
      </c>
      <c r="I84" s="63">
        <v>2600</v>
      </c>
      <c r="J84" s="63">
        <v>0</v>
      </c>
      <c r="K84" s="63">
        <v>50</v>
      </c>
      <c r="L84" s="63">
        <v>0</v>
      </c>
      <c r="M84" s="63">
        <v>250</v>
      </c>
      <c r="N84" s="63">
        <v>0</v>
      </c>
      <c r="O84" s="63">
        <v>0</v>
      </c>
      <c r="P84" s="57">
        <f t="shared" si="9"/>
        <v>8276</v>
      </c>
      <c r="Q84" s="60">
        <f t="shared" si="10"/>
        <v>240.78</v>
      </c>
      <c r="R84" s="60">
        <f>(D84+E84+F84+G84+H84+I84+J84+K84+N84)*14%</f>
        <v>1123.6400000000001</v>
      </c>
      <c r="S84" s="60">
        <v>146.41</v>
      </c>
      <c r="T84" s="57">
        <v>0</v>
      </c>
      <c r="U84" s="5">
        <f t="shared" si="7"/>
        <v>1364.42</v>
      </c>
      <c r="V84" s="5">
        <f t="shared" si="8"/>
        <v>6911.58</v>
      </c>
      <c r="W84" s="23">
        <f>205+206</f>
        <v>411</v>
      </c>
      <c r="X84" s="130"/>
      <c r="Y84" s="130"/>
      <c r="Z84" s="130"/>
    </row>
    <row r="85" spans="1:26" ht="33.950000000000003" customHeight="1" x14ac:dyDescent="0.2">
      <c r="A85" s="133">
        <v>76</v>
      </c>
      <c r="B85" s="60" t="s">
        <v>521</v>
      </c>
      <c r="C85" s="64" t="s">
        <v>447</v>
      </c>
      <c r="D85" s="65">
        <v>1350</v>
      </c>
      <c r="E85" s="63">
        <v>2000</v>
      </c>
      <c r="F85" s="63">
        <v>0</v>
      </c>
      <c r="G85" s="63">
        <v>0</v>
      </c>
      <c r="H85" s="63">
        <v>1600</v>
      </c>
      <c r="I85" s="63">
        <v>2900</v>
      </c>
      <c r="J85" s="63">
        <v>0</v>
      </c>
      <c r="K85" s="63">
        <v>75</v>
      </c>
      <c r="L85" s="63">
        <v>0</v>
      </c>
      <c r="M85" s="63">
        <v>250</v>
      </c>
      <c r="N85" s="63">
        <v>0</v>
      </c>
      <c r="O85" s="63">
        <v>0</v>
      </c>
      <c r="P85" s="57">
        <f t="shared" si="9"/>
        <v>8175</v>
      </c>
      <c r="Q85" s="60">
        <f t="shared" si="10"/>
        <v>237.75</v>
      </c>
      <c r="R85" s="60">
        <f>(D85+E85+F85+G85+H85+I85+J85+K85+N85)*13%</f>
        <v>1030.25</v>
      </c>
      <c r="S85" s="60">
        <v>146.18</v>
      </c>
      <c r="T85" s="57">
        <v>0</v>
      </c>
      <c r="U85" s="5">
        <f t="shared" si="7"/>
        <v>1268</v>
      </c>
      <c r="V85" s="5">
        <f t="shared" si="8"/>
        <v>6907</v>
      </c>
      <c r="W85" s="23">
        <f>605</f>
        <v>605</v>
      </c>
      <c r="X85" s="130"/>
      <c r="Y85" s="130"/>
      <c r="Z85" s="130"/>
    </row>
    <row r="86" spans="1:26" ht="33.950000000000003" customHeight="1" x14ac:dyDescent="0.2">
      <c r="A86" s="133">
        <v>77</v>
      </c>
      <c r="B86" s="60" t="s">
        <v>522</v>
      </c>
      <c r="C86" s="64" t="s">
        <v>904</v>
      </c>
      <c r="D86" s="63">
        <v>1476</v>
      </c>
      <c r="E86" s="63">
        <v>2000</v>
      </c>
      <c r="F86" s="63">
        <v>0</v>
      </c>
      <c r="G86" s="63">
        <v>0</v>
      </c>
      <c r="H86" s="63">
        <v>1900</v>
      </c>
      <c r="I86" s="63">
        <v>2600</v>
      </c>
      <c r="J86" s="63">
        <v>0</v>
      </c>
      <c r="K86" s="63">
        <v>0</v>
      </c>
      <c r="L86" s="63">
        <v>0</v>
      </c>
      <c r="M86" s="63">
        <v>250</v>
      </c>
      <c r="N86" s="63">
        <v>0</v>
      </c>
      <c r="O86" s="63">
        <v>0</v>
      </c>
      <c r="P86" s="57">
        <f t="shared" si="9"/>
        <v>8226</v>
      </c>
      <c r="Q86" s="60">
        <f t="shared" si="10"/>
        <v>239.28</v>
      </c>
      <c r="R86" s="60">
        <f>(D86+E86+F86+G86+H86+I86+J86+K86+N86)*13%</f>
        <v>1036.8800000000001</v>
      </c>
      <c r="S86" s="60">
        <v>143.03</v>
      </c>
      <c r="T86" s="57">
        <v>0</v>
      </c>
      <c r="U86" s="5">
        <f t="shared" si="7"/>
        <v>1276.1600000000001</v>
      </c>
      <c r="V86" s="5">
        <f t="shared" si="8"/>
        <v>6949.84</v>
      </c>
      <c r="W86" s="23">
        <v>0</v>
      </c>
      <c r="X86" s="130"/>
      <c r="Y86" s="130"/>
      <c r="Z86" s="130"/>
    </row>
    <row r="87" spans="1:26" ht="33.950000000000003" customHeight="1" x14ac:dyDescent="0.2">
      <c r="A87" s="133">
        <v>78</v>
      </c>
      <c r="B87" s="60" t="s">
        <v>523</v>
      </c>
      <c r="C87" s="60" t="s">
        <v>1004</v>
      </c>
      <c r="D87" s="65">
        <v>1039</v>
      </c>
      <c r="E87" s="63">
        <v>400</v>
      </c>
      <c r="F87" s="63">
        <v>0</v>
      </c>
      <c r="G87" s="63">
        <v>1000</v>
      </c>
      <c r="H87" s="63">
        <v>0</v>
      </c>
      <c r="I87" s="63">
        <v>0</v>
      </c>
      <c r="J87" s="63">
        <v>0</v>
      </c>
      <c r="K87" s="63">
        <v>0</v>
      </c>
      <c r="L87" s="63">
        <v>200</v>
      </c>
      <c r="M87" s="63">
        <v>250</v>
      </c>
      <c r="N87" s="63">
        <v>0</v>
      </c>
      <c r="O87" s="63">
        <v>0</v>
      </c>
      <c r="P87" s="57">
        <f t="shared" si="9"/>
        <v>2889</v>
      </c>
      <c r="Q87" s="60">
        <f>(D87+E87+F87+G87+H87+I87+J87+K87+N87+L87)*3%</f>
        <v>79.17</v>
      </c>
      <c r="R87" s="60">
        <f>(D87+E87+F87+G87+H87+I87+J87+K87+N87+L87)*11%</f>
        <v>290.29000000000002</v>
      </c>
      <c r="S87" s="60">
        <v>0</v>
      </c>
      <c r="T87" s="57">
        <v>0</v>
      </c>
      <c r="U87" s="5">
        <f t="shared" si="7"/>
        <v>369.46</v>
      </c>
      <c r="V87" s="5">
        <f t="shared" si="8"/>
        <v>2519.54</v>
      </c>
      <c r="W87" s="23">
        <v>0</v>
      </c>
      <c r="X87" s="130"/>
      <c r="Y87" s="130"/>
      <c r="Z87" s="130"/>
    </row>
    <row r="88" spans="1:26" ht="33.950000000000003" customHeight="1" x14ac:dyDescent="0.2">
      <c r="A88" s="133">
        <v>79</v>
      </c>
      <c r="B88" s="60" t="s">
        <v>525</v>
      </c>
      <c r="C88" s="60" t="s">
        <v>447</v>
      </c>
      <c r="D88" s="65">
        <v>1350</v>
      </c>
      <c r="E88" s="63">
        <v>2000</v>
      </c>
      <c r="F88" s="63">
        <v>0</v>
      </c>
      <c r="G88" s="63">
        <v>0</v>
      </c>
      <c r="H88" s="63">
        <v>2500</v>
      </c>
      <c r="I88" s="63">
        <v>2000</v>
      </c>
      <c r="J88" s="63">
        <v>0</v>
      </c>
      <c r="K88" s="63">
        <v>75</v>
      </c>
      <c r="L88" s="63">
        <v>0</v>
      </c>
      <c r="M88" s="63">
        <v>250</v>
      </c>
      <c r="N88" s="63">
        <v>0</v>
      </c>
      <c r="O88" s="63">
        <v>0</v>
      </c>
      <c r="P88" s="57">
        <f t="shared" si="9"/>
        <v>8175</v>
      </c>
      <c r="Q88" s="60">
        <f t="shared" ref="Q88:Q105" si="11">(D88+E88+F88+G88+H88+I88+J88+K88+N88)*3%</f>
        <v>237.75</v>
      </c>
      <c r="R88" s="60">
        <f>(D88+E88+F88+G88+H88+I88+J88+K88+N88)*13%</f>
        <v>1030.25</v>
      </c>
      <c r="S88" s="60">
        <v>146.18</v>
      </c>
      <c r="T88" s="57">
        <v>0</v>
      </c>
      <c r="U88" s="5">
        <f t="shared" si="7"/>
        <v>1268</v>
      </c>
      <c r="V88" s="5">
        <f t="shared" si="8"/>
        <v>6907</v>
      </c>
      <c r="W88" s="23">
        <v>0</v>
      </c>
      <c r="X88" s="130"/>
      <c r="Y88" s="130"/>
      <c r="Z88" s="130"/>
    </row>
    <row r="89" spans="1:26" ht="33.950000000000003" customHeight="1" x14ac:dyDescent="0.2">
      <c r="A89" s="133">
        <v>80</v>
      </c>
      <c r="B89" s="21" t="s">
        <v>412</v>
      </c>
      <c r="C89" s="64" t="s">
        <v>1008</v>
      </c>
      <c r="D89" s="65">
        <v>1074</v>
      </c>
      <c r="E89" s="63">
        <v>0</v>
      </c>
      <c r="F89" s="63">
        <v>0</v>
      </c>
      <c r="G89" s="63">
        <v>1000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250</v>
      </c>
      <c r="N89" s="63">
        <v>0</v>
      </c>
      <c r="O89" s="63">
        <v>0</v>
      </c>
      <c r="P89" s="57">
        <f t="shared" si="9"/>
        <v>2324</v>
      </c>
      <c r="Q89" s="60">
        <f t="shared" si="11"/>
        <v>62.22</v>
      </c>
      <c r="R89" s="60">
        <f>(D89+E89+F89+G89+H89+I89+J89+K89+N89)*11%</f>
        <v>228.14</v>
      </c>
      <c r="S89" s="60">
        <v>0</v>
      </c>
      <c r="T89" s="57">
        <v>0</v>
      </c>
      <c r="U89" s="5">
        <f t="shared" si="7"/>
        <v>290.36</v>
      </c>
      <c r="V89" s="5">
        <f t="shared" si="8"/>
        <v>2033.64</v>
      </c>
      <c r="W89" s="23">
        <v>0</v>
      </c>
      <c r="X89" s="130"/>
      <c r="Y89" s="130"/>
      <c r="Z89" s="130"/>
    </row>
    <row r="90" spans="1:26" ht="48" customHeight="1" x14ac:dyDescent="0.2">
      <c r="A90" s="133">
        <v>81</v>
      </c>
      <c r="B90" s="60" t="s">
        <v>526</v>
      </c>
      <c r="C90" s="60" t="s">
        <v>975</v>
      </c>
      <c r="D90" s="65">
        <f>485*2</f>
        <v>970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57">
        <f t="shared" si="9"/>
        <v>970</v>
      </c>
      <c r="Q90" s="60">
        <f t="shared" si="11"/>
        <v>29.1</v>
      </c>
      <c r="R90" s="60">
        <f>(D90+E90+F90+G90+H90+I90+J90+K90+N90)*10%</f>
        <v>97</v>
      </c>
      <c r="S90" s="60">
        <v>0</v>
      </c>
      <c r="T90" s="57">
        <v>0</v>
      </c>
      <c r="U90" s="5">
        <f t="shared" si="7"/>
        <v>126.1</v>
      </c>
      <c r="V90" s="5">
        <f t="shared" si="8"/>
        <v>843.9</v>
      </c>
      <c r="W90" s="23">
        <v>0</v>
      </c>
      <c r="X90" s="130"/>
      <c r="Y90" s="130"/>
      <c r="Z90" s="130"/>
    </row>
    <row r="91" spans="1:26" ht="33.950000000000003" customHeight="1" x14ac:dyDescent="0.2">
      <c r="A91" s="133">
        <v>82</v>
      </c>
      <c r="B91" s="60" t="s">
        <v>527</v>
      </c>
      <c r="C91" s="60" t="s">
        <v>518</v>
      </c>
      <c r="D91" s="65">
        <v>1575</v>
      </c>
      <c r="E91" s="63">
        <v>816</v>
      </c>
      <c r="F91" s="63">
        <v>0</v>
      </c>
      <c r="G91" s="63">
        <v>1000</v>
      </c>
      <c r="H91" s="63">
        <v>0</v>
      </c>
      <c r="I91" s="63">
        <v>0</v>
      </c>
      <c r="J91" s="63">
        <v>0</v>
      </c>
      <c r="K91" s="63">
        <v>50</v>
      </c>
      <c r="L91" s="63">
        <v>0</v>
      </c>
      <c r="M91" s="63">
        <v>250</v>
      </c>
      <c r="N91" s="63">
        <v>0</v>
      </c>
      <c r="O91" s="63">
        <v>0</v>
      </c>
      <c r="P91" s="57">
        <f t="shared" si="9"/>
        <v>3691</v>
      </c>
      <c r="Q91" s="60">
        <f t="shared" si="11"/>
        <v>103.23</v>
      </c>
      <c r="R91" s="60">
        <f>(D91+E91+F91+G91+H91+I91+J91+K91+N91)*11%</f>
        <v>378.51</v>
      </c>
      <c r="S91" s="60">
        <v>0</v>
      </c>
      <c r="T91" s="57">
        <v>0</v>
      </c>
      <c r="U91" s="5">
        <f t="shared" si="7"/>
        <v>481.74</v>
      </c>
      <c r="V91" s="5">
        <f t="shared" si="8"/>
        <v>3209.26</v>
      </c>
      <c r="W91" s="23">
        <v>0</v>
      </c>
      <c r="X91" s="130"/>
      <c r="Y91" s="130"/>
      <c r="Z91" s="130"/>
    </row>
    <row r="92" spans="1:26" ht="33.950000000000003" customHeight="1" x14ac:dyDescent="0.2">
      <c r="A92" s="133">
        <v>83</v>
      </c>
      <c r="B92" s="60" t="s">
        <v>528</v>
      </c>
      <c r="C92" s="60" t="s">
        <v>1013</v>
      </c>
      <c r="D92" s="65">
        <v>1223</v>
      </c>
      <c r="E92" s="63">
        <v>650</v>
      </c>
      <c r="F92" s="63">
        <v>0</v>
      </c>
      <c r="G92" s="63">
        <v>1000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250</v>
      </c>
      <c r="N92" s="63">
        <v>0</v>
      </c>
      <c r="O92" s="63">
        <v>0</v>
      </c>
      <c r="P92" s="57">
        <f t="shared" si="9"/>
        <v>3123</v>
      </c>
      <c r="Q92" s="60">
        <f t="shared" si="11"/>
        <v>86.19</v>
      </c>
      <c r="R92" s="60">
        <f>(D92+E92+F92+G92+H92+I92+J92+K92+N92)*11%</f>
        <v>316.02999999999997</v>
      </c>
      <c r="S92" s="60">
        <v>0</v>
      </c>
      <c r="T92" s="57">
        <v>0</v>
      </c>
      <c r="U92" s="5">
        <f t="shared" si="7"/>
        <v>402.22</v>
      </c>
      <c r="V92" s="5">
        <f t="shared" si="8"/>
        <v>2720.78</v>
      </c>
      <c r="W92" s="23">
        <v>0</v>
      </c>
      <c r="X92" s="130"/>
      <c r="Y92" s="130"/>
      <c r="Z92" s="130"/>
    </row>
    <row r="93" spans="1:26" ht="33.950000000000003" customHeight="1" x14ac:dyDescent="0.2">
      <c r="A93" s="133">
        <v>84</v>
      </c>
      <c r="B93" s="60" t="s">
        <v>760</v>
      </c>
      <c r="C93" s="60" t="s">
        <v>761</v>
      </c>
      <c r="D93" s="65">
        <v>5835</v>
      </c>
      <c r="E93" s="63">
        <v>3000</v>
      </c>
      <c r="F93" s="63">
        <v>0</v>
      </c>
      <c r="G93" s="63">
        <v>3000</v>
      </c>
      <c r="H93" s="63">
        <v>0</v>
      </c>
      <c r="I93" s="63">
        <v>0</v>
      </c>
      <c r="J93" s="63">
        <v>375</v>
      </c>
      <c r="K93" s="63">
        <v>0</v>
      </c>
      <c r="L93" s="63">
        <v>0</v>
      </c>
      <c r="M93" s="63">
        <v>250</v>
      </c>
      <c r="N93" s="63">
        <v>0</v>
      </c>
      <c r="O93" s="63">
        <v>0</v>
      </c>
      <c r="P93" s="57">
        <f t="shared" si="9"/>
        <v>12460</v>
      </c>
      <c r="Q93" s="60">
        <f t="shared" si="11"/>
        <v>366.3</v>
      </c>
      <c r="R93" s="60">
        <f>(D93+E93+F93+G93+H93+I93+J93+K93+N93)*15%</f>
        <v>1831.5</v>
      </c>
      <c r="S93" s="60">
        <v>302.49</v>
      </c>
      <c r="T93" s="57">
        <v>164.1</v>
      </c>
      <c r="U93" s="5">
        <f t="shared" si="7"/>
        <v>2361.9</v>
      </c>
      <c r="V93" s="5">
        <f t="shared" si="8"/>
        <v>10098.1</v>
      </c>
      <c r="W93" s="23">
        <v>0</v>
      </c>
      <c r="X93" s="130"/>
      <c r="Y93" s="130"/>
      <c r="Z93" s="130"/>
    </row>
    <row r="94" spans="1:26" ht="33.950000000000003" customHeight="1" x14ac:dyDescent="0.2">
      <c r="A94" s="133">
        <v>85</v>
      </c>
      <c r="B94" s="60" t="s">
        <v>529</v>
      </c>
      <c r="C94" s="64" t="s">
        <v>447</v>
      </c>
      <c r="D94" s="65">
        <v>1350</v>
      </c>
      <c r="E94" s="63">
        <v>2000</v>
      </c>
      <c r="F94" s="63">
        <v>0</v>
      </c>
      <c r="G94" s="63">
        <v>0</v>
      </c>
      <c r="H94" s="63">
        <v>1600</v>
      </c>
      <c r="I94" s="63">
        <v>2900</v>
      </c>
      <c r="J94" s="63">
        <v>0</v>
      </c>
      <c r="K94" s="63">
        <v>75</v>
      </c>
      <c r="L94" s="63">
        <v>0</v>
      </c>
      <c r="M94" s="63">
        <v>250</v>
      </c>
      <c r="N94" s="63">
        <v>0</v>
      </c>
      <c r="O94" s="63">
        <v>0</v>
      </c>
      <c r="P94" s="57">
        <f t="shared" si="9"/>
        <v>8175</v>
      </c>
      <c r="Q94" s="60">
        <f t="shared" si="11"/>
        <v>237.75</v>
      </c>
      <c r="R94" s="60">
        <f>(D94+E94+F94+G94+H94+I94+J94+K94+N94)*13%</f>
        <v>1030.25</v>
      </c>
      <c r="S94" s="60">
        <v>146.18</v>
      </c>
      <c r="T94" s="57">
        <v>0</v>
      </c>
      <c r="U94" s="5">
        <f t="shared" si="7"/>
        <v>1268</v>
      </c>
      <c r="V94" s="5">
        <f t="shared" si="8"/>
        <v>6907</v>
      </c>
      <c r="W94" s="23">
        <v>0</v>
      </c>
      <c r="X94" s="130"/>
      <c r="Y94" s="130"/>
      <c r="Z94" s="130"/>
    </row>
    <row r="95" spans="1:26" ht="33.950000000000003" customHeight="1" x14ac:dyDescent="0.2">
      <c r="A95" s="133">
        <v>86</v>
      </c>
      <c r="B95" s="60" t="s">
        <v>530</v>
      </c>
      <c r="C95" s="60" t="s">
        <v>744</v>
      </c>
      <c r="D95" s="65">
        <v>1476</v>
      </c>
      <c r="E95" s="63">
        <v>1600</v>
      </c>
      <c r="F95" s="63">
        <v>0</v>
      </c>
      <c r="G95" s="63">
        <v>0</v>
      </c>
      <c r="H95" s="63">
        <v>1900</v>
      </c>
      <c r="I95" s="63">
        <v>0</v>
      </c>
      <c r="J95" s="63">
        <v>0</v>
      </c>
      <c r="K95" s="63">
        <v>75</v>
      </c>
      <c r="L95" s="63">
        <v>0</v>
      </c>
      <c r="M95" s="63">
        <v>250</v>
      </c>
      <c r="N95" s="63">
        <v>0</v>
      </c>
      <c r="O95" s="63">
        <v>0</v>
      </c>
      <c r="P95" s="57">
        <f t="shared" si="9"/>
        <v>5301</v>
      </c>
      <c r="Q95" s="60">
        <f t="shared" si="11"/>
        <v>151.53</v>
      </c>
      <c r="R95" s="60">
        <f>(D95+E95+F95+G95+H95+I95+J95+K95+N95)*12%</f>
        <v>606.12</v>
      </c>
      <c r="S95" s="60">
        <v>20.420000000000002</v>
      </c>
      <c r="T95" s="57">
        <v>0</v>
      </c>
      <c r="U95" s="5">
        <f t="shared" si="7"/>
        <v>757.65</v>
      </c>
      <c r="V95" s="5">
        <f t="shared" si="8"/>
        <v>4543.3500000000004</v>
      </c>
      <c r="W95" s="23">
        <f>568</f>
        <v>568</v>
      </c>
      <c r="X95" s="130"/>
      <c r="Y95" s="130"/>
      <c r="Z95" s="130"/>
    </row>
    <row r="96" spans="1:26" ht="33.950000000000003" customHeight="1" x14ac:dyDescent="0.2">
      <c r="A96" s="133">
        <v>87</v>
      </c>
      <c r="B96" s="60" t="s">
        <v>531</v>
      </c>
      <c r="C96" s="60" t="s">
        <v>985</v>
      </c>
      <c r="D96" s="65">
        <v>1476</v>
      </c>
      <c r="E96" s="63">
        <v>2000</v>
      </c>
      <c r="F96" s="63">
        <v>0</v>
      </c>
      <c r="G96" s="63">
        <v>1900</v>
      </c>
      <c r="H96" s="63">
        <v>0</v>
      </c>
      <c r="I96" s="63">
        <v>2600</v>
      </c>
      <c r="J96" s="63">
        <v>0</v>
      </c>
      <c r="K96" s="63">
        <v>50</v>
      </c>
      <c r="L96" s="63">
        <v>0</v>
      </c>
      <c r="M96" s="63">
        <v>250</v>
      </c>
      <c r="N96" s="63">
        <v>0</v>
      </c>
      <c r="O96" s="63">
        <v>0</v>
      </c>
      <c r="P96" s="57">
        <f t="shared" si="9"/>
        <v>8276</v>
      </c>
      <c r="Q96" s="60">
        <f t="shared" si="11"/>
        <v>240.78</v>
      </c>
      <c r="R96" s="60">
        <f>(D96+E96+F96+G96+H96+I96+J96+K96+N96)*14%</f>
        <v>1123.6400000000001</v>
      </c>
      <c r="S96" s="60">
        <v>146.41</v>
      </c>
      <c r="T96" s="57">
        <v>0</v>
      </c>
      <c r="U96" s="5">
        <f t="shared" si="7"/>
        <v>1364.42</v>
      </c>
      <c r="V96" s="5">
        <f t="shared" si="8"/>
        <v>6911.58</v>
      </c>
      <c r="W96" s="23">
        <v>0</v>
      </c>
      <c r="X96" s="130"/>
      <c r="Y96" s="130"/>
      <c r="Z96" s="130"/>
    </row>
    <row r="97" spans="1:26" ht="33.950000000000003" customHeight="1" x14ac:dyDescent="0.2">
      <c r="A97" s="133">
        <v>88</v>
      </c>
      <c r="B97" s="60" t="s">
        <v>532</v>
      </c>
      <c r="C97" s="60" t="s">
        <v>524</v>
      </c>
      <c r="D97" s="65">
        <v>1039</v>
      </c>
      <c r="E97" s="63">
        <v>400</v>
      </c>
      <c r="F97" s="63">
        <v>0</v>
      </c>
      <c r="G97" s="63">
        <v>1000</v>
      </c>
      <c r="H97" s="63">
        <v>0</v>
      </c>
      <c r="I97" s="63">
        <v>0</v>
      </c>
      <c r="J97" s="63">
        <v>0</v>
      </c>
      <c r="K97" s="63">
        <v>50</v>
      </c>
      <c r="L97" s="63">
        <v>200</v>
      </c>
      <c r="M97" s="63">
        <v>250</v>
      </c>
      <c r="N97" s="63">
        <v>0</v>
      </c>
      <c r="O97" s="63">
        <v>0</v>
      </c>
      <c r="P97" s="57">
        <f t="shared" si="9"/>
        <v>2939</v>
      </c>
      <c r="Q97" s="60">
        <f t="shared" si="11"/>
        <v>74.67</v>
      </c>
      <c r="R97" s="60">
        <f>(D97+E97+F97+G97+H97+I97+J97+K97+N97)*11%</f>
        <v>273.79000000000002</v>
      </c>
      <c r="S97" s="60">
        <v>0</v>
      </c>
      <c r="T97" s="57">
        <v>0</v>
      </c>
      <c r="U97" s="5">
        <f t="shared" si="7"/>
        <v>348.46</v>
      </c>
      <c r="V97" s="5">
        <f t="shared" si="8"/>
        <v>2590.54</v>
      </c>
      <c r="W97" s="23">
        <v>0</v>
      </c>
      <c r="X97" s="130"/>
      <c r="Y97" s="130"/>
      <c r="Z97" s="130"/>
    </row>
    <row r="98" spans="1:26" ht="33.950000000000003" customHeight="1" x14ac:dyDescent="0.2">
      <c r="A98" s="133">
        <v>89</v>
      </c>
      <c r="B98" s="60" t="s">
        <v>533</v>
      </c>
      <c r="C98" s="60" t="s">
        <v>565</v>
      </c>
      <c r="D98" s="65">
        <f>485*5</f>
        <v>2425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57">
        <f t="shared" si="9"/>
        <v>2425</v>
      </c>
      <c r="Q98" s="60">
        <f t="shared" si="11"/>
        <v>72.75</v>
      </c>
      <c r="R98" s="60">
        <f>(D98+E98+F98+G98+H98+I98+J98+K98+N98)*11%</f>
        <v>266.75</v>
      </c>
      <c r="S98" s="60">
        <v>0</v>
      </c>
      <c r="T98" s="57">
        <v>0</v>
      </c>
      <c r="U98" s="5">
        <f t="shared" si="7"/>
        <v>339.5</v>
      </c>
      <c r="V98" s="5">
        <f t="shared" si="8"/>
        <v>2085.5</v>
      </c>
      <c r="W98" s="23">
        <v>0</v>
      </c>
      <c r="X98" s="130"/>
      <c r="Y98" s="130"/>
      <c r="Z98" s="130"/>
    </row>
    <row r="99" spans="1:26" ht="33.950000000000003" customHeight="1" x14ac:dyDescent="0.2">
      <c r="A99" s="133">
        <v>90</v>
      </c>
      <c r="B99" s="60" t="s">
        <v>534</v>
      </c>
      <c r="C99" s="64" t="s">
        <v>447</v>
      </c>
      <c r="D99" s="65">
        <v>1350</v>
      </c>
      <c r="E99" s="63">
        <v>2000</v>
      </c>
      <c r="F99" s="63">
        <v>0</v>
      </c>
      <c r="G99" s="63">
        <v>0</v>
      </c>
      <c r="H99" s="63">
        <v>1600</v>
      </c>
      <c r="I99" s="63">
        <v>2900</v>
      </c>
      <c r="J99" s="63">
        <v>0</v>
      </c>
      <c r="K99" s="63">
        <v>75</v>
      </c>
      <c r="L99" s="63">
        <v>0</v>
      </c>
      <c r="M99" s="63">
        <v>250</v>
      </c>
      <c r="N99" s="63">
        <v>0</v>
      </c>
      <c r="O99" s="63">
        <v>0</v>
      </c>
      <c r="P99" s="57">
        <f t="shared" si="9"/>
        <v>8175</v>
      </c>
      <c r="Q99" s="60">
        <f t="shared" si="11"/>
        <v>237.75</v>
      </c>
      <c r="R99" s="60">
        <f>(D99+E99+F99+G99+H99+I99+J99+K99+N99)*13%</f>
        <v>1030.25</v>
      </c>
      <c r="S99" s="60">
        <v>146.18</v>
      </c>
      <c r="T99" s="57">
        <v>0</v>
      </c>
      <c r="U99" s="5">
        <f t="shared" si="7"/>
        <v>1268</v>
      </c>
      <c r="V99" s="5">
        <f t="shared" si="8"/>
        <v>6907</v>
      </c>
      <c r="W99" s="23">
        <f>381</f>
        <v>381</v>
      </c>
      <c r="X99" s="130"/>
      <c r="Y99" s="130"/>
      <c r="Z99" s="130"/>
    </row>
    <row r="100" spans="1:26" ht="42" customHeight="1" x14ac:dyDescent="0.2">
      <c r="A100" s="133">
        <v>91</v>
      </c>
      <c r="B100" s="60" t="s">
        <v>535</v>
      </c>
      <c r="C100" s="64" t="s">
        <v>983</v>
      </c>
      <c r="D100" s="65">
        <v>1792</v>
      </c>
      <c r="E100" s="63">
        <v>2500</v>
      </c>
      <c r="F100" s="63">
        <v>0</v>
      </c>
      <c r="G100" s="63">
        <v>0</v>
      </c>
      <c r="H100" s="63">
        <v>2500</v>
      </c>
      <c r="I100" s="63">
        <v>3000</v>
      </c>
      <c r="J100" s="63">
        <v>0</v>
      </c>
      <c r="K100" s="63">
        <v>50</v>
      </c>
      <c r="L100" s="63">
        <v>0</v>
      </c>
      <c r="M100" s="63">
        <v>250</v>
      </c>
      <c r="N100" s="63">
        <v>0</v>
      </c>
      <c r="O100" s="63">
        <v>0</v>
      </c>
      <c r="P100" s="57">
        <f t="shared" si="9"/>
        <v>10092</v>
      </c>
      <c r="Q100" s="60">
        <f t="shared" si="11"/>
        <v>295.26</v>
      </c>
      <c r="R100" s="60">
        <f>(D100+E100+F100+G100+H100+I100+J100+K100+N100)*14%</f>
        <v>1377.88</v>
      </c>
      <c r="S100" s="60">
        <v>221.78</v>
      </c>
      <c r="T100" s="57">
        <v>0</v>
      </c>
      <c r="U100" s="5">
        <f t="shared" si="7"/>
        <v>1673.14</v>
      </c>
      <c r="V100" s="5">
        <f t="shared" si="8"/>
        <v>8418.86</v>
      </c>
      <c r="W100" s="23">
        <v>0</v>
      </c>
      <c r="X100" s="130"/>
      <c r="Y100" s="130"/>
      <c r="Z100" s="130"/>
    </row>
    <row r="101" spans="1:26" ht="33.950000000000003" customHeight="1" x14ac:dyDescent="0.2">
      <c r="A101" s="133">
        <v>92</v>
      </c>
      <c r="B101" s="60" t="s">
        <v>806</v>
      </c>
      <c r="C101" s="60" t="s">
        <v>988</v>
      </c>
      <c r="D101" s="65">
        <v>1634</v>
      </c>
      <c r="E101" s="63">
        <v>2400</v>
      </c>
      <c r="F101" s="63">
        <v>0</v>
      </c>
      <c r="G101" s="63">
        <v>0</v>
      </c>
      <c r="H101" s="63">
        <v>3000</v>
      </c>
      <c r="I101" s="63">
        <v>2400</v>
      </c>
      <c r="J101" s="63">
        <v>0</v>
      </c>
      <c r="K101" s="63">
        <v>75</v>
      </c>
      <c r="L101" s="63">
        <v>0</v>
      </c>
      <c r="M101" s="63">
        <v>250</v>
      </c>
      <c r="N101" s="63">
        <v>0</v>
      </c>
      <c r="O101" s="63">
        <v>0</v>
      </c>
      <c r="P101" s="57">
        <f t="shared" si="9"/>
        <v>9759</v>
      </c>
      <c r="Q101" s="60">
        <f t="shared" si="11"/>
        <v>285.27</v>
      </c>
      <c r="R101" s="60">
        <f>(D101+E101+F101+G101+H101+I101+J101+K101+N101)*14%</f>
        <v>1331.26</v>
      </c>
      <c r="S101" s="60">
        <v>207.96</v>
      </c>
      <c r="T101" s="57">
        <v>0</v>
      </c>
      <c r="U101" s="5">
        <f t="shared" si="7"/>
        <v>1616.53</v>
      </c>
      <c r="V101" s="5">
        <f t="shared" si="8"/>
        <v>8142.47</v>
      </c>
      <c r="W101" s="23">
        <v>0</v>
      </c>
      <c r="X101" s="130"/>
      <c r="Y101" s="130"/>
      <c r="Z101" s="130"/>
    </row>
    <row r="102" spans="1:26" ht="33.950000000000003" customHeight="1" x14ac:dyDescent="0.2">
      <c r="A102" s="133">
        <v>93</v>
      </c>
      <c r="B102" s="60" t="s">
        <v>536</v>
      </c>
      <c r="C102" s="60" t="s">
        <v>904</v>
      </c>
      <c r="D102" s="65">
        <v>1476</v>
      </c>
      <c r="E102" s="63">
        <v>2000</v>
      </c>
      <c r="F102" s="63">
        <v>0</v>
      </c>
      <c r="G102" s="63">
        <v>1900</v>
      </c>
      <c r="H102" s="63">
        <v>0</v>
      </c>
      <c r="I102" s="63">
        <v>2600</v>
      </c>
      <c r="J102" s="63">
        <v>0</v>
      </c>
      <c r="K102" s="63">
        <v>50</v>
      </c>
      <c r="L102" s="63">
        <v>0</v>
      </c>
      <c r="M102" s="63">
        <v>250</v>
      </c>
      <c r="N102" s="63">
        <v>0</v>
      </c>
      <c r="O102" s="63">
        <v>0</v>
      </c>
      <c r="P102" s="57">
        <f t="shared" si="9"/>
        <v>8276</v>
      </c>
      <c r="Q102" s="60">
        <f t="shared" si="11"/>
        <v>240.78</v>
      </c>
      <c r="R102" s="60">
        <f>(D102+E102+F102+G102+H102+I102+J102+K102+N102)*14%</f>
        <v>1123.6400000000001</v>
      </c>
      <c r="S102" s="60">
        <v>146.41</v>
      </c>
      <c r="T102" s="57">
        <v>0</v>
      </c>
      <c r="U102" s="5">
        <f t="shared" si="7"/>
        <v>1364.42</v>
      </c>
      <c r="V102" s="5">
        <f t="shared" si="8"/>
        <v>6911.58</v>
      </c>
      <c r="W102" s="23">
        <v>0</v>
      </c>
      <c r="X102" s="130"/>
      <c r="Y102" s="130"/>
      <c r="Z102" s="130"/>
    </row>
    <row r="103" spans="1:26" ht="33.950000000000003" customHeight="1" x14ac:dyDescent="0.2">
      <c r="A103" s="133">
        <v>94</v>
      </c>
      <c r="B103" s="60" t="s">
        <v>537</v>
      </c>
      <c r="C103" s="60" t="s">
        <v>447</v>
      </c>
      <c r="D103" s="65">
        <v>1350</v>
      </c>
      <c r="E103" s="63">
        <v>2000</v>
      </c>
      <c r="F103" s="63">
        <v>0</v>
      </c>
      <c r="G103" s="63">
        <v>0</v>
      </c>
      <c r="H103" s="63">
        <v>0</v>
      </c>
      <c r="I103" s="63">
        <v>4500</v>
      </c>
      <c r="J103" s="63">
        <v>0</v>
      </c>
      <c r="K103" s="63">
        <v>75</v>
      </c>
      <c r="L103" s="63">
        <v>0</v>
      </c>
      <c r="M103" s="63">
        <v>250</v>
      </c>
      <c r="N103" s="63">
        <v>0</v>
      </c>
      <c r="O103" s="63">
        <v>0</v>
      </c>
      <c r="P103" s="57">
        <f t="shared" si="9"/>
        <v>8175</v>
      </c>
      <c r="Q103" s="60">
        <f t="shared" si="11"/>
        <v>237.75</v>
      </c>
      <c r="R103" s="60">
        <f>(D103+E103+F103+G103+H103+I103+J103+K103+N103)*13%</f>
        <v>1030.25</v>
      </c>
      <c r="S103" s="60">
        <v>146.18</v>
      </c>
      <c r="T103" s="57">
        <v>0</v>
      </c>
      <c r="U103" s="5">
        <f t="shared" si="7"/>
        <v>1268</v>
      </c>
      <c r="V103" s="5">
        <f t="shared" si="8"/>
        <v>6907</v>
      </c>
      <c r="W103" s="23">
        <v>0</v>
      </c>
      <c r="X103" s="130"/>
      <c r="Y103" s="130"/>
      <c r="Z103" s="130"/>
    </row>
    <row r="104" spans="1:26" ht="33.950000000000003" customHeight="1" x14ac:dyDescent="0.2">
      <c r="A104" s="133">
        <v>95</v>
      </c>
      <c r="B104" s="60" t="s">
        <v>538</v>
      </c>
      <c r="C104" s="60" t="s">
        <v>447</v>
      </c>
      <c r="D104" s="65">
        <v>1350</v>
      </c>
      <c r="E104" s="63">
        <v>2000</v>
      </c>
      <c r="F104" s="63">
        <v>0</v>
      </c>
      <c r="G104" s="63">
        <v>0</v>
      </c>
      <c r="H104" s="63">
        <v>0</v>
      </c>
      <c r="I104" s="63">
        <v>4500</v>
      </c>
      <c r="J104" s="63">
        <v>0</v>
      </c>
      <c r="K104" s="63">
        <v>75</v>
      </c>
      <c r="L104" s="63">
        <v>0</v>
      </c>
      <c r="M104" s="63">
        <v>250</v>
      </c>
      <c r="N104" s="63">
        <v>0</v>
      </c>
      <c r="O104" s="63">
        <v>0</v>
      </c>
      <c r="P104" s="57">
        <f t="shared" si="9"/>
        <v>8175</v>
      </c>
      <c r="Q104" s="60">
        <f t="shared" si="11"/>
        <v>237.75</v>
      </c>
      <c r="R104" s="60">
        <f>(D104+E104+F104+G104+H104+I104+J104+K104+N104)*13%</f>
        <v>1030.25</v>
      </c>
      <c r="S104" s="60">
        <v>145.13</v>
      </c>
      <c r="T104" s="57">
        <v>0</v>
      </c>
      <c r="U104" s="5">
        <f t="shared" si="7"/>
        <v>1268</v>
      </c>
      <c r="V104" s="5">
        <f t="shared" si="8"/>
        <v>6907</v>
      </c>
      <c r="W104" s="23">
        <v>0</v>
      </c>
      <c r="X104" s="130"/>
      <c r="Y104" s="130"/>
      <c r="Z104" s="130"/>
    </row>
    <row r="105" spans="1:26" ht="59.25" customHeight="1" x14ac:dyDescent="0.2">
      <c r="A105" s="133">
        <v>96</v>
      </c>
      <c r="B105" s="76" t="s">
        <v>91</v>
      </c>
      <c r="C105" s="77" t="s">
        <v>982</v>
      </c>
      <c r="D105" s="78">
        <v>6759</v>
      </c>
      <c r="E105" s="79">
        <v>2000</v>
      </c>
      <c r="F105" s="63">
        <v>0</v>
      </c>
      <c r="G105" s="78">
        <v>4000</v>
      </c>
      <c r="H105" s="63">
        <v>0</v>
      </c>
      <c r="I105" s="63">
        <v>0</v>
      </c>
      <c r="J105" s="63">
        <v>375</v>
      </c>
      <c r="K105" s="63">
        <v>0</v>
      </c>
      <c r="L105" s="63">
        <v>0</v>
      </c>
      <c r="M105" s="63">
        <v>250</v>
      </c>
      <c r="N105" s="63">
        <v>0</v>
      </c>
      <c r="O105" s="63">
        <v>0</v>
      </c>
      <c r="P105" s="57">
        <f t="shared" si="9"/>
        <v>13384</v>
      </c>
      <c r="Q105" s="60">
        <f t="shared" si="11"/>
        <v>394.02</v>
      </c>
      <c r="R105" s="60">
        <f>(D105+E105+F105+G105+H105+I105+J105+K105+N105)*15%</f>
        <v>1970.1</v>
      </c>
      <c r="S105" s="21">
        <v>351.83</v>
      </c>
      <c r="T105" s="57">
        <v>176.52</v>
      </c>
      <c r="U105" s="5">
        <f t="shared" si="7"/>
        <v>2540.64</v>
      </c>
      <c r="V105" s="5">
        <f t="shared" si="8"/>
        <v>10843.36</v>
      </c>
      <c r="W105" s="23">
        <f>1220</f>
        <v>1220</v>
      </c>
      <c r="X105" s="130"/>
      <c r="Y105" s="130"/>
      <c r="Z105" s="130"/>
    </row>
    <row r="106" spans="1:26" ht="33.950000000000003" customHeight="1" x14ac:dyDescent="0.2">
      <c r="A106" s="133">
        <v>97</v>
      </c>
      <c r="B106" s="60" t="s">
        <v>539</v>
      </c>
      <c r="C106" s="60" t="s">
        <v>1008</v>
      </c>
      <c r="D106" s="65">
        <v>1074</v>
      </c>
      <c r="E106" s="63">
        <v>400</v>
      </c>
      <c r="F106" s="63">
        <v>0</v>
      </c>
      <c r="G106" s="63">
        <v>1000</v>
      </c>
      <c r="H106" s="63">
        <v>0</v>
      </c>
      <c r="I106" s="63">
        <v>0</v>
      </c>
      <c r="J106" s="63">
        <v>0</v>
      </c>
      <c r="K106" s="63">
        <v>0</v>
      </c>
      <c r="L106" s="63">
        <v>200</v>
      </c>
      <c r="M106" s="63">
        <v>250</v>
      </c>
      <c r="N106" s="63">
        <v>0</v>
      </c>
      <c r="O106" s="63">
        <v>0</v>
      </c>
      <c r="P106" s="57">
        <f t="shared" si="9"/>
        <v>2924</v>
      </c>
      <c r="Q106" s="60">
        <f>(D106+E106+F106+G106+H106+I106+J106+K106+N106+L106)*3%</f>
        <v>80.22</v>
      </c>
      <c r="R106" s="60">
        <f>(D106+E106+F106+G106+H106+I106+J106+K106+N106+L106)*11%</f>
        <v>294.14</v>
      </c>
      <c r="S106" s="60">
        <v>0</v>
      </c>
      <c r="T106" s="57">
        <v>0</v>
      </c>
      <c r="U106" s="5">
        <f t="shared" si="7"/>
        <v>374.36</v>
      </c>
      <c r="V106" s="5">
        <f t="shared" si="8"/>
        <v>2549.64</v>
      </c>
      <c r="W106" s="23">
        <v>0</v>
      </c>
      <c r="X106" s="130"/>
      <c r="Y106" s="130"/>
      <c r="Z106" s="130"/>
    </row>
    <row r="107" spans="1:26" ht="33.950000000000003" customHeight="1" x14ac:dyDescent="0.2">
      <c r="A107" s="133">
        <v>98</v>
      </c>
      <c r="B107" s="66" t="s">
        <v>210</v>
      </c>
      <c r="C107" s="67" t="s">
        <v>491</v>
      </c>
      <c r="D107" s="65">
        <v>1223</v>
      </c>
      <c r="E107" s="63">
        <v>0</v>
      </c>
      <c r="F107" s="63">
        <v>0</v>
      </c>
      <c r="G107" s="63">
        <v>0</v>
      </c>
      <c r="H107" s="80">
        <v>1300</v>
      </c>
      <c r="I107" s="80">
        <v>3200</v>
      </c>
      <c r="J107" s="63">
        <v>0</v>
      </c>
      <c r="K107" s="63">
        <v>0</v>
      </c>
      <c r="L107" s="63">
        <v>0</v>
      </c>
      <c r="M107" s="63">
        <v>250</v>
      </c>
      <c r="N107" s="63">
        <v>0</v>
      </c>
      <c r="O107" s="63">
        <v>0</v>
      </c>
      <c r="P107" s="57">
        <f t="shared" si="9"/>
        <v>5973</v>
      </c>
      <c r="Q107" s="60">
        <f>(D107+E107+F107+G107+H107+I107+J107+K107+N107)*3%</f>
        <v>171.69</v>
      </c>
      <c r="R107" s="60">
        <f>(D107+E107+F107+G107+H107+I107+J107+K107+N107)*12%</f>
        <v>686.76</v>
      </c>
      <c r="S107" s="60">
        <v>0</v>
      </c>
      <c r="T107" s="57">
        <v>0</v>
      </c>
      <c r="U107" s="5">
        <f t="shared" si="7"/>
        <v>858.45</v>
      </c>
      <c r="V107" s="5">
        <f t="shared" si="8"/>
        <v>5114.55</v>
      </c>
      <c r="W107" s="23">
        <v>0</v>
      </c>
      <c r="X107" s="130"/>
      <c r="Y107" s="130"/>
      <c r="Z107" s="130"/>
    </row>
    <row r="108" spans="1:26" ht="33.950000000000003" customHeight="1" x14ac:dyDescent="0.2">
      <c r="A108" s="133">
        <v>99</v>
      </c>
      <c r="B108" s="60" t="s">
        <v>540</v>
      </c>
      <c r="C108" s="60" t="s">
        <v>991</v>
      </c>
      <c r="D108" s="65">
        <v>1223</v>
      </c>
      <c r="E108" s="63">
        <v>2000</v>
      </c>
      <c r="F108" s="63">
        <v>0</v>
      </c>
      <c r="G108" s="63">
        <v>0</v>
      </c>
      <c r="H108" s="63">
        <v>0</v>
      </c>
      <c r="I108" s="63">
        <v>4500</v>
      </c>
      <c r="J108" s="63">
        <v>0</v>
      </c>
      <c r="K108" s="63">
        <v>0</v>
      </c>
      <c r="L108" s="63">
        <v>0</v>
      </c>
      <c r="M108" s="63">
        <v>250</v>
      </c>
      <c r="N108" s="63">
        <v>0</v>
      </c>
      <c r="O108" s="63">
        <v>0</v>
      </c>
      <c r="P108" s="57">
        <f t="shared" si="9"/>
        <v>7973</v>
      </c>
      <c r="Q108" s="60">
        <f>(D108+E108+F108+G108+H108+I108+J108+K108+N108)*3%</f>
        <v>231.69</v>
      </c>
      <c r="R108" s="60">
        <f>(D108+E108+F108+G108+H108+I108+J108+K108+N108)*13%</f>
        <v>1003.99</v>
      </c>
      <c r="S108" s="60">
        <v>137.69999999999999</v>
      </c>
      <c r="T108" s="57">
        <v>0</v>
      </c>
      <c r="U108" s="5">
        <f t="shared" si="7"/>
        <v>1235.68</v>
      </c>
      <c r="V108" s="5">
        <f t="shared" si="8"/>
        <v>6737.32</v>
      </c>
      <c r="W108" s="23">
        <v>0</v>
      </c>
      <c r="X108" s="130"/>
      <c r="Y108" s="130"/>
      <c r="Z108" s="130"/>
    </row>
    <row r="109" spans="1:26" ht="33.950000000000003" customHeight="1" x14ac:dyDescent="0.2">
      <c r="A109" s="133">
        <v>100</v>
      </c>
      <c r="B109" s="60" t="s">
        <v>541</v>
      </c>
      <c r="C109" s="64" t="s">
        <v>447</v>
      </c>
      <c r="D109" s="65">
        <v>1350</v>
      </c>
      <c r="E109" s="63">
        <v>2000</v>
      </c>
      <c r="F109" s="63">
        <v>0</v>
      </c>
      <c r="G109" s="63">
        <v>0</v>
      </c>
      <c r="H109" s="63">
        <v>1600</v>
      </c>
      <c r="I109" s="63">
        <v>2900</v>
      </c>
      <c r="J109" s="63">
        <v>0</v>
      </c>
      <c r="K109" s="63">
        <v>50</v>
      </c>
      <c r="L109" s="63">
        <v>0</v>
      </c>
      <c r="M109" s="63">
        <v>250</v>
      </c>
      <c r="N109" s="63">
        <v>0</v>
      </c>
      <c r="O109" s="63">
        <v>0</v>
      </c>
      <c r="P109" s="57">
        <f t="shared" si="9"/>
        <v>8150</v>
      </c>
      <c r="Q109" s="60">
        <f>(D109+E109+F109+G109+H109+I109+J109+K109+N109)*3%</f>
        <v>237</v>
      </c>
      <c r="R109" s="60">
        <f>(D109+E109+F109+G109+H109+I109+J109+K109+N109)*13%</f>
        <v>1027</v>
      </c>
      <c r="S109" s="60">
        <v>145.13</v>
      </c>
      <c r="T109" s="57">
        <v>106.18</v>
      </c>
      <c r="U109" s="5">
        <f t="shared" si="7"/>
        <v>1370.18</v>
      </c>
      <c r="V109" s="5">
        <f t="shared" si="8"/>
        <v>6779.82</v>
      </c>
      <c r="W109" s="23">
        <f>600</f>
        <v>600</v>
      </c>
      <c r="X109" s="130"/>
      <c r="Y109" s="130"/>
      <c r="Z109" s="130"/>
    </row>
    <row r="110" spans="1:26" ht="33.950000000000003" customHeight="1" x14ac:dyDescent="0.2">
      <c r="A110" s="133">
        <v>101</v>
      </c>
      <c r="B110" s="60" t="s">
        <v>542</v>
      </c>
      <c r="C110" s="60" t="s">
        <v>1012</v>
      </c>
      <c r="D110" s="65">
        <v>1074</v>
      </c>
      <c r="E110" s="63">
        <v>400</v>
      </c>
      <c r="F110" s="63">
        <v>0</v>
      </c>
      <c r="G110" s="63">
        <v>1000</v>
      </c>
      <c r="H110" s="63">
        <v>0</v>
      </c>
      <c r="I110" s="63">
        <v>0</v>
      </c>
      <c r="J110" s="63">
        <v>0</v>
      </c>
      <c r="K110" s="63">
        <v>0</v>
      </c>
      <c r="L110" s="63">
        <v>200</v>
      </c>
      <c r="M110" s="63">
        <v>250</v>
      </c>
      <c r="N110" s="63">
        <v>0</v>
      </c>
      <c r="O110" s="63">
        <v>0</v>
      </c>
      <c r="P110" s="57">
        <f t="shared" si="9"/>
        <v>2924</v>
      </c>
      <c r="Q110" s="60">
        <f>(D110+E110+F110+G110+H110+I110+J110+K110+N110+L110)*3%</f>
        <v>80.22</v>
      </c>
      <c r="R110" s="60">
        <f>(D110+E110+F110+G110+H110+I110+J110+K110+N110+L110)*11%</f>
        <v>294.14</v>
      </c>
      <c r="S110" s="60">
        <v>0</v>
      </c>
      <c r="T110" s="57">
        <v>0</v>
      </c>
      <c r="U110" s="5">
        <f t="shared" si="7"/>
        <v>374.36</v>
      </c>
      <c r="V110" s="5">
        <f t="shared" si="8"/>
        <v>2549.64</v>
      </c>
      <c r="W110" s="23">
        <v>0</v>
      </c>
      <c r="X110" s="130"/>
      <c r="Y110" s="130"/>
      <c r="Z110" s="130"/>
    </row>
    <row r="111" spans="1:26" ht="33.950000000000003" customHeight="1" x14ac:dyDescent="0.2">
      <c r="A111" s="133">
        <v>102</v>
      </c>
      <c r="B111" s="60" t="s">
        <v>543</v>
      </c>
      <c r="C111" s="64" t="s">
        <v>995</v>
      </c>
      <c r="D111" s="63">
        <v>1476</v>
      </c>
      <c r="E111" s="60">
        <v>2000</v>
      </c>
      <c r="F111" s="63">
        <v>0</v>
      </c>
      <c r="G111" s="63">
        <v>0</v>
      </c>
      <c r="H111" s="63">
        <v>1900</v>
      </c>
      <c r="I111" s="63">
        <v>2600</v>
      </c>
      <c r="J111" s="63">
        <v>0</v>
      </c>
      <c r="K111" s="63">
        <v>0</v>
      </c>
      <c r="L111" s="63">
        <v>0</v>
      </c>
      <c r="M111" s="63">
        <v>250</v>
      </c>
      <c r="N111" s="63">
        <v>0</v>
      </c>
      <c r="O111" s="63">
        <v>0</v>
      </c>
      <c r="P111" s="57">
        <f t="shared" si="9"/>
        <v>8226</v>
      </c>
      <c r="Q111" s="60">
        <f>(D111+E111+F111+G111+H111+I111+J111+K111+N111)*3%</f>
        <v>239.28</v>
      </c>
      <c r="R111" s="60">
        <f>(D111+E111+F111+G111+H111+I111+J111+K111+N111)*13%</f>
        <v>1036.8800000000001</v>
      </c>
      <c r="S111" s="60">
        <v>143.03</v>
      </c>
      <c r="T111" s="57">
        <v>0</v>
      </c>
      <c r="U111" s="5">
        <f t="shared" si="7"/>
        <v>1276.1600000000001</v>
      </c>
      <c r="V111" s="5">
        <f t="shared" si="8"/>
        <v>6949.84</v>
      </c>
      <c r="W111" s="23">
        <v>0</v>
      </c>
      <c r="X111" s="130"/>
      <c r="Y111" s="130"/>
      <c r="Z111" s="130"/>
    </row>
    <row r="112" spans="1:26" ht="33.950000000000003" customHeight="1" x14ac:dyDescent="0.2">
      <c r="A112" s="133">
        <v>103</v>
      </c>
      <c r="B112" s="60" t="s">
        <v>544</v>
      </c>
      <c r="C112" s="60" t="s">
        <v>545</v>
      </c>
      <c r="D112" s="63">
        <v>1128</v>
      </c>
      <c r="E112" s="63">
        <v>0</v>
      </c>
      <c r="F112" s="63">
        <v>0</v>
      </c>
      <c r="G112" s="63">
        <v>1000</v>
      </c>
      <c r="H112" s="63">
        <v>0</v>
      </c>
      <c r="I112" s="63">
        <v>0</v>
      </c>
      <c r="J112" s="63">
        <v>0</v>
      </c>
      <c r="K112" s="63">
        <v>0</v>
      </c>
      <c r="L112" s="63">
        <v>600</v>
      </c>
      <c r="M112" s="63">
        <v>250</v>
      </c>
      <c r="N112" s="63">
        <v>0</v>
      </c>
      <c r="O112" s="63">
        <v>0</v>
      </c>
      <c r="P112" s="57">
        <f t="shared" si="9"/>
        <v>2978</v>
      </c>
      <c r="Q112" s="60">
        <f>(D112+E112+F112+G112+H112+I112+J112+K112+N112)*3%</f>
        <v>63.84</v>
      </c>
      <c r="R112" s="60">
        <f>(D112+E112+F112+G112+H112+I112+J112+K112+N112)*11%</f>
        <v>234.08</v>
      </c>
      <c r="S112" s="60">
        <v>0</v>
      </c>
      <c r="T112" s="57">
        <v>0</v>
      </c>
      <c r="U112" s="5">
        <f t="shared" si="7"/>
        <v>297.92</v>
      </c>
      <c r="V112" s="5">
        <f t="shared" si="8"/>
        <v>2680.08</v>
      </c>
      <c r="W112" s="23">
        <v>0</v>
      </c>
      <c r="X112" s="130"/>
      <c r="Y112" s="130"/>
      <c r="Z112" s="130"/>
    </row>
    <row r="113" spans="1:26" ht="33.950000000000003" customHeight="1" x14ac:dyDescent="0.2">
      <c r="A113" s="133">
        <v>104</v>
      </c>
      <c r="B113" s="60" t="s">
        <v>546</v>
      </c>
      <c r="C113" s="64" t="s">
        <v>447</v>
      </c>
      <c r="D113" s="65">
        <v>1350</v>
      </c>
      <c r="E113" s="63">
        <v>2000</v>
      </c>
      <c r="F113" s="63">
        <v>0</v>
      </c>
      <c r="G113" s="63">
        <v>0</v>
      </c>
      <c r="H113" s="63">
        <v>1600</v>
      </c>
      <c r="I113" s="63">
        <v>2900</v>
      </c>
      <c r="J113" s="63">
        <v>0</v>
      </c>
      <c r="K113" s="63">
        <v>50</v>
      </c>
      <c r="L113" s="63">
        <v>0</v>
      </c>
      <c r="M113" s="63">
        <v>250</v>
      </c>
      <c r="N113" s="63">
        <v>0</v>
      </c>
      <c r="O113" s="63">
        <v>0</v>
      </c>
      <c r="P113" s="57">
        <f t="shared" si="9"/>
        <v>8150</v>
      </c>
      <c r="Q113" s="60">
        <f>(D113+E113+F113+G113+H113+I113+J113+K113+N113)*3%</f>
        <v>237</v>
      </c>
      <c r="R113" s="60">
        <f>(D113+E113+F113+G113+H113+I113+J113+K113+N113)*13%</f>
        <v>1027</v>
      </c>
      <c r="S113" s="60">
        <v>145.13</v>
      </c>
      <c r="T113" s="57">
        <v>106.18</v>
      </c>
      <c r="U113" s="5">
        <f t="shared" si="7"/>
        <v>1370.18</v>
      </c>
      <c r="V113" s="5">
        <f t="shared" si="8"/>
        <v>6779.82</v>
      </c>
      <c r="W113" s="23">
        <v>0</v>
      </c>
      <c r="X113" s="130"/>
      <c r="Y113" s="130"/>
      <c r="Z113" s="130"/>
    </row>
    <row r="114" spans="1:26" ht="33.950000000000003" customHeight="1" x14ac:dyDescent="0.2">
      <c r="A114" s="133">
        <v>105</v>
      </c>
      <c r="B114" s="64" t="s">
        <v>547</v>
      </c>
      <c r="C114" s="60" t="s">
        <v>980</v>
      </c>
      <c r="D114" s="63">
        <v>1074</v>
      </c>
      <c r="E114" s="63">
        <v>0</v>
      </c>
      <c r="F114" s="63">
        <v>0</v>
      </c>
      <c r="G114" s="63">
        <v>1000</v>
      </c>
      <c r="H114" s="63">
        <v>0</v>
      </c>
      <c r="I114" s="63">
        <v>0</v>
      </c>
      <c r="J114" s="63">
        <v>0</v>
      </c>
      <c r="K114" s="63">
        <v>0</v>
      </c>
      <c r="L114" s="63">
        <v>600</v>
      </c>
      <c r="M114" s="63">
        <v>250</v>
      </c>
      <c r="N114" s="63">
        <v>0</v>
      </c>
      <c r="O114" s="63">
        <v>0</v>
      </c>
      <c r="P114" s="57">
        <f t="shared" si="9"/>
        <v>2924</v>
      </c>
      <c r="Q114" s="60">
        <f>(D114+E114+F114+G114+H114+I114+J114+K114+N114+L114)*3%</f>
        <v>80.22</v>
      </c>
      <c r="R114" s="60">
        <f>(D114+E114+F114+G114+H114+I114+J114+K114+N114+L114)*11%</f>
        <v>294.14</v>
      </c>
      <c r="S114" s="60">
        <v>0</v>
      </c>
      <c r="T114" s="57">
        <v>0</v>
      </c>
      <c r="U114" s="5">
        <f t="shared" si="7"/>
        <v>374.36</v>
      </c>
      <c r="V114" s="5">
        <f t="shared" si="8"/>
        <v>2549.64</v>
      </c>
      <c r="W114" s="23">
        <v>0</v>
      </c>
      <c r="X114" s="130"/>
      <c r="Y114" s="130"/>
      <c r="Z114" s="130"/>
    </row>
    <row r="115" spans="1:26" ht="33.950000000000003" customHeight="1" x14ac:dyDescent="0.2">
      <c r="A115" s="133">
        <v>106</v>
      </c>
      <c r="B115" s="60" t="s">
        <v>548</v>
      </c>
      <c r="C115" s="60" t="s">
        <v>447</v>
      </c>
      <c r="D115" s="65">
        <v>1350</v>
      </c>
      <c r="E115" s="63">
        <v>2000</v>
      </c>
      <c r="F115" s="63">
        <v>0</v>
      </c>
      <c r="G115" s="63">
        <v>0</v>
      </c>
      <c r="H115" s="63">
        <v>0</v>
      </c>
      <c r="I115" s="63">
        <v>4500</v>
      </c>
      <c r="J115" s="63">
        <v>0</v>
      </c>
      <c r="K115" s="63">
        <v>75</v>
      </c>
      <c r="L115" s="63">
        <v>0</v>
      </c>
      <c r="M115" s="63">
        <v>250</v>
      </c>
      <c r="N115" s="63">
        <v>0</v>
      </c>
      <c r="O115" s="63">
        <v>0</v>
      </c>
      <c r="P115" s="57">
        <f t="shared" si="9"/>
        <v>8175</v>
      </c>
      <c r="Q115" s="60">
        <f t="shared" ref="Q115:Q128" si="12">(D115+E115+F115+G115+H115+I115+J115+K115+N115)*3%</f>
        <v>237.75</v>
      </c>
      <c r="R115" s="60">
        <f>(D115+E115+F115+G115+H115+I115+J115+K115+N115)*13%</f>
        <v>1030.25</v>
      </c>
      <c r="S115" s="60">
        <v>146.18</v>
      </c>
      <c r="T115" s="57">
        <v>0</v>
      </c>
      <c r="U115" s="5">
        <f t="shared" si="7"/>
        <v>1268</v>
      </c>
      <c r="V115" s="5">
        <f t="shared" si="8"/>
        <v>6907</v>
      </c>
      <c r="W115" s="23">
        <v>0</v>
      </c>
      <c r="X115" s="130"/>
      <c r="Y115" s="130"/>
      <c r="Z115" s="130"/>
    </row>
    <row r="116" spans="1:26" ht="33.950000000000003" customHeight="1" x14ac:dyDescent="0.2">
      <c r="A116" s="133">
        <v>107</v>
      </c>
      <c r="B116" s="60" t="s">
        <v>549</v>
      </c>
      <c r="C116" s="60" t="s">
        <v>550</v>
      </c>
      <c r="D116" s="65">
        <f>(485*6)+1350</f>
        <v>4260</v>
      </c>
      <c r="E116" s="63">
        <v>2000</v>
      </c>
      <c r="F116" s="63">
        <f>606.25*6</f>
        <v>3637.5</v>
      </c>
      <c r="G116" s="63">
        <v>0</v>
      </c>
      <c r="H116" s="63">
        <v>0</v>
      </c>
      <c r="I116" s="63">
        <v>4500</v>
      </c>
      <c r="J116" s="63">
        <v>0</v>
      </c>
      <c r="K116" s="63">
        <v>0</v>
      </c>
      <c r="L116" s="63">
        <v>0</v>
      </c>
      <c r="M116" s="63">
        <v>250</v>
      </c>
      <c r="N116" s="63">
        <v>0</v>
      </c>
      <c r="O116" s="63">
        <v>0</v>
      </c>
      <c r="P116" s="57">
        <f t="shared" si="9"/>
        <v>14647.5</v>
      </c>
      <c r="Q116" s="60">
        <f t="shared" si="12"/>
        <v>431.93</v>
      </c>
      <c r="R116" s="60">
        <f>(D116+E116+F116+G116+H116+I116+J116+K116+N116)*15%</f>
        <v>2159.63</v>
      </c>
      <c r="S116" s="60">
        <v>403.63</v>
      </c>
      <c r="T116" s="57">
        <v>0</v>
      </c>
      <c r="U116" s="5">
        <f t="shared" si="7"/>
        <v>2591.56</v>
      </c>
      <c r="V116" s="5">
        <f t="shared" si="8"/>
        <v>12055.94</v>
      </c>
      <c r="W116" s="23">
        <v>0</v>
      </c>
      <c r="X116" s="130"/>
      <c r="Y116" s="130"/>
      <c r="Z116" s="130"/>
    </row>
    <row r="117" spans="1:26" ht="33.950000000000003" customHeight="1" x14ac:dyDescent="0.2">
      <c r="A117" s="133">
        <v>108</v>
      </c>
      <c r="B117" s="60" t="s">
        <v>551</v>
      </c>
      <c r="C117" s="60" t="s">
        <v>552</v>
      </c>
      <c r="D117" s="65">
        <f>(485*6)+2848</f>
        <v>5758</v>
      </c>
      <c r="E117" s="63">
        <v>2500</v>
      </c>
      <c r="F117" s="63">
        <f>485*6</f>
        <v>2910</v>
      </c>
      <c r="G117" s="63">
        <v>0</v>
      </c>
      <c r="H117" s="63">
        <v>0</v>
      </c>
      <c r="I117" s="63">
        <v>5500</v>
      </c>
      <c r="J117" s="63">
        <v>0</v>
      </c>
      <c r="K117" s="63">
        <v>0</v>
      </c>
      <c r="L117" s="63">
        <v>0</v>
      </c>
      <c r="M117" s="63">
        <v>250</v>
      </c>
      <c r="N117" s="63">
        <v>0</v>
      </c>
      <c r="O117" s="63">
        <v>0</v>
      </c>
      <c r="P117" s="57">
        <f t="shared" si="9"/>
        <v>16918</v>
      </c>
      <c r="Q117" s="60">
        <f t="shared" si="12"/>
        <v>500.04</v>
      </c>
      <c r="R117" s="60">
        <f>(D117+E117+F117+G117+H117+I117+J117+K117+N117)*15%</f>
        <v>2500.1999999999998</v>
      </c>
      <c r="S117" s="60">
        <v>536.49</v>
      </c>
      <c r="T117" s="57">
        <v>0</v>
      </c>
      <c r="U117" s="5">
        <f t="shared" si="7"/>
        <v>3000.24</v>
      </c>
      <c r="V117" s="5">
        <f t="shared" si="8"/>
        <v>13917.76</v>
      </c>
      <c r="W117" s="23">
        <v>0</v>
      </c>
      <c r="X117" s="130"/>
      <c r="Y117" s="130"/>
      <c r="Z117" s="130"/>
    </row>
    <row r="118" spans="1:26" ht="33.950000000000003" customHeight="1" x14ac:dyDescent="0.2">
      <c r="A118" s="133">
        <v>109</v>
      </c>
      <c r="B118" s="60" t="s">
        <v>553</v>
      </c>
      <c r="C118" s="64" t="s">
        <v>447</v>
      </c>
      <c r="D118" s="65">
        <v>1350</v>
      </c>
      <c r="E118" s="63">
        <v>2000</v>
      </c>
      <c r="F118" s="63">
        <v>0</v>
      </c>
      <c r="G118" s="63">
        <v>0</v>
      </c>
      <c r="H118" s="63">
        <v>1600</v>
      </c>
      <c r="I118" s="63">
        <v>2900</v>
      </c>
      <c r="J118" s="63">
        <v>0</v>
      </c>
      <c r="K118" s="63">
        <v>75</v>
      </c>
      <c r="L118" s="63">
        <v>0</v>
      </c>
      <c r="M118" s="63">
        <v>250</v>
      </c>
      <c r="N118" s="63">
        <v>0</v>
      </c>
      <c r="O118" s="63">
        <v>0</v>
      </c>
      <c r="P118" s="57">
        <f t="shared" si="9"/>
        <v>8175</v>
      </c>
      <c r="Q118" s="60">
        <f t="shared" si="12"/>
        <v>237.75</v>
      </c>
      <c r="R118" s="60">
        <f>(D118+E118+F118+G118+H118+I118+J118+K118+N118)*13%</f>
        <v>1030.25</v>
      </c>
      <c r="S118" s="60">
        <v>282.99</v>
      </c>
      <c r="T118" s="57">
        <v>0</v>
      </c>
      <c r="U118" s="5">
        <f t="shared" si="7"/>
        <v>1268</v>
      </c>
      <c r="V118" s="5">
        <f t="shared" si="8"/>
        <v>6907</v>
      </c>
      <c r="W118" s="23">
        <f>569</f>
        <v>569</v>
      </c>
      <c r="X118" s="130"/>
      <c r="Y118" s="130"/>
      <c r="Z118" s="130"/>
    </row>
    <row r="119" spans="1:26" ht="33.950000000000003" customHeight="1" x14ac:dyDescent="0.2">
      <c r="A119" s="133">
        <v>110</v>
      </c>
      <c r="B119" s="21" t="s">
        <v>730</v>
      </c>
      <c r="C119" s="60" t="s">
        <v>990</v>
      </c>
      <c r="D119" s="65">
        <v>1350</v>
      </c>
      <c r="E119" s="63">
        <v>2000</v>
      </c>
      <c r="F119" s="63">
        <v>0</v>
      </c>
      <c r="G119" s="63">
        <v>0</v>
      </c>
      <c r="H119" s="63">
        <v>0</v>
      </c>
      <c r="I119" s="63">
        <v>4500</v>
      </c>
      <c r="J119" s="63">
        <v>0</v>
      </c>
      <c r="K119" s="63">
        <v>0</v>
      </c>
      <c r="L119" s="63">
        <v>0</v>
      </c>
      <c r="M119" s="63">
        <v>250</v>
      </c>
      <c r="N119" s="63">
        <v>0</v>
      </c>
      <c r="O119" s="63">
        <v>0</v>
      </c>
      <c r="P119" s="57">
        <f t="shared" si="9"/>
        <v>8100</v>
      </c>
      <c r="Q119" s="60">
        <f t="shared" si="12"/>
        <v>235.5</v>
      </c>
      <c r="R119" s="60">
        <f>(D119+E119+F119+G119+H119+I119+J119+K119+N119)*13%</f>
        <v>1020.5</v>
      </c>
      <c r="S119" s="60">
        <v>143.03</v>
      </c>
      <c r="T119" s="57">
        <v>0</v>
      </c>
      <c r="U119" s="5">
        <f t="shared" si="7"/>
        <v>1256</v>
      </c>
      <c r="V119" s="5">
        <f t="shared" si="8"/>
        <v>6844</v>
      </c>
      <c r="W119" s="23">
        <v>0</v>
      </c>
      <c r="X119" s="130"/>
      <c r="Y119" s="130"/>
      <c r="Z119" s="130"/>
    </row>
    <row r="120" spans="1:26" ht="33.950000000000003" customHeight="1" x14ac:dyDescent="0.2">
      <c r="A120" s="133">
        <v>111</v>
      </c>
      <c r="B120" s="60" t="s">
        <v>554</v>
      </c>
      <c r="C120" s="60" t="s">
        <v>555</v>
      </c>
      <c r="D120" s="65">
        <f>(362*5)</f>
        <v>1810</v>
      </c>
      <c r="E120" s="63">
        <v>0</v>
      </c>
      <c r="F120" s="63">
        <f>271.5*5</f>
        <v>1357.5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57">
        <f t="shared" si="9"/>
        <v>3167.5</v>
      </c>
      <c r="Q120" s="60">
        <f t="shared" si="12"/>
        <v>95.03</v>
      </c>
      <c r="R120" s="60">
        <f>(D120+E120+F120+G120+H120+I120+J120+K120+N120)*11%</f>
        <v>348.43</v>
      </c>
      <c r="S120" s="60">
        <v>0</v>
      </c>
      <c r="T120" s="57">
        <v>0</v>
      </c>
      <c r="U120" s="5">
        <f t="shared" si="7"/>
        <v>443.46</v>
      </c>
      <c r="V120" s="5">
        <f t="shared" si="8"/>
        <v>2724.04</v>
      </c>
      <c r="W120" s="23">
        <v>0</v>
      </c>
      <c r="X120" s="130"/>
      <c r="Y120" s="130"/>
      <c r="Z120" s="130"/>
    </row>
    <row r="121" spans="1:26" ht="33.950000000000003" customHeight="1" x14ac:dyDescent="0.2">
      <c r="A121" s="133">
        <v>112</v>
      </c>
      <c r="B121" s="60" t="s">
        <v>556</v>
      </c>
      <c r="C121" s="64" t="s">
        <v>447</v>
      </c>
      <c r="D121" s="65">
        <v>1350</v>
      </c>
      <c r="E121" s="63">
        <v>2000</v>
      </c>
      <c r="F121" s="63">
        <v>0</v>
      </c>
      <c r="G121" s="63">
        <v>0</v>
      </c>
      <c r="H121" s="63">
        <v>1600</v>
      </c>
      <c r="I121" s="63">
        <v>2900</v>
      </c>
      <c r="J121" s="63">
        <v>0</v>
      </c>
      <c r="K121" s="63">
        <v>75</v>
      </c>
      <c r="L121" s="63">
        <v>0</v>
      </c>
      <c r="M121" s="63">
        <v>250</v>
      </c>
      <c r="N121" s="63">
        <v>0</v>
      </c>
      <c r="O121" s="63">
        <v>0</v>
      </c>
      <c r="P121" s="57">
        <f t="shared" si="9"/>
        <v>8175</v>
      </c>
      <c r="Q121" s="60">
        <f t="shared" si="12"/>
        <v>237.75</v>
      </c>
      <c r="R121" s="60">
        <f>(D121+E121+F121+G121+H121+I121+J121+K121+N121)*13%</f>
        <v>1030.25</v>
      </c>
      <c r="S121" s="60">
        <v>145.13</v>
      </c>
      <c r="T121" s="57">
        <v>0</v>
      </c>
      <c r="U121" s="5">
        <f t="shared" si="7"/>
        <v>1268</v>
      </c>
      <c r="V121" s="5">
        <f t="shared" si="8"/>
        <v>6907</v>
      </c>
      <c r="W121" s="23">
        <f>579</f>
        <v>579</v>
      </c>
      <c r="X121" s="130"/>
      <c r="Y121" s="130"/>
      <c r="Z121" s="130"/>
    </row>
    <row r="122" spans="1:26" ht="33.950000000000003" customHeight="1" x14ac:dyDescent="0.2">
      <c r="A122" s="133">
        <v>113</v>
      </c>
      <c r="B122" s="60" t="s">
        <v>557</v>
      </c>
      <c r="C122" s="60" t="s">
        <v>985</v>
      </c>
      <c r="D122" s="65">
        <v>1476</v>
      </c>
      <c r="E122" s="63">
        <v>2000</v>
      </c>
      <c r="F122" s="63">
        <v>0</v>
      </c>
      <c r="G122" s="63">
        <v>1900</v>
      </c>
      <c r="H122" s="63">
        <v>0</v>
      </c>
      <c r="I122" s="63">
        <v>2600</v>
      </c>
      <c r="J122" s="63">
        <v>0</v>
      </c>
      <c r="K122" s="63">
        <v>50</v>
      </c>
      <c r="L122" s="63">
        <v>0</v>
      </c>
      <c r="M122" s="63">
        <v>250</v>
      </c>
      <c r="N122" s="63">
        <v>0</v>
      </c>
      <c r="O122" s="63">
        <v>0</v>
      </c>
      <c r="P122" s="57">
        <f t="shared" si="9"/>
        <v>8276</v>
      </c>
      <c r="Q122" s="60">
        <f t="shared" si="12"/>
        <v>240.78</v>
      </c>
      <c r="R122" s="60">
        <f>(D122+E122+F122+G122+H122+I122+J122+K122+N122)*14%</f>
        <v>1123.6400000000001</v>
      </c>
      <c r="S122" s="60">
        <v>146.41</v>
      </c>
      <c r="T122" s="57">
        <v>0</v>
      </c>
      <c r="U122" s="5">
        <f t="shared" si="7"/>
        <v>1364.42</v>
      </c>
      <c r="V122" s="5">
        <f t="shared" si="8"/>
        <v>6911.58</v>
      </c>
      <c r="W122" s="23">
        <v>0</v>
      </c>
      <c r="X122" s="130"/>
      <c r="Y122" s="130"/>
      <c r="Z122" s="130"/>
    </row>
    <row r="123" spans="1:26" ht="33.950000000000003" customHeight="1" x14ac:dyDescent="0.2">
      <c r="A123" s="133">
        <v>114</v>
      </c>
      <c r="B123" s="60" t="s">
        <v>558</v>
      </c>
      <c r="C123" s="60" t="s">
        <v>984</v>
      </c>
      <c r="D123" s="65">
        <v>1634</v>
      </c>
      <c r="E123" s="63">
        <v>1800</v>
      </c>
      <c r="F123" s="63">
        <v>0</v>
      </c>
      <c r="G123" s="63">
        <v>0</v>
      </c>
      <c r="H123" s="63">
        <v>2200</v>
      </c>
      <c r="I123" s="63">
        <v>0</v>
      </c>
      <c r="J123" s="63">
        <v>0</v>
      </c>
      <c r="K123" s="63">
        <v>75</v>
      </c>
      <c r="L123" s="63">
        <v>0</v>
      </c>
      <c r="M123" s="63">
        <v>250</v>
      </c>
      <c r="N123" s="63">
        <v>0</v>
      </c>
      <c r="O123" s="63">
        <v>0</v>
      </c>
      <c r="P123" s="57">
        <f t="shared" si="9"/>
        <v>5959</v>
      </c>
      <c r="Q123" s="60">
        <f t="shared" si="12"/>
        <v>171.27</v>
      </c>
      <c r="R123" s="60">
        <f>(D123+E123+F123+G123+H123+I123+J123+K123+N123)*12%</f>
        <v>685.08</v>
      </c>
      <c r="S123" s="60">
        <v>55.97</v>
      </c>
      <c r="T123" s="57">
        <v>76.73</v>
      </c>
      <c r="U123" s="5">
        <f t="shared" si="7"/>
        <v>933.08</v>
      </c>
      <c r="V123" s="5">
        <f t="shared" si="8"/>
        <v>5025.92</v>
      </c>
      <c r="W123" s="23">
        <v>0</v>
      </c>
      <c r="X123" s="130"/>
      <c r="Y123" s="130"/>
      <c r="Z123" s="130"/>
    </row>
    <row r="124" spans="1:26" ht="45.75" customHeight="1" x14ac:dyDescent="0.2">
      <c r="A124" s="133">
        <v>115</v>
      </c>
      <c r="B124" s="64" t="s">
        <v>733</v>
      </c>
      <c r="C124" s="64" t="s">
        <v>1003</v>
      </c>
      <c r="D124" s="65">
        <v>1105</v>
      </c>
      <c r="E124" s="63">
        <v>0</v>
      </c>
      <c r="F124" s="63">
        <v>0</v>
      </c>
      <c r="G124" s="63">
        <v>1000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250</v>
      </c>
      <c r="N124" s="63">
        <v>0</v>
      </c>
      <c r="O124" s="63">
        <v>0</v>
      </c>
      <c r="P124" s="57">
        <f t="shared" si="9"/>
        <v>2355</v>
      </c>
      <c r="Q124" s="60">
        <f t="shared" si="12"/>
        <v>63.15</v>
      </c>
      <c r="R124" s="60">
        <f>(D124+E124+F124+G124+H124+I124+J124+K124+N124)*11%</f>
        <v>231.55</v>
      </c>
      <c r="S124" s="60">
        <v>0</v>
      </c>
      <c r="T124" s="57">
        <v>0</v>
      </c>
      <c r="U124" s="5">
        <f t="shared" si="7"/>
        <v>294.7</v>
      </c>
      <c r="V124" s="5">
        <f t="shared" si="8"/>
        <v>2060.3000000000002</v>
      </c>
      <c r="W124" s="23">
        <v>0</v>
      </c>
      <c r="X124" s="130"/>
      <c r="Y124" s="130"/>
      <c r="Z124" s="130"/>
    </row>
    <row r="125" spans="1:26" ht="33.950000000000003" customHeight="1" x14ac:dyDescent="0.2">
      <c r="A125" s="133">
        <v>116</v>
      </c>
      <c r="B125" s="64" t="s">
        <v>559</v>
      </c>
      <c r="C125" s="64" t="s">
        <v>744</v>
      </c>
      <c r="D125" s="63">
        <v>1476</v>
      </c>
      <c r="E125" s="63">
        <v>2000</v>
      </c>
      <c r="F125" s="63">
        <v>0</v>
      </c>
      <c r="G125" s="63">
        <v>0</v>
      </c>
      <c r="H125" s="63">
        <v>1900</v>
      </c>
      <c r="I125" s="63">
        <v>2600</v>
      </c>
      <c r="J125" s="63">
        <v>0</v>
      </c>
      <c r="K125" s="63">
        <v>0</v>
      </c>
      <c r="L125" s="63">
        <v>0</v>
      </c>
      <c r="M125" s="63">
        <v>250</v>
      </c>
      <c r="N125" s="63">
        <v>0</v>
      </c>
      <c r="O125" s="63">
        <v>0</v>
      </c>
      <c r="P125" s="57">
        <f t="shared" si="9"/>
        <v>8226</v>
      </c>
      <c r="Q125" s="60">
        <f t="shared" si="12"/>
        <v>239.28</v>
      </c>
      <c r="R125" s="60">
        <f>(D125+E125+F125+G125+H125+I125+J125+K125+N125)*13%</f>
        <v>1036.8800000000001</v>
      </c>
      <c r="S125" s="60">
        <v>148.33000000000001</v>
      </c>
      <c r="T125" s="57">
        <v>0</v>
      </c>
      <c r="U125" s="5">
        <f t="shared" si="7"/>
        <v>1276.1600000000001</v>
      </c>
      <c r="V125" s="5">
        <f t="shared" si="8"/>
        <v>6949.84</v>
      </c>
      <c r="W125" s="23">
        <v>0</v>
      </c>
      <c r="X125" s="130"/>
      <c r="Y125" s="130"/>
      <c r="Z125" s="130"/>
    </row>
    <row r="126" spans="1:26" ht="33.950000000000003" customHeight="1" x14ac:dyDescent="0.2">
      <c r="A126" s="133">
        <v>117</v>
      </c>
      <c r="B126" s="69" t="s">
        <v>560</v>
      </c>
      <c r="C126" s="69" t="s">
        <v>561</v>
      </c>
      <c r="D126" s="65">
        <f>388*4</f>
        <v>1552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57">
        <f t="shared" si="9"/>
        <v>1552</v>
      </c>
      <c r="Q126" s="60">
        <f t="shared" si="12"/>
        <v>46.56</v>
      </c>
      <c r="R126" s="60">
        <f>(D126+E126+F126+G126+H126+I126+J126+K126+N126)*11%</f>
        <v>170.72</v>
      </c>
      <c r="S126" s="60">
        <v>0</v>
      </c>
      <c r="T126" s="57">
        <v>0</v>
      </c>
      <c r="U126" s="5">
        <f t="shared" si="7"/>
        <v>217.28</v>
      </c>
      <c r="V126" s="5">
        <f t="shared" si="8"/>
        <v>1334.72</v>
      </c>
      <c r="W126" s="23">
        <v>0</v>
      </c>
      <c r="X126" s="130"/>
      <c r="Y126" s="130"/>
      <c r="Z126" s="130"/>
    </row>
    <row r="127" spans="1:26" ht="33.950000000000003" customHeight="1" x14ac:dyDescent="0.2">
      <c r="A127" s="133">
        <v>118</v>
      </c>
      <c r="B127" s="60" t="s">
        <v>562</v>
      </c>
      <c r="C127" s="60" t="s">
        <v>563</v>
      </c>
      <c r="D127" s="65">
        <v>2425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57">
        <f t="shared" si="9"/>
        <v>2425</v>
      </c>
      <c r="Q127" s="60">
        <f t="shared" si="12"/>
        <v>72.75</v>
      </c>
      <c r="R127" s="60">
        <f>(D127+E127+F127+G127+H127+I127+J127+K127+N127)*11%</f>
        <v>266.75</v>
      </c>
      <c r="S127" s="60">
        <v>0</v>
      </c>
      <c r="T127" s="57">
        <v>0</v>
      </c>
      <c r="U127" s="5">
        <f t="shared" si="7"/>
        <v>339.5</v>
      </c>
      <c r="V127" s="5">
        <f t="shared" si="8"/>
        <v>2085.5</v>
      </c>
      <c r="W127" s="23">
        <v>0</v>
      </c>
      <c r="X127" s="130"/>
      <c r="Y127" s="130"/>
      <c r="Z127" s="130"/>
    </row>
    <row r="128" spans="1:26" ht="33.950000000000003" customHeight="1" x14ac:dyDescent="0.2">
      <c r="A128" s="133">
        <v>119</v>
      </c>
      <c r="B128" s="60" t="s">
        <v>564</v>
      </c>
      <c r="C128" s="60" t="s">
        <v>565</v>
      </c>
      <c r="D128" s="65">
        <f>485*2</f>
        <v>970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57">
        <f t="shared" si="9"/>
        <v>970</v>
      </c>
      <c r="Q128" s="60">
        <f t="shared" si="12"/>
        <v>29.1</v>
      </c>
      <c r="R128" s="60">
        <f>(D128+E128+F128+G128+H128+I128+J128+K128+N128)*10%</f>
        <v>97</v>
      </c>
      <c r="S128" s="60">
        <v>0</v>
      </c>
      <c r="T128" s="57">
        <v>0</v>
      </c>
      <c r="U128" s="5">
        <f t="shared" si="7"/>
        <v>126.1</v>
      </c>
      <c r="V128" s="5">
        <f t="shared" si="8"/>
        <v>843.9</v>
      </c>
      <c r="W128" s="23">
        <v>0</v>
      </c>
      <c r="X128" s="130"/>
      <c r="Y128" s="130"/>
      <c r="Z128" s="130"/>
    </row>
    <row r="129" spans="1:26" ht="56.25" customHeight="1" x14ac:dyDescent="0.2">
      <c r="A129" s="133">
        <v>120</v>
      </c>
      <c r="B129" s="60" t="s">
        <v>566</v>
      </c>
      <c r="C129" s="60" t="s">
        <v>979</v>
      </c>
      <c r="D129" s="65">
        <v>1074</v>
      </c>
      <c r="E129" s="63">
        <v>400</v>
      </c>
      <c r="F129" s="63">
        <v>0</v>
      </c>
      <c r="G129" s="63">
        <v>1000</v>
      </c>
      <c r="H129" s="63">
        <v>0</v>
      </c>
      <c r="I129" s="63">
        <v>0</v>
      </c>
      <c r="J129" s="63">
        <v>0</v>
      </c>
      <c r="K129" s="63">
        <v>75</v>
      </c>
      <c r="L129" s="63">
        <v>200</v>
      </c>
      <c r="M129" s="63">
        <v>250</v>
      </c>
      <c r="N129" s="63">
        <v>0</v>
      </c>
      <c r="O129" s="63">
        <v>0</v>
      </c>
      <c r="P129" s="57">
        <f t="shared" si="9"/>
        <v>2999</v>
      </c>
      <c r="Q129" s="60">
        <f>(D129+E129+F129+G129+H129+I129+J129+K129+N129+L129)*3%</f>
        <v>82.47</v>
      </c>
      <c r="R129" s="60">
        <f>(D129+E129+F129+G129+H129+I129+J129+K129+N129+L129)*11%</f>
        <v>302.39</v>
      </c>
      <c r="S129" s="60">
        <v>0</v>
      </c>
      <c r="T129" s="57">
        <v>0</v>
      </c>
      <c r="U129" s="5">
        <f t="shared" si="7"/>
        <v>384.86</v>
      </c>
      <c r="V129" s="5">
        <f t="shared" si="8"/>
        <v>2614.14</v>
      </c>
      <c r="W129" s="23">
        <v>0</v>
      </c>
      <c r="X129" s="130"/>
      <c r="Y129" s="130"/>
      <c r="Z129" s="130"/>
    </row>
    <row r="130" spans="1:26" ht="33.950000000000003" customHeight="1" x14ac:dyDescent="0.2">
      <c r="A130" s="133">
        <v>121</v>
      </c>
      <c r="B130" s="60" t="s">
        <v>567</v>
      </c>
      <c r="C130" s="60" t="s">
        <v>1008</v>
      </c>
      <c r="D130" s="65">
        <v>1074</v>
      </c>
      <c r="E130" s="63">
        <v>400</v>
      </c>
      <c r="F130" s="63">
        <v>0</v>
      </c>
      <c r="G130" s="63">
        <v>1000</v>
      </c>
      <c r="H130" s="63">
        <v>0</v>
      </c>
      <c r="I130" s="63">
        <v>0</v>
      </c>
      <c r="J130" s="63">
        <v>0</v>
      </c>
      <c r="K130" s="63">
        <v>75</v>
      </c>
      <c r="L130" s="63">
        <v>200</v>
      </c>
      <c r="M130" s="63">
        <v>250</v>
      </c>
      <c r="N130" s="63">
        <v>0</v>
      </c>
      <c r="O130" s="63">
        <v>0</v>
      </c>
      <c r="P130" s="57">
        <f t="shared" si="9"/>
        <v>2999</v>
      </c>
      <c r="Q130" s="60">
        <f>(D130+K130+L130+E130+F130+G130+H130+I130+J130+K130+N130)*3%</f>
        <v>84.72</v>
      </c>
      <c r="R130" s="60">
        <f>(D130+E130+F130+G130+H130+I130+J130+K130+L130+N130)*11%</f>
        <v>302.39</v>
      </c>
      <c r="S130" s="60">
        <v>0</v>
      </c>
      <c r="T130" s="57">
        <v>0</v>
      </c>
      <c r="U130" s="5">
        <f t="shared" si="7"/>
        <v>387.11</v>
      </c>
      <c r="V130" s="5">
        <f t="shared" si="8"/>
        <v>2611.89</v>
      </c>
      <c r="W130" s="23">
        <v>0</v>
      </c>
      <c r="X130" s="130"/>
      <c r="Y130" s="130"/>
      <c r="Z130" s="130"/>
    </row>
    <row r="131" spans="1:26" ht="33.950000000000003" customHeight="1" x14ac:dyDescent="0.2">
      <c r="A131" s="133">
        <v>122</v>
      </c>
      <c r="B131" s="60" t="s">
        <v>568</v>
      </c>
      <c r="C131" s="60" t="s">
        <v>447</v>
      </c>
      <c r="D131" s="65">
        <v>1350</v>
      </c>
      <c r="E131" s="63">
        <v>2000</v>
      </c>
      <c r="F131" s="63">
        <v>0</v>
      </c>
      <c r="G131" s="63">
        <v>0</v>
      </c>
      <c r="H131" s="63">
        <v>0</v>
      </c>
      <c r="I131" s="63">
        <v>4500</v>
      </c>
      <c r="J131" s="63">
        <v>0</v>
      </c>
      <c r="K131" s="63">
        <v>0</v>
      </c>
      <c r="L131" s="63">
        <v>0</v>
      </c>
      <c r="M131" s="63">
        <v>250</v>
      </c>
      <c r="N131" s="63">
        <v>0</v>
      </c>
      <c r="O131" s="63">
        <v>0</v>
      </c>
      <c r="P131" s="57">
        <f t="shared" si="9"/>
        <v>8100</v>
      </c>
      <c r="Q131" s="60">
        <f t="shared" ref="Q131:Q148" si="13">(D131+E131+F131+G131+H131+I131+J131+K131+N131)*3%</f>
        <v>235.5</v>
      </c>
      <c r="R131" s="60">
        <f>(D131+E131+F131+G131+H131+I131+J131+K131+N131)*13%</f>
        <v>1020.5</v>
      </c>
      <c r="S131" s="60">
        <v>143.03</v>
      </c>
      <c r="T131" s="57">
        <v>0</v>
      </c>
      <c r="U131" s="5">
        <f t="shared" si="7"/>
        <v>1256</v>
      </c>
      <c r="V131" s="5">
        <f t="shared" si="8"/>
        <v>6844</v>
      </c>
      <c r="W131" s="23">
        <v>0</v>
      </c>
      <c r="X131" s="130"/>
      <c r="Y131" s="130"/>
      <c r="Z131" s="130"/>
    </row>
    <row r="132" spans="1:26" ht="36.75" customHeight="1" x14ac:dyDescent="0.2">
      <c r="A132" s="133">
        <v>123</v>
      </c>
      <c r="B132" s="60" t="s">
        <v>569</v>
      </c>
      <c r="C132" s="60" t="s">
        <v>975</v>
      </c>
      <c r="D132" s="65">
        <f>485*2</f>
        <v>970</v>
      </c>
      <c r="E132" s="63">
        <v>0</v>
      </c>
      <c r="F132" s="63">
        <f>485*2</f>
        <v>970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57">
        <f t="shared" si="9"/>
        <v>1940</v>
      </c>
      <c r="Q132" s="60">
        <f t="shared" si="13"/>
        <v>58.2</v>
      </c>
      <c r="R132" s="60">
        <f>(D132+E132+F132+G132+H132+I132+J132+K132+N132)*10%</f>
        <v>194</v>
      </c>
      <c r="S132" s="60">
        <v>0</v>
      </c>
      <c r="T132" s="57">
        <v>0</v>
      </c>
      <c r="U132" s="5">
        <f t="shared" ref="U132:U193" si="14">(Q132+R132+T132)</f>
        <v>252.2</v>
      </c>
      <c r="V132" s="5">
        <f t="shared" si="8"/>
        <v>1687.8</v>
      </c>
      <c r="W132" s="23">
        <v>0</v>
      </c>
      <c r="X132" s="130"/>
      <c r="Y132" s="130"/>
      <c r="Z132" s="130"/>
    </row>
    <row r="133" spans="1:26" ht="33.950000000000003" customHeight="1" x14ac:dyDescent="0.2">
      <c r="A133" s="133">
        <v>124</v>
      </c>
      <c r="B133" s="64" t="s">
        <v>724</v>
      </c>
      <c r="C133" s="64" t="s">
        <v>1017</v>
      </c>
      <c r="D133" s="65">
        <f>388*7</f>
        <v>2716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57">
        <f t="shared" si="9"/>
        <v>2716</v>
      </c>
      <c r="Q133" s="60">
        <f t="shared" si="13"/>
        <v>81.48</v>
      </c>
      <c r="R133" s="60">
        <f>(D133+E133+F133+G133+H133+I133+J133+K133+N133)*11%</f>
        <v>298.76</v>
      </c>
      <c r="S133" s="60">
        <v>0</v>
      </c>
      <c r="T133" s="57">
        <v>0</v>
      </c>
      <c r="U133" s="5">
        <f t="shared" si="14"/>
        <v>380.24</v>
      </c>
      <c r="V133" s="5">
        <f t="shared" si="8"/>
        <v>2335.7600000000002</v>
      </c>
      <c r="W133" s="23">
        <v>0</v>
      </c>
      <c r="X133" s="130"/>
      <c r="Y133" s="130"/>
      <c r="Z133" s="130"/>
    </row>
    <row r="134" spans="1:26" ht="33.950000000000003" customHeight="1" x14ac:dyDescent="0.2">
      <c r="A134" s="133">
        <v>125</v>
      </c>
      <c r="B134" s="64" t="s">
        <v>570</v>
      </c>
      <c r="C134" s="64" t="s">
        <v>510</v>
      </c>
      <c r="D134" s="71">
        <v>2425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57">
        <f t="shared" si="9"/>
        <v>2425</v>
      </c>
      <c r="Q134" s="60">
        <f t="shared" si="13"/>
        <v>72.75</v>
      </c>
      <c r="R134" s="60">
        <f>(D134+E134+F134+G134+H134+I134+J134+K134+N134)*11%</f>
        <v>266.75</v>
      </c>
      <c r="S134" s="60">
        <v>0</v>
      </c>
      <c r="T134" s="57">
        <v>0</v>
      </c>
      <c r="U134" s="5">
        <f t="shared" si="14"/>
        <v>339.5</v>
      </c>
      <c r="V134" s="5">
        <f t="shared" si="8"/>
        <v>2085.5</v>
      </c>
      <c r="W134" s="23">
        <v>0</v>
      </c>
      <c r="X134" s="130"/>
      <c r="Y134" s="130"/>
      <c r="Z134" s="130"/>
    </row>
    <row r="135" spans="1:26" ht="33.950000000000003" customHeight="1" x14ac:dyDescent="0.2">
      <c r="A135" s="133">
        <v>126</v>
      </c>
      <c r="B135" s="60" t="s">
        <v>571</v>
      </c>
      <c r="C135" s="60" t="s">
        <v>1018</v>
      </c>
      <c r="D135" s="65">
        <v>1302</v>
      </c>
      <c r="E135" s="63">
        <v>600</v>
      </c>
      <c r="F135" s="63">
        <v>0</v>
      </c>
      <c r="G135" s="63">
        <v>1000</v>
      </c>
      <c r="H135" s="63">
        <v>0</v>
      </c>
      <c r="I135" s="63">
        <v>0</v>
      </c>
      <c r="J135" s="63">
        <v>0</v>
      </c>
      <c r="K135" s="63">
        <v>50</v>
      </c>
      <c r="L135" s="63">
        <v>0</v>
      </c>
      <c r="M135" s="63">
        <v>250</v>
      </c>
      <c r="N135" s="63">
        <v>0</v>
      </c>
      <c r="O135" s="63">
        <v>0</v>
      </c>
      <c r="P135" s="57">
        <f t="shared" si="9"/>
        <v>3202</v>
      </c>
      <c r="Q135" s="60">
        <f t="shared" si="13"/>
        <v>88.56</v>
      </c>
      <c r="R135" s="60">
        <f>(D135+E135+F135+G135+H135+I135+J135+K135+N135)*11%</f>
        <v>324.72000000000003</v>
      </c>
      <c r="S135" s="60">
        <v>0</v>
      </c>
      <c r="T135" s="57">
        <v>0</v>
      </c>
      <c r="U135" s="5">
        <f t="shared" si="14"/>
        <v>413.28</v>
      </c>
      <c r="V135" s="5">
        <f t="shared" si="8"/>
        <v>2788.72</v>
      </c>
      <c r="W135" s="23">
        <v>0</v>
      </c>
      <c r="X135" s="130"/>
      <c r="Y135" s="130"/>
      <c r="Z135" s="130"/>
    </row>
    <row r="136" spans="1:26" ht="40.5" customHeight="1" x14ac:dyDescent="0.2">
      <c r="A136" s="133">
        <v>127</v>
      </c>
      <c r="B136" s="60" t="s">
        <v>572</v>
      </c>
      <c r="C136" s="60" t="s">
        <v>975</v>
      </c>
      <c r="D136" s="65">
        <f>485*5</f>
        <v>2425</v>
      </c>
      <c r="E136" s="63">
        <v>0</v>
      </c>
      <c r="F136" s="63">
        <f>363.75*5</f>
        <v>1818.75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57">
        <f t="shared" si="9"/>
        <v>4243.75</v>
      </c>
      <c r="Q136" s="60">
        <f t="shared" si="13"/>
        <v>127.31</v>
      </c>
      <c r="R136" s="60">
        <f>(D136+E136+F136+G136+H136+I136+J136+K136+N136)*12%</f>
        <v>509.25</v>
      </c>
      <c r="S136" s="60">
        <v>0</v>
      </c>
      <c r="T136" s="57">
        <v>11.41</v>
      </c>
      <c r="U136" s="5">
        <f t="shared" si="14"/>
        <v>647.97</v>
      </c>
      <c r="V136" s="5">
        <f t="shared" ref="V136:V200" si="15">P136-U136</f>
        <v>3595.78</v>
      </c>
      <c r="W136" s="23">
        <v>0</v>
      </c>
      <c r="X136" s="130"/>
      <c r="Y136" s="130"/>
      <c r="Z136" s="130"/>
    </row>
    <row r="137" spans="1:26" ht="33.950000000000003" customHeight="1" x14ac:dyDescent="0.2">
      <c r="A137" s="133">
        <v>128</v>
      </c>
      <c r="B137" s="69" t="s">
        <v>573</v>
      </c>
      <c r="C137" s="64" t="s">
        <v>447</v>
      </c>
      <c r="D137" s="65">
        <v>1350</v>
      </c>
      <c r="E137" s="63">
        <v>2000</v>
      </c>
      <c r="F137" s="63">
        <v>0</v>
      </c>
      <c r="G137" s="63">
        <v>0</v>
      </c>
      <c r="H137" s="63">
        <v>0</v>
      </c>
      <c r="I137" s="63">
        <v>4500</v>
      </c>
      <c r="J137" s="63">
        <v>0</v>
      </c>
      <c r="K137" s="63">
        <v>0</v>
      </c>
      <c r="L137" s="63">
        <v>0</v>
      </c>
      <c r="M137" s="63">
        <v>250</v>
      </c>
      <c r="N137" s="63">
        <v>0</v>
      </c>
      <c r="O137" s="63">
        <v>0</v>
      </c>
      <c r="P137" s="57">
        <f t="shared" ref="P137:P200" si="16">SUM(D137:N137)</f>
        <v>8100</v>
      </c>
      <c r="Q137" s="60">
        <f t="shared" si="13"/>
        <v>235.5</v>
      </c>
      <c r="R137" s="60">
        <f>(D137+E137+F137+G137+H137+I137+J137+K137+N137)*13%</f>
        <v>1020.5</v>
      </c>
      <c r="S137" s="60">
        <v>143.03</v>
      </c>
      <c r="T137" s="57">
        <v>0</v>
      </c>
      <c r="U137" s="5">
        <f t="shared" si="14"/>
        <v>1256</v>
      </c>
      <c r="V137" s="5">
        <f t="shared" si="15"/>
        <v>6844</v>
      </c>
      <c r="W137" s="23">
        <v>0</v>
      </c>
      <c r="X137" s="130"/>
      <c r="Y137" s="130"/>
      <c r="Z137" s="130"/>
    </row>
    <row r="138" spans="1:26" ht="48" customHeight="1" x14ac:dyDescent="0.2">
      <c r="A138" s="133">
        <v>129</v>
      </c>
      <c r="B138" s="60" t="s">
        <v>574</v>
      </c>
      <c r="C138" s="60" t="s">
        <v>550</v>
      </c>
      <c r="D138" s="65">
        <f>(485*3)+1350</f>
        <v>2805</v>
      </c>
      <c r="E138" s="63">
        <v>2000</v>
      </c>
      <c r="F138" s="63">
        <f>485*3</f>
        <v>1455</v>
      </c>
      <c r="G138" s="63">
        <v>0</v>
      </c>
      <c r="H138" s="63">
        <v>0</v>
      </c>
      <c r="I138" s="63">
        <v>4500</v>
      </c>
      <c r="J138" s="63">
        <v>0</v>
      </c>
      <c r="K138" s="63">
        <v>75</v>
      </c>
      <c r="L138" s="63">
        <v>0</v>
      </c>
      <c r="M138" s="63">
        <v>250</v>
      </c>
      <c r="N138" s="63">
        <v>0</v>
      </c>
      <c r="O138" s="63">
        <v>0</v>
      </c>
      <c r="P138" s="57">
        <f t="shared" si="16"/>
        <v>11085</v>
      </c>
      <c r="Q138" s="60">
        <f t="shared" si="13"/>
        <v>325.05</v>
      </c>
      <c r="R138" s="60">
        <f>(D138+E138+F138+G138+H138+I138+J138+K138+N138)*15%</f>
        <v>1625.25</v>
      </c>
      <c r="S138" s="60">
        <v>257.57</v>
      </c>
      <c r="T138" s="57">
        <v>0</v>
      </c>
      <c r="U138" s="5">
        <f t="shared" si="14"/>
        <v>1950.3</v>
      </c>
      <c r="V138" s="5">
        <f t="shared" si="15"/>
        <v>9134.7000000000007</v>
      </c>
      <c r="W138" s="23">
        <v>0</v>
      </c>
      <c r="X138" s="130"/>
      <c r="Y138" s="130"/>
      <c r="Z138" s="130"/>
    </row>
    <row r="139" spans="1:26" ht="39" customHeight="1" x14ac:dyDescent="0.2">
      <c r="A139" s="133">
        <v>130</v>
      </c>
      <c r="B139" s="60" t="s">
        <v>575</v>
      </c>
      <c r="C139" s="60" t="s">
        <v>510</v>
      </c>
      <c r="D139" s="65">
        <v>2425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57">
        <f t="shared" si="16"/>
        <v>2425</v>
      </c>
      <c r="Q139" s="60">
        <f t="shared" si="13"/>
        <v>72.75</v>
      </c>
      <c r="R139" s="60">
        <f>(D139+E139+F139+G139+H139+I139+J139+K139+N139)*11%</f>
        <v>266.75</v>
      </c>
      <c r="S139" s="60" t="s">
        <v>443</v>
      </c>
      <c r="T139" s="57">
        <v>0</v>
      </c>
      <c r="U139" s="5">
        <f t="shared" si="14"/>
        <v>339.5</v>
      </c>
      <c r="V139" s="5">
        <f t="shared" si="15"/>
        <v>2085.5</v>
      </c>
      <c r="W139" s="23">
        <v>0</v>
      </c>
      <c r="X139" s="130"/>
      <c r="Y139" s="130"/>
      <c r="Z139" s="130"/>
    </row>
    <row r="140" spans="1:26" ht="33.950000000000003" customHeight="1" x14ac:dyDescent="0.2">
      <c r="A140" s="133">
        <v>131</v>
      </c>
      <c r="B140" s="64" t="s">
        <v>723</v>
      </c>
      <c r="C140" s="60" t="s">
        <v>979</v>
      </c>
      <c r="D140" s="81">
        <v>1074</v>
      </c>
      <c r="E140" s="63">
        <v>0</v>
      </c>
      <c r="F140" s="63">
        <v>0</v>
      </c>
      <c r="G140" s="63">
        <v>1000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250</v>
      </c>
      <c r="N140" s="63">
        <v>0</v>
      </c>
      <c r="O140" s="63">
        <v>0</v>
      </c>
      <c r="P140" s="57">
        <f t="shared" si="16"/>
        <v>2324</v>
      </c>
      <c r="Q140" s="60">
        <f t="shared" si="13"/>
        <v>62.22</v>
      </c>
      <c r="R140" s="60">
        <f>(D140+E140+F140+G140+H140+I140+J140+K140+N140)*11%</f>
        <v>228.14</v>
      </c>
      <c r="S140" s="60">
        <v>0</v>
      </c>
      <c r="T140" s="57">
        <v>0</v>
      </c>
      <c r="U140" s="5">
        <f t="shared" si="14"/>
        <v>290.36</v>
      </c>
      <c r="V140" s="5">
        <f t="shared" si="15"/>
        <v>2033.64</v>
      </c>
      <c r="W140" s="23">
        <v>0</v>
      </c>
      <c r="X140" s="130"/>
      <c r="Y140" s="130"/>
      <c r="Z140" s="130"/>
    </row>
    <row r="141" spans="1:26" ht="33.950000000000003" customHeight="1" x14ac:dyDescent="0.2">
      <c r="A141" s="133">
        <v>132</v>
      </c>
      <c r="B141" s="64" t="s">
        <v>731</v>
      </c>
      <c r="C141" s="64" t="s">
        <v>985</v>
      </c>
      <c r="D141" s="81">
        <v>1476</v>
      </c>
      <c r="E141" s="63">
        <v>0</v>
      </c>
      <c r="F141" s="63">
        <v>0</v>
      </c>
      <c r="G141" s="63">
        <v>0</v>
      </c>
      <c r="H141" s="63">
        <v>1900</v>
      </c>
      <c r="I141" s="81">
        <v>2600</v>
      </c>
      <c r="J141" s="63">
        <v>0</v>
      </c>
      <c r="K141" s="63">
        <v>0</v>
      </c>
      <c r="L141" s="63">
        <v>0</v>
      </c>
      <c r="M141" s="63">
        <v>250</v>
      </c>
      <c r="N141" s="63">
        <v>0</v>
      </c>
      <c r="O141" s="63">
        <v>0</v>
      </c>
      <c r="P141" s="57">
        <f t="shared" si="16"/>
        <v>6226</v>
      </c>
      <c r="Q141" s="60">
        <f t="shared" si="13"/>
        <v>179.28</v>
      </c>
      <c r="R141" s="60">
        <f>(D141+E141+F141+G141+H141+I141+J141+K141+N141)*12%</f>
        <v>717.12</v>
      </c>
      <c r="S141" s="60">
        <v>67.31</v>
      </c>
      <c r="T141" s="57">
        <v>0</v>
      </c>
      <c r="U141" s="5">
        <f t="shared" si="14"/>
        <v>896.4</v>
      </c>
      <c r="V141" s="5">
        <f t="shared" si="15"/>
        <v>5329.6</v>
      </c>
      <c r="W141" s="23">
        <v>0</v>
      </c>
      <c r="X141" s="130"/>
      <c r="Y141" s="130"/>
      <c r="Z141" s="130"/>
    </row>
    <row r="142" spans="1:26" ht="33.950000000000003" customHeight="1" x14ac:dyDescent="0.2">
      <c r="A142" s="133">
        <v>133</v>
      </c>
      <c r="B142" s="60" t="s">
        <v>577</v>
      </c>
      <c r="C142" s="60" t="s">
        <v>975</v>
      </c>
      <c r="D142" s="65">
        <f>485*4</f>
        <v>1940</v>
      </c>
      <c r="E142" s="63">
        <v>0</v>
      </c>
      <c r="F142" s="63">
        <f>606.25*4</f>
        <v>2425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57">
        <f t="shared" si="16"/>
        <v>4365</v>
      </c>
      <c r="Q142" s="60">
        <f t="shared" si="13"/>
        <v>130.94999999999999</v>
      </c>
      <c r="R142" s="60">
        <f>(D142+E142+F142+G142+H142+I142+J142+K142+N142)*12%</f>
        <v>523.79999999999995</v>
      </c>
      <c r="S142" s="60">
        <v>0</v>
      </c>
      <c r="T142" s="57">
        <v>0</v>
      </c>
      <c r="U142" s="5">
        <f t="shared" si="14"/>
        <v>654.75</v>
      </c>
      <c r="V142" s="5">
        <f t="shared" si="15"/>
        <v>3710.25</v>
      </c>
      <c r="W142" s="23">
        <v>0</v>
      </c>
      <c r="X142" s="130"/>
      <c r="Y142" s="130"/>
      <c r="Z142" s="130"/>
    </row>
    <row r="143" spans="1:26" ht="33.950000000000003" customHeight="1" x14ac:dyDescent="0.2">
      <c r="A143" s="133">
        <v>134</v>
      </c>
      <c r="B143" s="60" t="s">
        <v>578</v>
      </c>
      <c r="C143" s="60" t="s">
        <v>985</v>
      </c>
      <c r="D143" s="65">
        <v>1476</v>
      </c>
      <c r="E143" s="63">
        <v>2000</v>
      </c>
      <c r="F143" s="63">
        <v>0</v>
      </c>
      <c r="G143" s="63">
        <v>1900</v>
      </c>
      <c r="H143" s="63">
        <v>0</v>
      </c>
      <c r="I143" s="63">
        <v>2600</v>
      </c>
      <c r="J143" s="63">
        <v>0</v>
      </c>
      <c r="K143" s="63">
        <v>0</v>
      </c>
      <c r="L143" s="63">
        <v>0</v>
      </c>
      <c r="M143" s="63">
        <v>250</v>
      </c>
      <c r="N143" s="63">
        <v>0</v>
      </c>
      <c r="O143" s="63">
        <v>0</v>
      </c>
      <c r="P143" s="57">
        <f t="shared" si="16"/>
        <v>8226</v>
      </c>
      <c r="Q143" s="60">
        <f t="shared" si="13"/>
        <v>239.28</v>
      </c>
      <c r="R143" s="60">
        <f>(D143+E143+F143+G143+H143+I143+J143+K143+N143)*13%</f>
        <v>1036.8800000000001</v>
      </c>
      <c r="S143" s="60">
        <v>148.33000000000001</v>
      </c>
      <c r="T143" s="57">
        <v>0</v>
      </c>
      <c r="U143" s="5">
        <f t="shared" si="14"/>
        <v>1276.1600000000001</v>
      </c>
      <c r="V143" s="5">
        <f t="shared" si="15"/>
        <v>6949.84</v>
      </c>
      <c r="W143" s="23">
        <f>210+210</f>
        <v>420</v>
      </c>
      <c r="X143" s="130"/>
      <c r="Y143" s="130"/>
      <c r="Z143" s="130"/>
    </row>
    <row r="144" spans="1:26" ht="33.950000000000003" customHeight="1" x14ac:dyDescent="0.2">
      <c r="A144" s="133">
        <v>135</v>
      </c>
      <c r="B144" s="60" t="s">
        <v>579</v>
      </c>
      <c r="C144" s="60" t="s">
        <v>457</v>
      </c>
      <c r="D144" s="65">
        <v>2885</v>
      </c>
      <c r="E144" s="63">
        <v>0</v>
      </c>
      <c r="F144" s="63">
        <v>3606.25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57">
        <f t="shared" si="16"/>
        <v>6491.25</v>
      </c>
      <c r="Q144" s="60">
        <f t="shared" si="13"/>
        <v>194.74</v>
      </c>
      <c r="R144" s="60">
        <f>(D144+E144+F144+G144+H144+I144+J144+K144+N144)*13%</f>
        <v>843.86</v>
      </c>
      <c r="S144" s="60">
        <v>73.47</v>
      </c>
      <c r="T144" s="57">
        <v>0</v>
      </c>
      <c r="U144" s="5">
        <f t="shared" si="14"/>
        <v>1038.5999999999999</v>
      </c>
      <c r="V144" s="5">
        <f t="shared" si="15"/>
        <v>5452.65</v>
      </c>
      <c r="W144" s="23">
        <v>0</v>
      </c>
      <c r="X144" s="130"/>
      <c r="Y144" s="130"/>
      <c r="Z144" s="130"/>
    </row>
    <row r="145" spans="1:26" ht="33.950000000000003" customHeight="1" x14ac:dyDescent="0.2">
      <c r="A145" s="133">
        <v>136</v>
      </c>
      <c r="B145" s="60" t="s">
        <v>580</v>
      </c>
      <c r="C145" s="60" t="s">
        <v>985</v>
      </c>
      <c r="D145" s="65">
        <v>1476</v>
      </c>
      <c r="E145" s="63">
        <v>1600</v>
      </c>
      <c r="F145" s="63">
        <v>0</v>
      </c>
      <c r="G145" s="63">
        <v>0</v>
      </c>
      <c r="H145" s="63">
        <v>1900</v>
      </c>
      <c r="I145" s="63">
        <v>0</v>
      </c>
      <c r="J145" s="63">
        <v>0</v>
      </c>
      <c r="K145" s="63">
        <v>50</v>
      </c>
      <c r="L145" s="63">
        <v>0</v>
      </c>
      <c r="M145" s="63">
        <v>250</v>
      </c>
      <c r="N145" s="63">
        <v>0</v>
      </c>
      <c r="O145" s="63">
        <v>0</v>
      </c>
      <c r="P145" s="57">
        <f t="shared" si="16"/>
        <v>5276</v>
      </c>
      <c r="Q145" s="60">
        <f t="shared" si="13"/>
        <v>150.78</v>
      </c>
      <c r="R145" s="60">
        <f>(D145+E145+F145+G145+H145+I145+J145+K145+N145)*12%</f>
        <v>603.12</v>
      </c>
      <c r="S145" s="60">
        <v>26.94</v>
      </c>
      <c r="T145" s="57">
        <v>0</v>
      </c>
      <c r="U145" s="5">
        <f t="shared" si="14"/>
        <v>753.9</v>
      </c>
      <c r="V145" s="5">
        <f t="shared" si="15"/>
        <v>4522.1000000000004</v>
      </c>
      <c r="W145" s="23">
        <v>0</v>
      </c>
      <c r="X145" s="130"/>
      <c r="Y145" s="130"/>
      <c r="Z145" s="130"/>
    </row>
    <row r="146" spans="1:26" ht="33.950000000000003" customHeight="1" x14ac:dyDescent="0.2">
      <c r="A146" s="133">
        <v>137</v>
      </c>
      <c r="B146" s="60" t="s">
        <v>581</v>
      </c>
      <c r="C146" s="64" t="s">
        <v>995</v>
      </c>
      <c r="D146" s="65">
        <v>1350</v>
      </c>
      <c r="E146" s="63">
        <v>2000</v>
      </c>
      <c r="F146" s="63">
        <v>0</v>
      </c>
      <c r="G146" s="63">
        <v>0</v>
      </c>
      <c r="H146" s="63">
        <v>1600</v>
      </c>
      <c r="I146" s="63">
        <f>2900</f>
        <v>2900</v>
      </c>
      <c r="J146" s="63">
        <v>0</v>
      </c>
      <c r="K146" s="63">
        <v>75</v>
      </c>
      <c r="L146" s="63">
        <v>0</v>
      </c>
      <c r="M146" s="63">
        <v>250</v>
      </c>
      <c r="N146" s="63">
        <v>0</v>
      </c>
      <c r="O146" s="63">
        <v>0</v>
      </c>
      <c r="P146" s="57">
        <f t="shared" si="16"/>
        <v>8175</v>
      </c>
      <c r="Q146" s="60">
        <f t="shared" si="13"/>
        <v>237.75</v>
      </c>
      <c r="R146" s="60">
        <f>(D146+E146+F146+G146+H146+I146+J146+K146+N146)*13%</f>
        <v>1030.25</v>
      </c>
      <c r="S146" s="60">
        <v>146.18</v>
      </c>
      <c r="T146" s="57">
        <v>0</v>
      </c>
      <c r="U146" s="5">
        <f t="shared" si="14"/>
        <v>1268</v>
      </c>
      <c r="V146" s="5">
        <f t="shared" si="15"/>
        <v>6907</v>
      </c>
      <c r="W146" s="23">
        <v>0</v>
      </c>
      <c r="X146" s="130"/>
      <c r="Y146" s="130"/>
      <c r="Z146" s="130"/>
    </row>
    <row r="147" spans="1:26" ht="33.950000000000003" customHeight="1" x14ac:dyDescent="0.2">
      <c r="A147" s="133">
        <v>138</v>
      </c>
      <c r="B147" s="60" t="s">
        <v>582</v>
      </c>
      <c r="C147" s="60" t="s">
        <v>447</v>
      </c>
      <c r="D147" s="65">
        <v>1350</v>
      </c>
      <c r="E147" s="63">
        <v>2000</v>
      </c>
      <c r="F147" s="63">
        <v>0</v>
      </c>
      <c r="G147" s="63">
        <v>0</v>
      </c>
      <c r="H147" s="63">
        <v>0</v>
      </c>
      <c r="I147" s="63">
        <v>4500</v>
      </c>
      <c r="J147" s="63">
        <v>0</v>
      </c>
      <c r="K147" s="63">
        <v>0</v>
      </c>
      <c r="L147" s="63">
        <v>0</v>
      </c>
      <c r="M147" s="63">
        <v>250</v>
      </c>
      <c r="N147" s="63">
        <v>0</v>
      </c>
      <c r="O147" s="63">
        <v>0</v>
      </c>
      <c r="P147" s="57">
        <f t="shared" si="16"/>
        <v>8100</v>
      </c>
      <c r="Q147" s="60">
        <f t="shared" si="13"/>
        <v>235.5</v>
      </c>
      <c r="R147" s="60">
        <f>(D147+E147+F147+G147+H147+I147+J147+K147+N147)*13%</f>
        <v>1020.5</v>
      </c>
      <c r="S147" s="60">
        <v>143.03</v>
      </c>
      <c r="T147" s="57">
        <v>0</v>
      </c>
      <c r="U147" s="5">
        <f t="shared" si="14"/>
        <v>1256</v>
      </c>
      <c r="V147" s="5">
        <f t="shared" si="15"/>
        <v>6844</v>
      </c>
      <c r="W147" s="23">
        <v>0</v>
      </c>
      <c r="X147" s="130"/>
      <c r="Y147" s="130"/>
      <c r="Z147" s="130"/>
    </row>
    <row r="148" spans="1:26" ht="33.950000000000003" customHeight="1" x14ac:dyDescent="0.2">
      <c r="A148" s="133">
        <v>139</v>
      </c>
      <c r="B148" s="60" t="s">
        <v>583</v>
      </c>
      <c r="C148" s="60" t="s">
        <v>744</v>
      </c>
      <c r="D148" s="65">
        <v>1476</v>
      </c>
      <c r="E148" s="63">
        <v>2000</v>
      </c>
      <c r="F148" s="63">
        <v>0</v>
      </c>
      <c r="G148" s="63">
        <v>0</v>
      </c>
      <c r="H148" s="63">
        <v>1900</v>
      </c>
      <c r="I148" s="63">
        <v>2600</v>
      </c>
      <c r="J148" s="63">
        <v>0</v>
      </c>
      <c r="K148" s="63">
        <v>50</v>
      </c>
      <c r="L148" s="63">
        <v>0</v>
      </c>
      <c r="M148" s="63">
        <v>250</v>
      </c>
      <c r="N148" s="63">
        <v>0</v>
      </c>
      <c r="O148" s="63">
        <v>0</v>
      </c>
      <c r="P148" s="57">
        <f t="shared" si="16"/>
        <v>8276</v>
      </c>
      <c r="Q148" s="60">
        <f t="shared" si="13"/>
        <v>240.78</v>
      </c>
      <c r="R148" s="60">
        <f>(D148+E148+F148+G148+H148+I148+J148+K148+N148)*13%</f>
        <v>1043.3800000000001</v>
      </c>
      <c r="S148" s="60">
        <v>20.420000000000002</v>
      </c>
      <c r="T148" s="57">
        <v>0</v>
      </c>
      <c r="U148" s="5">
        <f t="shared" si="14"/>
        <v>1284.1600000000001</v>
      </c>
      <c r="V148" s="5">
        <f t="shared" si="15"/>
        <v>6991.84</v>
      </c>
      <c r="W148" s="23">
        <f>586</f>
        <v>586</v>
      </c>
      <c r="X148" s="130"/>
      <c r="Y148" s="130"/>
      <c r="Z148" s="130"/>
    </row>
    <row r="149" spans="1:26" ht="33.950000000000003" customHeight="1" x14ac:dyDescent="0.2">
      <c r="A149" s="133">
        <v>140</v>
      </c>
      <c r="B149" s="69" t="s">
        <v>584</v>
      </c>
      <c r="C149" s="60" t="s">
        <v>585</v>
      </c>
      <c r="D149" s="63">
        <v>1039</v>
      </c>
      <c r="E149" s="63">
        <v>400</v>
      </c>
      <c r="F149" s="63">
        <v>0</v>
      </c>
      <c r="G149" s="63">
        <v>1000</v>
      </c>
      <c r="H149" s="63">
        <v>0</v>
      </c>
      <c r="I149" s="63">
        <v>0</v>
      </c>
      <c r="J149" s="63">
        <v>0</v>
      </c>
      <c r="K149" s="63">
        <v>0</v>
      </c>
      <c r="L149" s="63">
        <v>200</v>
      </c>
      <c r="M149" s="63">
        <v>250</v>
      </c>
      <c r="N149" s="63">
        <v>0</v>
      </c>
      <c r="O149" s="63">
        <v>0</v>
      </c>
      <c r="P149" s="57">
        <f t="shared" si="16"/>
        <v>2889</v>
      </c>
      <c r="Q149" s="60">
        <f>(D149+E149+F149+G149+H149+I149+J149+K149+N149+L149)*3%</f>
        <v>79.17</v>
      </c>
      <c r="R149" s="60">
        <f>(D149+E149+F149+G149+H149+I149+J149+K149+N149+L149)*11%</f>
        <v>290.29000000000002</v>
      </c>
      <c r="S149" s="60">
        <v>0</v>
      </c>
      <c r="T149" s="57">
        <v>0</v>
      </c>
      <c r="U149" s="5">
        <f t="shared" si="14"/>
        <v>369.46</v>
      </c>
      <c r="V149" s="5">
        <f t="shared" si="15"/>
        <v>2519.54</v>
      </c>
      <c r="W149" s="23">
        <v>0</v>
      </c>
      <c r="X149" s="130"/>
      <c r="Y149" s="130"/>
      <c r="Z149" s="130"/>
    </row>
    <row r="150" spans="1:26" ht="33.950000000000003" customHeight="1" x14ac:dyDescent="0.2">
      <c r="A150" s="133">
        <v>141</v>
      </c>
      <c r="B150" s="21" t="s">
        <v>729</v>
      </c>
      <c r="C150" s="60" t="s">
        <v>518</v>
      </c>
      <c r="D150" s="63">
        <v>1575</v>
      </c>
      <c r="E150" s="63">
        <v>550</v>
      </c>
      <c r="F150" s="63">
        <v>0</v>
      </c>
      <c r="G150" s="63">
        <v>1000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250</v>
      </c>
      <c r="N150" s="63">
        <v>0</v>
      </c>
      <c r="O150" s="63">
        <v>0</v>
      </c>
      <c r="P150" s="57">
        <f t="shared" si="16"/>
        <v>3375</v>
      </c>
      <c r="Q150" s="60">
        <f t="shared" ref="Q150:Q157" si="17">(D150+E150+F150+G150+H150+I150+J150+K150+N150)*3%</f>
        <v>93.75</v>
      </c>
      <c r="R150" s="60">
        <f>(D150+E150+F150+G150+H150+I150+J150+K150+N150)*11%</f>
        <v>343.75</v>
      </c>
      <c r="S150" s="60">
        <v>0</v>
      </c>
      <c r="T150" s="57">
        <v>42</v>
      </c>
      <c r="U150" s="5">
        <f t="shared" si="14"/>
        <v>479.5</v>
      </c>
      <c r="V150" s="5">
        <f t="shared" si="15"/>
        <v>2895.5</v>
      </c>
      <c r="W150" s="23">
        <v>0</v>
      </c>
      <c r="X150" s="130"/>
      <c r="Y150" s="130"/>
      <c r="Z150" s="130"/>
    </row>
    <row r="151" spans="1:26" ht="33.950000000000003" customHeight="1" x14ac:dyDescent="0.2">
      <c r="A151" s="133">
        <v>142</v>
      </c>
      <c r="B151" s="60" t="s">
        <v>586</v>
      </c>
      <c r="C151" s="60" t="s">
        <v>992</v>
      </c>
      <c r="D151" s="65">
        <v>1476</v>
      </c>
      <c r="E151" s="63">
        <v>2000</v>
      </c>
      <c r="F151" s="63">
        <v>0</v>
      </c>
      <c r="G151" s="63">
        <v>0</v>
      </c>
      <c r="H151" s="63">
        <v>1900</v>
      </c>
      <c r="I151" s="63">
        <v>2600</v>
      </c>
      <c r="J151" s="63">
        <v>0</v>
      </c>
      <c r="K151" s="63">
        <v>0</v>
      </c>
      <c r="L151" s="63">
        <v>0</v>
      </c>
      <c r="M151" s="63">
        <v>250</v>
      </c>
      <c r="N151" s="63">
        <v>0</v>
      </c>
      <c r="O151" s="63">
        <v>0</v>
      </c>
      <c r="P151" s="57">
        <f t="shared" si="16"/>
        <v>8226</v>
      </c>
      <c r="Q151" s="60">
        <f t="shared" si="17"/>
        <v>239.28</v>
      </c>
      <c r="R151" s="60">
        <f>(D151+E151+F151+G151+H151+I151+J151+K151+N151)*13%</f>
        <v>1036.8800000000001</v>
      </c>
      <c r="S151" s="60">
        <v>148.33000000000001</v>
      </c>
      <c r="T151" s="57">
        <v>0</v>
      </c>
      <c r="U151" s="5">
        <f t="shared" si="14"/>
        <v>1276.1600000000001</v>
      </c>
      <c r="V151" s="5">
        <f t="shared" si="15"/>
        <v>6949.84</v>
      </c>
      <c r="W151" s="23">
        <v>0</v>
      </c>
      <c r="X151" s="130"/>
      <c r="Y151" s="130"/>
      <c r="Z151" s="130"/>
    </row>
    <row r="152" spans="1:26" ht="33.950000000000003" customHeight="1" x14ac:dyDescent="0.2">
      <c r="A152" s="133">
        <v>143</v>
      </c>
      <c r="B152" s="60" t="s">
        <v>587</v>
      </c>
      <c r="C152" s="60" t="s">
        <v>985</v>
      </c>
      <c r="D152" s="65">
        <v>1476</v>
      </c>
      <c r="E152" s="63">
        <v>2000</v>
      </c>
      <c r="F152" s="63">
        <v>0</v>
      </c>
      <c r="G152" s="63">
        <v>0</v>
      </c>
      <c r="H152" s="63">
        <v>0</v>
      </c>
      <c r="I152" s="63">
        <v>4500</v>
      </c>
      <c r="J152" s="63">
        <v>0</v>
      </c>
      <c r="K152" s="63">
        <v>0</v>
      </c>
      <c r="L152" s="63">
        <v>0</v>
      </c>
      <c r="M152" s="63">
        <v>250</v>
      </c>
      <c r="N152" s="63">
        <v>0</v>
      </c>
      <c r="O152" s="63">
        <v>0</v>
      </c>
      <c r="P152" s="57">
        <f t="shared" si="16"/>
        <v>8226</v>
      </c>
      <c r="Q152" s="60">
        <f t="shared" si="17"/>
        <v>239.28</v>
      </c>
      <c r="R152" s="60">
        <f>(D152+E152+F152+G152+H152+I152+J152+K152+N152)*13%</f>
        <v>1036.8800000000001</v>
      </c>
      <c r="S152" s="60">
        <v>148.33000000000001</v>
      </c>
      <c r="T152" s="57">
        <v>0</v>
      </c>
      <c r="U152" s="5">
        <f t="shared" si="14"/>
        <v>1276.1600000000001</v>
      </c>
      <c r="V152" s="5">
        <f t="shared" si="15"/>
        <v>6949.84</v>
      </c>
      <c r="W152" s="23">
        <v>0</v>
      </c>
      <c r="X152" s="130"/>
      <c r="Y152" s="130"/>
      <c r="Z152" s="130"/>
    </row>
    <row r="153" spans="1:26" ht="33.950000000000003" customHeight="1" x14ac:dyDescent="0.2">
      <c r="A153" s="133">
        <v>144</v>
      </c>
      <c r="B153" s="21" t="s">
        <v>588</v>
      </c>
      <c r="C153" s="60" t="s">
        <v>999</v>
      </c>
      <c r="D153" s="65">
        <v>1476</v>
      </c>
      <c r="E153" s="63">
        <v>2000</v>
      </c>
      <c r="F153" s="63">
        <v>0</v>
      </c>
      <c r="G153" s="63">
        <v>0</v>
      </c>
      <c r="H153" s="63">
        <v>1900</v>
      </c>
      <c r="I153" s="63">
        <v>2600</v>
      </c>
      <c r="J153" s="63">
        <v>0</v>
      </c>
      <c r="K153" s="63">
        <v>0</v>
      </c>
      <c r="L153" s="63">
        <v>0</v>
      </c>
      <c r="M153" s="63">
        <v>250</v>
      </c>
      <c r="N153" s="63">
        <v>0</v>
      </c>
      <c r="O153" s="63">
        <v>0</v>
      </c>
      <c r="P153" s="57">
        <f t="shared" si="16"/>
        <v>8226</v>
      </c>
      <c r="Q153" s="60">
        <f t="shared" si="17"/>
        <v>239.28</v>
      </c>
      <c r="R153" s="60">
        <f>(D153+E153+F153+G153+H153+I153+J153+K153+N153)*13%</f>
        <v>1036.8800000000001</v>
      </c>
      <c r="S153" s="60">
        <v>0</v>
      </c>
      <c r="T153" s="57">
        <v>0</v>
      </c>
      <c r="U153" s="5">
        <f t="shared" si="14"/>
        <v>1276.1600000000001</v>
      </c>
      <c r="V153" s="5">
        <f t="shared" si="15"/>
        <v>6949.84</v>
      </c>
      <c r="W153" s="23">
        <v>0</v>
      </c>
      <c r="X153" s="130"/>
      <c r="Y153" s="130"/>
      <c r="Z153" s="130"/>
    </row>
    <row r="154" spans="1:26" ht="33.950000000000003" customHeight="1" x14ac:dyDescent="0.2">
      <c r="A154" s="133">
        <v>145</v>
      </c>
      <c r="B154" s="60" t="s">
        <v>589</v>
      </c>
      <c r="C154" s="60" t="s">
        <v>744</v>
      </c>
      <c r="D154" s="65">
        <v>1476</v>
      </c>
      <c r="E154" s="63">
        <v>2000</v>
      </c>
      <c r="F154" s="63">
        <v>0</v>
      </c>
      <c r="G154" s="63">
        <v>0</v>
      </c>
      <c r="H154" s="63">
        <v>1900</v>
      </c>
      <c r="I154" s="63">
        <v>2600</v>
      </c>
      <c r="J154" s="63">
        <v>0</v>
      </c>
      <c r="K154" s="63">
        <v>50</v>
      </c>
      <c r="L154" s="63">
        <v>0</v>
      </c>
      <c r="M154" s="63">
        <v>250</v>
      </c>
      <c r="N154" s="63">
        <v>0</v>
      </c>
      <c r="O154" s="63">
        <v>0</v>
      </c>
      <c r="P154" s="57">
        <f t="shared" si="16"/>
        <v>8276</v>
      </c>
      <c r="Q154" s="60">
        <f t="shared" si="17"/>
        <v>240.78</v>
      </c>
      <c r="R154" s="60">
        <f>(D154+E154+F154+G154+H154+I154+J154+K154+N154)*14%</f>
        <v>1123.6400000000001</v>
      </c>
      <c r="S154" s="60">
        <v>146.41</v>
      </c>
      <c r="T154" s="57">
        <v>0</v>
      </c>
      <c r="U154" s="5">
        <f t="shared" si="14"/>
        <v>1364.42</v>
      </c>
      <c r="V154" s="5">
        <f t="shared" si="15"/>
        <v>6911.58</v>
      </c>
      <c r="W154" s="23">
        <f>167.65+210</f>
        <v>377.65</v>
      </c>
      <c r="X154" s="130"/>
      <c r="Y154" s="130"/>
      <c r="Z154" s="130"/>
    </row>
    <row r="155" spans="1:26" ht="33.950000000000003" customHeight="1" x14ac:dyDescent="0.2">
      <c r="A155" s="133">
        <v>146</v>
      </c>
      <c r="B155" s="60" t="s">
        <v>590</v>
      </c>
      <c r="C155" s="60" t="s">
        <v>1013</v>
      </c>
      <c r="D155" s="65">
        <v>1223</v>
      </c>
      <c r="E155" s="63">
        <v>650</v>
      </c>
      <c r="F155" s="63">
        <v>0</v>
      </c>
      <c r="G155" s="63">
        <v>1000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250</v>
      </c>
      <c r="N155" s="63">
        <v>0</v>
      </c>
      <c r="O155" s="63">
        <v>0</v>
      </c>
      <c r="P155" s="57">
        <f t="shared" si="16"/>
        <v>3123</v>
      </c>
      <c r="Q155" s="60">
        <f t="shared" si="17"/>
        <v>86.19</v>
      </c>
      <c r="R155" s="60">
        <f>(D155+E155+F155+G155+H155+I155+J155+K155+N155)*11%</f>
        <v>316.02999999999997</v>
      </c>
      <c r="S155" s="60">
        <v>0</v>
      </c>
      <c r="T155" s="57">
        <v>0</v>
      </c>
      <c r="U155" s="5">
        <f t="shared" si="14"/>
        <v>402.22</v>
      </c>
      <c r="V155" s="5">
        <f t="shared" si="15"/>
        <v>2720.78</v>
      </c>
      <c r="W155" s="23">
        <v>0</v>
      </c>
      <c r="X155" s="130"/>
      <c r="Y155" s="130"/>
      <c r="Z155" s="130"/>
    </row>
    <row r="156" spans="1:26" ht="33.950000000000003" customHeight="1" x14ac:dyDescent="0.2">
      <c r="A156" s="133">
        <v>147</v>
      </c>
      <c r="B156" s="60" t="s">
        <v>591</v>
      </c>
      <c r="C156" s="60" t="s">
        <v>592</v>
      </c>
      <c r="D156" s="65">
        <f>2425+388</f>
        <v>2813</v>
      </c>
      <c r="E156" s="63">
        <v>0</v>
      </c>
      <c r="F156" s="63">
        <v>3031.25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57">
        <f t="shared" si="16"/>
        <v>5844.25</v>
      </c>
      <c r="Q156" s="60">
        <f t="shared" si="17"/>
        <v>175.33</v>
      </c>
      <c r="R156" s="60">
        <f>(D156+E156+F156+G156+H156+I156+J156+K156+N156)*13%</f>
        <v>759.75</v>
      </c>
      <c r="S156" s="60">
        <v>32.72</v>
      </c>
      <c r="T156" s="57">
        <v>0</v>
      </c>
      <c r="U156" s="5">
        <f t="shared" si="14"/>
        <v>935.08</v>
      </c>
      <c r="V156" s="5">
        <f t="shared" si="15"/>
        <v>4909.17</v>
      </c>
      <c r="W156" s="23">
        <v>0</v>
      </c>
      <c r="X156" s="130"/>
      <c r="Y156" s="130"/>
      <c r="Z156" s="130"/>
    </row>
    <row r="157" spans="1:26" ht="42.75" customHeight="1" x14ac:dyDescent="0.2">
      <c r="A157" s="133">
        <v>148</v>
      </c>
      <c r="B157" s="60" t="s">
        <v>593</v>
      </c>
      <c r="C157" s="60" t="s">
        <v>974</v>
      </c>
      <c r="D157" s="65">
        <f>(485*3)+2656</f>
        <v>4111</v>
      </c>
      <c r="E157" s="63">
        <v>2400</v>
      </c>
      <c r="F157" s="63">
        <f>606.25*3</f>
        <v>1818.75</v>
      </c>
      <c r="G157" s="63">
        <v>0</v>
      </c>
      <c r="H157" s="63">
        <v>0</v>
      </c>
      <c r="I157" s="63">
        <v>5400</v>
      </c>
      <c r="J157" s="63">
        <v>0</v>
      </c>
      <c r="K157" s="63">
        <v>0</v>
      </c>
      <c r="L157" s="63">
        <v>0</v>
      </c>
      <c r="M157" s="63">
        <v>250</v>
      </c>
      <c r="N157" s="63">
        <v>0</v>
      </c>
      <c r="O157" s="63">
        <v>0</v>
      </c>
      <c r="P157" s="57">
        <f t="shared" si="16"/>
        <v>13979.75</v>
      </c>
      <c r="Q157" s="60">
        <f t="shared" si="17"/>
        <v>411.89</v>
      </c>
      <c r="R157" s="60">
        <f>(D157+E157+F157+G157+H157+I157+J157+K157+N157)*15%</f>
        <v>2059.46</v>
      </c>
      <c r="S157" s="60">
        <v>360.11</v>
      </c>
      <c r="T157" s="57">
        <v>0</v>
      </c>
      <c r="U157" s="5">
        <f t="shared" si="14"/>
        <v>2471.35</v>
      </c>
      <c r="V157" s="5">
        <f t="shared" si="15"/>
        <v>11508.4</v>
      </c>
      <c r="W157" s="23">
        <v>0</v>
      </c>
      <c r="X157" s="130"/>
      <c r="Y157" s="130"/>
      <c r="Z157" s="130"/>
    </row>
    <row r="158" spans="1:26" ht="33.950000000000003" customHeight="1" x14ac:dyDescent="0.2">
      <c r="A158" s="133">
        <v>149</v>
      </c>
      <c r="B158" s="64" t="s">
        <v>726</v>
      </c>
      <c r="C158" s="64" t="s">
        <v>445</v>
      </c>
      <c r="D158" s="65">
        <v>1074</v>
      </c>
      <c r="E158" s="63">
        <v>0</v>
      </c>
      <c r="F158" s="63">
        <v>0</v>
      </c>
      <c r="G158" s="63">
        <v>1000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250</v>
      </c>
      <c r="N158" s="63">
        <v>0</v>
      </c>
      <c r="O158" s="63">
        <v>0</v>
      </c>
      <c r="P158" s="57">
        <f t="shared" si="16"/>
        <v>2324</v>
      </c>
      <c r="Q158" s="60">
        <f t="shared" ref="Q158:Q190" si="18">(D158+E158+F158+G158+H158+I158+J158+K158+N158)*3%</f>
        <v>62.22</v>
      </c>
      <c r="R158" s="60">
        <f>(D158+E158+F158+G158+H158+I158+J158+K158+N158)*11%</f>
        <v>228.14</v>
      </c>
      <c r="S158" s="60">
        <v>0</v>
      </c>
      <c r="T158" s="57">
        <v>0</v>
      </c>
      <c r="U158" s="5">
        <f t="shared" si="14"/>
        <v>290.36</v>
      </c>
      <c r="V158" s="5">
        <f t="shared" si="15"/>
        <v>2033.64</v>
      </c>
      <c r="W158" s="23">
        <v>0</v>
      </c>
      <c r="X158" s="130"/>
      <c r="Y158" s="130"/>
      <c r="Z158" s="130"/>
    </row>
    <row r="159" spans="1:26" ht="33.950000000000003" customHeight="1" x14ac:dyDescent="0.2">
      <c r="A159" s="133">
        <v>150</v>
      </c>
      <c r="B159" s="72" t="s">
        <v>836</v>
      </c>
      <c r="C159" s="67" t="s">
        <v>161</v>
      </c>
      <c r="D159" s="74">
        <v>9581</v>
      </c>
      <c r="E159" s="63">
        <v>4000</v>
      </c>
      <c r="F159" s="63">
        <v>0</v>
      </c>
      <c r="G159" s="63">
        <v>5000</v>
      </c>
      <c r="H159" s="63">
        <v>0</v>
      </c>
      <c r="I159" s="63">
        <v>0</v>
      </c>
      <c r="J159" s="63">
        <v>375</v>
      </c>
      <c r="K159" s="63">
        <v>0</v>
      </c>
      <c r="L159" s="63">
        <v>0</v>
      </c>
      <c r="M159" s="63">
        <v>250</v>
      </c>
      <c r="N159" s="63">
        <v>0</v>
      </c>
      <c r="O159" s="63">
        <v>0</v>
      </c>
      <c r="P159" s="57">
        <f t="shared" si="16"/>
        <v>19206</v>
      </c>
      <c r="Q159" s="60">
        <f t="shared" si="18"/>
        <v>568.67999999999995</v>
      </c>
      <c r="R159" s="60">
        <f>(D159+E159+F159+G159+H159+I159+J159+K159+N159)*15%</f>
        <v>2843.4</v>
      </c>
      <c r="S159" s="60">
        <v>391.8</v>
      </c>
      <c r="T159" s="57">
        <v>254.77</v>
      </c>
      <c r="U159" s="5">
        <f t="shared" si="14"/>
        <v>3666.85</v>
      </c>
      <c r="V159" s="5">
        <f t="shared" si="15"/>
        <v>15539.15</v>
      </c>
      <c r="W159" s="23">
        <v>0</v>
      </c>
      <c r="X159" s="130"/>
      <c r="Y159" s="130"/>
      <c r="Z159" s="130"/>
    </row>
    <row r="160" spans="1:26" ht="33.950000000000003" customHeight="1" x14ac:dyDescent="0.2">
      <c r="A160" s="133">
        <v>151</v>
      </c>
      <c r="B160" s="60" t="s">
        <v>594</v>
      </c>
      <c r="C160" s="64" t="s">
        <v>447</v>
      </c>
      <c r="D160" s="65">
        <v>1350</v>
      </c>
      <c r="E160" s="63">
        <v>2000</v>
      </c>
      <c r="F160" s="63">
        <v>0</v>
      </c>
      <c r="G160" s="63">
        <v>0</v>
      </c>
      <c r="H160" s="63">
        <v>1600</v>
      </c>
      <c r="I160" s="63">
        <v>2900</v>
      </c>
      <c r="J160" s="63">
        <v>0</v>
      </c>
      <c r="K160" s="63">
        <v>75</v>
      </c>
      <c r="L160" s="63">
        <v>0</v>
      </c>
      <c r="M160" s="63">
        <v>250</v>
      </c>
      <c r="N160" s="63">
        <v>0</v>
      </c>
      <c r="O160" s="63">
        <v>0</v>
      </c>
      <c r="P160" s="57">
        <f t="shared" si="16"/>
        <v>8175</v>
      </c>
      <c r="Q160" s="60">
        <f t="shared" si="18"/>
        <v>237.75</v>
      </c>
      <c r="R160" s="60">
        <f>(D160+E160+F160+G160+H160+I160+J160+K160+N160)*13%</f>
        <v>1030.25</v>
      </c>
      <c r="S160" s="60">
        <v>146.18</v>
      </c>
      <c r="T160" s="57">
        <v>0</v>
      </c>
      <c r="U160" s="5">
        <f t="shared" si="14"/>
        <v>1268</v>
      </c>
      <c r="V160" s="5">
        <f t="shared" si="15"/>
        <v>6907</v>
      </c>
      <c r="W160" s="23">
        <f>630</f>
        <v>630</v>
      </c>
      <c r="X160" s="130"/>
      <c r="Y160" s="130"/>
      <c r="Z160" s="130"/>
    </row>
    <row r="161" spans="1:26" ht="42.75" customHeight="1" x14ac:dyDescent="0.2">
      <c r="A161" s="133">
        <v>152</v>
      </c>
      <c r="B161" s="60" t="s">
        <v>595</v>
      </c>
      <c r="C161" s="60" t="s">
        <v>565</v>
      </c>
      <c r="D161" s="65">
        <f>485*3</f>
        <v>1455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57">
        <f t="shared" si="16"/>
        <v>1455</v>
      </c>
      <c r="Q161" s="60">
        <f t="shared" si="18"/>
        <v>43.65</v>
      </c>
      <c r="R161" s="60">
        <f>(D161+E161+F161+G161+H161+I161+J161+K161+N161)*10%</f>
        <v>145.5</v>
      </c>
      <c r="S161" s="60">
        <v>0</v>
      </c>
      <c r="T161" s="57">
        <v>0</v>
      </c>
      <c r="U161" s="5">
        <f t="shared" si="14"/>
        <v>189.15</v>
      </c>
      <c r="V161" s="5">
        <f t="shared" si="15"/>
        <v>1265.8499999999999</v>
      </c>
      <c r="W161" s="23">
        <v>0</v>
      </c>
      <c r="X161" s="130"/>
      <c r="Y161" s="130"/>
      <c r="Z161" s="130"/>
    </row>
    <row r="162" spans="1:26" ht="33.950000000000003" customHeight="1" x14ac:dyDescent="0.2">
      <c r="A162" s="133">
        <v>153</v>
      </c>
      <c r="B162" s="60" t="s">
        <v>596</v>
      </c>
      <c r="C162" s="60" t="s">
        <v>447</v>
      </c>
      <c r="D162" s="65">
        <v>1350</v>
      </c>
      <c r="E162" s="63">
        <v>2000</v>
      </c>
      <c r="F162" s="63">
        <v>0</v>
      </c>
      <c r="G162" s="63">
        <v>0</v>
      </c>
      <c r="H162" s="63">
        <v>0</v>
      </c>
      <c r="I162" s="63">
        <v>4500</v>
      </c>
      <c r="J162" s="63">
        <v>0</v>
      </c>
      <c r="K162" s="63">
        <v>0</v>
      </c>
      <c r="L162" s="63">
        <v>0</v>
      </c>
      <c r="M162" s="63">
        <v>250</v>
      </c>
      <c r="N162" s="63">
        <v>0</v>
      </c>
      <c r="O162" s="63">
        <v>0</v>
      </c>
      <c r="P162" s="57">
        <f t="shared" si="16"/>
        <v>8100</v>
      </c>
      <c r="Q162" s="60">
        <f t="shared" si="18"/>
        <v>235.5</v>
      </c>
      <c r="R162" s="60">
        <f>(D162+E162+F162+G162+H162+I162+J162+K162+N162)*13%</f>
        <v>1020.5</v>
      </c>
      <c r="S162" s="60">
        <v>143.03</v>
      </c>
      <c r="T162" s="57">
        <v>0</v>
      </c>
      <c r="U162" s="5">
        <f t="shared" si="14"/>
        <v>1256</v>
      </c>
      <c r="V162" s="5">
        <f t="shared" si="15"/>
        <v>6844</v>
      </c>
      <c r="W162" s="23">
        <v>0</v>
      </c>
      <c r="X162" s="130"/>
      <c r="Y162" s="130"/>
      <c r="Z162" s="130"/>
    </row>
    <row r="163" spans="1:26" ht="33.950000000000003" customHeight="1" x14ac:dyDescent="0.2">
      <c r="A163" s="133">
        <v>154</v>
      </c>
      <c r="B163" s="64" t="s">
        <v>597</v>
      </c>
      <c r="C163" s="64" t="s">
        <v>744</v>
      </c>
      <c r="D163" s="63">
        <v>1476</v>
      </c>
      <c r="E163" s="63">
        <v>2000</v>
      </c>
      <c r="F163" s="63">
        <v>0</v>
      </c>
      <c r="G163" s="63">
        <v>0</v>
      </c>
      <c r="H163" s="63">
        <v>1900</v>
      </c>
      <c r="I163" s="63">
        <v>2600</v>
      </c>
      <c r="J163" s="63">
        <v>0</v>
      </c>
      <c r="K163" s="63">
        <v>50</v>
      </c>
      <c r="L163" s="63">
        <v>0</v>
      </c>
      <c r="M163" s="63">
        <v>250</v>
      </c>
      <c r="N163" s="63">
        <v>0</v>
      </c>
      <c r="O163" s="63">
        <v>0</v>
      </c>
      <c r="P163" s="57">
        <f t="shared" si="16"/>
        <v>8276</v>
      </c>
      <c r="Q163" s="60">
        <f t="shared" si="18"/>
        <v>240.78</v>
      </c>
      <c r="R163" s="60">
        <f>(D163+E163+F163+G163+H163+I163+J163+K163+N163)*14%</f>
        <v>1123.6400000000001</v>
      </c>
      <c r="S163" s="60">
        <v>146.41</v>
      </c>
      <c r="T163" s="57">
        <v>0</v>
      </c>
      <c r="U163" s="5">
        <f t="shared" si="14"/>
        <v>1364.42</v>
      </c>
      <c r="V163" s="5">
        <f t="shared" si="15"/>
        <v>6911.58</v>
      </c>
      <c r="W163" s="23">
        <f>210+210</f>
        <v>420</v>
      </c>
      <c r="X163" s="130"/>
      <c r="Y163" s="130"/>
      <c r="Z163" s="130"/>
    </row>
    <row r="164" spans="1:26" ht="33.950000000000003" customHeight="1" x14ac:dyDescent="0.2">
      <c r="A164" s="133">
        <v>155</v>
      </c>
      <c r="B164" s="60" t="s">
        <v>598</v>
      </c>
      <c r="C164" s="60" t="s">
        <v>465</v>
      </c>
      <c r="D164" s="65">
        <f>485*4</f>
        <v>1940</v>
      </c>
      <c r="E164" s="63">
        <v>0</v>
      </c>
      <c r="F164" s="63">
        <f>606.25*4</f>
        <v>2425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57">
        <f t="shared" si="16"/>
        <v>4365</v>
      </c>
      <c r="Q164" s="60">
        <f t="shared" si="18"/>
        <v>130.94999999999999</v>
      </c>
      <c r="R164" s="60">
        <f>(D164+E164+F164+G164+H164+I164+J164+K164+N164)*12%</f>
        <v>523.79999999999995</v>
      </c>
      <c r="S164" s="60">
        <v>0</v>
      </c>
      <c r="T164" s="57">
        <v>0</v>
      </c>
      <c r="U164" s="5">
        <f t="shared" si="14"/>
        <v>654.75</v>
      </c>
      <c r="V164" s="5">
        <f t="shared" si="15"/>
        <v>3710.25</v>
      </c>
      <c r="W164" s="23">
        <v>0</v>
      </c>
      <c r="X164" s="130"/>
      <c r="Y164" s="130"/>
      <c r="Z164" s="130"/>
    </row>
    <row r="165" spans="1:26" ht="33.950000000000003" customHeight="1" x14ac:dyDescent="0.2">
      <c r="A165" s="133">
        <v>156</v>
      </c>
      <c r="B165" s="60" t="s">
        <v>599</v>
      </c>
      <c r="C165" s="60" t="s">
        <v>743</v>
      </c>
      <c r="D165" s="65">
        <v>1460</v>
      </c>
      <c r="E165" s="63">
        <v>650</v>
      </c>
      <c r="F165" s="63">
        <v>0</v>
      </c>
      <c r="G165" s="63">
        <v>1000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250</v>
      </c>
      <c r="N165" s="63">
        <v>0</v>
      </c>
      <c r="O165" s="63">
        <v>0</v>
      </c>
      <c r="P165" s="57">
        <f t="shared" si="16"/>
        <v>3360</v>
      </c>
      <c r="Q165" s="60">
        <f t="shared" si="18"/>
        <v>93.3</v>
      </c>
      <c r="R165" s="60">
        <f>(D165+E165+F165+G165+H165+I165+J165+K165+N165)*11%</f>
        <v>342.1</v>
      </c>
      <c r="S165" s="60">
        <v>0</v>
      </c>
      <c r="T165" s="57">
        <v>0</v>
      </c>
      <c r="U165" s="5">
        <f t="shared" si="14"/>
        <v>435.4</v>
      </c>
      <c r="V165" s="5">
        <f t="shared" si="15"/>
        <v>2924.6</v>
      </c>
      <c r="W165" s="23">
        <v>0</v>
      </c>
      <c r="X165" s="130"/>
      <c r="Y165" s="130"/>
      <c r="Z165" s="130"/>
    </row>
    <row r="166" spans="1:26" ht="33.950000000000003" customHeight="1" x14ac:dyDescent="0.2">
      <c r="A166" s="133">
        <v>157</v>
      </c>
      <c r="B166" s="21" t="s">
        <v>732</v>
      </c>
      <c r="C166" s="64" t="s">
        <v>447</v>
      </c>
      <c r="D166" s="73">
        <v>1350</v>
      </c>
      <c r="E166" s="63">
        <v>2000</v>
      </c>
      <c r="F166" s="82">
        <v>0</v>
      </c>
      <c r="G166" s="63">
        <v>0</v>
      </c>
      <c r="H166" s="63">
        <v>0</v>
      </c>
      <c r="I166" s="82">
        <v>4500</v>
      </c>
      <c r="J166" s="63">
        <v>0</v>
      </c>
      <c r="K166" s="63">
        <v>0</v>
      </c>
      <c r="L166" s="63">
        <v>0</v>
      </c>
      <c r="M166" s="63">
        <v>250</v>
      </c>
      <c r="N166" s="63">
        <v>0</v>
      </c>
      <c r="O166" s="63">
        <v>0</v>
      </c>
      <c r="P166" s="57">
        <f t="shared" si="16"/>
        <v>8100</v>
      </c>
      <c r="Q166" s="60">
        <f t="shared" si="18"/>
        <v>235.5</v>
      </c>
      <c r="R166" s="60">
        <f>(D166+E166+F166+G166+H166+I166+J166+K166+N166)*13%</f>
        <v>1020.5</v>
      </c>
      <c r="S166" s="60">
        <v>143.03</v>
      </c>
      <c r="T166" s="57">
        <v>0</v>
      </c>
      <c r="U166" s="5">
        <f t="shared" si="14"/>
        <v>1256</v>
      </c>
      <c r="V166" s="5">
        <f t="shared" si="15"/>
        <v>6844</v>
      </c>
      <c r="W166" s="23">
        <v>0</v>
      </c>
      <c r="X166" s="130"/>
      <c r="Y166" s="130"/>
      <c r="Z166" s="130"/>
    </row>
    <row r="167" spans="1:26" ht="33.950000000000003" customHeight="1" x14ac:dyDescent="0.2">
      <c r="A167" s="133">
        <v>158</v>
      </c>
      <c r="B167" s="60" t="s">
        <v>600</v>
      </c>
      <c r="C167" s="60" t="s">
        <v>988</v>
      </c>
      <c r="D167" s="65">
        <v>1634</v>
      </c>
      <c r="E167" s="63">
        <v>2400</v>
      </c>
      <c r="F167" s="63">
        <v>0</v>
      </c>
      <c r="G167" s="63">
        <v>0</v>
      </c>
      <c r="H167" s="63">
        <v>3000</v>
      </c>
      <c r="I167" s="63">
        <v>2400</v>
      </c>
      <c r="J167" s="63">
        <v>0</v>
      </c>
      <c r="K167" s="63">
        <v>0</v>
      </c>
      <c r="L167" s="63">
        <v>0</v>
      </c>
      <c r="M167" s="63">
        <v>250</v>
      </c>
      <c r="N167" s="63">
        <v>0</v>
      </c>
      <c r="O167" s="63">
        <v>0</v>
      </c>
      <c r="P167" s="57">
        <f t="shared" si="16"/>
        <v>9684</v>
      </c>
      <c r="Q167" s="60">
        <f t="shared" si="18"/>
        <v>283.02</v>
      </c>
      <c r="R167" s="60">
        <f>(D167+E167+F167+G167+H167+I167+J167+K167+N167)*14%</f>
        <v>1320.76</v>
      </c>
      <c r="S167" s="60">
        <v>204.84</v>
      </c>
      <c r="T167" s="57">
        <v>0</v>
      </c>
      <c r="U167" s="5">
        <f t="shared" si="14"/>
        <v>1603.78</v>
      </c>
      <c r="V167" s="5">
        <f t="shared" si="15"/>
        <v>8080.22</v>
      </c>
      <c r="W167" s="23">
        <v>0</v>
      </c>
      <c r="X167" s="130"/>
      <c r="Y167" s="130"/>
      <c r="Z167" s="130"/>
    </row>
    <row r="168" spans="1:26" ht="33.950000000000003" customHeight="1" x14ac:dyDescent="0.2">
      <c r="A168" s="133">
        <v>159</v>
      </c>
      <c r="B168" s="60" t="s">
        <v>601</v>
      </c>
      <c r="C168" s="60" t="s">
        <v>445</v>
      </c>
      <c r="D168" s="65">
        <v>1074</v>
      </c>
      <c r="E168" s="63">
        <v>0</v>
      </c>
      <c r="F168" s="63">
        <v>0</v>
      </c>
      <c r="G168" s="63">
        <v>1000</v>
      </c>
      <c r="H168" s="63">
        <v>0</v>
      </c>
      <c r="I168" s="63">
        <v>0</v>
      </c>
      <c r="J168" s="63">
        <v>0</v>
      </c>
      <c r="K168" s="63">
        <v>0</v>
      </c>
      <c r="L168" s="63">
        <v>600</v>
      </c>
      <c r="M168" s="63">
        <v>250</v>
      </c>
      <c r="N168" s="63">
        <v>0</v>
      </c>
      <c r="O168" s="63">
        <v>0</v>
      </c>
      <c r="P168" s="57">
        <f t="shared" si="16"/>
        <v>2924</v>
      </c>
      <c r="Q168" s="60">
        <f>(D168+E168+F168+G168+H168+I168+J168+K168+N168+L168)*3%</f>
        <v>80.22</v>
      </c>
      <c r="R168" s="60">
        <f>(D168+E168+F168+G168+H168+I168+J168+K168+N168)*12%</f>
        <v>248.88</v>
      </c>
      <c r="S168" s="60">
        <v>0</v>
      </c>
      <c r="T168" s="57">
        <v>0</v>
      </c>
      <c r="U168" s="5">
        <f t="shared" si="14"/>
        <v>329.1</v>
      </c>
      <c r="V168" s="5">
        <f t="shared" si="15"/>
        <v>2594.9</v>
      </c>
      <c r="W168" s="23">
        <v>0</v>
      </c>
      <c r="X168" s="130"/>
      <c r="Y168" s="130"/>
      <c r="Z168" s="130"/>
    </row>
    <row r="169" spans="1:26" ht="33.950000000000003" customHeight="1" x14ac:dyDescent="0.2">
      <c r="A169" s="133">
        <v>160</v>
      </c>
      <c r="B169" s="60" t="s">
        <v>602</v>
      </c>
      <c r="C169" s="60" t="s">
        <v>510</v>
      </c>
      <c r="D169" s="65">
        <v>2425</v>
      </c>
      <c r="E169" s="63">
        <v>0</v>
      </c>
      <c r="F169" s="63">
        <v>3031.25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57">
        <f t="shared" si="16"/>
        <v>5456.25</v>
      </c>
      <c r="Q169" s="60">
        <f t="shared" si="18"/>
        <v>163.69</v>
      </c>
      <c r="R169" s="60">
        <f>(D169+E169+F169+G169+H169+I169+J169+K169+N169)*12%</f>
        <v>654.75</v>
      </c>
      <c r="S169" s="60">
        <v>32.72</v>
      </c>
      <c r="T169" s="57">
        <v>0</v>
      </c>
      <c r="U169" s="5">
        <f t="shared" si="14"/>
        <v>818.44</v>
      </c>
      <c r="V169" s="5">
        <f t="shared" si="15"/>
        <v>4637.8100000000004</v>
      </c>
      <c r="W169" s="23">
        <v>0</v>
      </c>
      <c r="X169" s="130"/>
      <c r="Y169" s="130"/>
      <c r="Z169" s="130"/>
    </row>
    <row r="170" spans="1:26" ht="33.950000000000003" customHeight="1" x14ac:dyDescent="0.2">
      <c r="A170" s="133">
        <v>161</v>
      </c>
      <c r="B170" s="60" t="s">
        <v>603</v>
      </c>
      <c r="C170" s="60" t="s">
        <v>447</v>
      </c>
      <c r="D170" s="65">
        <v>1350</v>
      </c>
      <c r="E170" s="63">
        <v>2000</v>
      </c>
      <c r="F170" s="63">
        <v>0</v>
      </c>
      <c r="G170" s="63">
        <v>0</v>
      </c>
      <c r="H170" s="63">
        <v>0</v>
      </c>
      <c r="I170" s="63">
        <v>4500</v>
      </c>
      <c r="J170" s="63">
        <v>0</v>
      </c>
      <c r="K170" s="63">
        <v>0</v>
      </c>
      <c r="L170" s="63">
        <v>0</v>
      </c>
      <c r="M170" s="63">
        <v>250</v>
      </c>
      <c r="N170" s="63">
        <v>0</v>
      </c>
      <c r="O170" s="63">
        <v>1600</v>
      </c>
      <c r="P170" s="57">
        <f t="shared" si="16"/>
        <v>8100</v>
      </c>
      <c r="Q170" s="60">
        <f t="shared" si="18"/>
        <v>235.5</v>
      </c>
      <c r="R170" s="60">
        <f>(D170+E170+F170+G170+H170+I170+J170+K170+N170)*13%</f>
        <v>1020.5</v>
      </c>
      <c r="S170" s="60">
        <v>143.03</v>
      </c>
      <c r="T170" s="57">
        <v>0</v>
      </c>
      <c r="U170" s="5">
        <f t="shared" si="14"/>
        <v>1256</v>
      </c>
      <c r="V170" s="5">
        <f t="shared" si="15"/>
        <v>6844</v>
      </c>
      <c r="W170" s="23">
        <v>0</v>
      </c>
      <c r="X170" s="130"/>
      <c r="Y170" s="130"/>
      <c r="Z170" s="130"/>
    </row>
    <row r="171" spans="1:26" ht="55.5" customHeight="1" x14ac:dyDescent="0.2">
      <c r="A171" s="133">
        <v>162</v>
      </c>
      <c r="B171" s="60" t="s">
        <v>842</v>
      </c>
      <c r="C171" s="60" t="s">
        <v>843</v>
      </c>
      <c r="D171" s="65">
        <v>1792</v>
      </c>
      <c r="E171" s="63">
        <v>0</v>
      </c>
      <c r="F171" s="63">
        <v>0</v>
      </c>
      <c r="G171" s="63">
        <v>2500</v>
      </c>
      <c r="H171" s="63">
        <v>0</v>
      </c>
      <c r="I171" s="63">
        <v>3000</v>
      </c>
      <c r="J171" s="63">
        <v>0</v>
      </c>
      <c r="K171" s="63">
        <v>0</v>
      </c>
      <c r="L171" s="63">
        <v>0</v>
      </c>
      <c r="M171" s="63">
        <v>250</v>
      </c>
      <c r="N171" s="63">
        <v>0</v>
      </c>
      <c r="O171" s="63">
        <v>0</v>
      </c>
      <c r="P171" s="57">
        <f t="shared" si="16"/>
        <v>7542</v>
      </c>
      <c r="Q171" s="60">
        <f t="shared" si="18"/>
        <v>218.76</v>
      </c>
      <c r="R171" s="60">
        <f>(D171+E171+F171+G171+H171+I171+J171+K171+N171)*13%</f>
        <v>947.96</v>
      </c>
      <c r="S171" s="60">
        <v>134.12</v>
      </c>
      <c r="T171" s="57">
        <v>0</v>
      </c>
      <c r="U171" s="5">
        <f t="shared" si="14"/>
        <v>1166.72</v>
      </c>
      <c r="V171" s="5">
        <f t="shared" si="15"/>
        <v>6375.28</v>
      </c>
      <c r="W171" s="23">
        <v>0</v>
      </c>
      <c r="X171" s="130"/>
      <c r="Y171" s="130"/>
      <c r="Z171" s="130"/>
    </row>
    <row r="172" spans="1:26" ht="33.950000000000003" customHeight="1" x14ac:dyDescent="0.2">
      <c r="A172" s="133">
        <v>163</v>
      </c>
      <c r="B172" s="60" t="s">
        <v>604</v>
      </c>
      <c r="C172" s="60" t="s">
        <v>985</v>
      </c>
      <c r="D172" s="65">
        <v>1476</v>
      </c>
      <c r="E172" s="63">
        <v>2000</v>
      </c>
      <c r="F172" s="63">
        <v>0</v>
      </c>
      <c r="G172" s="63">
        <v>0</v>
      </c>
      <c r="H172" s="63">
        <v>0</v>
      </c>
      <c r="I172" s="63">
        <v>4500</v>
      </c>
      <c r="J172" s="63">
        <v>0</v>
      </c>
      <c r="K172" s="63">
        <v>75</v>
      </c>
      <c r="L172" s="63">
        <v>0</v>
      </c>
      <c r="M172" s="63">
        <v>250</v>
      </c>
      <c r="N172" s="63">
        <v>0</v>
      </c>
      <c r="O172" s="63">
        <v>0</v>
      </c>
      <c r="P172" s="57">
        <f t="shared" si="16"/>
        <v>8301</v>
      </c>
      <c r="Q172" s="60">
        <f t="shared" si="18"/>
        <v>241.53</v>
      </c>
      <c r="R172" s="60">
        <f>(D172+E172+F172+G172+H172+I172+J172+K172+N172)*14%</f>
        <v>1127.1400000000001</v>
      </c>
      <c r="S172" s="60">
        <v>147.44999999999999</v>
      </c>
      <c r="T172" s="57">
        <v>0</v>
      </c>
      <c r="U172" s="5">
        <f t="shared" si="14"/>
        <v>1368.67</v>
      </c>
      <c r="V172" s="5">
        <f t="shared" si="15"/>
        <v>6932.33</v>
      </c>
      <c r="W172" s="23">
        <v>0</v>
      </c>
      <c r="X172" s="130"/>
      <c r="Y172" s="130"/>
      <c r="Z172" s="130"/>
    </row>
    <row r="173" spans="1:26" ht="33.950000000000003" customHeight="1" x14ac:dyDescent="0.2">
      <c r="A173" s="133">
        <v>164</v>
      </c>
      <c r="B173" s="60" t="s">
        <v>605</v>
      </c>
      <c r="C173" s="64" t="s">
        <v>447</v>
      </c>
      <c r="D173" s="65">
        <v>1350</v>
      </c>
      <c r="E173" s="63">
        <f>2000</f>
        <v>2000</v>
      </c>
      <c r="F173" s="63">
        <v>0</v>
      </c>
      <c r="G173" s="63">
        <v>0</v>
      </c>
      <c r="H173" s="63">
        <v>1600</v>
      </c>
      <c r="I173" s="63">
        <f>2900</f>
        <v>2900</v>
      </c>
      <c r="J173" s="63">
        <v>0</v>
      </c>
      <c r="K173" s="63">
        <v>75</v>
      </c>
      <c r="L173" s="63">
        <v>0</v>
      </c>
      <c r="M173" s="63">
        <v>250</v>
      </c>
      <c r="N173" s="63">
        <v>0</v>
      </c>
      <c r="O173" s="63">
        <v>0</v>
      </c>
      <c r="P173" s="57">
        <f t="shared" si="16"/>
        <v>8175</v>
      </c>
      <c r="Q173" s="60">
        <f t="shared" si="18"/>
        <v>237.75</v>
      </c>
      <c r="R173" s="60">
        <f>(D173+E173+F173+G173+H173+I173+J173+K173+N173)*13%</f>
        <v>1030.25</v>
      </c>
      <c r="S173" s="60">
        <v>146.18</v>
      </c>
      <c r="T173" s="57">
        <v>0</v>
      </c>
      <c r="U173" s="5">
        <f t="shared" si="14"/>
        <v>1268</v>
      </c>
      <c r="V173" s="5">
        <f t="shared" si="15"/>
        <v>6907</v>
      </c>
      <c r="W173" s="23">
        <v>0</v>
      </c>
      <c r="X173" s="130"/>
      <c r="Y173" s="130"/>
      <c r="Z173" s="130"/>
    </row>
    <row r="174" spans="1:26" ht="33.950000000000003" customHeight="1" x14ac:dyDescent="0.2">
      <c r="A174" s="133">
        <v>165</v>
      </c>
      <c r="B174" s="72" t="s">
        <v>851</v>
      </c>
      <c r="C174" s="76" t="s">
        <v>160</v>
      </c>
      <c r="D174" s="65">
        <v>5835</v>
      </c>
      <c r="E174" s="63">
        <v>0</v>
      </c>
      <c r="F174" s="63">
        <v>0</v>
      </c>
      <c r="G174" s="63">
        <v>3000</v>
      </c>
      <c r="H174" s="63">
        <v>0</v>
      </c>
      <c r="I174" s="63">
        <v>0</v>
      </c>
      <c r="J174" s="63">
        <v>375</v>
      </c>
      <c r="K174" s="63">
        <v>0</v>
      </c>
      <c r="L174" s="63">
        <v>0</v>
      </c>
      <c r="M174" s="63">
        <v>250</v>
      </c>
      <c r="N174" s="63">
        <v>0</v>
      </c>
      <c r="O174" s="63">
        <v>0</v>
      </c>
      <c r="P174" s="57">
        <f t="shared" si="16"/>
        <v>9460</v>
      </c>
      <c r="Q174" s="60">
        <f t="shared" si="18"/>
        <v>276.3</v>
      </c>
      <c r="R174" s="60">
        <f>(D174+E174+F174+G174+H174+I174+J174+K174+N174)*14%</f>
        <v>1289.4000000000001</v>
      </c>
      <c r="S174" s="60">
        <v>195.48</v>
      </c>
      <c r="T174" s="57">
        <v>123.78</v>
      </c>
      <c r="U174" s="5">
        <f>(Q174+R174+T174)</f>
        <v>1689.48</v>
      </c>
      <c r="V174" s="5">
        <f t="shared" si="15"/>
        <v>7770.52</v>
      </c>
      <c r="W174" s="23">
        <v>0</v>
      </c>
      <c r="X174" s="130"/>
      <c r="Y174" s="130"/>
      <c r="Z174" s="130"/>
    </row>
    <row r="175" spans="1:26" ht="33.950000000000003" customHeight="1" x14ac:dyDescent="0.2">
      <c r="A175" s="133">
        <v>166</v>
      </c>
      <c r="B175" s="60" t="s">
        <v>606</v>
      </c>
      <c r="C175" s="60" t="s">
        <v>988</v>
      </c>
      <c r="D175" s="65">
        <v>1634</v>
      </c>
      <c r="E175" s="63">
        <v>2400</v>
      </c>
      <c r="F175" s="63">
        <v>0</v>
      </c>
      <c r="G175" s="63">
        <v>0</v>
      </c>
      <c r="H175" s="63">
        <v>3000</v>
      </c>
      <c r="I175" s="63">
        <v>2400</v>
      </c>
      <c r="J175" s="63">
        <v>0</v>
      </c>
      <c r="K175" s="63">
        <v>0</v>
      </c>
      <c r="L175" s="63">
        <v>0</v>
      </c>
      <c r="M175" s="63">
        <v>250</v>
      </c>
      <c r="N175" s="63">
        <v>0</v>
      </c>
      <c r="O175" s="63">
        <v>0</v>
      </c>
      <c r="P175" s="57">
        <f t="shared" si="16"/>
        <v>9684</v>
      </c>
      <c r="Q175" s="60">
        <f t="shared" si="18"/>
        <v>283.02</v>
      </c>
      <c r="R175" s="60">
        <f>(D175+E175+F175+G175+H175+I175+J175+K175+N175)*14%</f>
        <v>1320.76</v>
      </c>
      <c r="S175" s="60">
        <v>204.84</v>
      </c>
      <c r="T175" s="57">
        <v>0</v>
      </c>
      <c r="U175" s="5">
        <f t="shared" si="14"/>
        <v>1603.78</v>
      </c>
      <c r="V175" s="5">
        <f t="shared" si="15"/>
        <v>8080.22</v>
      </c>
      <c r="W175" s="23">
        <v>0</v>
      </c>
      <c r="X175" s="130"/>
      <c r="Y175" s="130"/>
      <c r="Z175" s="130"/>
    </row>
    <row r="176" spans="1:26" ht="33.950000000000003" customHeight="1" x14ac:dyDescent="0.2">
      <c r="A176" s="133">
        <v>167</v>
      </c>
      <c r="B176" s="139" t="s">
        <v>1046</v>
      </c>
      <c r="C176" s="60" t="s">
        <v>992</v>
      </c>
      <c r="D176" s="132">
        <v>1476</v>
      </c>
      <c r="E176" s="63">
        <v>0</v>
      </c>
      <c r="F176" s="63">
        <v>0</v>
      </c>
      <c r="G176" s="63">
        <v>0</v>
      </c>
      <c r="H176" s="132">
        <v>1900</v>
      </c>
      <c r="I176" s="132">
        <v>2600</v>
      </c>
      <c r="J176" s="63">
        <v>0</v>
      </c>
      <c r="K176" s="63">
        <v>0</v>
      </c>
      <c r="L176" s="63">
        <v>0</v>
      </c>
      <c r="M176" s="63">
        <v>250</v>
      </c>
      <c r="N176" s="63">
        <v>0</v>
      </c>
      <c r="O176" s="63">
        <v>0</v>
      </c>
      <c r="P176" s="57">
        <f t="shared" si="16"/>
        <v>6226</v>
      </c>
      <c r="Q176" s="60">
        <f t="shared" si="18"/>
        <v>179.28</v>
      </c>
      <c r="R176" s="60">
        <f>(D176+E176+F176+G176+H176+I176+J176+K176+N176)*14%</f>
        <v>836.64</v>
      </c>
      <c r="S176" s="60">
        <v>0</v>
      </c>
      <c r="T176" s="57">
        <v>0</v>
      </c>
      <c r="U176" s="5">
        <f t="shared" si="14"/>
        <v>1015.92</v>
      </c>
      <c r="V176" s="5">
        <f t="shared" si="15"/>
        <v>5210.08</v>
      </c>
      <c r="W176" s="23">
        <v>0</v>
      </c>
      <c r="X176" s="130"/>
      <c r="Y176" s="130"/>
      <c r="Z176" s="130"/>
    </row>
    <row r="177" spans="1:26" ht="33.950000000000003" customHeight="1" x14ac:dyDescent="0.2">
      <c r="A177" s="133">
        <v>168</v>
      </c>
      <c r="B177" s="72" t="s">
        <v>48</v>
      </c>
      <c r="C177" s="60" t="s">
        <v>447</v>
      </c>
      <c r="D177" s="65">
        <v>1350</v>
      </c>
      <c r="E177" s="63">
        <v>0</v>
      </c>
      <c r="F177" s="63">
        <v>0</v>
      </c>
      <c r="G177" s="63">
        <v>0</v>
      </c>
      <c r="H177" s="63">
        <v>1600</v>
      </c>
      <c r="I177" s="63">
        <v>2900</v>
      </c>
      <c r="J177" s="63">
        <v>0</v>
      </c>
      <c r="K177" s="63">
        <v>0</v>
      </c>
      <c r="L177" s="63">
        <v>0</v>
      </c>
      <c r="M177" s="63">
        <v>250</v>
      </c>
      <c r="N177" s="63">
        <v>0</v>
      </c>
      <c r="O177" s="63">
        <v>0</v>
      </c>
      <c r="P177" s="57">
        <f t="shared" si="16"/>
        <v>6100</v>
      </c>
      <c r="Q177" s="60">
        <f t="shared" si="18"/>
        <v>175.5</v>
      </c>
      <c r="R177" s="60">
        <f>(D177+E177+F177+G177+H177+I177+J177+K177+N177)*12%</f>
        <v>702</v>
      </c>
      <c r="S177" s="60">
        <v>0</v>
      </c>
      <c r="T177" s="57">
        <v>0</v>
      </c>
      <c r="U177" s="5">
        <f t="shared" si="14"/>
        <v>877.5</v>
      </c>
      <c r="V177" s="5">
        <f t="shared" si="15"/>
        <v>5222.5</v>
      </c>
      <c r="W177" s="23">
        <f>585</f>
        <v>585</v>
      </c>
      <c r="X177" s="130"/>
      <c r="Y177" s="130"/>
      <c r="Z177" s="130"/>
    </row>
    <row r="178" spans="1:26" ht="33.950000000000003" customHeight="1" x14ac:dyDescent="0.2">
      <c r="A178" s="133">
        <v>169</v>
      </c>
      <c r="B178" s="60" t="s">
        <v>607</v>
      </c>
      <c r="C178" s="60" t="s">
        <v>447</v>
      </c>
      <c r="D178" s="65">
        <v>1350</v>
      </c>
      <c r="E178" s="63">
        <v>2000</v>
      </c>
      <c r="F178" s="63">
        <v>0</v>
      </c>
      <c r="G178" s="63">
        <v>0</v>
      </c>
      <c r="H178" s="63">
        <v>0</v>
      </c>
      <c r="I178" s="63">
        <v>4500</v>
      </c>
      <c r="J178" s="63">
        <v>0</v>
      </c>
      <c r="K178" s="63">
        <v>0</v>
      </c>
      <c r="L178" s="63">
        <v>0</v>
      </c>
      <c r="M178" s="63">
        <v>250</v>
      </c>
      <c r="N178" s="63">
        <v>0</v>
      </c>
      <c r="O178" s="63">
        <v>0</v>
      </c>
      <c r="P178" s="57">
        <f t="shared" si="16"/>
        <v>8100</v>
      </c>
      <c r="Q178" s="60">
        <f t="shared" si="18"/>
        <v>235.5</v>
      </c>
      <c r="R178" s="60">
        <f>(D178+E178+F178+G178+H178+I178+J178+K178+N178)*13%</f>
        <v>1020.5</v>
      </c>
      <c r="S178" s="60">
        <v>143.03</v>
      </c>
      <c r="T178" s="57">
        <v>0</v>
      </c>
      <c r="U178" s="5">
        <f t="shared" si="14"/>
        <v>1256</v>
      </c>
      <c r="V178" s="5">
        <f t="shared" si="15"/>
        <v>6844</v>
      </c>
      <c r="W178" s="23">
        <v>0</v>
      </c>
      <c r="X178" s="130"/>
      <c r="Y178" s="130"/>
      <c r="Z178" s="130"/>
    </row>
    <row r="179" spans="1:26" ht="39.75" customHeight="1" x14ac:dyDescent="0.2">
      <c r="A179" s="133">
        <v>170</v>
      </c>
      <c r="B179" s="60" t="s">
        <v>608</v>
      </c>
      <c r="C179" s="60" t="s">
        <v>565</v>
      </c>
      <c r="D179" s="65">
        <f>485*3</f>
        <v>1455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57">
        <f t="shared" si="16"/>
        <v>1455</v>
      </c>
      <c r="Q179" s="60">
        <f t="shared" si="18"/>
        <v>43.65</v>
      </c>
      <c r="R179" s="60">
        <f>(D179+E179+F179+G179+H179+I179+J179+K179+N179)*10%</f>
        <v>145.5</v>
      </c>
      <c r="S179" s="60">
        <v>0</v>
      </c>
      <c r="T179" s="57">
        <v>0</v>
      </c>
      <c r="U179" s="5">
        <f t="shared" si="14"/>
        <v>189.15</v>
      </c>
      <c r="V179" s="5">
        <f t="shared" si="15"/>
        <v>1265.8499999999999</v>
      </c>
      <c r="W179" s="23">
        <v>0</v>
      </c>
      <c r="X179" s="130"/>
      <c r="Y179" s="130"/>
      <c r="Z179" s="130"/>
    </row>
    <row r="180" spans="1:26" ht="33.950000000000003" customHeight="1" x14ac:dyDescent="0.2">
      <c r="A180" s="133">
        <v>171</v>
      </c>
      <c r="B180" s="60" t="s">
        <v>609</v>
      </c>
      <c r="C180" s="60" t="s">
        <v>737</v>
      </c>
      <c r="D180" s="65">
        <v>2441</v>
      </c>
      <c r="E180" s="63">
        <v>1000</v>
      </c>
      <c r="F180" s="63">
        <v>0</v>
      </c>
      <c r="G180" s="63">
        <v>1000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250</v>
      </c>
      <c r="N180" s="63">
        <v>0</v>
      </c>
      <c r="O180" s="63">
        <v>0</v>
      </c>
      <c r="P180" s="57">
        <f t="shared" si="16"/>
        <v>4691</v>
      </c>
      <c r="Q180" s="60">
        <f t="shared" si="18"/>
        <v>133.22999999999999</v>
      </c>
      <c r="R180" s="60">
        <f>(D180+E180+F180+G180+H180+I180+J180+K180+N180)*12%</f>
        <v>532.91999999999996</v>
      </c>
      <c r="S180" s="60">
        <v>0</v>
      </c>
      <c r="T180" s="57">
        <v>0</v>
      </c>
      <c r="U180" s="5">
        <f t="shared" si="14"/>
        <v>666.15</v>
      </c>
      <c r="V180" s="5">
        <f t="shared" si="15"/>
        <v>4024.85</v>
      </c>
      <c r="W180" s="23">
        <v>0</v>
      </c>
      <c r="X180" s="130"/>
      <c r="Y180" s="130"/>
      <c r="Z180" s="130"/>
    </row>
    <row r="181" spans="1:26" ht="33.950000000000003" customHeight="1" x14ac:dyDescent="0.2">
      <c r="A181" s="133">
        <v>172</v>
      </c>
      <c r="B181" s="60" t="s">
        <v>610</v>
      </c>
      <c r="C181" s="60" t="s">
        <v>745</v>
      </c>
      <c r="D181" s="65">
        <v>1555</v>
      </c>
      <c r="E181" s="63">
        <v>600</v>
      </c>
      <c r="F181" s="63">
        <v>0</v>
      </c>
      <c r="G181" s="63">
        <v>1000</v>
      </c>
      <c r="H181" s="63">
        <v>0</v>
      </c>
      <c r="I181" s="63">
        <v>0</v>
      </c>
      <c r="J181" s="63">
        <v>0</v>
      </c>
      <c r="K181" s="63">
        <v>50</v>
      </c>
      <c r="L181" s="63">
        <v>0</v>
      </c>
      <c r="M181" s="63">
        <v>250</v>
      </c>
      <c r="N181" s="63">
        <v>0</v>
      </c>
      <c r="O181" s="63">
        <v>0</v>
      </c>
      <c r="P181" s="57">
        <f t="shared" si="16"/>
        <v>3455</v>
      </c>
      <c r="Q181" s="60">
        <f t="shared" si="18"/>
        <v>96.15</v>
      </c>
      <c r="R181" s="60">
        <f>(D181+E181+F181+G181+H181+I181+J181+K181+N181)*11%</f>
        <v>352.55</v>
      </c>
      <c r="S181" s="60">
        <v>0</v>
      </c>
      <c r="T181" s="57">
        <v>0</v>
      </c>
      <c r="U181" s="5">
        <f t="shared" si="14"/>
        <v>448.7</v>
      </c>
      <c r="V181" s="5">
        <f t="shared" si="15"/>
        <v>3006.3</v>
      </c>
      <c r="W181" s="23">
        <v>0</v>
      </c>
      <c r="X181" s="130"/>
      <c r="Y181" s="130"/>
      <c r="Z181" s="130"/>
    </row>
    <row r="182" spans="1:26" ht="33.950000000000003" customHeight="1" x14ac:dyDescent="0.2">
      <c r="A182" s="133">
        <v>173</v>
      </c>
      <c r="B182" s="60" t="s">
        <v>611</v>
      </c>
      <c r="C182" s="64" t="s">
        <v>904</v>
      </c>
      <c r="D182" s="125">
        <v>1476</v>
      </c>
      <c r="E182" s="60">
        <f>2000</f>
        <v>2000</v>
      </c>
      <c r="F182" s="63">
        <v>0</v>
      </c>
      <c r="G182" s="63">
        <v>0</v>
      </c>
      <c r="H182" s="63">
        <v>1900</v>
      </c>
      <c r="I182" s="63">
        <v>2600</v>
      </c>
      <c r="J182" s="63">
        <v>0</v>
      </c>
      <c r="K182" s="63">
        <v>0</v>
      </c>
      <c r="L182" s="63">
        <v>0</v>
      </c>
      <c r="M182" s="63">
        <v>250</v>
      </c>
      <c r="N182" s="63">
        <v>0</v>
      </c>
      <c r="O182" s="63">
        <v>0</v>
      </c>
      <c r="P182" s="57">
        <f t="shared" si="16"/>
        <v>8226</v>
      </c>
      <c r="Q182" s="60">
        <f t="shared" si="18"/>
        <v>239.28</v>
      </c>
      <c r="R182" s="83">
        <f>(D182+E182+F182+G182+H182+I182+J182+K182+N182)*13%</f>
        <v>1036.8800000000001</v>
      </c>
      <c r="S182" s="60">
        <v>0</v>
      </c>
      <c r="T182" s="57">
        <v>0</v>
      </c>
      <c r="U182" s="5">
        <f t="shared" si="14"/>
        <v>1276.1600000000001</v>
      </c>
      <c r="V182" s="5">
        <f t="shared" si="15"/>
        <v>6949.84</v>
      </c>
      <c r="W182" s="23">
        <v>0</v>
      </c>
      <c r="X182" s="130"/>
      <c r="Y182" s="130"/>
      <c r="Z182" s="130"/>
    </row>
    <row r="183" spans="1:26" ht="33.950000000000003" customHeight="1" x14ac:dyDescent="0.2">
      <c r="A183" s="133">
        <v>174</v>
      </c>
      <c r="B183" s="60" t="s">
        <v>612</v>
      </c>
      <c r="C183" s="60" t="s">
        <v>998</v>
      </c>
      <c r="D183" s="65">
        <v>1159</v>
      </c>
      <c r="E183" s="63">
        <v>550</v>
      </c>
      <c r="F183" s="63">
        <v>0</v>
      </c>
      <c r="G183" s="63">
        <v>1000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250</v>
      </c>
      <c r="N183" s="63">
        <v>0</v>
      </c>
      <c r="O183" s="63">
        <v>0</v>
      </c>
      <c r="P183" s="57">
        <f t="shared" si="16"/>
        <v>2959</v>
      </c>
      <c r="Q183" s="60">
        <f t="shared" si="18"/>
        <v>81.27</v>
      </c>
      <c r="R183" s="60">
        <f>(D183+E183+F183+G183+H183+I183+J183+K183+N183)*11%</f>
        <v>297.99</v>
      </c>
      <c r="S183" s="60">
        <v>0</v>
      </c>
      <c r="T183" s="57">
        <v>0</v>
      </c>
      <c r="U183" s="5">
        <f t="shared" si="14"/>
        <v>379.26</v>
      </c>
      <c r="V183" s="5">
        <f t="shared" si="15"/>
        <v>2579.7399999999998</v>
      </c>
      <c r="W183" s="23">
        <v>0</v>
      </c>
      <c r="X183" s="130"/>
      <c r="Y183" s="130"/>
      <c r="Z183" s="130"/>
    </row>
    <row r="184" spans="1:26" ht="33.950000000000003" customHeight="1" x14ac:dyDescent="0.2">
      <c r="A184" s="133">
        <v>175</v>
      </c>
      <c r="B184" s="60" t="s">
        <v>613</v>
      </c>
      <c r="C184" s="64" t="s">
        <v>1015</v>
      </c>
      <c r="D184" s="65">
        <v>6759</v>
      </c>
      <c r="E184" s="63">
        <v>1800</v>
      </c>
      <c r="F184" s="63">
        <v>0</v>
      </c>
      <c r="G184" s="63">
        <v>4000</v>
      </c>
      <c r="H184" s="63">
        <v>0</v>
      </c>
      <c r="I184" s="63">
        <v>0</v>
      </c>
      <c r="J184" s="63">
        <v>375</v>
      </c>
      <c r="K184" s="63">
        <v>0</v>
      </c>
      <c r="L184" s="63">
        <v>0</v>
      </c>
      <c r="M184" s="63">
        <v>250</v>
      </c>
      <c r="N184" s="63">
        <v>0</v>
      </c>
      <c r="O184" s="63">
        <v>0</v>
      </c>
      <c r="P184" s="57">
        <f t="shared" si="16"/>
        <v>13184</v>
      </c>
      <c r="Q184" s="60">
        <f t="shared" si="18"/>
        <v>388.02</v>
      </c>
      <c r="R184" s="60">
        <f>(D184+E184+F184+G184+H184+I184+J184+K184+N184)*15%</f>
        <v>1940.1</v>
      </c>
      <c r="S184" s="60">
        <v>343.63</v>
      </c>
      <c r="T184" s="57">
        <v>0</v>
      </c>
      <c r="U184" s="5">
        <f t="shared" si="14"/>
        <v>2328.12</v>
      </c>
      <c r="V184" s="5">
        <f t="shared" si="15"/>
        <v>10855.88</v>
      </c>
      <c r="W184" s="23">
        <v>0</v>
      </c>
      <c r="X184" s="130"/>
      <c r="Y184" s="130"/>
      <c r="Z184" s="130"/>
    </row>
    <row r="185" spans="1:26" ht="33.950000000000003" customHeight="1" x14ac:dyDescent="0.2">
      <c r="A185" s="133">
        <v>176</v>
      </c>
      <c r="B185" s="60" t="s">
        <v>614</v>
      </c>
      <c r="C185" s="64" t="s">
        <v>995</v>
      </c>
      <c r="D185" s="65">
        <v>1350</v>
      </c>
      <c r="E185" s="63">
        <f>2000</f>
        <v>2000</v>
      </c>
      <c r="F185" s="63">
        <v>0</v>
      </c>
      <c r="G185" s="63">
        <v>0</v>
      </c>
      <c r="H185" s="63">
        <v>1600</v>
      </c>
      <c r="I185" s="63">
        <f>2900</f>
        <v>2900</v>
      </c>
      <c r="J185" s="63">
        <v>0</v>
      </c>
      <c r="K185" s="63">
        <v>50</v>
      </c>
      <c r="L185" s="63">
        <v>0</v>
      </c>
      <c r="M185" s="63">
        <v>250</v>
      </c>
      <c r="N185" s="63">
        <v>0</v>
      </c>
      <c r="O185" s="63">
        <v>0</v>
      </c>
      <c r="P185" s="57">
        <f t="shared" si="16"/>
        <v>8150</v>
      </c>
      <c r="Q185" s="60">
        <f t="shared" si="18"/>
        <v>237</v>
      </c>
      <c r="R185" s="60">
        <f>(D185+E185+F185+G185+H185+I185+J185+K185+N185)*13%</f>
        <v>1027</v>
      </c>
      <c r="S185" s="60">
        <v>145.13</v>
      </c>
      <c r="T185" s="57">
        <v>0</v>
      </c>
      <c r="U185" s="5">
        <f t="shared" si="14"/>
        <v>1264</v>
      </c>
      <c r="V185" s="5">
        <f t="shared" si="15"/>
        <v>6886</v>
      </c>
      <c r="W185" s="23">
        <v>0</v>
      </c>
      <c r="X185" s="130"/>
      <c r="Y185" s="130"/>
      <c r="Z185" s="130"/>
    </row>
    <row r="186" spans="1:26" ht="33.950000000000003" customHeight="1" x14ac:dyDescent="0.2">
      <c r="A186" s="133">
        <v>177</v>
      </c>
      <c r="B186" s="76" t="s">
        <v>92</v>
      </c>
      <c r="C186" s="77" t="s">
        <v>160</v>
      </c>
      <c r="D186" s="78">
        <v>5835</v>
      </c>
      <c r="E186" s="63">
        <v>3000</v>
      </c>
      <c r="F186" s="63">
        <v>0</v>
      </c>
      <c r="G186" s="63">
        <v>3000</v>
      </c>
      <c r="H186" s="63">
        <v>0</v>
      </c>
      <c r="I186" s="63">
        <v>0</v>
      </c>
      <c r="J186" s="63">
        <v>375</v>
      </c>
      <c r="K186" s="63">
        <v>0</v>
      </c>
      <c r="L186" s="63">
        <v>0</v>
      </c>
      <c r="M186" s="63">
        <v>250</v>
      </c>
      <c r="N186" s="63">
        <v>0</v>
      </c>
      <c r="O186" s="63">
        <v>0</v>
      </c>
      <c r="P186" s="57">
        <f t="shared" si="16"/>
        <v>12460</v>
      </c>
      <c r="Q186" s="60">
        <f t="shared" si="18"/>
        <v>366.3</v>
      </c>
      <c r="R186" s="60">
        <f>(D186+E186+F186+G186+H186+I186+J186+K186+N186)*15%</f>
        <v>1831.5</v>
      </c>
      <c r="S186" s="21">
        <v>313.94</v>
      </c>
      <c r="T186" s="57">
        <v>164.1</v>
      </c>
      <c r="U186" s="5">
        <f t="shared" si="14"/>
        <v>2361.9</v>
      </c>
      <c r="V186" s="5">
        <f t="shared" si="15"/>
        <v>10098.1</v>
      </c>
      <c r="W186" s="23">
        <v>0</v>
      </c>
      <c r="X186" s="130"/>
      <c r="Y186" s="130"/>
      <c r="Z186" s="130"/>
    </row>
    <row r="187" spans="1:26" ht="33.950000000000003" customHeight="1" x14ac:dyDescent="0.2">
      <c r="A187" s="133">
        <v>178</v>
      </c>
      <c r="B187" s="67" t="s">
        <v>365</v>
      </c>
      <c r="C187" s="67" t="s">
        <v>1002</v>
      </c>
      <c r="D187" s="78">
        <v>10261</v>
      </c>
      <c r="E187" s="84">
        <v>4000</v>
      </c>
      <c r="F187" s="63"/>
      <c r="G187" s="78">
        <v>5000</v>
      </c>
      <c r="H187" s="63">
        <v>0</v>
      </c>
      <c r="I187" s="63">
        <v>0</v>
      </c>
      <c r="J187" s="60">
        <v>375</v>
      </c>
      <c r="K187" s="63">
        <v>0</v>
      </c>
      <c r="L187" s="63">
        <v>0</v>
      </c>
      <c r="M187" s="85">
        <v>250</v>
      </c>
      <c r="N187" s="63">
        <v>0</v>
      </c>
      <c r="O187" s="63">
        <v>0</v>
      </c>
      <c r="P187" s="57">
        <f t="shared" si="16"/>
        <v>19886</v>
      </c>
      <c r="Q187" s="60">
        <f>(D187+E187+F187+G187+H187+I187+J187+K187+N187)*3%</f>
        <v>589.08000000000004</v>
      </c>
      <c r="R187" s="60">
        <f>(D187+E187+F187+G187+H187+I187+J187+K187+N187)*15%</f>
        <v>2945.4</v>
      </c>
      <c r="S187" s="21">
        <v>618.41</v>
      </c>
      <c r="T187" s="57">
        <v>263.91000000000003</v>
      </c>
      <c r="U187" s="60">
        <f>(Q187+R187+T187)</f>
        <v>3798.39</v>
      </c>
      <c r="V187" s="60">
        <f t="shared" si="15"/>
        <v>16087.61</v>
      </c>
      <c r="W187" s="23">
        <f>150+1168</f>
        <v>1318</v>
      </c>
      <c r="X187" s="130"/>
      <c r="Y187" s="130"/>
      <c r="Z187" s="130"/>
    </row>
    <row r="188" spans="1:26" ht="33.950000000000003" customHeight="1" x14ac:dyDescent="0.2">
      <c r="A188" s="133">
        <v>179</v>
      </c>
      <c r="B188" s="60" t="s">
        <v>615</v>
      </c>
      <c r="C188" s="64" t="s">
        <v>447</v>
      </c>
      <c r="D188" s="65">
        <v>1350</v>
      </c>
      <c r="E188" s="63">
        <v>2000</v>
      </c>
      <c r="F188" s="63">
        <v>0</v>
      </c>
      <c r="G188" s="63">
        <v>0</v>
      </c>
      <c r="H188" s="63">
        <v>1600</v>
      </c>
      <c r="I188" s="63">
        <v>2900</v>
      </c>
      <c r="J188" s="63">
        <v>0</v>
      </c>
      <c r="K188" s="63">
        <v>50</v>
      </c>
      <c r="L188" s="63">
        <v>0</v>
      </c>
      <c r="M188" s="63">
        <v>250</v>
      </c>
      <c r="N188" s="63">
        <v>0</v>
      </c>
      <c r="O188" s="63">
        <v>0</v>
      </c>
      <c r="P188" s="57">
        <f t="shared" si="16"/>
        <v>8150</v>
      </c>
      <c r="Q188" s="60">
        <f t="shared" si="18"/>
        <v>237</v>
      </c>
      <c r="R188" s="60">
        <f>(D188+E188+F188+G188+H188+I188+J188+K188+N188)*13%</f>
        <v>1027</v>
      </c>
      <c r="S188" s="60">
        <v>145.13</v>
      </c>
      <c r="T188" s="57">
        <v>0</v>
      </c>
      <c r="U188" s="5">
        <f t="shared" si="14"/>
        <v>1264</v>
      </c>
      <c r="V188" s="5">
        <f t="shared" si="15"/>
        <v>6886</v>
      </c>
      <c r="W188" s="23">
        <f>479</f>
        <v>479</v>
      </c>
      <c r="X188" s="130"/>
      <c r="Y188" s="130"/>
      <c r="Z188" s="130"/>
    </row>
    <row r="189" spans="1:26" ht="33.950000000000003" customHeight="1" x14ac:dyDescent="0.2">
      <c r="A189" s="133">
        <v>180</v>
      </c>
      <c r="B189" s="60" t="s">
        <v>616</v>
      </c>
      <c r="C189" s="64" t="s">
        <v>447</v>
      </c>
      <c r="D189" s="65">
        <v>1350</v>
      </c>
      <c r="E189" s="63">
        <v>2000</v>
      </c>
      <c r="F189" s="63">
        <v>0</v>
      </c>
      <c r="G189" s="63">
        <v>0</v>
      </c>
      <c r="H189" s="63">
        <v>1600</v>
      </c>
      <c r="I189" s="63">
        <v>2900</v>
      </c>
      <c r="J189" s="63">
        <v>0</v>
      </c>
      <c r="K189" s="63">
        <v>75</v>
      </c>
      <c r="L189" s="63">
        <v>0</v>
      </c>
      <c r="M189" s="63">
        <v>250</v>
      </c>
      <c r="N189" s="63">
        <v>0</v>
      </c>
      <c r="O189" s="63">
        <v>0</v>
      </c>
      <c r="P189" s="57">
        <f t="shared" si="16"/>
        <v>8175</v>
      </c>
      <c r="Q189" s="60">
        <f t="shared" si="18"/>
        <v>237.75</v>
      </c>
      <c r="R189" s="60">
        <f>(D189+E189+F189+G189+H189+I189+J189+K189+N189)*13%</f>
        <v>1030.25</v>
      </c>
      <c r="S189" s="60">
        <v>146.18</v>
      </c>
      <c r="T189" s="57">
        <v>0</v>
      </c>
      <c r="U189" s="5">
        <f t="shared" si="14"/>
        <v>1268</v>
      </c>
      <c r="V189" s="5">
        <f t="shared" si="15"/>
        <v>6907</v>
      </c>
      <c r="W189" s="23">
        <f>610</f>
        <v>610</v>
      </c>
      <c r="X189" s="130"/>
      <c r="Y189" s="130"/>
      <c r="Z189" s="130"/>
    </row>
    <row r="190" spans="1:26" ht="33.950000000000003" customHeight="1" x14ac:dyDescent="0.2">
      <c r="A190" s="133">
        <v>181</v>
      </c>
      <c r="B190" s="60" t="s">
        <v>617</v>
      </c>
      <c r="C190" s="60" t="s">
        <v>447</v>
      </c>
      <c r="D190" s="65">
        <v>1350</v>
      </c>
      <c r="E190" s="63">
        <v>2000</v>
      </c>
      <c r="F190" s="63">
        <v>0</v>
      </c>
      <c r="G190" s="63">
        <v>0</v>
      </c>
      <c r="H190" s="63">
        <v>0</v>
      </c>
      <c r="I190" s="63">
        <v>4500</v>
      </c>
      <c r="J190" s="63">
        <v>0</v>
      </c>
      <c r="K190" s="63">
        <v>0</v>
      </c>
      <c r="L190" s="63">
        <v>0</v>
      </c>
      <c r="M190" s="63">
        <v>250</v>
      </c>
      <c r="N190" s="63">
        <v>0</v>
      </c>
      <c r="O190" s="63">
        <v>0</v>
      </c>
      <c r="P190" s="57">
        <f t="shared" si="16"/>
        <v>8100</v>
      </c>
      <c r="Q190" s="60">
        <f t="shared" si="18"/>
        <v>235.5</v>
      </c>
      <c r="R190" s="60">
        <f>(D190+E190+F190+G190+H190+I190+J190+K190+N190)*13%</f>
        <v>1020.5</v>
      </c>
      <c r="S190" s="60">
        <v>143.03</v>
      </c>
      <c r="T190" s="57">
        <v>0</v>
      </c>
      <c r="U190" s="5">
        <f t="shared" si="14"/>
        <v>1256</v>
      </c>
      <c r="V190" s="5">
        <f t="shared" si="15"/>
        <v>6844</v>
      </c>
      <c r="W190" s="23">
        <v>0</v>
      </c>
      <c r="X190" s="130"/>
      <c r="Y190" s="130"/>
      <c r="Z190" s="130"/>
    </row>
    <row r="191" spans="1:26" ht="33.950000000000003" customHeight="1" x14ac:dyDescent="0.2">
      <c r="A191" s="133">
        <v>182</v>
      </c>
      <c r="B191" s="60" t="s">
        <v>618</v>
      </c>
      <c r="C191" s="60" t="s">
        <v>619</v>
      </c>
      <c r="D191" s="65">
        <v>1350</v>
      </c>
      <c r="E191" s="63">
        <v>2000</v>
      </c>
      <c r="F191" s="63">
        <v>0</v>
      </c>
      <c r="G191" s="63">
        <v>0</v>
      </c>
      <c r="H191" s="63">
        <v>0</v>
      </c>
      <c r="I191" s="63">
        <v>4500</v>
      </c>
      <c r="J191" s="63">
        <v>0</v>
      </c>
      <c r="K191" s="63">
        <v>0</v>
      </c>
      <c r="L191" s="63">
        <v>0</v>
      </c>
      <c r="M191" s="63">
        <v>250</v>
      </c>
      <c r="N191" s="63">
        <v>0</v>
      </c>
      <c r="O191" s="63">
        <v>0</v>
      </c>
      <c r="P191" s="57">
        <f t="shared" si="16"/>
        <v>8100</v>
      </c>
      <c r="Q191" s="60">
        <f>(D191+E191+F191+G191+H191+I191+J191+K191+N191)*3%</f>
        <v>235.5</v>
      </c>
      <c r="R191" s="60">
        <f>(D191+E191+F191+G191+H191+I191+J191+K191+N191)*13%</f>
        <v>1020.5</v>
      </c>
      <c r="S191" s="60">
        <v>143.03</v>
      </c>
      <c r="T191" s="57">
        <v>0</v>
      </c>
      <c r="U191" s="5">
        <f t="shared" si="14"/>
        <v>1256</v>
      </c>
      <c r="V191" s="5">
        <f t="shared" si="15"/>
        <v>6844</v>
      </c>
      <c r="W191" s="23">
        <v>0</v>
      </c>
      <c r="X191" s="130"/>
      <c r="Y191" s="130"/>
      <c r="Z191" s="130"/>
    </row>
    <row r="192" spans="1:26" ht="33.950000000000003" customHeight="1" x14ac:dyDescent="0.2">
      <c r="A192" s="133">
        <v>183</v>
      </c>
      <c r="B192" s="60" t="s">
        <v>620</v>
      </c>
      <c r="C192" s="60" t="s">
        <v>1010</v>
      </c>
      <c r="D192" s="65">
        <v>1105</v>
      </c>
      <c r="E192" s="63">
        <v>400</v>
      </c>
      <c r="F192" s="63">
        <v>0</v>
      </c>
      <c r="G192" s="63">
        <v>1000</v>
      </c>
      <c r="H192" s="63">
        <v>0</v>
      </c>
      <c r="I192" s="63">
        <v>0</v>
      </c>
      <c r="J192" s="63">
        <v>0</v>
      </c>
      <c r="K192" s="63">
        <v>35</v>
      </c>
      <c r="L192" s="63">
        <v>200</v>
      </c>
      <c r="M192" s="63">
        <v>250</v>
      </c>
      <c r="N192" s="63">
        <v>0</v>
      </c>
      <c r="O192" s="63">
        <v>0</v>
      </c>
      <c r="P192" s="57">
        <f t="shared" si="16"/>
        <v>2990</v>
      </c>
      <c r="Q192" s="60">
        <f>(D192+E192+F192+G192+H192+I192+J192+K192+N192+L192)*3%</f>
        <v>82.2</v>
      </c>
      <c r="R192" s="60">
        <f>(D192+E192+F192+G192+H192+I192+J192+K192+N192+L192)*11%</f>
        <v>301.39999999999998</v>
      </c>
      <c r="S192" s="60">
        <v>0</v>
      </c>
      <c r="T192" s="57">
        <v>0</v>
      </c>
      <c r="U192" s="5">
        <f t="shared" si="14"/>
        <v>383.6</v>
      </c>
      <c r="V192" s="5">
        <f t="shared" si="15"/>
        <v>2606.4</v>
      </c>
      <c r="W192" s="23">
        <v>0</v>
      </c>
      <c r="X192" s="130"/>
      <c r="Y192" s="130"/>
      <c r="Z192" s="130"/>
    </row>
    <row r="193" spans="1:26" ht="33.950000000000003" customHeight="1" x14ac:dyDescent="0.2">
      <c r="A193" s="133">
        <v>184</v>
      </c>
      <c r="B193" s="60" t="s">
        <v>621</v>
      </c>
      <c r="C193" s="60" t="s">
        <v>740</v>
      </c>
      <c r="D193" s="65">
        <v>1381</v>
      </c>
      <c r="E193" s="63">
        <v>650</v>
      </c>
      <c r="F193" s="63">
        <v>0</v>
      </c>
      <c r="G193" s="63">
        <v>1000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250</v>
      </c>
      <c r="N193" s="63">
        <v>0</v>
      </c>
      <c r="O193" s="63">
        <v>0</v>
      </c>
      <c r="P193" s="57">
        <f t="shared" si="16"/>
        <v>3281</v>
      </c>
      <c r="Q193" s="60">
        <f>(D193+E193+F193+G193+H193+I193+J193+K193+N193)*3%</f>
        <v>90.93</v>
      </c>
      <c r="R193" s="60">
        <f>(D193+E193+F193+G193+H193+I193+J193+K193+N193)*11%</f>
        <v>333.41</v>
      </c>
      <c r="S193" s="60">
        <v>0</v>
      </c>
      <c r="T193" s="57">
        <v>0</v>
      </c>
      <c r="U193" s="5">
        <f t="shared" si="14"/>
        <v>424.34</v>
      </c>
      <c r="V193" s="5">
        <f t="shared" si="15"/>
        <v>2856.66</v>
      </c>
      <c r="W193" s="23">
        <v>0</v>
      </c>
      <c r="X193" s="130"/>
      <c r="Y193" s="130"/>
      <c r="Z193" s="130"/>
    </row>
    <row r="194" spans="1:26" ht="53.25" customHeight="1" x14ac:dyDescent="0.2">
      <c r="A194" s="133">
        <v>185</v>
      </c>
      <c r="B194" s="60" t="s">
        <v>622</v>
      </c>
      <c r="C194" s="60" t="s">
        <v>983</v>
      </c>
      <c r="D194" s="65">
        <v>1792</v>
      </c>
      <c r="E194" s="63">
        <v>2500</v>
      </c>
      <c r="F194" s="63">
        <v>0</v>
      </c>
      <c r="G194" s="63">
        <v>0</v>
      </c>
      <c r="H194" s="63">
        <v>2500</v>
      </c>
      <c r="I194" s="63">
        <v>3000</v>
      </c>
      <c r="J194" s="63">
        <v>0</v>
      </c>
      <c r="K194" s="63">
        <v>50</v>
      </c>
      <c r="L194" s="63">
        <v>0</v>
      </c>
      <c r="M194" s="63">
        <v>250</v>
      </c>
      <c r="N194" s="63">
        <v>0</v>
      </c>
      <c r="O194" s="63">
        <v>0</v>
      </c>
      <c r="P194" s="57">
        <f t="shared" si="16"/>
        <v>10092</v>
      </c>
      <c r="Q194" s="60">
        <f>(D194+E194+F194+G194+H194+I194+J194+K194+N194)*3%</f>
        <v>295.26</v>
      </c>
      <c r="R194" s="60">
        <f>(D194+E194+F194+G194+H194+I194+J194+K194+N194)*14%</f>
        <v>1377.88</v>
      </c>
      <c r="S194" s="60">
        <v>221.78</v>
      </c>
      <c r="T194" s="57">
        <v>132.28</v>
      </c>
      <c r="U194" s="5">
        <f t="shared" ref="U194:U249" si="19">(Q194+R194+T194)</f>
        <v>1805.42</v>
      </c>
      <c r="V194" s="5">
        <f t="shared" si="15"/>
        <v>8286.58</v>
      </c>
      <c r="W194" s="23">
        <v>0</v>
      </c>
      <c r="X194" s="130"/>
      <c r="Y194" s="130"/>
      <c r="Z194" s="130"/>
    </row>
    <row r="195" spans="1:26" ht="33.950000000000003" customHeight="1" x14ac:dyDescent="0.2">
      <c r="A195" s="133">
        <v>186</v>
      </c>
      <c r="B195" s="60" t="s">
        <v>623</v>
      </c>
      <c r="C195" s="60" t="s">
        <v>985</v>
      </c>
      <c r="D195" s="65">
        <v>1476</v>
      </c>
      <c r="E195" s="63">
        <v>2000</v>
      </c>
      <c r="F195" s="63">
        <v>0</v>
      </c>
      <c r="G195" s="63">
        <v>0</v>
      </c>
      <c r="H195" s="63">
        <v>0</v>
      </c>
      <c r="I195" s="63">
        <v>4500</v>
      </c>
      <c r="J195" s="63">
        <v>0</v>
      </c>
      <c r="K195" s="63">
        <v>0</v>
      </c>
      <c r="L195" s="63">
        <v>0</v>
      </c>
      <c r="M195" s="63">
        <v>250</v>
      </c>
      <c r="N195" s="63">
        <v>0</v>
      </c>
      <c r="O195" s="63">
        <v>0</v>
      </c>
      <c r="P195" s="57">
        <f t="shared" si="16"/>
        <v>8226</v>
      </c>
      <c r="Q195" s="60">
        <f>(D195+E195+F195+G195+H195+I195+J195+K195+N195)*3%</f>
        <v>239.28</v>
      </c>
      <c r="R195" s="60">
        <f>(D195+E195+F195+G195+H195+I195+J195+K195+N195)*13%</f>
        <v>1036.8800000000001</v>
      </c>
      <c r="S195" s="60">
        <v>148.33000000000001</v>
      </c>
      <c r="T195" s="57">
        <v>0</v>
      </c>
      <c r="U195" s="5">
        <f t="shared" si="19"/>
        <v>1276.1600000000001</v>
      </c>
      <c r="V195" s="5">
        <f t="shared" si="15"/>
        <v>6949.84</v>
      </c>
      <c r="W195" s="23">
        <v>0</v>
      </c>
      <c r="X195" s="130"/>
      <c r="Y195" s="130"/>
      <c r="Z195" s="130"/>
    </row>
    <row r="196" spans="1:26" ht="33.950000000000003" customHeight="1" x14ac:dyDescent="0.2">
      <c r="A196" s="133">
        <v>187</v>
      </c>
      <c r="B196" s="60" t="s">
        <v>624</v>
      </c>
      <c r="C196" s="60" t="s">
        <v>1016</v>
      </c>
      <c r="D196" s="65">
        <v>2425</v>
      </c>
      <c r="E196" s="63">
        <v>0</v>
      </c>
      <c r="F196" s="63">
        <v>1818.75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57">
        <f t="shared" si="16"/>
        <v>4243.75</v>
      </c>
      <c r="Q196" s="60">
        <f>(D196+E196+F196+G196+H196+I196+J196+K196+N196)*3%</f>
        <v>127.31</v>
      </c>
      <c r="R196" s="60">
        <f>(D196+E196+F196+G196+H196+I196+J196+K196+N196)*13%</f>
        <v>551.69000000000005</v>
      </c>
      <c r="S196" s="60">
        <v>0</v>
      </c>
      <c r="T196" s="57">
        <v>0</v>
      </c>
      <c r="U196" s="5">
        <f t="shared" si="19"/>
        <v>679</v>
      </c>
      <c r="V196" s="5">
        <f t="shared" si="15"/>
        <v>3564.75</v>
      </c>
      <c r="W196" s="23">
        <v>0</v>
      </c>
      <c r="X196" s="130"/>
      <c r="Y196" s="130"/>
      <c r="Z196" s="130"/>
    </row>
    <row r="197" spans="1:26" ht="33.950000000000003" customHeight="1" x14ac:dyDescent="0.2">
      <c r="A197" s="133">
        <v>188</v>
      </c>
      <c r="B197" s="60" t="s">
        <v>625</v>
      </c>
      <c r="C197" s="60" t="s">
        <v>998</v>
      </c>
      <c r="D197" s="65">
        <v>1159</v>
      </c>
      <c r="E197" s="63">
        <v>550</v>
      </c>
      <c r="F197" s="63">
        <v>0</v>
      </c>
      <c r="G197" s="63">
        <v>1000</v>
      </c>
      <c r="H197" s="63">
        <v>0</v>
      </c>
      <c r="I197" s="63">
        <v>0</v>
      </c>
      <c r="J197" s="63">
        <v>0</v>
      </c>
      <c r="K197" s="63">
        <v>75</v>
      </c>
      <c r="L197" s="63">
        <v>200</v>
      </c>
      <c r="M197" s="63">
        <v>250</v>
      </c>
      <c r="N197" s="63">
        <v>0</v>
      </c>
      <c r="O197" s="63">
        <v>0</v>
      </c>
      <c r="P197" s="57">
        <f t="shared" si="16"/>
        <v>3234</v>
      </c>
      <c r="Q197" s="60">
        <f>(D197+E197+F197+G197+H197+I197+J197+K197+N197+L197)*3%</f>
        <v>89.52</v>
      </c>
      <c r="R197" s="60">
        <f>(D197+E197+F197+G197+H197+I197+J197+K197+N197+L197)*11%</f>
        <v>328.24</v>
      </c>
      <c r="S197" s="60">
        <v>0</v>
      </c>
      <c r="T197" s="57">
        <v>0</v>
      </c>
      <c r="U197" s="5">
        <f t="shared" si="19"/>
        <v>417.76</v>
      </c>
      <c r="V197" s="5">
        <f t="shared" si="15"/>
        <v>2816.24</v>
      </c>
      <c r="W197" s="23">
        <v>0</v>
      </c>
      <c r="X197" s="130"/>
      <c r="Y197" s="130"/>
      <c r="Z197" s="130"/>
    </row>
    <row r="198" spans="1:26" ht="33.950000000000003" customHeight="1" x14ac:dyDescent="0.2">
      <c r="A198" s="133">
        <v>189</v>
      </c>
      <c r="B198" s="60" t="s">
        <v>626</v>
      </c>
      <c r="C198" s="60" t="s">
        <v>1014</v>
      </c>
      <c r="D198" s="65">
        <v>1246</v>
      </c>
      <c r="E198" s="63">
        <v>500</v>
      </c>
      <c r="F198" s="63">
        <v>0</v>
      </c>
      <c r="G198" s="63">
        <v>1000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250</v>
      </c>
      <c r="N198" s="63">
        <v>0</v>
      </c>
      <c r="O198" s="63">
        <v>0</v>
      </c>
      <c r="P198" s="57">
        <f t="shared" si="16"/>
        <v>2996</v>
      </c>
      <c r="Q198" s="60">
        <f t="shared" ref="Q198:Q206" si="20">(D198+E198+F198+G198+H198+I198+J198+K198+N198)*3%</f>
        <v>82.38</v>
      </c>
      <c r="R198" s="60">
        <f>(D198+E198+F198+G198+H198+I198+J198+K198+N198)*11%</f>
        <v>302.06</v>
      </c>
      <c r="S198" s="60">
        <v>0</v>
      </c>
      <c r="T198" s="57">
        <v>0</v>
      </c>
      <c r="U198" s="5">
        <f t="shared" si="19"/>
        <v>384.44</v>
      </c>
      <c r="V198" s="5">
        <f t="shared" si="15"/>
        <v>2611.56</v>
      </c>
      <c r="W198" s="23">
        <v>0</v>
      </c>
      <c r="X198" s="130"/>
      <c r="Y198" s="130"/>
      <c r="Z198" s="130"/>
    </row>
    <row r="199" spans="1:26" ht="33.950000000000003" customHeight="1" x14ac:dyDescent="0.2">
      <c r="A199" s="133">
        <v>190</v>
      </c>
      <c r="B199" s="60" t="s">
        <v>627</v>
      </c>
      <c r="C199" s="60" t="s">
        <v>988</v>
      </c>
      <c r="D199" s="65">
        <v>1634</v>
      </c>
      <c r="E199" s="63">
        <v>2400</v>
      </c>
      <c r="F199" s="63">
        <v>0</v>
      </c>
      <c r="G199" s="63">
        <v>0</v>
      </c>
      <c r="H199" s="63">
        <v>3000</v>
      </c>
      <c r="I199" s="63">
        <v>2400</v>
      </c>
      <c r="J199" s="63">
        <v>0</v>
      </c>
      <c r="K199" s="63">
        <v>75</v>
      </c>
      <c r="L199" s="63">
        <v>0</v>
      </c>
      <c r="M199" s="63">
        <v>250</v>
      </c>
      <c r="N199" s="63">
        <v>0</v>
      </c>
      <c r="O199" s="63">
        <v>0</v>
      </c>
      <c r="P199" s="57">
        <f t="shared" si="16"/>
        <v>9759</v>
      </c>
      <c r="Q199" s="60">
        <f t="shared" si="20"/>
        <v>285.27</v>
      </c>
      <c r="R199" s="60">
        <f>(D199+E199+F199+G199+H199+I199+J199+K199+N199)*14%</f>
        <v>1331.26</v>
      </c>
      <c r="S199" s="60">
        <v>207.96</v>
      </c>
      <c r="T199" s="57">
        <v>0</v>
      </c>
      <c r="U199" s="5">
        <f t="shared" si="19"/>
        <v>1616.53</v>
      </c>
      <c r="V199" s="5">
        <f t="shared" si="15"/>
        <v>8142.47</v>
      </c>
      <c r="W199" s="23">
        <v>0</v>
      </c>
      <c r="X199" s="130"/>
      <c r="Y199" s="130"/>
      <c r="Z199" s="130"/>
    </row>
    <row r="200" spans="1:26" ht="33.950000000000003" customHeight="1" x14ac:dyDescent="0.2">
      <c r="A200" s="133">
        <v>191</v>
      </c>
      <c r="B200" s="60" t="s">
        <v>628</v>
      </c>
      <c r="C200" s="60" t="s">
        <v>510</v>
      </c>
      <c r="D200" s="65">
        <v>2425</v>
      </c>
      <c r="E200" s="63">
        <v>0</v>
      </c>
      <c r="F200" s="63">
        <v>3031.25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57">
        <f t="shared" si="16"/>
        <v>5456.25</v>
      </c>
      <c r="Q200" s="60">
        <f t="shared" si="20"/>
        <v>163.69</v>
      </c>
      <c r="R200" s="60">
        <f>(D200+E200+F200+G200+H200+I200+J200+K200+N200)*12%</f>
        <v>654.75</v>
      </c>
      <c r="S200" s="60">
        <v>32.75</v>
      </c>
      <c r="T200" s="57">
        <v>0</v>
      </c>
      <c r="U200" s="5">
        <f t="shared" si="19"/>
        <v>818.44</v>
      </c>
      <c r="V200" s="5">
        <f t="shared" si="15"/>
        <v>4637.8100000000004</v>
      </c>
      <c r="W200" s="23">
        <v>0</v>
      </c>
      <c r="X200" s="130"/>
      <c r="Y200" s="130"/>
      <c r="Z200" s="130"/>
    </row>
    <row r="201" spans="1:26" ht="33.950000000000003" customHeight="1" x14ac:dyDescent="0.2">
      <c r="A201" s="133">
        <v>192</v>
      </c>
      <c r="B201" s="60" t="s">
        <v>762</v>
      </c>
      <c r="C201" s="60" t="s">
        <v>24</v>
      </c>
      <c r="D201" s="65">
        <v>1074</v>
      </c>
      <c r="E201" s="63">
        <v>0</v>
      </c>
      <c r="F201" s="63">
        <v>0</v>
      </c>
      <c r="G201" s="63">
        <v>1000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250</v>
      </c>
      <c r="N201" s="63">
        <v>0</v>
      </c>
      <c r="O201" s="63">
        <v>0</v>
      </c>
      <c r="P201" s="57">
        <f t="shared" ref="P201:P263" si="21">SUM(D201:N201)</f>
        <v>2324</v>
      </c>
      <c r="Q201" s="60">
        <f t="shared" si="20"/>
        <v>62.22</v>
      </c>
      <c r="R201" s="60">
        <f>(D201+E201+F201+G201+H201+I201+J201+K201+N201)*11%</f>
        <v>228.14</v>
      </c>
      <c r="S201" s="60">
        <v>0</v>
      </c>
      <c r="T201" s="57">
        <v>0</v>
      </c>
      <c r="U201" s="5">
        <f t="shared" si="19"/>
        <v>290.36</v>
      </c>
      <c r="V201" s="5">
        <f t="shared" ref="V201:V263" si="22">P201-U201</f>
        <v>2033.64</v>
      </c>
      <c r="W201" s="23">
        <v>0</v>
      </c>
      <c r="X201" s="130"/>
      <c r="Y201" s="130"/>
      <c r="Z201" s="130"/>
    </row>
    <row r="202" spans="1:26" ht="33.950000000000003" customHeight="1" x14ac:dyDescent="0.2">
      <c r="A202" s="133">
        <v>193</v>
      </c>
      <c r="B202" s="60" t="s">
        <v>629</v>
      </c>
      <c r="C202" s="60" t="s">
        <v>904</v>
      </c>
      <c r="D202" s="65">
        <v>1476</v>
      </c>
      <c r="E202" s="63">
        <v>2000</v>
      </c>
      <c r="F202" s="63">
        <v>0</v>
      </c>
      <c r="G202" s="63">
        <v>1900</v>
      </c>
      <c r="H202" s="63">
        <v>0</v>
      </c>
      <c r="I202" s="63">
        <v>2600</v>
      </c>
      <c r="J202" s="63">
        <v>0</v>
      </c>
      <c r="K202" s="63">
        <v>0</v>
      </c>
      <c r="L202" s="63">
        <v>0</v>
      </c>
      <c r="M202" s="63">
        <v>250</v>
      </c>
      <c r="N202" s="63">
        <v>0</v>
      </c>
      <c r="O202" s="63">
        <v>0</v>
      </c>
      <c r="P202" s="57">
        <f t="shared" si="21"/>
        <v>8226</v>
      </c>
      <c r="Q202" s="60">
        <f t="shared" si="20"/>
        <v>239.28</v>
      </c>
      <c r="R202" s="60">
        <f>(D202+E202+F202+G202+H202+I202+J202+K202+N202)*13%</f>
        <v>1036.8800000000001</v>
      </c>
      <c r="S202" s="60">
        <v>148.33000000000001</v>
      </c>
      <c r="T202" s="57">
        <v>0</v>
      </c>
      <c r="U202" s="5">
        <f t="shared" si="19"/>
        <v>1276.1600000000001</v>
      </c>
      <c r="V202" s="5">
        <f t="shared" si="22"/>
        <v>6949.84</v>
      </c>
      <c r="W202" s="23">
        <v>0</v>
      </c>
      <c r="X202" s="130"/>
      <c r="Y202" s="130"/>
      <c r="Z202" s="130"/>
    </row>
    <row r="203" spans="1:26" ht="33.950000000000003" customHeight="1" x14ac:dyDescent="0.2">
      <c r="A203" s="133">
        <v>194</v>
      </c>
      <c r="B203" s="60" t="s">
        <v>630</v>
      </c>
      <c r="C203" s="60" t="s">
        <v>447</v>
      </c>
      <c r="D203" s="65">
        <v>1350</v>
      </c>
      <c r="E203" s="63">
        <v>2000</v>
      </c>
      <c r="F203" s="63">
        <v>0</v>
      </c>
      <c r="G203" s="63">
        <v>0</v>
      </c>
      <c r="H203" s="63">
        <v>0</v>
      </c>
      <c r="I203" s="63">
        <v>4500</v>
      </c>
      <c r="J203" s="63">
        <v>0</v>
      </c>
      <c r="K203" s="63">
        <v>75</v>
      </c>
      <c r="L203" s="63">
        <v>0</v>
      </c>
      <c r="M203" s="63">
        <v>250</v>
      </c>
      <c r="N203" s="63">
        <v>0</v>
      </c>
      <c r="O203" s="63">
        <v>0</v>
      </c>
      <c r="P203" s="57">
        <f t="shared" si="21"/>
        <v>8175</v>
      </c>
      <c r="Q203" s="60">
        <f t="shared" si="20"/>
        <v>237.75</v>
      </c>
      <c r="R203" s="60">
        <f>(D203+E203+F203+G203+H203+I203+J203+K203+N203)*13%</f>
        <v>1030.25</v>
      </c>
      <c r="S203" s="60">
        <v>146.18</v>
      </c>
      <c r="T203" s="57">
        <v>0</v>
      </c>
      <c r="U203" s="5">
        <f t="shared" si="19"/>
        <v>1268</v>
      </c>
      <c r="V203" s="5">
        <f t="shared" si="22"/>
        <v>6907</v>
      </c>
      <c r="W203" s="23">
        <v>0</v>
      </c>
      <c r="X203" s="130"/>
      <c r="Y203" s="130"/>
      <c r="Z203" s="130"/>
    </row>
    <row r="204" spans="1:26" ht="33.950000000000003" customHeight="1" x14ac:dyDescent="0.2">
      <c r="A204" s="133">
        <v>195</v>
      </c>
      <c r="B204" s="60" t="s">
        <v>631</v>
      </c>
      <c r="C204" s="60" t="s">
        <v>619</v>
      </c>
      <c r="D204" s="65">
        <v>1350</v>
      </c>
      <c r="E204" s="63">
        <v>2000</v>
      </c>
      <c r="F204" s="63">
        <v>0</v>
      </c>
      <c r="G204" s="63">
        <v>0</v>
      </c>
      <c r="H204" s="63">
        <v>1600</v>
      </c>
      <c r="I204" s="63">
        <v>2900</v>
      </c>
      <c r="J204" s="63">
        <v>0</v>
      </c>
      <c r="K204" s="63">
        <v>0</v>
      </c>
      <c r="L204" s="63">
        <v>0</v>
      </c>
      <c r="M204" s="63">
        <v>250</v>
      </c>
      <c r="N204" s="63">
        <v>0</v>
      </c>
      <c r="O204" s="63">
        <v>0</v>
      </c>
      <c r="P204" s="57">
        <f t="shared" si="21"/>
        <v>8100</v>
      </c>
      <c r="Q204" s="60">
        <f t="shared" si="20"/>
        <v>235.5</v>
      </c>
      <c r="R204" s="60">
        <f>(D204+E204+F204+G204+H204+I204+J204+K204+N204)*13%</f>
        <v>1020.5</v>
      </c>
      <c r="S204" s="60">
        <v>143.03</v>
      </c>
      <c r="T204" s="57">
        <v>0</v>
      </c>
      <c r="U204" s="5">
        <f t="shared" si="19"/>
        <v>1256</v>
      </c>
      <c r="V204" s="5">
        <f t="shared" si="22"/>
        <v>6844</v>
      </c>
      <c r="W204" s="23">
        <v>0</v>
      </c>
      <c r="X204" s="130"/>
      <c r="Y204" s="130"/>
      <c r="Z204" s="130"/>
    </row>
    <row r="205" spans="1:26" ht="33.950000000000003" customHeight="1" x14ac:dyDescent="0.2">
      <c r="A205" s="133">
        <v>196</v>
      </c>
      <c r="B205" s="60" t="s">
        <v>632</v>
      </c>
      <c r="C205" s="60" t="s">
        <v>491</v>
      </c>
      <c r="D205" s="65">
        <v>1223</v>
      </c>
      <c r="E205" s="60">
        <f>2000</f>
        <v>2000</v>
      </c>
      <c r="F205" s="63">
        <v>0</v>
      </c>
      <c r="G205" s="63">
        <v>0</v>
      </c>
      <c r="H205" s="63">
        <v>1300</v>
      </c>
      <c r="I205" s="63">
        <f>3200</f>
        <v>3200</v>
      </c>
      <c r="J205" s="63">
        <v>0</v>
      </c>
      <c r="K205" s="63">
        <v>50</v>
      </c>
      <c r="L205" s="63">
        <v>0</v>
      </c>
      <c r="M205" s="63">
        <v>250</v>
      </c>
      <c r="N205" s="63">
        <v>0</v>
      </c>
      <c r="O205" s="63">
        <v>0</v>
      </c>
      <c r="P205" s="57">
        <f t="shared" si="21"/>
        <v>8023</v>
      </c>
      <c r="Q205" s="60">
        <f t="shared" si="20"/>
        <v>233.19</v>
      </c>
      <c r="R205" s="60">
        <f>(D205+E205+F205+G205+H205+I205+J205+K205+N205)*13%</f>
        <v>1010.49</v>
      </c>
      <c r="S205" s="60">
        <v>139.80000000000001</v>
      </c>
      <c r="T205" s="57">
        <v>0</v>
      </c>
      <c r="U205" s="5">
        <f t="shared" si="19"/>
        <v>1243.68</v>
      </c>
      <c r="V205" s="5">
        <f t="shared" si="22"/>
        <v>6779.32</v>
      </c>
      <c r="W205" s="23">
        <v>0</v>
      </c>
      <c r="X205" s="130"/>
      <c r="Y205" s="130"/>
      <c r="Z205" s="130"/>
    </row>
    <row r="206" spans="1:26" ht="47.25" customHeight="1" x14ac:dyDescent="0.2">
      <c r="A206" s="133">
        <v>197</v>
      </c>
      <c r="B206" s="60" t="s">
        <v>633</v>
      </c>
      <c r="C206" s="60" t="s">
        <v>975</v>
      </c>
      <c r="D206" s="65">
        <v>485</v>
      </c>
      <c r="E206" s="63">
        <v>0</v>
      </c>
      <c r="F206" s="63">
        <v>485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57">
        <f t="shared" si="21"/>
        <v>970</v>
      </c>
      <c r="Q206" s="60">
        <f t="shared" si="20"/>
        <v>29.1</v>
      </c>
      <c r="R206" s="60">
        <f>(D206+E206+F206+G206+H206+I206+J206+K206+N206)*10%</f>
        <v>97</v>
      </c>
      <c r="S206" s="60">
        <v>0</v>
      </c>
      <c r="T206" s="57">
        <v>0</v>
      </c>
      <c r="U206" s="5">
        <f t="shared" si="19"/>
        <v>126.1</v>
      </c>
      <c r="V206" s="5">
        <f t="shared" si="22"/>
        <v>843.9</v>
      </c>
      <c r="W206" s="23">
        <v>0</v>
      </c>
      <c r="X206" s="130"/>
      <c r="Y206" s="130"/>
      <c r="Z206" s="130"/>
    </row>
    <row r="207" spans="1:26" ht="33.950000000000003" customHeight="1" x14ac:dyDescent="0.2">
      <c r="A207" s="133">
        <v>198</v>
      </c>
      <c r="B207" s="60" t="s">
        <v>634</v>
      </c>
      <c r="C207" s="60" t="s">
        <v>445</v>
      </c>
      <c r="D207" s="65">
        <v>1074</v>
      </c>
      <c r="E207" s="63">
        <v>400</v>
      </c>
      <c r="F207" s="63">
        <v>0</v>
      </c>
      <c r="G207" s="63">
        <v>1000</v>
      </c>
      <c r="H207" s="63">
        <v>0</v>
      </c>
      <c r="I207" s="63">
        <v>0</v>
      </c>
      <c r="J207" s="63">
        <v>0</v>
      </c>
      <c r="K207" s="63">
        <v>0</v>
      </c>
      <c r="L207" s="63">
        <v>200</v>
      </c>
      <c r="M207" s="63">
        <v>250</v>
      </c>
      <c r="N207" s="63">
        <v>0</v>
      </c>
      <c r="O207" s="63">
        <v>0</v>
      </c>
      <c r="P207" s="57">
        <f t="shared" si="21"/>
        <v>2924</v>
      </c>
      <c r="Q207" s="60">
        <f>(D207+E207+F207+G207+H207+I207+J207+K207+N207+L207)*3%</f>
        <v>80.22</v>
      </c>
      <c r="R207" s="60">
        <f>(D207+E207+F207+G207+H207+I207+J207+K207+N207+L207)*11%</f>
        <v>294.14</v>
      </c>
      <c r="S207" s="60">
        <v>0</v>
      </c>
      <c r="T207" s="57">
        <v>0</v>
      </c>
      <c r="U207" s="5">
        <f t="shared" si="19"/>
        <v>374.36</v>
      </c>
      <c r="V207" s="5">
        <f t="shared" si="22"/>
        <v>2549.64</v>
      </c>
      <c r="W207" s="23">
        <v>0</v>
      </c>
      <c r="X207" s="130"/>
      <c r="Y207" s="130"/>
      <c r="Z207" s="130"/>
    </row>
    <row r="208" spans="1:26" ht="33.950000000000003" customHeight="1" x14ac:dyDescent="0.2">
      <c r="A208" s="133">
        <v>199</v>
      </c>
      <c r="B208" s="60" t="s">
        <v>635</v>
      </c>
      <c r="C208" s="60" t="s">
        <v>447</v>
      </c>
      <c r="D208" s="65">
        <v>1350</v>
      </c>
      <c r="E208" s="63">
        <v>2000</v>
      </c>
      <c r="F208" s="63">
        <v>0</v>
      </c>
      <c r="G208" s="63">
        <v>0</v>
      </c>
      <c r="H208" s="63">
        <v>0</v>
      </c>
      <c r="I208" s="63">
        <v>4500</v>
      </c>
      <c r="J208" s="63">
        <v>0</v>
      </c>
      <c r="K208" s="63">
        <v>0</v>
      </c>
      <c r="L208" s="63">
        <v>0</v>
      </c>
      <c r="M208" s="63">
        <v>250</v>
      </c>
      <c r="N208" s="63">
        <v>0</v>
      </c>
      <c r="O208" s="63">
        <v>0</v>
      </c>
      <c r="P208" s="57">
        <f t="shared" si="21"/>
        <v>8100</v>
      </c>
      <c r="Q208" s="60">
        <f>(D208+E208+F208+G208+H208+I208+J208+K208+N208)*3%</f>
        <v>235.5</v>
      </c>
      <c r="R208" s="60">
        <f>(D208+E208+F208+G208+H208+I208+J208+K208+N208)*13%</f>
        <v>1020.5</v>
      </c>
      <c r="S208" s="60">
        <v>143.03</v>
      </c>
      <c r="T208" s="57">
        <v>0</v>
      </c>
      <c r="U208" s="5">
        <f t="shared" si="19"/>
        <v>1256</v>
      </c>
      <c r="V208" s="5">
        <f t="shared" si="22"/>
        <v>6844</v>
      </c>
      <c r="W208" s="23">
        <v>0</v>
      </c>
      <c r="X208" s="130"/>
      <c r="Y208" s="130"/>
      <c r="Z208" s="130"/>
    </row>
    <row r="209" spans="1:26" ht="33.950000000000003" customHeight="1" x14ac:dyDescent="0.2">
      <c r="A209" s="133">
        <v>200</v>
      </c>
      <c r="B209" s="60" t="s">
        <v>636</v>
      </c>
      <c r="C209" s="60" t="s">
        <v>619</v>
      </c>
      <c r="D209" s="65">
        <v>1350</v>
      </c>
      <c r="E209" s="63">
        <v>2000</v>
      </c>
      <c r="F209" s="63">
        <v>0</v>
      </c>
      <c r="G209" s="63">
        <v>0</v>
      </c>
      <c r="H209" s="63">
        <v>1600</v>
      </c>
      <c r="I209" s="63">
        <v>2900</v>
      </c>
      <c r="J209" s="63">
        <v>0</v>
      </c>
      <c r="K209" s="63">
        <v>75</v>
      </c>
      <c r="L209" s="63">
        <v>0</v>
      </c>
      <c r="M209" s="63">
        <v>250</v>
      </c>
      <c r="N209" s="63">
        <v>0</v>
      </c>
      <c r="O209" s="63">
        <v>0</v>
      </c>
      <c r="P209" s="57">
        <f t="shared" si="21"/>
        <v>8175</v>
      </c>
      <c r="Q209" s="60">
        <f>(D209+E209+F209+G209+H209+I209+J209+K209+N209)*3%</f>
        <v>237.75</v>
      </c>
      <c r="R209" s="60">
        <f>(D209+E209+F209+G209+H209+I209+J209+K209+N209)*13%</f>
        <v>1030.25</v>
      </c>
      <c r="S209" s="60">
        <v>146.18</v>
      </c>
      <c r="T209" s="57">
        <v>0</v>
      </c>
      <c r="U209" s="5">
        <f t="shared" si="19"/>
        <v>1268</v>
      </c>
      <c r="V209" s="5">
        <f t="shared" si="22"/>
        <v>6907</v>
      </c>
      <c r="W209" s="23">
        <v>0</v>
      </c>
      <c r="X209" s="130"/>
      <c r="Y209" s="130"/>
      <c r="Z209" s="130"/>
    </row>
    <row r="210" spans="1:26" ht="33.950000000000003" customHeight="1" x14ac:dyDescent="0.2">
      <c r="A210" s="133">
        <v>201</v>
      </c>
      <c r="B210" s="60" t="s">
        <v>637</v>
      </c>
      <c r="C210" s="60" t="s">
        <v>904</v>
      </c>
      <c r="D210" s="65">
        <v>1476</v>
      </c>
      <c r="E210" s="63">
        <v>2000</v>
      </c>
      <c r="F210" s="63">
        <v>0</v>
      </c>
      <c r="G210" s="63">
        <v>1900</v>
      </c>
      <c r="H210" s="63">
        <v>0</v>
      </c>
      <c r="I210" s="63">
        <v>2600</v>
      </c>
      <c r="J210" s="63">
        <v>0</v>
      </c>
      <c r="K210" s="63">
        <v>50</v>
      </c>
      <c r="L210" s="63">
        <v>0</v>
      </c>
      <c r="M210" s="63">
        <v>250</v>
      </c>
      <c r="N210" s="63">
        <v>0</v>
      </c>
      <c r="O210" s="63">
        <v>0</v>
      </c>
      <c r="P210" s="57">
        <f t="shared" si="21"/>
        <v>8276</v>
      </c>
      <c r="Q210" s="60">
        <f>(D210+E210+F210+G210+H210+I210+J210+K210+N210)*3%</f>
        <v>240.78</v>
      </c>
      <c r="R210" s="60">
        <f>(D210+E210+F210+G210+H210+I210+J210+K210+N210)*14%</f>
        <v>1123.6400000000001</v>
      </c>
      <c r="S210" s="60">
        <v>146.41</v>
      </c>
      <c r="T210" s="57">
        <v>0</v>
      </c>
      <c r="U210" s="5">
        <f t="shared" si="19"/>
        <v>1364.42</v>
      </c>
      <c r="V210" s="5">
        <f t="shared" si="22"/>
        <v>6911.58</v>
      </c>
      <c r="W210" s="23">
        <v>0</v>
      </c>
      <c r="X210" s="130"/>
      <c r="Y210" s="130"/>
      <c r="Z210" s="130"/>
    </row>
    <row r="211" spans="1:26" ht="33.950000000000003" customHeight="1" x14ac:dyDescent="0.2">
      <c r="A211" s="133">
        <v>202</v>
      </c>
      <c r="B211" s="60" t="s">
        <v>638</v>
      </c>
      <c r="C211" s="60" t="s">
        <v>585</v>
      </c>
      <c r="D211" s="65">
        <v>1039</v>
      </c>
      <c r="E211" s="63">
        <v>400</v>
      </c>
      <c r="F211" s="63">
        <v>0</v>
      </c>
      <c r="G211" s="63">
        <v>1000</v>
      </c>
      <c r="H211" s="63">
        <v>0</v>
      </c>
      <c r="I211" s="63">
        <v>0</v>
      </c>
      <c r="J211" s="63">
        <v>0</v>
      </c>
      <c r="K211" s="63">
        <v>50</v>
      </c>
      <c r="L211" s="63">
        <v>200</v>
      </c>
      <c r="M211" s="63">
        <v>250</v>
      </c>
      <c r="N211" s="63">
        <v>0</v>
      </c>
      <c r="O211" s="63">
        <v>0</v>
      </c>
      <c r="P211" s="57">
        <f t="shared" si="21"/>
        <v>2939</v>
      </c>
      <c r="Q211" s="60">
        <f>(D211+E211+F211+G211+H211+I211+J211+K211+N211+L211)*3%</f>
        <v>80.67</v>
      </c>
      <c r="R211" s="60">
        <f>(D211+E211+F211+G211+H211+I211+J211+K211+N211+L211)*11%</f>
        <v>295.79000000000002</v>
      </c>
      <c r="S211" s="60">
        <v>0</v>
      </c>
      <c r="T211" s="57">
        <v>0</v>
      </c>
      <c r="U211" s="5">
        <f t="shared" si="19"/>
        <v>376.46</v>
      </c>
      <c r="V211" s="5">
        <f t="shared" si="22"/>
        <v>2562.54</v>
      </c>
      <c r="W211" s="23">
        <v>0</v>
      </c>
      <c r="X211" s="130"/>
      <c r="Y211" s="130"/>
      <c r="Z211" s="130"/>
    </row>
    <row r="212" spans="1:26" ht="33.950000000000003" customHeight="1" x14ac:dyDescent="0.2">
      <c r="A212" s="133">
        <v>203</v>
      </c>
      <c r="B212" s="69" t="s">
        <v>639</v>
      </c>
      <c r="C212" s="60" t="s">
        <v>1016</v>
      </c>
      <c r="D212" s="63">
        <v>2425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57">
        <f t="shared" si="21"/>
        <v>2425</v>
      </c>
      <c r="Q212" s="60">
        <f t="shared" ref="Q212:Q227" si="23">(D212+E212+F212+G212+H212+I212+J212+K212+N212)*3%</f>
        <v>72.75</v>
      </c>
      <c r="R212" s="60">
        <f>(D212+E212+F212+G212+H212+I212+J212+K212+N212)*11%</f>
        <v>266.75</v>
      </c>
      <c r="S212" s="60">
        <v>0</v>
      </c>
      <c r="T212" s="57">
        <v>0</v>
      </c>
      <c r="U212" s="5">
        <f t="shared" si="19"/>
        <v>339.5</v>
      </c>
      <c r="V212" s="5">
        <f t="shared" si="22"/>
        <v>2085.5</v>
      </c>
      <c r="W212" s="23">
        <v>0</v>
      </c>
      <c r="X212" s="130"/>
      <c r="Y212" s="130"/>
      <c r="Z212" s="130"/>
    </row>
    <row r="213" spans="1:26" ht="33.950000000000003" customHeight="1" x14ac:dyDescent="0.2">
      <c r="A213" s="133">
        <v>204</v>
      </c>
      <c r="B213" s="69" t="s">
        <v>640</v>
      </c>
      <c r="C213" s="60" t="s">
        <v>970</v>
      </c>
      <c r="D213" s="63">
        <v>2425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57">
        <f t="shared" si="21"/>
        <v>2425</v>
      </c>
      <c r="Q213" s="60">
        <f t="shared" si="23"/>
        <v>72.75</v>
      </c>
      <c r="R213" s="60">
        <f>(D213+E213+F213+G213+H213+I213+J213+K213+N213)*11%</f>
        <v>266.75</v>
      </c>
      <c r="S213" s="60">
        <v>0</v>
      </c>
      <c r="T213" s="57">
        <v>0</v>
      </c>
      <c r="U213" s="5">
        <f t="shared" si="19"/>
        <v>339.5</v>
      </c>
      <c r="V213" s="5">
        <f t="shared" si="22"/>
        <v>2085.5</v>
      </c>
      <c r="W213" s="23">
        <v>0</v>
      </c>
      <c r="X213" s="130"/>
      <c r="Y213" s="130"/>
      <c r="Z213" s="130"/>
    </row>
    <row r="214" spans="1:26" ht="33.950000000000003" customHeight="1" x14ac:dyDescent="0.2">
      <c r="A214" s="133">
        <v>205</v>
      </c>
      <c r="B214" s="60" t="s">
        <v>641</v>
      </c>
      <c r="C214" s="60" t="s">
        <v>904</v>
      </c>
      <c r="D214" s="65">
        <v>1476</v>
      </c>
      <c r="E214" s="63">
        <v>2000</v>
      </c>
      <c r="F214" s="63">
        <v>0</v>
      </c>
      <c r="G214" s="63">
        <v>0</v>
      </c>
      <c r="H214" s="63">
        <v>1900</v>
      </c>
      <c r="I214" s="63">
        <v>2600</v>
      </c>
      <c r="J214" s="63">
        <v>0</v>
      </c>
      <c r="K214" s="63">
        <v>35</v>
      </c>
      <c r="L214" s="63">
        <v>0</v>
      </c>
      <c r="M214" s="63">
        <v>250</v>
      </c>
      <c r="N214" s="63">
        <v>0</v>
      </c>
      <c r="O214" s="63">
        <v>0</v>
      </c>
      <c r="P214" s="57">
        <f t="shared" si="21"/>
        <v>8261</v>
      </c>
      <c r="Q214" s="60">
        <f t="shared" si="23"/>
        <v>240.33</v>
      </c>
      <c r="R214" s="60">
        <f>(D214+E214+F214+G214+H214+I214+J214+K214+N214)*14%</f>
        <v>1121.54</v>
      </c>
      <c r="S214" s="60">
        <v>145.79</v>
      </c>
      <c r="T214" s="57">
        <v>0</v>
      </c>
      <c r="U214" s="5">
        <f t="shared" si="19"/>
        <v>1361.87</v>
      </c>
      <c r="V214" s="5">
        <f t="shared" si="22"/>
        <v>6899.13</v>
      </c>
      <c r="W214" s="23">
        <v>0</v>
      </c>
      <c r="X214" s="130"/>
      <c r="Y214" s="130"/>
      <c r="Z214" s="130"/>
    </row>
    <row r="215" spans="1:26" ht="33.950000000000003" customHeight="1" x14ac:dyDescent="0.2">
      <c r="A215" s="133">
        <v>206</v>
      </c>
      <c r="B215" s="60" t="s">
        <v>642</v>
      </c>
      <c r="C215" s="64" t="s">
        <v>447</v>
      </c>
      <c r="D215" s="65">
        <v>1350</v>
      </c>
      <c r="E215" s="63">
        <v>2000</v>
      </c>
      <c r="F215" s="63">
        <v>0</v>
      </c>
      <c r="G215" s="63">
        <v>0</v>
      </c>
      <c r="H215" s="63">
        <v>1600</v>
      </c>
      <c r="I215" s="63">
        <v>2900</v>
      </c>
      <c r="J215" s="63">
        <v>0</v>
      </c>
      <c r="K215" s="63">
        <v>75</v>
      </c>
      <c r="L215" s="63">
        <v>0</v>
      </c>
      <c r="M215" s="63">
        <v>250</v>
      </c>
      <c r="N215" s="63">
        <v>0</v>
      </c>
      <c r="O215" s="63">
        <v>0</v>
      </c>
      <c r="P215" s="57">
        <f t="shared" si="21"/>
        <v>8175</v>
      </c>
      <c r="Q215" s="60">
        <f t="shared" si="23"/>
        <v>237.75</v>
      </c>
      <c r="R215" s="60">
        <f>(D215+E215+F215+G215+H215+I215+J215+K215+N215)*13%</f>
        <v>1030.25</v>
      </c>
      <c r="S215" s="60">
        <v>146.18</v>
      </c>
      <c r="T215" s="57">
        <v>0</v>
      </c>
      <c r="U215" s="5">
        <f t="shared" si="19"/>
        <v>1268</v>
      </c>
      <c r="V215" s="5">
        <f t="shared" si="22"/>
        <v>6907</v>
      </c>
      <c r="W215" s="23">
        <f>506</f>
        <v>506</v>
      </c>
      <c r="X215" s="130"/>
      <c r="Y215" s="130"/>
      <c r="Z215" s="130"/>
    </row>
    <row r="216" spans="1:26" ht="33.950000000000003" customHeight="1" x14ac:dyDescent="0.2">
      <c r="A216" s="133">
        <v>207</v>
      </c>
      <c r="B216" s="60" t="s">
        <v>643</v>
      </c>
      <c r="C216" s="60" t="s">
        <v>619</v>
      </c>
      <c r="D216" s="65">
        <v>1350</v>
      </c>
      <c r="E216" s="63">
        <v>2000</v>
      </c>
      <c r="F216" s="63">
        <v>0</v>
      </c>
      <c r="G216" s="63">
        <v>1600</v>
      </c>
      <c r="H216" s="63">
        <v>0</v>
      </c>
      <c r="I216" s="63">
        <v>2900</v>
      </c>
      <c r="J216" s="63">
        <v>0</v>
      </c>
      <c r="K216" s="63">
        <v>35</v>
      </c>
      <c r="L216" s="63">
        <v>0</v>
      </c>
      <c r="M216" s="63">
        <v>250</v>
      </c>
      <c r="N216" s="63">
        <v>0</v>
      </c>
      <c r="O216" s="63">
        <v>0</v>
      </c>
      <c r="P216" s="57">
        <f t="shared" si="21"/>
        <v>8135</v>
      </c>
      <c r="Q216" s="60">
        <f t="shared" si="23"/>
        <v>236.55</v>
      </c>
      <c r="R216" s="60">
        <f>(D216+E216+F216+G216+H216+I216+J216+K216+N216)*13%</f>
        <v>1025.05</v>
      </c>
      <c r="S216" s="60">
        <v>144.5</v>
      </c>
      <c r="T216" s="57">
        <v>0</v>
      </c>
      <c r="U216" s="5">
        <f t="shared" si="19"/>
        <v>1261.5999999999999</v>
      </c>
      <c r="V216" s="5">
        <f t="shared" si="22"/>
        <v>6873.4</v>
      </c>
      <c r="W216" s="23">
        <v>0</v>
      </c>
      <c r="X216" s="130"/>
      <c r="Y216" s="130"/>
      <c r="Z216" s="130"/>
    </row>
    <row r="217" spans="1:26" ht="42" customHeight="1" x14ac:dyDescent="0.2">
      <c r="A217" s="133">
        <v>208</v>
      </c>
      <c r="B217" s="64" t="s">
        <v>644</v>
      </c>
      <c r="C217" s="64" t="s">
        <v>978</v>
      </c>
      <c r="D217" s="63">
        <v>485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57">
        <f t="shared" si="21"/>
        <v>485</v>
      </c>
      <c r="Q217" s="60">
        <f t="shared" si="23"/>
        <v>14.55</v>
      </c>
      <c r="R217" s="60">
        <f>(D217+E217+F217+G217+H217+I217+J217+K217+N217)*10%</f>
        <v>48.5</v>
      </c>
      <c r="S217" s="60">
        <v>0</v>
      </c>
      <c r="T217" s="57">
        <v>0</v>
      </c>
      <c r="U217" s="5">
        <f t="shared" si="19"/>
        <v>63.05</v>
      </c>
      <c r="V217" s="5">
        <f t="shared" si="22"/>
        <v>421.95</v>
      </c>
      <c r="W217" s="23">
        <v>0</v>
      </c>
      <c r="X217" s="130"/>
      <c r="Y217" s="130"/>
      <c r="Z217" s="130"/>
    </row>
    <row r="218" spans="1:26" ht="33.950000000000003" customHeight="1" x14ac:dyDescent="0.2">
      <c r="A218" s="133">
        <v>209</v>
      </c>
      <c r="B218" s="66" t="s">
        <v>749</v>
      </c>
      <c r="C218" s="67" t="s">
        <v>1006</v>
      </c>
      <c r="D218" s="63">
        <v>1960</v>
      </c>
      <c r="E218" s="63">
        <v>0</v>
      </c>
      <c r="F218" s="63">
        <v>0</v>
      </c>
      <c r="G218" s="63">
        <v>1000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250</v>
      </c>
      <c r="N218" s="63"/>
      <c r="O218" s="63">
        <v>0</v>
      </c>
      <c r="P218" s="57">
        <f t="shared" si="21"/>
        <v>3210</v>
      </c>
      <c r="Q218" s="60">
        <f t="shared" si="23"/>
        <v>88.8</v>
      </c>
      <c r="R218" s="60">
        <f>(D218+E218+F218+G218+H218+I218+J218+K218+N218)*11%</f>
        <v>325.60000000000002</v>
      </c>
      <c r="S218" s="60">
        <v>0</v>
      </c>
      <c r="T218" s="57">
        <v>0</v>
      </c>
      <c r="U218" s="5">
        <f t="shared" si="19"/>
        <v>414.4</v>
      </c>
      <c r="V218" s="5">
        <f t="shared" si="22"/>
        <v>2795.6</v>
      </c>
      <c r="W218" s="23">
        <v>0</v>
      </c>
      <c r="X218" s="130"/>
      <c r="Y218" s="130"/>
      <c r="Z218" s="130"/>
    </row>
    <row r="219" spans="1:26" ht="33.950000000000003" customHeight="1" x14ac:dyDescent="0.2">
      <c r="A219" s="133">
        <v>210</v>
      </c>
      <c r="B219" s="60" t="s">
        <v>645</v>
      </c>
      <c r="C219" s="60" t="s">
        <v>619</v>
      </c>
      <c r="D219" s="65">
        <v>1350</v>
      </c>
      <c r="E219" s="63">
        <v>1500</v>
      </c>
      <c r="F219" s="63">
        <v>0</v>
      </c>
      <c r="G219" s="63">
        <v>0</v>
      </c>
      <c r="H219" s="63">
        <v>1600</v>
      </c>
      <c r="I219" s="63">
        <v>0</v>
      </c>
      <c r="J219" s="63">
        <v>0</v>
      </c>
      <c r="K219" s="63">
        <v>75</v>
      </c>
      <c r="L219" s="63">
        <v>0</v>
      </c>
      <c r="M219" s="63">
        <v>250</v>
      </c>
      <c r="N219" s="63">
        <v>0</v>
      </c>
      <c r="O219" s="63">
        <v>0</v>
      </c>
      <c r="P219" s="57">
        <f t="shared" si="21"/>
        <v>4775</v>
      </c>
      <c r="Q219" s="60">
        <f t="shared" si="23"/>
        <v>135.75</v>
      </c>
      <c r="R219" s="60">
        <f>(D219+E219+F219+G219+H219+I219+J219+K219+N219)*12%</f>
        <v>543</v>
      </c>
      <c r="S219" s="60">
        <v>5.65</v>
      </c>
      <c r="T219" s="57">
        <v>0</v>
      </c>
      <c r="U219" s="5">
        <f t="shared" si="19"/>
        <v>678.75</v>
      </c>
      <c r="V219" s="5">
        <f t="shared" si="22"/>
        <v>4096.25</v>
      </c>
      <c r="W219" s="23">
        <f>410</f>
        <v>410</v>
      </c>
      <c r="X219" s="130"/>
      <c r="Y219" s="130"/>
      <c r="Z219" s="130"/>
    </row>
    <row r="220" spans="1:26" ht="33.950000000000003" customHeight="1" x14ac:dyDescent="0.2">
      <c r="A220" s="133">
        <v>211</v>
      </c>
      <c r="B220" s="60" t="s">
        <v>646</v>
      </c>
      <c r="C220" s="60" t="s">
        <v>744</v>
      </c>
      <c r="D220" s="65">
        <v>1476</v>
      </c>
      <c r="E220" s="63">
        <v>2000</v>
      </c>
      <c r="F220" s="63">
        <v>0</v>
      </c>
      <c r="G220" s="63">
        <v>0</v>
      </c>
      <c r="H220" s="63">
        <v>1900</v>
      </c>
      <c r="I220" s="63">
        <v>2600</v>
      </c>
      <c r="J220" s="63">
        <v>0</v>
      </c>
      <c r="K220" s="63">
        <v>50</v>
      </c>
      <c r="L220" s="63">
        <v>0</v>
      </c>
      <c r="M220" s="63">
        <v>250</v>
      </c>
      <c r="N220" s="63">
        <v>0</v>
      </c>
      <c r="O220" s="63">
        <v>0</v>
      </c>
      <c r="P220" s="57">
        <f t="shared" si="21"/>
        <v>8276</v>
      </c>
      <c r="Q220" s="60">
        <f t="shared" si="23"/>
        <v>240.78</v>
      </c>
      <c r="R220" s="60">
        <f>(D220+E220+F220+G220+H220+I220+J220+K220+N220)*14%</f>
        <v>1123.6400000000001</v>
      </c>
      <c r="S220" s="60">
        <v>146.41</v>
      </c>
      <c r="T220" s="57">
        <v>0</v>
      </c>
      <c r="U220" s="5">
        <f t="shared" si="19"/>
        <v>1364.42</v>
      </c>
      <c r="V220" s="5">
        <f t="shared" si="22"/>
        <v>6911.58</v>
      </c>
      <c r="W220" s="23">
        <f>199.9+194.95</f>
        <v>394.85</v>
      </c>
      <c r="X220" s="130"/>
      <c r="Y220" s="130"/>
      <c r="Z220" s="130"/>
    </row>
    <row r="221" spans="1:26" ht="33.950000000000003" customHeight="1" x14ac:dyDescent="0.2">
      <c r="A221" s="133">
        <v>212</v>
      </c>
      <c r="B221" s="67" t="s">
        <v>753</v>
      </c>
      <c r="C221" s="67" t="s">
        <v>754</v>
      </c>
      <c r="D221" s="65">
        <v>1012.5</v>
      </c>
      <c r="E221" s="63">
        <v>1200</v>
      </c>
      <c r="F221" s="63">
        <v>0</v>
      </c>
      <c r="G221" s="63">
        <v>0</v>
      </c>
      <c r="H221" s="63">
        <v>2175</v>
      </c>
      <c r="I221" s="63">
        <v>0</v>
      </c>
      <c r="J221" s="63">
        <v>0</v>
      </c>
      <c r="K221" s="63">
        <v>0</v>
      </c>
      <c r="L221" s="63">
        <v>0</v>
      </c>
      <c r="M221" s="63">
        <v>250</v>
      </c>
      <c r="N221" s="63">
        <v>0</v>
      </c>
      <c r="O221" s="63">
        <v>0</v>
      </c>
      <c r="P221" s="57">
        <f t="shared" si="21"/>
        <v>4637.5</v>
      </c>
      <c r="Q221" s="60">
        <f t="shared" si="23"/>
        <v>131.63</v>
      </c>
      <c r="R221" s="60">
        <f>(D221+E221+F221+G221+H221+I221+J221+K221+N221)*11%</f>
        <v>482.63</v>
      </c>
      <c r="S221" s="60">
        <v>0</v>
      </c>
      <c r="T221" s="57">
        <v>0</v>
      </c>
      <c r="U221" s="5">
        <f t="shared" si="19"/>
        <v>614.26</v>
      </c>
      <c r="V221" s="5">
        <f t="shared" si="22"/>
        <v>4023.24</v>
      </c>
      <c r="W221" s="23">
        <v>0</v>
      </c>
      <c r="X221" s="130"/>
      <c r="Y221" s="130"/>
      <c r="Z221" s="130"/>
    </row>
    <row r="222" spans="1:26" ht="33.950000000000003" customHeight="1" x14ac:dyDescent="0.2">
      <c r="A222" s="133">
        <v>213</v>
      </c>
      <c r="B222" s="60" t="s">
        <v>647</v>
      </c>
      <c r="C222" s="60" t="s">
        <v>442</v>
      </c>
      <c r="D222" s="65">
        <v>1634</v>
      </c>
      <c r="E222" s="63">
        <v>2400</v>
      </c>
      <c r="F222" s="63">
        <v>0</v>
      </c>
      <c r="G222" s="63">
        <v>0</v>
      </c>
      <c r="H222" s="63">
        <v>3000</v>
      </c>
      <c r="I222" s="63">
        <v>2400</v>
      </c>
      <c r="J222" s="63">
        <v>0</v>
      </c>
      <c r="K222" s="63">
        <v>75</v>
      </c>
      <c r="L222" s="63">
        <v>0</v>
      </c>
      <c r="M222" s="63">
        <v>250</v>
      </c>
      <c r="N222" s="63">
        <v>0</v>
      </c>
      <c r="O222" s="63">
        <v>0</v>
      </c>
      <c r="P222" s="57">
        <f t="shared" si="21"/>
        <v>9759</v>
      </c>
      <c r="Q222" s="60">
        <f t="shared" si="23"/>
        <v>285.27</v>
      </c>
      <c r="R222" s="60">
        <f>(D222+E222+F222+G222+H222+I222+J222+K222+N222)*15%</f>
        <v>1426.35</v>
      </c>
      <c r="S222" s="60">
        <v>207.96</v>
      </c>
      <c r="T222" s="57">
        <v>0</v>
      </c>
      <c r="U222" s="5">
        <f t="shared" si="19"/>
        <v>1711.62</v>
      </c>
      <c r="V222" s="5">
        <f t="shared" si="22"/>
        <v>8047.38</v>
      </c>
      <c r="W222" s="23">
        <v>0</v>
      </c>
      <c r="X222" s="130"/>
      <c r="Y222" s="130"/>
      <c r="Z222" s="130"/>
    </row>
    <row r="223" spans="1:26" ht="33.950000000000003" customHeight="1" x14ac:dyDescent="0.2">
      <c r="A223" s="133">
        <v>214</v>
      </c>
      <c r="B223" s="60" t="s">
        <v>648</v>
      </c>
      <c r="C223" s="60" t="s">
        <v>904</v>
      </c>
      <c r="D223" s="65">
        <v>1476</v>
      </c>
      <c r="E223" s="63">
        <v>2000</v>
      </c>
      <c r="F223" s="63">
        <v>0</v>
      </c>
      <c r="G223" s="63">
        <v>0</v>
      </c>
      <c r="H223" s="63">
        <v>1900</v>
      </c>
      <c r="I223" s="63">
        <v>2600</v>
      </c>
      <c r="J223" s="63">
        <v>0</v>
      </c>
      <c r="K223" s="63">
        <v>0</v>
      </c>
      <c r="L223" s="63">
        <v>0</v>
      </c>
      <c r="M223" s="63">
        <v>250</v>
      </c>
      <c r="N223" s="63">
        <v>0</v>
      </c>
      <c r="O223" s="63">
        <v>0</v>
      </c>
      <c r="P223" s="57">
        <f t="shared" si="21"/>
        <v>8226</v>
      </c>
      <c r="Q223" s="60">
        <f t="shared" si="23"/>
        <v>239.28</v>
      </c>
      <c r="R223" s="60">
        <f>(D223+E223+F223+G223+H223+I223+J223+K223+N223)*13%</f>
        <v>1036.8800000000001</v>
      </c>
      <c r="S223" s="60">
        <v>148.33000000000001</v>
      </c>
      <c r="T223" s="57">
        <v>0</v>
      </c>
      <c r="U223" s="5">
        <f t="shared" si="19"/>
        <v>1276.1600000000001</v>
      </c>
      <c r="V223" s="5">
        <f t="shared" si="22"/>
        <v>6949.84</v>
      </c>
      <c r="W223" s="23">
        <v>0</v>
      </c>
      <c r="X223" s="130"/>
      <c r="Y223" s="130"/>
      <c r="Z223" s="130"/>
    </row>
    <row r="224" spans="1:26" ht="33.950000000000003" customHeight="1" x14ac:dyDescent="0.2">
      <c r="A224" s="133">
        <v>215</v>
      </c>
      <c r="B224" s="60" t="s">
        <v>649</v>
      </c>
      <c r="C224" s="60" t="s">
        <v>988</v>
      </c>
      <c r="D224" s="65">
        <v>1634</v>
      </c>
      <c r="E224" s="63">
        <v>2400</v>
      </c>
      <c r="F224" s="63">
        <v>0</v>
      </c>
      <c r="G224" s="63">
        <v>0</v>
      </c>
      <c r="H224" s="63">
        <v>3000</v>
      </c>
      <c r="I224" s="63">
        <v>2400</v>
      </c>
      <c r="J224" s="63">
        <v>0</v>
      </c>
      <c r="K224" s="63">
        <v>75</v>
      </c>
      <c r="L224" s="63">
        <v>0</v>
      </c>
      <c r="M224" s="63">
        <v>250</v>
      </c>
      <c r="N224" s="63">
        <v>0</v>
      </c>
      <c r="O224" s="63">
        <v>0</v>
      </c>
      <c r="P224" s="57">
        <f t="shared" si="21"/>
        <v>9759</v>
      </c>
      <c r="Q224" s="60">
        <f t="shared" si="23"/>
        <v>285.27</v>
      </c>
      <c r="R224" s="60">
        <f>(D224+E224+F224+G224+H224+I224+J224+K224+N224)*14%</f>
        <v>1331.26</v>
      </c>
      <c r="S224" s="60">
        <v>207.96</v>
      </c>
      <c r="T224" s="57">
        <v>0</v>
      </c>
      <c r="U224" s="5">
        <f t="shared" si="19"/>
        <v>1616.53</v>
      </c>
      <c r="V224" s="5">
        <f t="shared" si="22"/>
        <v>8142.47</v>
      </c>
      <c r="W224" s="23">
        <v>0</v>
      </c>
      <c r="X224" s="130"/>
      <c r="Y224" s="130"/>
      <c r="Z224" s="130"/>
    </row>
    <row r="225" spans="1:26" ht="33.950000000000003" customHeight="1" x14ac:dyDescent="0.2">
      <c r="A225" s="133">
        <v>216</v>
      </c>
      <c r="B225" s="60" t="s">
        <v>650</v>
      </c>
      <c r="C225" s="60" t="s">
        <v>744</v>
      </c>
      <c r="D225" s="65">
        <v>1476</v>
      </c>
      <c r="E225" s="63">
        <v>2000</v>
      </c>
      <c r="F225" s="63">
        <v>0</v>
      </c>
      <c r="G225" s="63">
        <v>0</v>
      </c>
      <c r="H225" s="63">
        <v>1900</v>
      </c>
      <c r="I225" s="63">
        <v>2600</v>
      </c>
      <c r="J225" s="63">
        <v>0</v>
      </c>
      <c r="K225" s="63">
        <v>50</v>
      </c>
      <c r="L225" s="63">
        <v>0</v>
      </c>
      <c r="M225" s="63">
        <v>250</v>
      </c>
      <c r="N225" s="63">
        <v>0</v>
      </c>
      <c r="O225" s="63">
        <v>0</v>
      </c>
      <c r="P225" s="57">
        <f t="shared" si="21"/>
        <v>8276</v>
      </c>
      <c r="Q225" s="60">
        <f t="shared" si="23"/>
        <v>240.78</v>
      </c>
      <c r="R225" s="60">
        <f>(D225+E225+F225+G225+H225+I225+J225+K225+N225)*14%</f>
        <v>1123.6400000000001</v>
      </c>
      <c r="S225" s="60">
        <v>146.41</v>
      </c>
      <c r="T225" s="57">
        <v>0</v>
      </c>
      <c r="U225" s="5">
        <f t="shared" si="19"/>
        <v>1364.42</v>
      </c>
      <c r="V225" s="5">
        <f t="shared" si="22"/>
        <v>6911.58</v>
      </c>
      <c r="W225" s="23">
        <f>210+201.95</f>
        <v>411.95</v>
      </c>
      <c r="X225" s="130"/>
      <c r="Y225" s="130"/>
      <c r="Z225" s="130"/>
    </row>
    <row r="226" spans="1:26" ht="33.950000000000003" customHeight="1" x14ac:dyDescent="0.2">
      <c r="A226" s="133">
        <v>217</v>
      </c>
      <c r="B226" s="60" t="s">
        <v>651</v>
      </c>
      <c r="C226" s="60" t="s">
        <v>744</v>
      </c>
      <c r="D226" s="65">
        <v>1476</v>
      </c>
      <c r="E226" s="63">
        <v>2000</v>
      </c>
      <c r="F226" s="63">
        <v>0</v>
      </c>
      <c r="G226" s="63">
        <v>0</v>
      </c>
      <c r="H226" s="63">
        <v>1900</v>
      </c>
      <c r="I226" s="63">
        <v>2600</v>
      </c>
      <c r="J226" s="63">
        <v>0</v>
      </c>
      <c r="K226" s="63">
        <v>50</v>
      </c>
      <c r="L226" s="63">
        <v>0</v>
      </c>
      <c r="M226" s="63">
        <v>250</v>
      </c>
      <c r="N226" s="63">
        <v>0</v>
      </c>
      <c r="O226" s="63">
        <v>0</v>
      </c>
      <c r="P226" s="57">
        <f t="shared" si="21"/>
        <v>8276</v>
      </c>
      <c r="Q226" s="60">
        <f t="shared" si="23"/>
        <v>240.78</v>
      </c>
      <c r="R226" s="60">
        <f>(D226+E226+F226+G226+H226+I226+J226+K226+N226)*14%</f>
        <v>1123.6400000000001</v>
      </c>
      <c r="S226" s="60">
        <v>146.41</v>
      </c>
      <c r="T226" s="57">
        <v>0</v>
      </c>
      <c r="U226" s="5">
        <f t="shared" si="19"/>
        <v>1364.42</v>
      </c>
      <c r="V226" s="5">
        <f t="shared" si="22"/>
        <v>6911.58</v>
      </c>
      <c r="W226" s="23">
        <f>210+210</f>
        <v>420</v>
      </c>
      <c r="X226" s="130"/>
      <c r="Y226" s="130"/>
      <c r="Z226" s="130"/>
    </row>
    <row r="227" spans="1:26" ht="33.950000000000003" customHeight="1" x14ac:dyDescent="0.2">
      <c r="A227" s="133">
        <v>218</v>
      </c>
      <c r="B227" s="60" t="s">
        <v>652</v>
      </c>
      <c r="C227" s="60" t="s">
        <v>744</v>
      </c>
      <c r="D227" s="65">
        <v>1476</v>
      </c>
      <c r="E227" s="63">
        <v>2000</v>
      </c>
      <c r="F227" s="63">
        <v>0</v>
      </c>
      <c r="G227" s="63">
        <v>0</v>
      </c>
      <c r="H227" s="63">
        <v>1900</v>
      </c>
      <c r="I227" s="63">
        <v>2600</v>
      </c>
      <c r="J227" s="63">
        <v>0</v>
      </c>
      <c r="K227" s="63">
        <v>50</v>
      </c>
      <c r="L227" s="63">
        <v>0</v>
      </c>
      <c r="M227" s="63">
        <v>250</v>
      </c>
      <c r="N227" s="63">
        <v>0</v>
      </c>
      <c r="O227" s="63">
        <v>0</v>
      </c>
      <c r="P227" s="57">
        <f t="shared" si="21"/>
        <v>8276</v>
      </c>
      <c r="Q227" s="60">
        <f t="shared" si="23"/>
        <v>240.78</v>
      </c>
      <c r="R227" s="60">
        <f>(D227+E227+F227+G227+H227+I227+J227+K227+N227)*14%</f>
        <v>1123.6400000000001</v>
      </c>
      <c r="S227" s="60">
        <v>146.41</v>
      </c>
      <c r="T227" s="57">
        <v>0</v>
      </c>
      <c r="U227" s="5">
        <f t="shared" si="19"/>
        <v>1364.42</v>
      </c>
      <c r="V227" s="5">
        <f t="shared" si="22"/>
        <v>6911.58</v>
      </c>
      <c r="W227" s="23">
        <f>210+210</f>
        <v>420</v>
      </c>
      <c r="X227" s="130"/>
      <c r="Y227" s="130"/>
      <c r="Z227" s="130"/>
    </row>
    <row r="228" spans="1:26" ht="33.950000000000003" customHeight="1" x14ac:dyDescent="0.2">
      <c r="A228" s="133">
        <v>219</v>
      </c>
      <c r="B228" s="60" t="s">
        <v>653</v>
      </c>
      <c r="C228" s="60" t="s">
        <v>976</v>
      </c>
      <c r="D228" s="65">
        <v>1074</v>
      </c>
      <c r="E228" s="63">
        <v>400</v>
      </c>
      <c r="F228" s="63">
        <v>0</v>
      </c>
      <c r="G228" s="63">
        <v>1000</v>
      </c>
      <c r="H228" s="63">
        <v>0</v>
      </c>
      <c r="I228" s="63">
        <v>0</v>
      </c>
      <c r="J228" s="63">
        <v>0</v>
      </c>
      <c r="K228" s="63">
        <v>0</v>
      </c>
      <c r="L228" s="63">
        <v>200</v>
      </c>
      <c r="M228" s="63">
        <v>250</v>
      </c>
      <c r="N228" s="63">
        <v>0</v>
      </c>
      <c r="O228" s="63">
        <v>0</v>
      </c>
      <c r="P228" s="57">
        <f t="shared" si="21"/>
        <v>2924</v>
      </c>
      <c r="Q228" s="60">
        <f>(D228+E228+F228+G228+H228+I228+J228+K228+N228+L228)*3%</f>
        <v>80.22</v>
      </c>
      <c r="R228" s="60">
        <f>(D228+E228+F228+G228+H228+I228+J228+K228+N228+L228)*11%</f>
        <v>294.14</v>
      </c>
      <c r="S228" s="60">
        <v>0</v>
      </c>
      <c r="T228" s="57">
        <v>0</v>
      </c>
      <c r="U228" s="5">
        <f t="shared" si="19"/>
        <v>374.36</v>
      </c>
      <c r="V228" s="5">
        <f t="shared" si="22"/>
        <v>2549.64</v>
      </c>
      <c r="W228" s="23">
        <v>0</v>
      </c>
      <c r="X228" s="130"/>
      <c r="Y228" s="130"/>
      <c r="Z228" s="130"/>
    </row>
    <row r="229" spans="1:26" ht="33.950000000000003" customHeight="1" x14ac:dyDescent="0.2">
      <c r="A229" s="133">
        <v>220</v>
      </c>
      <c r="B229" s="60" t="s">
        <v>654</v>
      </c>
      <c r="C229" s="60" t="s">
        <v>1009</v>
      </c>
      <c r="D229" s="65">
        <v>1253</v>
      </c>
      <c r="E229" s="63">
        <v>550</v>
      </c>
      <c r="F229" s="63">
        <v>0</v>
      </c>
      <c r="G229" s="63">
        <v>1000</v>
      </c>
      <c r="H229" s="63">
        <v>0</v>
      </c>
      <c r="I229" s="63">
        <v>0</v>
      </c>
      <c r="J229" s="63">
        <v>0</v>
      </c>
      <c r="K229" s="63">
        <v>50</v>
      </c>
      <c r="L229" s="63">
        <v>0</v>
      </c>
      <c r="M229" s="63">
        <v>250</v>
      </c>
      <c r="N229" s="63">
        <v>0</v>
      </c>
      <c r="O229" s="63">
        <v>0</v>
      </c>
      <c r="P229" s="57">
        <f t="shared" si="21"/>
        <v>3103</v>
      </c>
      <c r="Q229" s="60">
        <f>(D229+E229+F229+G229+H229+I229+J229+K229+N229)*3%</f>
        <v>85.59</v>
      </c>
      <c r="R229" s="60">
        <f>(D229+E229+F229+G229+H229+I229+J229+K229+N229)*11%</f>
        <v>313.83</v>
      </c>
      <c r="S229" s="60">
        <v>0</v>
      </c>
      <c r="T229" s="57">
        <v>0</v>
      </c>
      <c r="U229" s="5">
        <f t="shared" si="19"/>
        <v>399.42</v>
      </c>
      <c r="V229" s="5">
        <f t="shared" si="22"/>
        <v>2703.58</v>
      </c>
      <c r="W229" s="23">
        <v>0</v>
      </c>
      <c r="X229" s="130"/>
      <c r="Y229" s="130"/>
      <c r="Z229" s="130"/>
    </row>
    <row r="230" spans="1:26" ht="39.75" customHeight="1" x14ac:dyDescent="0.2">
      <c r="A230" s="133">
        <v>221</v>
      </c>
      <c r="B230" s="60" t="s">
        <v>655</v>
      </c>
      <c r="C230" s="60" t="s">
        <v>975</v>
      </c>
      <c r="D230" s="65">
        <f>485*2</f>
        <v>970</v>
      </c>
      <c r="E230" s="63">
        <v>0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57">
        <f t="shared" si="21"/>
        <v>970</v>
      </c>
      <c r="Q230" s="60">
        <f>(D230+E230+F230+G230+H230+I230+J230+K230+N230)*3%</f>
        <v>29.1</v>
      </c>
      <c r="R230" s="60">
        <f>(D230+E230+F230+G230+H230+I230+J230+K230+N230)*14%</f>
        <v>135.80000000000001</v>
      </c>
      <c r="S230" s="60">
        <v>0</v>
      </c>
      <c r="T230" s="57">
        <v>0</v>
      </c>
      <c r="U230" s="5">
        <f t="shared" si="19"/>
        <v>164.9</v>
      </c>
      <c r="V230" s="5">
        <f t="shared" si="22"/>
        <v>805.1</v>
      </c>
      <c r="W230" s="23">
        <v>0</v>
      </c>
      <c r="X230" s="130"/>
      <c r="Y230" s="130"/>
      <c r="Z230" s="130"/>
    </row>
    <row r="231" spans="1:26" ht="33.950000000000003" customHeight="1" x14ac:dyDescent="0.2">
      <c r="A231" s="133">
        <v>222</v>
      </c>
      <c r="B231" s="60" t="s">
        <v>656</v>
      </c>
      <c r="C231" s="60" t="s">
        <v>657</v>
      </c>
      <c r="D231" s="65">
        <v>1039</v>
      </c>
      <c r="E231" s="63">
        <v>400</v>
      </c>
      <c r="F231" s="63">
        <v>0</v>
      </c>
      <c r="G231" s="63">
        <v>1000</v>
      </c>
      <c r="H231" s="63">
        <v>0</v>
      </c>
      <c r="I231" s="63">
        <v>0</v>
      </c>
      <c r="J231" s="63">
        <v>0</v>
      </c>
      <c r="K231" s="63">
        <v>0</v>
      </c>
      <c r="L231" s="63">
        <v>200</v>
      </c>
      <c r="M231" s="63">
        <v>250</v>
      </c>
      <c r="N231" s="63">
        <v>0</v>
      </c>
      <c r="O231" s="63">
        <v>0</v>
      </c>
      <c r="P231" s="57">
        <f t="shared" si="21"/>
        <v>2889</v>
      </c>
      <c r="Q231" s="60">
        <f>(D231+E231+F231+G231+H231+I231+J231+K231+N231+L231)*3%</f>
        <v>79.17</v>
      </c>
      <c r="R231" s="60">
        <f>(D231+E231+F231+G231+H231+I231+J231+K231+N231+L231)*11%</f>
        <v>290.29000000000002</v>
      </c>
      <c r="S231" s="60">
        <v>0</v>
      </c>
      <c r="T231" s="57">
        <v>0</v>
      </c>
      <c r="U231" s="5">
        <f t="shared" si="19"/>
        <v>369.46</v>
      </c>
      <c r="V231" s="5">
        <f t="shared" si="22"/>
        <v>2519.54</v>
      </c>
      <c r="W231" s="23">
        <v>0</v>
      </c>
      <c r="X231" s="130"/>
      <c r="Y231" s="130"/>
      <c r="Z231" s="130"/>
    </row>
    <row r="232" spans="1:26" ht="33.950000000000003" customHeight="1" x14ac:dyDescent="0.2">
      <c r="A232" s="133">
        <v>223</v>
      </c>
      <c r="B232" s="60" t="s">
        <v>658</v>
      </c>
      <c r="C232" s="60" t="s">
        <v>741</v>
      </c>
      <c r="D232" s="65">
        <v>1381</v>
      </c>
      <c r="E232" s="63">
        <v>600</v>
      </c>
      <c r="F232" s="63">
        <v>0</v>
      </c>
      <c r="G232" s="63">
        <v>1000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250</v>
      </c>
      <c r="N232" s="63">
        <v>0</v>
      </c>
      <c r="O232" s="63">
        <v>0</v>
      </c>
      <c r="P232" s="57">
        <f t="shared" si="21"/>
        <v>3231</v>
      </c>
      <c r="Q232" s="60">
        <f t="shared" ref="Q232:Q239" si="24">(D232+E232+F232+G232+H232+I232+J232+K232+N232)*3%</f>
        <v>89.43</v>
      </c>
      <c r="R232" s="60">
        <f>(D232+E232+F232+G232+H232+I232+J232+K232+N232)*11%</f>
        <v>327.91</v>
      </c>
      <c r="S232" s="60">
        <v>0</v>
      </c>
      <c r="T232" s="57">
        <v>40.06</v>
      </c>
      <c r="U232" s="5">
        <f t="shared" si="19"/>
        <v>457.4</v>
      </c>
      <c r="V232" s="5">
        <f t="shared" si="22"/>
        <v>2773.6</v>
      </c>
      <c r="W232" s="23">
        <v>0</v>
      </c>
      <c r="X232" s="130"/>
      <c r="Y232" s="130"/>
      <c r="Z232" s="130"/>
    </row>
    <row r="233" spans="1:26" ht="33.950000000000003" customHeight="1" x14ac:dyDescent="0.2">
      <c r="A233" s="133">
        <v>224</v>
      </c>
      <c r="B233" s="60" t="s">
        <v>659</v>
      </c>
      <c r="C233" s="60" t="s">
        <v>619</v>
      </c>
      <c r="D233" s="65">
        <v>1350</v>
      </c>
      <c r="E233" s="63">
        <v>2000</v>
      </c>
      <c r="F233" s="63">
        <v>0</v>
      </c>
      <c r="G233" s="63">
        <v>1600</v>
      </c>
      <c r="H233" s="63">
        <v>0</v>
      </c>
      <c r="I233" s="63">
        <v>2900</v>
      </c>
      <c r="J233" s="63">
        <v>0</v>
      </c>
      <c r="K233" s="63">
        <v>35</v>
      </c>
      <c r="L233" s="63">
        <v>0</v>
      </c>
      <c r="M233" s="63">
        <v>250</v>
      </c>
      <c r="N233" s="63">
        <v>0</v>
      </c>
      <c r="O233" s="63">
        <v>0</v>
      </c>
      <c r="P233" s="57">
        <f t="shared" si="21"/>
        <v>8135</v>
      </c>
      <c r="Q233" s="60">
        <f t="shared" si="24"/>
        <v>236.55</v>
      </c>
      <c r="R233" s="60">
        <f>(D233+E233+F233+G233+H233+I233+J233+K233+N233)*12%</f>
        <v>946.2</v>
      </c>
      <c r="S233" s="60">
        <v>140.56</v>
      </c>
      <c r="T233" s="57">
        <v>0</v>
      </c>
      <c r="U233" s="5">
        <f t="shared" si="19"/>
        <v>1182.75</v>
      </c>
      <c r="V233" s="5">
        <f t="shared" si="22"/>
        <v>6952.25</v>
      </c>
      <c r="W233" s="23">
        <v>0</v>
      </c>
      <c r="X233" s="130"/>
      <c r="Y233" s="130"/>
      <c r="Z233" s="130"/>
    </row>
    <row r="234" spans="1:26" ht="33.950000000000003" customHeight="1" x14ac:dyDescent="0.2">
      <c r="A234" s="133">
        <v>225</v>
      </c>
      <c r="B234" s="60" t="s">
        <v>660</v>
      </c>
      <c r="C234" s="60" t="s">
        <v>985</v>
      </c>
      <c r="D234" s="65">
        <v>1476</v>
      </c>
      <c r="E234" s="63">
        <v>2000</v>
      </c>
      <c r="F234" s="63">
        <v>0</v>
      </c>
      <c r="G234" s="63">
        <v>1900</v>
      </c>
      <c r="H234" s="63">
        <v>0</v>
      </c>
      <c r="I234" s="63">
        <v>2600</v>
      </c>
      <c r="J234" s="63">
        <v>0</v>
      </c>
      <c r="K234" s="63">
        <v>50</v>
      </c>
      <c r="L234" s="63">
        <v>0</v>
      </c>
      <c r="M234" s="63">
        <v>250</v>
      </c>
      <c r="N234" s="63">
        <v>0</v>
      </c>
      <c r="O234" s="63">
        <v>0</v>
      </c>
      <c r="P234" s="57">
        <f t="shared" si="21"/>
        <v>8276</v>
      </c>
      <c r="Q234" s="60">
        <f t="shared" si="24"/>
        <v>240.78</v>
      </c>
      <c r="R234" s="60">
        <f>(D234+E234+F234+G234+H234+I234+J234+K234+N234)*14%</f>
        <v>1123.6400000000001</v>
      </c>
      <c r="S234" s="60">
        <v>14451</v>
      </c>
      <c r="T234" s="57">
        <v>0</v>
      </c>
      <c r="U234" s="5">
        <f t="shared" si="19"/>
        <v>1364.42</v>
      </c>
      <c r="V234" s="5">
        <f t="shared" si="22"/>
        <v>6911.58</v>
      </c>
      <c r="W234" s="23">
        <v>0</v>
      </c>
      <c r="X234" s="130"/>
      <c r="Y234" s="130"/>
      <c r="Z234" s="130"/>
    </row>
    <row r="235" spans="1:26" ht="33.950000000000003" customHeight="1" x14ac:dyDescent="0.2">
      <c r="A235" s="133">
        <v>226</v>
      </c>
      <c r="B235" s="60" t="s">
        <v>661</v>
      </c>
      <c r="C235" s="60" t="s">
        <v>465</v>
      </c>
      <c r="D235" s="65">
        <f>485*4</f>
        <v>1940</v>
      </c>
      <c r="E235" s="63">
        <v>0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57">
        <f t="shared" si="21"/>
        <v>1940</v>
      </c>
      <c r="Q235" s="60">
        <f t="shared" si="24"/>
        <v>58.2</v>
      </c>
      <c r="R235" s="60">
        <f>(D235+E235+F235+G235+H235+I235+J235+K235+N235)*11%</f>
        <v>213.4</v>
      </c>
      <c r="S235" s="60">
        <v>0</v>
      </c>
      <c r="T235" s="57">
        <v>0</v>
      </c>
      <c r="U235" s="5">
        <f t="shared" si="19"/>
        <v>271.60000000000002</v>
      </c>
      <c r="V235" s="5">
        <f t="shared" si="22"/>
        <v>1668.4</v>
      </c>
      <c r="W235" s="23">
        <v>0</v>
      </c>
      <c r="X235" s="130"/>
      <c r="Y235" s="130"/>
      <c r="Z235" s="130"/>
    </row>
    <row r="236" spans="1:26" ht="33.950000000000003" customHeight="1" x14ac:dyDescent="0.2">
      <c r="A236" s="133">
        <v>227</v>
      </c>
      <c r="B236" s="60" t="s">
        <v>662</v>
      </c>
      <c r="C236" s="60" t="s">
        <v>988</v>
      </c>
      <c r="D236" s="65">
        <v>1634</v>
      </c>
      <c r="E236" s="63">
        <v>2400</v>
      </c>
      <c r="F236" s="63">
        <v>0</v>
      </c>
      <c r="G236" s="63">
        <v>0</v>
      </c>
      <c r="H236" s="63">
        <v>3000</v>
      </c>
      <c r="I236" s="63">
        <v>2400</v>
      </c>
      <c r="J236" s="63">
        <v>0</v>
      </c>
      <c r="K236" s="63">
        <v>0</v>
      </c>
      <c r="L236" s="63">
        <v>0</v>
      </c>
      <c r="M236" s="63">
        <v>250</v>
      </c>
      <c r="N236" s="63">
        <v>0</v>
      </c>
      <c r="O236" s="63">
        <v>0</v>
      </c>
      <c r="P236" s="57">
        <f t="shared" si="21"/>
        <v>9684</v>
      </c>
      <c r="Q236" s="60">
        <f t="shared" si="24"/>
        <v>283.02</v>
      </c>
      <c r="R236" s="60">
        <f>(D236+E236+F236+G236+H236+I236+J236+K236+N236)*14%</f>
        <v>1320.76</v>
      </c>
      <c r="S236" s="60">
        <v>204.84</v>
      </c>
      <c r="T236" s="57">
        <v>0</v>
      </c>
      <c r="U236" s="5">
        <f t="shared" si="19"/>
        <v>1603.78</v>
      </c>
      <c r="V236" s="5">
        <f t="shared" si="22"/>
        <v>8080.22</v>
      </c>
      <c r="W236" s="23">
        <v>0</v>
      </c>
      <c r="X236" s="130"/>
      <c r="Y236" s="130"/>
      <c r="Z236" s="130"/>
    </row>
    <row r="237" spans="1:26" ht="33.950000000000003" customHeight="1" x14ac:dyDescent="0.2">
      <c r="A237" s="133">
        <v>228</v>
      </c>
      <c r="B237" s="60" t="s">
        <v>663</v>
      </c>
      <c r="C237" s="64" t="s">
        <v>447</v>
      </c>
      <c r="D237" s="65">
        <v>1350</v>
      </c>
      <c r="E237" s="63">
        <v>2000</v>
      </c>
      <c r="F237" s="63">
        <v>0</v>
      </c>
      <c r="G237" s="63">
        <v>0</v>
      </c>
      <c r="H237" s="63">
        <v>0</v>
      </c>
      <c r="I237" s="63">
        <v>4500</v>
      </c>
      <c r="J237" s="63">
        <v>0</v>
      </c>
      <c r="K237" s="63">
        <v>0</v>
      </c>
      <c r="L237" s="63">
        <v>0</v>
      </c>
      <c r="M237" s="63">
        <v>250</v>
      </c>
      <c r="N237" s="63">
        <v>0</v>
      </c>
      <c r="O237" s="63">
        <v>0</v>
      </c>
      <c r="P237" s="57">
        <f t="shared" si="21"/>
        <v>8100</v>
      </c>
      <c r="Q237" s="60">
        <f t="shared" si="24"/>
        <v>235.5</v>
      </c>
      <c r="R237" s="60">
        <f>(D237+E237+F237+G237+H237+I237+J237+K237+N237)*13%</f>
        <v>1020.5</v>
      </c>
      <c r="S237" s="60">
        <v>143.03</v>
      </c>
      <c r="T237" s="57">
        <v>0</v>
      </c>
      <c r="U237" s="5">
        <f t="shared" si="19"/>
        <v>1256</v>
      </c>
      <c r="V237" s="5">
        <f t="shared" si="22"/>
        <v>6844</v>
      </c>
      <c r="W237" s="23">
        <v>0</v>
      </c>
      <c r="X237" s="130"/>
      <c r="Y237" s="130"/>
      <c r="Z237" s="130"/>
    </row>
    <row r="238" spans="1:26" ht="33.950000000000003" customHeight="1" x14ac:dyDescent="0.2">
      <c r="A238" s="133">
        <v>229</v>
      </c>
      <c r="B238" s="69" t="s">
        <v>664</v>
      </c>
      <c r="C238" s="64" t="s">
        <v>447</v>
      </c>
      <c r="D238" s="65">
        <v>1350</v>
      </c>
      <c r="E238" s="63">
        <v>2000</v>
      </c>
      <c r="F238" s="63">
        <v>0</v>
      </c>
      <c r="G238" s="63">
        <v>0</v>
      </c>
      <c r="H238" s="63">
        <v>1600</v>
      </c>
      <c r="I238" s="63">
        <v>2900</v>
      </c>
      <c r="J238" s="63">
        <v>0</v>
      </c>
      <c r="K238" s="63">
        <v>0</v>
      </c>
      <c r="L238" s="63">
        <v>0</v>
      </c>
      <c r="M238" s="63">
        <v>250</v>
      </c>
      <c r="N238" s="63">
        <v>0</v>
      </c>
      <c r="O238" s="63">
        <v>0</v>
      </c>
      <c r="P238" s="57">
        <f t="shared" si="21"/>
        <v>8100</v>
      </c>
      <c r="Q238" s="60">
        <f t="shared" si="24"/>
        <v>235.5</v>
      </c>
      <c r="R238" s="60">
        <f>(D238+E238+F238+G238+H238+I238+J238+K238+N238)*13%</f>
        <v>1020.5</v>
      </c>
      <c r="S238" s="60">
        <v>143.03</v>
      </c>
      <c r="T238" s="57">
        <v>0</v>
      </c>
      <c r="U238" s="5">
        <f t="shared" si="19"/>
        <v>1256</v>
      </c>
      <c r="V238" s="5">
        <f t="shared" si="22"/>
        <v>6844</v>
      </c>
      <c r="W238" s="23">
        <v>0</v>
      </c>
      <c r="X238" s="130"/>
      <c r="Y238" s="130"/>
      <c r="Z238" s="130"/>
    </row>
    <row r="239" spans="1:26" ht="33.950000000000003" customHeight="1" x14ac:dyDescent="0.2">
      <c r="A239" s="133">
        <v>230</v>
      </c>
      <c r="B239" s="60" t="s">
        <v>665</v>
      </c>
      <c r="C239" s="60" t="s">
        <v>447</v>
      </c>
      <c r="D239" s="65">
        <v>1350</v>
      </c>
      <c r="E239" s="63">
        <v>2000</v>
      </c>
      <c r="F239" s="63">
        <v>0</v>
      </c>
      <c r="G239" s="63">
        <v>0</v>
      </c>
      <c r="H239" s="63">
        <v>0</v>
      </c>
      <c r="I239" s="63">
        <v>4500</v>
      </c>
      <c r="J239" s="63">
        <v>0</v>
      </c>
      <c r="K239" s="63">
        <v>75</v>
      </c>
      <c r="L239" s="63">
        <v>0</v>
      </c>
      <c r="M239" s="63">
        <v>250</v>
      </c>
      <c r="N239" s="63">
        <v>0</v>
      </c>
      <c r="O239" s="63">
        <v>0</v>
      </c>
      <c r="P239" s="57">
        <f t="shared" si="21"/>
        <v>8175</v>
      </c>
      <c r="Q239" s="60">
        <f t="shared" si="24"/>
        <v>237.75</v>
      </c>
      <c r="R239" s="60">
        <f>(D239+E239+F239+G239+H239+I239+J239+K239+N239)*13%</f>
        <v>1030.25</v>
      </c>
      <c r="S239" s="60">
        <v>146.18</v>
      </c>
      <c r="T239" s="57">
        <v>0</v>
      </c>
      <c r="U239" s="5">
        <f t="shared" si="19"/>
        <v>1268</v>
      </c>
      <c r="V239" s="5">
        <f t="shared" si="22"/>
        <v>6907</v>
      </c>
      <c r="W239" s="23">
        <v>0</v>
      </c>
      <c r="X239" s="130"/>
      <c r="Y239" s="130"/>
      <c r="Z239" s="130"/>
    </row>
    <row r="240" spans="1:26" ht="33.950000000000003" customHeight="1" x14ac:dyDescent="0.2">
      <c r="A240" s="133">
        <v>231</v>
      </c>
      <c r="B240" s="60" t="s">
        <v>666</v>
      </c>
      <c r="C240" s="60" t="s">
        <v>667</v>
      </c>
      <c r="D240" s="65">
        <v>1074</v>
      </c>
      <c r="E240" s="63">
        <v>400</v>
      </c>
      <c r="F240" s="63">
        <v>0</v>
      </c>
      <c r="G240" s="63">
        <v>1000</v>
      </c>
      <c r="H240" s="63">
        <v>0</v>
      </c>
      <c r="I240" s="63">
        <v>0</v>
      </c>
      <c r="J240" s="63">
        <v>0</v>
      </c>
      <c r="K240" s="63">
        <v>0</v>
      </c>
      <c r="L240" s="63">
        <v>200</v>
      </c>
      <c r="M240" s="63">
        <v>250</v>
      </c>
      <c r="N240" s="63">
        <v>0</v>
      </c>
      <c r="O240" s="63">
        <v>0</v>
      </c>
      <c r="P240" s="57">
        <f t="shared" si="21"/>
        <v>2924</v>
      </c>
      <c r="Q240" s="60">
        <f>(D240+E240+F240+G240+H240+I240+J240+K240+N240+L240)*3%</f>
        <v>80.22</v>
      </c>
      <c r="R240" s="60">
        <f>(D240+E240+F240+G240+H240+I240+J240+K240+N240+L240)*11%</f>
        <v>294.14</v>
      </c>
      <c r="S240" s="60">
        <v>0</v>
      </c>
      <c r="T240" s="57">
        <v>0</v>
      </c>
      <c r="U240" s="5">
        <f t="shared" si="19"/>
        <v>374.36</v>
      </c>
      <c r="V240" s="5">
        <f t="shared" si="22"/>
        <v>2549.64</v>
      </c>
      <c r="W240" s="23">
        <v>0</v>
      </c>
      <c r="X240" s="130"/>
      <c r="Y240" s="130"/>
      <c r="Z240" s="130"/>
    </row>
    <row r="241" spans="1:26" ht="40.5" customHeight="1" x14ac:dyDescent="0.2">
      <c r="A241" s="133">
        <v>232</v>
      </c>
      <c r="B241" s="60" t="s">
        <v>668</v>
      </c>
      <c r="C241" s="60" t="s">
        <v>975</v>
      </c>
      <c r="D241" s="65">
        <f>485*4</f>
        <v>1940</v>
      </c>
      <c r="E241" s="63">
        <v>0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57">
        <f t="shared" si="21"/>
        <v>1940</v>
      </c>
      <c r="Q241" s="60">
        <f>(D241+E241+F241+G241+H241+I241+J241+K241+N241)*3%</f>
        <v>58.2</v>
      </c>
      <c r="R241" s="60">
        <f>(D241+E241+F241+G241+H241+I241+J241+K241+N241)*10%</f>
        <v>194</v>
      </c>
      <c r="S241" s="60">
        <v>0</v>
      </c>
      <c r="T241" s="57">
        <v>0</v>
      </c>
      <c r="U241" s="5">
        <f t="shared" si="19"/>
        <v>252.2</v>
      </c>
      <c r="V241" s="5">
        <f t="shared" si="22"/>
        <v>1687.8</v>
      </c>
      <c r="W241" s="23">
        <v>0</v>
      </c>
      <c r="X241" s="130"/>
      <c r="Y241" s="130"/>
      <c r="Z241" s="130"/>
    </row>
    <row r="242" spans="1:26" ht="33.950000000000003" customHeight="1" x14ac:dyDescent="0.2">
      <c r="A242" s="133">
        <v>233</v>
      </c>
      <c r="B242" s="60" t="s">
        <v>669</v>
      </c>
      <c r="C242" s="60" t="s">
        <v>976</v>
      </c>
      <c r="D242" s="65">
        <v>1074</v>
      </c>
      <c r="E242" s="63">
        <v>400</v>
      </c>
      <c r="F242" s="63">
        <v>0</v>
      </c>
      <c r="G242" s="63">
        <v>1000</v>
      </c>
      <c r="H242" s="63">
        <v>0</v>
      </c>
      <c r="I242" s="63">
        <v>0</v>
      </c>
      <c r="J242" s="63">
        <v>0</v>
      </c>
      <c r="K242" s="63">
        <v>75</v>
      </c>
      <c r="L242" s="63">
        <v>200</v>
      </c>
      <c r="M242" s="63">
        <v>250</v>
      </c>
      <c r="N242" s="63">
        <v>0</v>
      </c>
      <c r="O242" s="63">
        <v>0</v>
      </c>
      <c r="P242" s="57">
        <f t="shared" si="21"/>
        <v>2999</v>
      </c>
      <c r="Q242" s="60">
        <f>(D242+E242+F242+G242+H242+I242+J242+K242+N242+L242)*3%</f>
        <v>82.47</v>
      </c>
      <c r="R242" s="60">
        <f>(D242+E242+F242+G242+H242+I242+J242+K242+N242+L242)*11%</f>
        <v>302.39</v>
      </c>
      <c r="S242" s="60">
        <v>0</v>
      </c>
      <c r="T242" s="57">
        <v>0</v>
      </c>
      <c r="U242" s="5">
        <f t="shared" si="19"/>
        <v>384.86</v>
      </c>
      <c r="V242" s="5">
        <f t="shared" si="22"/>
        <v>2614.14</v>
      </c>
      <c r="W242" s="23">
        <v>0</v>
      </c>
      <c r="X242" s="130"/>
      <c r="Y242" s="130"/>
      <c r="Z242" s="130"/>
    </row>
    <row r="243" spans="1:26" ht="33.950000000000003" customHeight="1" x14ac:dyDescent="0.2">
      <c r="A243" s="133">
        <v>234</v>
      </c>
      <c r="B243" s="72" t="s">
        <v>887</v>
      </c>
      <c r="C243" s="60" t="s">
        <v>491</v>
      </c>
      <c r="D243" s="65">
        <v>1223</v>
      </c>
      <c r="E243" s="63">
        <v>0</v>
      </c>
      <c r="F243" s="63">
        <v>0</v>
      </c>
      <c r="G243" s="63">
        <v>0</v>
      </c>
      <c r="H243" s="63">
        <v>1300</v>
      </c>
      <c r="I243" s="63">
        <v>3200</v>
      </c>
      <c r="J243" s="63">
        <v>0</v>
      </c>
      <c r="K243" s="63">
        <v>0</v>
      </c>
      <c r="L243" s="63">
        <v>0</v>
      </c>
      <c r="M243" s="63">
        <v>250</v>
      </c>
      <c r="N243" s="63">
        <v>0</v>
      </c>
      <c r="O243" s="63">
        <v>0</v>
      </c>
      <c r="P243" s="57">
        <f t="shared" si="21"/>
        <v>5973</v>
      </c>
      <c r="Q243" s="60">
        <f>(D243+E243+F243+G243+H243+I243+J243+K243+N243)*3%</f>
        <v>171.69</v>
      </c>
      <c r="R243" s="60">
        <f>(D243+E243+F243+G243+H243+I243+J243+K243+N243)*12%</f>
        <v>686.76</v>
      </c>
      <c r="S243" s="60">
        <v>0</v>
      </c>
      <c r="T243" s="57">
        <v>0</v>
      </c>
      <c r="U243" s="5">
        <f t="shared" si="19"/>
        <v>858.45</v>
      </c>
      <c r="V243" s="5">
        <f t="shared" si="22"/>
        <v>5114.55</v>
      </c>
      <c r="W243" s="23">
        <v>0</v>
      </c>
      <c r="X243" s="130"/>
      <c r="Y243" s="130"/>
      <c r="Z243" s="130"/>
    </row>
    <row r="244" spans="1:26" ht="33.950000000000003" customHeight="1" x14ac:dyDescent="0.2">
      <c r="A244" s="133">
        <v>235</v>
      </c>
      <c r="B244" s="60" t="s">
        <v>994</v>
      </c>
      <c r="C244" s="60" t="s">
        <v>904</v>
      </c>
      <c r="D244" s="65">
        <v>1476</v>
      </c>
      <c r="E244" s="63">
        <v>2000</v>
      </c>
      <c r="F244" s="63">
        <v>0</v>
      </c>
      <c r="G244" s="63">
        <v>1900</v>
      </c>
      <c r="H244" s="63">
        <v>0</v>
      </c>
      <c r="I244" s="63">
        <v>2600</v>
      </c>
      <c r="J244" s="63">
        <v>0</v>
      </c>
      <c r="K244" s="63">
        <v>50</v>
      </c>
      <c r="L244" s="63">
        <v>0</v>
      </c>
      <c r="M244" s="63">
        <v>250</v>
      </c>
      <c r="N244" s="63">
        <v>0</v>
      </c>
      <c r="O244" s="63">
        <v>0</v>
      </c>
      <c r="P244" s="57">
        <f t="shared" si="21"/>
        <v>8276</v>
      </c>
      <c r="Q244" s="60">
        <f>(D244+E244+F244+G244+H244+I244+J244+K244+N244)*3%</f>
        <v>240.78</v>
      </c>
      <c r="R244" s="60">
        <f>(D244+E244+F244+G244+H244+I244+J244+K244+N244)*14%</f>
        <v>1123.6400000000001</v>
      </c>
      <c r="S244" s="60">
        <v>146.41</v>
      </c>
      <c r="T244" s="57">
        <v>0</v>
      </c>
      <c r="U244" s="5">
        <f t="shared" si="19"/>
        <v>1364.42</v>
      </c>
      <c r="V244" s="5">
        <f t="shared" si="22"/>
        <v>6911.58</v>
      </c>
      <c r="W244" s="23">
        <v>0</v>
      </c>
      <c r="X244" s="130"/>
      <c r="Y244" s="130"/>
      <c r="Z244" s="130"/>
    </row>
    <row r="245" spans="1:26" ht="33.950000000000003" customHeight="1" x14ac:dyDescent="0.2">
      <c r="A245" s="133">
        <v>236</v>
      </c>
      <c r="B245" s="60" t="s">
        <v>670</v>
      </c>
      <c r="C245" s="60" t="s">
        <v>1007</v>
      </c>
      <c r="D245" s="65">
        <v>1074</v>
      </c>
      <c r="E245" s="63">
        <v>0</v>
      </c>
      <c r="F245" s="63">
        <v>0</v>
      </c>
      <c r="G245" s="63">
        <v>1000</v>
      </c>
      <c r="H245" s="63">
        <v>0</v>
      </c>
      <c r="I245" s="63">
        <v>0</v>
      </c>
      <c r="J245" s="63">
        <v>0</v>
      </c>
      <c r="K245" s="63">
        <v>0</v>
      </c>
      <c r="L245" s="63">
        <v>600</v>
      </c>
      <c r="M245" s="63">
        <v>250</v>
      </c>
      <c r="N245" s="63">
        <v>0</v>
      </c>
      <c r="O245" s="63">
        <v>0</v>
      </c>
      <c r="P245" s="57">
        <f t="shared" si="21"/>
        <v>2924</v>
      </c>
      <c r="Q245" s="60">
        <f>(D245+E245+F245+G245+H245+I245+J245+K245+N245+L245)*3%</f>
        <v>80.22</v>
      </c>
      <c r="R245" s="60">
        <f>(D245+E245+F245+G245+H245+I245+J245+K245+N245+L245)*11%</f>
        <v>294.14</v>
      </c>
      <c r="S245" s="60">
        <v>0</v>
      </c>
      <c r="T245" s="57">
        <v>0</v>
      </c>
      <c r="U245" s="5">
        <f t="shared" si="19"/>
        <v>374.36</v>
      </c>
      <c r="V245" s="5">
        <f t="shared" si="22"/>
        <v>2549.64</v>
      </c>
      <c r="W245" s="23">
        <v>0</v>
      </c>
      <c r="X245" s="130"/>
      <c r="Y245" s="130"/>
      <c r="Z245" s="130"/>
    </row>
    <row r="246" spans="1:26" ht="33.950000000000003" customHeight="1" x14ac:dyDescent="0.2">
      <c r="A246" s="133">
        <v>237</v>
      </c>
      <c r="B246" s="60" t="s">
        <v>671</v>
      </c>
      <c r="C246" s="60" t="s">
        <v>976</v>
      </c>
      <c r="D246" s="65">
        <v>1074</v>
      </c>
      <c r="E246" s="63">
        <v>600</v>
      </c>
      <c r="F246" s="63">
        <v>0</v>
      </c>
      <c r="G246" s="63">
        <v>1000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250</v>
      </c>
      <c r="N246" s="63">
        <v>0</v>
      </c>
      <c r="O246" s="63">
        <v>0</v>
      </c>
      <c r="P246" s="57">
        <f t="shared" si="21"/>
        <v>2924</v>
      </c>
      <c r="Q246" s="60">
        <f t="shared" ref="Q246:Q252" si="25">(D246+E246+F246+G246+H246+I246+J246+K246+N246)*3%</f>
        <v>80.22</v>
      </c>
      <c r="R246" s="60">
        <f>(D246+E246+F246+G246+H246+I246+J246+K246+N246)*11%</f>
        <v>294.14</v>
      </c>
      <c r="S246" s="60">
        <v>0</v>
      </c>
      <c r="T246" s="57">
        <v>0</v>
      </c>
      <c r="U246" s="5">
        <f t="shared" si="19"/>
        <v>374.36</v>
      </c>
      <c r="V246" s="5">
        <f t="shared" si="22"/>
        <v>2549.64</v>
      </c>
      <c r="W246" s="23">
        <v>0</v>
      </c>
      <c r="X246" s="130"/>
      <c r="Y246" s="130"/>
      <c r="Z246" s="130"/>
    </row>
    <row r="247" spans="1:26" ht="33.950000000000003" customHeight="1" x14ac:dyDescent="0.2">
      <c r="A247" s="133">
        <v>238</v>
      </c>
      <c r="B247" s="60" t="s">
        <v>672</v>
      </c>
      <c r="C247" s="64" t="s">
        <v>447</v>
      </c>
      <c r="D247" s="65">
        <v>1350</v>
      </c>
      <c r="E247" s="63">
        <v>2000</v>
      </c>
      <c r="F247" s="63">
        <v>0</v>
      </c>
      <c r="G247" s="63">
        <v>0</v>
      </c>
      <c r="H247" s="63">
        <v>1600</v>
      </c>
      <c r="I247" s="63">
        <v>2900</v>
      </c>
      <c r="J247" s="63">
        <v>0</v>
      </c>
      <c r="K247" s="63">
        <v>0</v>
      </c>
      <c r="L247" s="63">
        <v>0</v>
      </c>
      <c r="M247" s="63">
        <v>250</v>
      </c>
      <c r="N247" s="63">
        <v>0</v>
      </c>
      <c r="O247" s="63">
        <v>0</v>
      </c>
      <c r="P247" s="57">
        <f t="shared" si="21"/>
        <v>8100</v>
      </c>
      <c r="Q247" s="60">
        <f t="shared" si="25"/>
        <v>235.5</v>
      </c>
      <c r="R247" s="60">
        <f>(D247+E247+F247+G247+H247+I247+J247+K247+N247)*13%</f>
        <v>1020.5</v>
      </c>
      <c r="S247" s="60"/>
      <c r="T247" s="57">
        <v>0</v>
      </c>
      <c r="U247" s="5">
        <f t="shared" si="19"/>
        <v>1256</v>
      </c>
      <c r="V247" s="5">
        <f t="shared" si="22"/>
        <v>6844</v>
      </c>
      <c r="W247" s="23">
        <v>0</v>
      </c>
      <c r="X247" s="130"/>
      <c r="Y247" s="130"/>
      <c r="Z247" s="130"/>
    </row>
    <row r="248" spans="1:26" ht="33.950000000000003" customHeight="1" x14ac:dyDescent="0.2">
      <c r="A248" s="133">
        <v>239</v>
      </c>
      <c r="B248" s="60" t="s">
        <v>673</v>
      </c>
      <c r="C248" s="60" t="s">
        <v>447</v>
      </c>
      <c r="D248" s="65">
        <v>1350</v>
      </c>
      <c r="E248" s="63">
        <v>2000</v>
      </c>
      <c r="F248" s="63">
        <v>0</v>
      </c>
      <c r="G248" s="63">
        <v>0</v>
      </c>
      <c r="H248" s="63">
        <v>0</v>
      </c>
      <c r="I248" s="63">
        <v>4500</v>
      </c>
      <c r="J248" s="63">
        <v>0</v>
      </c>
      <c r="K248" s="63">
        <v>75</v>
      </c>
      <c r="L248" s="63">
        <v>0</v>
      </c>
      <c r="M248" s="63">
        <v>250</v>
      </c>
      <c r="N248" s="63">
        <v>0</v>
      </c>
      <c r="O248" s="63">
        <v>0</v>
      </c>
      <c r="P248" s="57">
        <f t="shared" si="21"/>
        <v>8175</v>
      </c>
      <c r="Q248" s="60">
        <f t="shared" si="25"/>
        <v>237.75</v>
      </c>
      <c r="R248" s="60">
        <f>(D248+E248+F248+G248+H248+I248+J248+K248+N248)*13%</f>
        <v>1030.25</v>
      </c>
      <c r="S248" s="60">
        <v>146.18</v>
      </c>
      <c r="T248" s="57">
        <v>0</v>
      </c>
      <c r="U248" s="5">
        <f t="shared" si="19"/>
        <v>1268</v>
      </c>
      <c r="V248" s="5">
        <f t="shared" si="22"/>
        <v>6907</v>
      </c>
      <c r="W248" s="23">
        <v>0</v>
      </c>
      <c r="X248" s="130"/>
      <c r="Y248" s="130"/>
      <c r="Z248" s="130"/>
    </row>
    <row r="249" spans="1:26" ht="33.950000000000003" customHeight="1" x14ac:dyDescent="0.2">
      <c r="A249" s="133">
        <v>240</v>
      </c>
      <c r="B249" s="60" t="s">
        <v>674</v>
      </c>
      <c r="C249" s="60" t="s">
        <v>988</v>
      </c>
      <c r="D249" s="65">
        <v>1634</v>
      </c>
      <c r="E249" s="63">
        <v>2400</v>
      </c>
      <c r="F249" s="63">
        <v>0</v>
      </c>
      <c r="G249" s="63">
        <v>0</v>
      </c>
      <c r="H249" s="63">
        <v>3000</v>
      </c>
      <c r="I249" s="63">
        <v>2400</v>
      </c>
      <c r="J249" s="63">
        <v>0</v>
      </c>
      <c r="K249" s="63">
        <v>0</v>
      </c>
      <c r="L249" s="63">
        <v>0</v>
      </c>
      <c r="M249" s="63">
        <v>250</v>
      </c>
      <c r="N249" s="63">
        <v>0</v>
      </c>
      <c r="O249" s="63">
        <v>0</v>
      </c>
      <c r="P249" s="57">
        <f t="shared" si="21"/>
        <v>9684</v>
      </c>
      <c r="Q249" s="60">
        <f t="shared" si="25"/>
        <v>283.02</v>
      </c>
      <c r="R249" s="60">
        <f>(D249+E249+F249+G249+H249+I249+J249+K249+N249)*14%</f>
        <v>1320.76</v>
      </c>
      <c r="S249" s="60">
        <v>204.84</v>
      </c>
      <c r="T249" s="57">
        <v>0</v>
      </c>
      <c r="U249" s="5">
        <f t="shared" si="19"/>
        <v>1603.78</v>
      </c>
      <c r="V249" s="5">
        <f t="shared" si="22"/>
        <v>8080.22</v>
      </c>
      <c r="W249" s="23">
        <v>0</v>
      </c>
      <c r="X249" s="130"/>
      <c r="Y249" s="130"/>
      <c r="Z249" s="130"/>
    </row>
    <row r="250" spans="1:26" ht="33.950000000000003" customHeight="1" x14ac:dyDescent="0.2">
      <c r="A250" s="133">
        <v>241</v>
      </c>
      <c r="B250" s="60" t="s">
        <v>675</v>
      </c>
      <c r="C250" s="60" t="s">
        <v>904</v>
      </c>
      <c r="D250" s="65">
        <v>1476</v>
      </c>
      <c r="E250" s="63">
        <v>2000</v>
      </c>
      <c r="F250" s="63">
        <v>0</v>
      </c>
      <c r="G250" s="63">
        <v>1900</v>
      </c>
      <c r="H250" s="63">
        <v>0</v>
      </c>
      <c r="I250" s="63">
        <v>2600</v>
      </c>
      <c r="J250" s="63">
        <v>0</v>
      </c>
      <c r="K250" s="63">
        <v>50</v>
      </c>
      <c r="L250" s="63">
        <v>0</v>
      </c>
      <c r="M250" s="63">
        <v>250</v>
      </c>
      <c r="N250" s="63">
        <v>0</v>
      </c>
      <c r="O250" s="63">
        <v>0</v>
      </c>
      <c r="P250" s="57">
        <f t="shared" si="21"/>
        <v>8276</v>
      </c>
      <c r="Q250" s="60">
        <f t="shared" si="25"/>
        <v>240.78</v>
      </c>
      <c r="R250" s="60">
        <f>(D250+E250+F250+G250+H250+I250+J250+K250+N250)*14%</f>
        <v>1123.6400000000001</v>
      </c>
      <c r="S250" s="60">
        <v>146.41</v>
      </c>
      <c r="T250" s="57">
        <v>0</v>
      </c>
      <c r="U250" s="5">
        <f t="shared" ref="U250:U300" si="26">(Q250+R250+T250)</f>
        <v>1364.42</v>
      </c>
      <c r="V250" s="5">
        <f t="shared" si="22"/>
        <v>6911.58</v>
      </c>
      <c r="W250" s="23">
        <v>0</v>
      </c>
      <c r="X250" s="130"/>
      <c r="Y250" s="130"/>
      <c r="Z250" s="130"/>
    </row>
    <row r="251" spans="1:26" ht="33.950000000000003" customHeight="1" x14ac:dyDescent="0.2">
      <c r="A251" s="133">
        <v>242</v>
      </c>
      <c r="B251" s="60" t="s">
        <v>676</v>
      </c>
      <c r="C251" s="60" t="s">
        <v>447</v>
      </c>
      <c r="D251" s="65">
        <v>1350</v>
      </c>
      <c r="E251" s="63">
        <v>2000</v>
      </c>
      <c r="F251" s="63">
        <v>0</v>
      </c>
      <c r="G251" s="63">
        <v>0</v>
      </c>
      <c r="H251" s="63">
        <v>0</v>
      </c>
      <c r="I251" s="63">
        <v>4500</v>
      </c>
      <c r="J251" s="63">
        <v>0</v>
      </c>
      <c r="K251" s="63">
        <v>0</v>
      </c>
      <c r="L251" s="63">
        <v>0</v>
      </c>
      <c r="M251" s="63">
        <v>250</v>
      </c>
      <c r="N251" s="63">
        <v>0</v>
      </c>
      <c r="O251" s="63">
        <v>0</v>
      </c>
      <c r="P251" s="57">
        <f t="shared" si="21"/>
        <v>8100</v>
      </c>
      <c r="Q251" s="60">
        <f t="shared" si="25"/>
        <v>235.5</v>
      </c>
      <c r="R251" s="60">
        <f>(D251+E251+F251+G251+H251+I251+J251+K251+N251)*13%</f>
        <v>1020.5</v>
      </c>
      <c r="S251" s="60">
        <v>143.06</v>
      </c>
      <c r="T251" s="57">
        <v>0</v>
      </c>
      <c r="U251" s="5">
        <f t="shared" si="26"/>
        <v>1256</v>
      </c>
      <c r="V251" s="5">
        <f t="shared" si="22"/>
        <v>6844</v>
      </c>
      <c r="W251" s="23">
        <v>0</v>
      </c>
      <c r="X251" s="130"/>
      <c r="Y251" s="130"/>
      <c r="Z251" s="130"/>
    </row>
    <row r="252" spans="1:26" ht="33.950000000000003" customHeight="1" x14ac:dyDescent="0.2">
      <c r="A252" s="133">
        <v>243</v>
      </c>
      <c r="B252" s="60" t="s">
        <v>677</v>
      </c>
      <c r="C252" s="60" t="s">
        <v>576</v>
      </c>
      <c r="D252" s="65">
        <v>2425</v>
      </c>
      <c r="E252" s="63">
        <v>0</v>
      </c>
      <c r="F252" s="63">
        <v>1212.5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57">
        <f t="shared" si="21"/>
        <v>3637.5</v>
      </c>
      <c r="Q252" s="60">
        <f t="shared" si="25"/>
        <v>109.13</v>
      </c>
      <c r="R252" s="60">
        <f>(D252+E252+F252+G252+H252+I252+J252+K252+N252)*11%</f>
        <v>400.13</v>
      </c>
      <c r="S252" s="60">
        <v>0</v>
      </c>
      <c r="T252" s="57">
        <v>0</v>
      </c>
      <c r="U252" s="5">
        <f t="shared" si="26"/>
        <v>509.26</v>
      </c>
      <c r="V252" s="5">
        <f t="shared" si="22"/>
        <v>3128.24</v>
      </c>
      <c r="W252" s="23">
        <v>0</v>
      </c>
      <c r="X252" s="130"/>
      <c r="Y252" s="130"/>
      <c r="Z252" s="130"/>
    </row>
    <row r="253" spans="1:26" ht="33.950000000000003" customHeight="1" x14ac:dyDescent="0.2">
      <c r="A253" s="133">
        <v>244</v>
      </c>
      <c r="B253" s="60" t="s">
        <v>678</v>
      </c>
      <c r="C253" s="60" t="s">
        <v>1008</v>
      </c>
      <c r="D253" s="65">
        <v>1074</v>
      </c>
      <c r="E253" s="63">
        <v>400</v>
      </c>
      <c r="F253" s="63">
        <v>0</v>
      </c>
      <c r="G253" s="63">
        <v>1000</v>
      </c>
      <c r="H253" s="63">
        <v>0</v>
      </c>
      <c r="I253" s="63">
        <v>0</v>
      </c>
      <c r="J253" s="63">
        <v>0</v>
      </c>
      <c r="K253" s="63">
        <v>75</v>
      </c>
      <c r="L253" s="63">
        <v>200</v>
      </c>
      <c r="M253" s="63">
        <v>250</v>
      </c>
      <c r="N253" s="63">
        <v>0</v>
      </c>
      <c r="O253" s="63">
        <v>0</v>
      </c>
      <c r="P253" s="57">
        <f t="shared" si="21"/>
        <v>2999</v>
      </c>
      <c r="Q253" s="60">
        <f>(D253+E253+F253+G253+H253+I253+J253+K253+N253+L253)*3%</f>
        <v>82.47</v>
      </c>
      <c r="R253" s="60">
        <f>(D253+E253+F253+G253+H253+I253+J253+K253+N253+L253)*12%</f>
        <v>329.88</v>
      </c>
      <c r="S253" s="60">
        <v>0</v>
      </c>
      <c r="T253" s="57">
        <v>0</v>
      </c>
      <c r="U253" s="5">
        <f t="shared" si="26"/>
        <v>412.35</v>
      </c>
      <c r="V253" s="5">
        <f t="shared" si="22"/>
        <v>2586.65</v>
      </c>
      <c r="W253" s="23">
        <v>0</v>
      </c>
      <c r="X253" s="130"/>
      <c r="Y253" s="130"/>
      <c r="Z253" s="130"/>
    </row>
    <row r="254" spans="1:26" ht="33.950000000000003" customHeight="1" x14ac:dyDescent="0.2">
      <c r="A254" s="133">
        <v>245</v>
      </c>
      <c r="B254" s="60" t="s">
        <v>679</v>
      </c>
      <c r="C254" s="60" t="s">
        <v>445</v>
      </c>
      <c r="D254" s="65">
        <v>1074</v>
      </c>
      <c r="E254" s="63">
        <v>400</v>
      </c>
      <c r="F254" s="63">
        <v>0</v>
      </c>
      <c r="G254" s="63">
        <v>1000</v>
      </c>
      <c r="H254" s="63">
        <v>0</v>
      </c>
      <c r="I254" s="63">
        <v>0</v>
      </c>
      <c r="J254" s="63">
        <v>0</v>
      </c>
      <c r="K254" s="63">
        <v>50</v>
      </c>
      <c r="L254" s="63">
        <v>200</v>
      </c>
      <c r="M254" s="63">
        <v>250</v>
      </c>
      <c r="N254" s="63">
        <v>0</v>
      </c>
      <c r="O254" s="63">
        <v>0</v>
      </c>
      <c r="P254" s="57">
        <f t="shared" si="21"/>
        <v>2974</v>
      </c>
      <c r="Q254" s="60">
        <f>(D254+E254+F254+G254+H254+I254+J254+K254+L254+N254)*3%</f>
        <v>81.72</v>
      </c>
      <c r="R254" s="60">
        <f>(D254+E254+F254+G254+H254+I254+J254+K254+L254+N254)*11%</f>
        <v>299.64</v>
      </c>
      <c r="S254" s="60">
        <v>0</v>
      </c>
      <c r="T254" s="57">
        <v>0</v>
      </c>
      <c r="U254" s="5">
        <f t="shared" si="26"/>
        <v>381.36</v>
      </c>
      <c r="V254" s="5">
        <f t="shared" si="22"/>
        <v>2592.64</v>
      </c>
      <c r="W254" s="23">
        <v>0</v>
      </c>
      <c r="X254" s="130"/>
      <c r="Y254" s="130"/>
      <c r="Z254" s="130"/>
    </row>
    <row r="255" spans="1:26" ht="33.950000000000003" customHeight="1" x14ac:dyDescent="0.2">
      <c r="A255" s="133">
        <v>246</v>
      </c>
      <c r="B255" s="60" t="s">
        <v>680</v>
      </c>
      <c r="C255" s="60" t="s">
        <v>744</v>
      </c>
      <c r="D255" s="65">
        <v>1476</v>
      </c>
      <c r="E255" s="63">
        <v>2000</v>
      </c>
      <c r="F255" s="63">
        <v>0</v>
      </c>
      <c r="G255" s="63">
        <v>1900</v>
      </c>
      <c r="H255" s="63">
        <v>0</v>
      </c>
      <c r="I255" s="63">
        <v>2600</v>
      </c>
      <c r="J255" s="63">
        <v>0</v>
      </c>
      <c r="K255" s="63">
        <v>50</v>
      </c>
      <c r="L255" s="63">
        <v>0</v>
      </c>
      <c r="M255" s="63">
        <v>250</v>
      </c>
      <c r="N255" s="63">
        <v>0</v>
      </c>
      <c r="O255" s="63">
        <v>0</v>
      </c>
      <c r="P255" s="57">
        <f t="shared" si="21"/>
        <v>8276</v>
      </c>
      <c r="Q255" s="60">
        <f t="shared" ref="Q255:Q284" si="27">(D255+E255+F255+G255+H255+I255+J255+K255+N255)*3%</f>
        <v>240.78</v>
      </c>
      <c r="R255" s="60">
        <f>(D255+E255+F255+G255+H255+I255+J255+K255+N255)*14%</f>
        <v>1123.6400000000001</v>
      </c>
      <c r="S255" s="60">
        <v>146.41</v>
      </c>
      <c r="T255" s="57">
        <v>0</v>
      </c>
      <c r="U255" s="5">
        <f t="shared" si="26"/>
        <v>1364.42</v>
      </c>
      <c r="V255" s="5">
        <f t="shared" si="22"/>
        <v>6911.58</v>
      </c>
      <c r="W255" s="23">
        <v>0</v>
      </c>
      <c r="X255" s="130"/>
      <c r="Y255" s="130"/>
      <c r="Z255" s="130"/>
    </row>
    <row r="256" spans="1:26" ht="33.950000000000003" customHeight="1" x14ac:dyDescent="0.2">
      <c r="A256" s="133">
        <v>247</v>
      </c>
      <c r="B256" s="60" t="s">
        <v>681</v>
      </c>
      <c r="C256" s="60" t="s">
        <v>491</v>
      </c>
      <c r="D256" s="65">
        <v>1223</v>
      </c>
      <c r="E256" s="60">
        <f>2000</f>
        <v>2000</v>
      </c>
      <c r="F256" s="63">
        <v>0</v>
      </c>
      <c r="G256" s="63">
        <v>0</v>
      </c>
      <c r="H256" s="63">
        <v>1300</v>
      </c>
      <c r="I256" s="63">
        <f>3200</f>
        <v>3200</v>
      </c>
      <c r="J256" s="63">
        <v>0</v>
      </c>
      <c r="K256" s="63">
        <v>50</v>
      </c>
      <c r="L256" s="63">
        <v>0</v>
      </c>
      <c r="M256" s="63">
        <v>250</v>
      </c>
      <c r="N256" s="63">
        <v>0</v>
      </c>
      <c r="O256" s="63">
        <v>0</v>
      </c>
      <c r="P256" s="57">
        <f t="shared" si="21"/>
        <v>8023</v>
      </c>
      <c r="Q256" s="60">
        <f t="shared" si="27"/>
        <v>233.19</v>
      </c>
      <c r="R256" s="60">
        <f>(D256+E256+F256+G256+H256+I256+J256+K256+N256)*13%</f>
        <v>1010.49</v>
      </c>
      <c r="S256" s="60">
        <v>139.80000000000001</v>
      </c>
      <c r="T256" s="57">
        <v>0</v>
      </c>
      <c r="U256" s="5">
        <f t="shared" si="26"/>
        <v>1243.68</v>
      </c>
      <c r="V256" s="5">
        <f t="shared" si="22"/>
        <v>6779.32</v>
      </c>
      <c r="W256" s="23">
        <v>0</v>
      </c>
      <c r="X256" s="130"/>
      <c r="Y256" s="130"/>
      <c r="Z256" s="130"/>
    </row>
    <row r="257" spans="1:26" ht="42.75" customHeight="1" x14ac:dyDescent="0.2">
      <c r="A257" s="133">
        <v>248</v>
      </c>
      <c r="B257" s="60" t="s">
        <v>682</v>
      </c>
      <c r="C257" s="60" t="s">
        <v>973</v>
      </c>
      <c r="D257" s="65">
        <f>(485*4)+1476</f>
        <v>3416</v>
      </c>
      <c r="E257" s="63">
        <v>2000</v>
      </c>
      <c r="F257" s="63">
        <f>606.25*4</f>
        <v>2425</v>
      </c>
      <c r="G257" s="63">
        <v>0</v>
      </c>
      <c r="H257" s="63">
        <v>0</v>
      </c>
      <c r="I257" s="63">
        <v>4500</v>
      </c>
      <c r="J257" s="63">
        <v>0</v>
      </c>
      <c r="K257" s="63">
        <v>0</v>
      </c>
      <c r="L257" s="63">
        <v>0</v>
      </c>
      <c r="M257" s="63">
        <v>250</v>
      </c>
      <c r="N257" s="63">
        <v>0</v>
      </c>
      <c r="O257" s="63">
        <v>0</v>
      </c>
      <c r="P257" s="57">
        <f t="shared" si="21"/>
        <v>12591</v>
      </c>
      <c r="Q257" s="60">
        <f>(D257+E257+F257+G257+H257+I257+J257+K257+N257)*3%</f>
        <v>370.23</v>
      </c>
      <c r="R257" s="60">
        <f>(D257+E257+F257+G257+H257+I257+J257+K257+N257)*15%</f>
        <v>1851.15</v>
      </c>
      <c r="S257" s="60">
        <v>331.66</v>
      </c>
      <c r="T257" s="57">
        <v>0</v>
      </c>
      <c r="U257" s="5">
        <f t="shared" si="26"/>
        <v>2221.38</v>
      </c>
      <c r="V257" s="5">
        <f t="shared" si="22"/>
        <v>10369.620000000001</v>
      </c>
      <c r="W257" s="23">
        <v>0</v>
      </c>
      <c r="X257" s="130"/>
      <c r="Y257" s="130"/>
      <c r="Z257" s="130"/>
    </row>
    <row r="258" spans="1:26" ht="33.950000000000003" customHeight="1" x14ac:dyDescent="0.2">
      <c r="A258" s="133">
        <v>249</v>
      </c>
      <c r="B258" s="60" t="s">
        <v>683</v>
      </c>
      <c r="C258" s="60" t="s">
        <v>619</v>
      </c>
      <c r="D258" s="65">
        <v>1350</v>
      </c>
      <c r="E258" s="63">
        <v>1500</v>
      </c>
      <c r="F258" s="63">
        <v>0</v>
      </c>
      <c r="G258" s="63">
        <v>0</v>
      </c>
      <c r="H258" s="63">
        <v>1600</v>
      </c>
      <c r="I258" s="63">
        <v>0</v>
      </c>
      <c r="J258" s="63">
        <v>0</v>
      </c>
      <c r="K258" s="63">
        <v>0</v>
      </c>
      <c r="L258" s="63">
        <v>0</v>
      </c>
      <c r="M258" s="63">
        <v>250</v>
      </c>
      <c r="N258" s="63">
        <v>0</v>
      </c>
      <c r="O258" s="63">
        <v>0</v>
      </c>
      <c r="P258" s="57">
        <f t="shared" si="21"/>
        <v>4700</v>
      </c>
      <c r="Q258" s="60">
        <f t="shared" si="27"/>
        <v>133.5</v>
      </c>
      <c r="R258" s="60">
        <f>(D258+E258+F258+G258+H258+I258+J258+K258+N258)*11%</f>
        <v>489.5</v>
      </c>
      <c r="S258" s="60">
        <v>2.46</v>
      </c>
      <c r="T258" s="57">
        <v>0</v>
      </c>
      <c r="U258" s="5">
        <f t="shared" si="26"/>
        <v>623</v>
      </c>
      <c r="V258" s="5">
        <f t="shared" si="22"/>
        <v>4077</v>
      </c>
      <c r="W258" s="23">
        <v>0</v>
      </c>
      <c r="X258" s="130"/>
      <c r="Y258" s="130"/>
      <c r="Z258" s="130"/>
    </row>
    <row r="259" spans="1:26" ht="33.950000000000003" customHeight="1" x14ac:dyDescent="0.2">
      <c r="A259" s="133">
        <v>250</v>
      </c>
      <c r="B259" s="60" t="s">
        <v>684</v>
      </c>
      <c r="C259" s="60" t="s">
        <v>585</v>
      </c>
      <c r="D259" s="65">
        <v>1039</v>
      </c>
      <c r="E259" s="63">
        <v>0</v>
      </c>
      <c r="F259" s="63">
        <v>0</v>
      </c>
      <c r="G259" s="63">
        <v>1000</v>
      </c>
      <c r="H259" s="63">
        <v>0</v>
      </c>
      <c r="I259" s="63">
        <v>0</v>
      </c>
      <c r="J259" s="63">
        <v>0</v>
      </c>
      <c r="K259" s="63">
        <v>0</v>
      </c>
      <c r="L259" s="63">
        <v>600</v>
      </c>
      <c r="M259" s="63">
        <v>250</v>
      </c>
      <c r="N259" s="63">
        <v>0</v>
      </c>
      <c r="O259" s="63">
        <v>0</v>
      </c>
      <c r="P259" s="57">
        <f t="shared" si="21"/>
        <v>2889</v>
      </c>
      <c r="Q259" s="60">
        <f>(D259+E259+F259+G259+H259+I259+J259+K259+N259+L259)*3%</f>
        <v>79.17</v>
      </c>
      <c r="R259" s="60">
        <f>(D259+E259+F259+G259+H259+I259+J259+K259+N259+L259)*11%</f>
        <v>290.29000000000002</v>
      </c>
      <c r="S259" s="60">
        <v>0</v>
      </c>
      <c r="T259" s="57">
        <v>0</v>
      </c>
      <c r="U259" s="5">
        <f t="shared" si="26"/>
        <v>369.46</v>
      </c>
      <c r="V259" s="5">
        <f t="shared" si="22"/>
        <v>2519.54</v>
      </c>
      <c r="W259" s="23">
        <v>0</v>
      </c>
      <c r="X259" s="130"/>
      <c r="Y259" s="130"/>
      <c r="Z259" s="130"/>
    </row>
    <row r="260" spans="1:26" ht="44.25" customHeight="1" x14ac:dyDescent="0.2">
      <c r="A260" s="133">
        <v>251</v>
      </c>
      <c r="B260" s="60" t="s">
        <v>685</v>
      </c>
      <c r="C260" s="60" t="s">
        <v>976</v>
      </c>
      <c r="D260" s="65">
        <v>1074</v>
      </c>
      <c r="E260" s="63">
        <v>400</v>
      </c>
      <c r="F260" s="63">
        <v>0</v>
      </c>
      <c r="G260" s="63">
        <v>600</v>
      </c>
      <c r="H260" s="63">
        <v>0</v>
      </c>
      <c r="I260" s="63">
        <v>1400</v>
      </c>
      <c r="J260" s="63">
        <v>0</v>
      </c>
      <c r="K260" s="63">
        <v>50</v>
      </c>
      <c r="L260" s="63">
        <v>0</v>
      </c>
      <c r="M260" s="63">
        <v>250</v>
      </c>
      <c r="N260" s="63">
        <v>0</v>
      </c>
      <c r="O260" s="63">
        <v>0</v>
      </c>
      <c r="P260" s="57">
        <f t="shared" si="21"/>
        <v>3774</v>
      </c>
      <c r="Q260" s="60">
        <f t="shared" si="27"/>
        <v>105.72</v>
      </c>
      <c r="R260" s="60">
        <f>(D260+E260+F260+G260+H260+I260+J260+K260+N260)*11%</f>
        <v>387.64</v>
      </c>
      <c r="S260" s="60">
        <v>0</v>
      </c>
      <c r="T260" s="57">
        <v>0</v>
      </c>
      <c r="U260" s="5">
        <f t="shared" si="26"/>
        <v>493.36</v>
      </c>
      <c r="V260" s="5">
        <f t="shared" si="22"/>
        <v>3280.64</v>
      </c>
      <c r="W260" s="23">
        <v>0</v>
      </c>
      <c r="X260" s="130"/>
      <c r="Y260" s="130"/>
      <c r="Z260" s="130"/>
    </row>
    <row r="261" spans="1:26" ht="38.25" customHeight="1" x14ac:dyDescent="0.2">
      <c r="A261" s="133">
        <v>252</v>
      </c>
      <c r="B261" s="60" t="s">
        <v>686</v>
      </c>
      <c r="C261" s="60" t="s">
        <v>981</v>
      </c>
      <c r="D261" s="65">
        <f>(485*2)+1476</f>
        <v>2446</v>
      </c>
      <c r="E261" s="63">
        <v>650</v>
      </c>
      <c r="F261" s="63">
        <f>606.25*2</f>
        <v>1212.5</v>
      </c>
      <c r="G261" s="63">
        <v>1000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250</v>
      </c>
      <c r="N261" s="63">
        <v>0</v>
      </c>
      <c r="O261" s="63">
        <v>0</v>
      </c>
      <c r="P261" s="57">
        <f t="shared" si="21"/>
        <v>5558.5</v>
      </c>
      <c r="Q261" s="60">
        <f>(D261+E261+F261+G261+H261+I261+J261+K261+N261)*3%</f>
        <v>159.26</v>
      </c>
      <c r="R261" s="60">
        <f>(D261+E261+F261+G261+H261+I261+J261+K261+N261)*12%</f>
        <v>637.02</v>
      </c>
      <c r="S261" s="60">
        <v>38.11</v>
      </c>
      <c r="T261" s="57">
        <v>0</v>
      </c>
      <c r="U261" s="5">
        <f t="shared" si="26"/>
        <v>796.28</v>
      </c>
      <c r="V261" s="5">
        <f t="shared" si="22"/>
        <v>4762.22</v>
      </c>
      <c r="W261" s="23">
        <v>0</v>
      </c>
      <c r="X261" s="130"/>
      <c r="Y261" s="130"/>
      <c r="Z261" s="130"/>
    </row>
    <row r="262" spans="1:26" ht="33.950000000000003" customHeight="1" x14ac:dyDescent="0.2">
      <c r="A262" s="133">
        <v>253</v>
      </c>
      <c r="B262" s="60" t="s">
        <v>687</v>
      </c>
      <c r="C262" s="60" t="s">
        <v>988</v>
      </c>
      <c r="D262" s="65">
        <v>1634</v>
      </c>
      <c r="E262" s="63">
        <v>2400</v>
      </c>
      <c r="F262" s="63">
        <v>0</v>
      </c>
      <c r="G262" s="63">
        <v>0</v>
      </c>
      <c r="H262" s="63">
        <v>0</v>
      </c>
      <c r="I262" s="63">
        <v>5400</v>
      </c>
      <c r="J262" s="63">
        <v>0</v>
      </c>
      <c r="K262" s="63">
        <v>75</v>
      </c>
      <c r="L262" s="63">
        <v>0</v>
      </c>
      <c r="M262" s="63">
        <v>250</v>
      </c>
      <c r="N262" s="63">
        <v>0</v>
      </c>
      <c r="O262" s="63">
        <v>0</v>
      </c>
      <c r="P262" s="57">
        <f t="shared" si="21"/>
        <v>9759</v>
      </c>
      <c r="Q262" s="60">
        <f t="shared" si="27"/>
        <v>285.27</v>
      </c>
      <c r="R262" s="60">
        <f>(D262+E262+F262+G262+H262+I262+J262+K262+N262)*14%</f>
        <v>1331.26</v>
      </c>
      <c r="S262" s="60">
        <v>207.96</v>
      </c>
      <c r="T262" s="57">
        <v>0</v>
      </c>
      <c r="U262" s="5">
        <f t="shared" si="26"/>
        <v>1616.53</v>
      </c>
      <c r="V262" s="5">
        <f t="shared" si="22"/>
        <v>8142.47</v>
      </c>
      <c r="W262" s="23">
        <v>0</v>
      </c>
      <c r="X262" s="130"/>
      <c r="Y262" s="130"/>
      <c r="Z262" s="130"/>
    </row>
    <row r="263" spans="1:26" ht="33.950000000000003" customHeight="1" x14ac:dyDescent="0.2">
      <c r="A263" s="133">
        <v>254</v>
      </c>
      <c r="B263" s="67" t="s">
        <v>782</v>
      </c>
      <c r="C263" s="60" t="s">
        <v>1000</v>
      </c>
      <c r="D263" s="81">
        <v>1223</v>
      </c>
      <c r="E263" s="63">
        <v>2000</v>
      </c>
      <c r="F263" s="63">
        <v>0</v>
      </c>
      <c r="G263" s="63">
        <v>0</v>
      </c>
      <c r="H263" s="81">
        <v>1300</v>
      </c>
      <c r="I263" s="81">
        <v>3200</v>
      </c>
      <c r="J263" s="63">
        <v>0</v>
      </c>
      <c r="K263" s="63">
        <v>0</v>
      </c>
      <c r="L263" s="63">
        <v>0</v>
      </c>
      <c r="M263" s="63">
        <v>250</v>
      </c>
      <c r="N263" s="63">
        <v>0</v>
      </c>
      <c r="O263" s="63">
        <v>0</v>
      </c>
      <c r="P263" s="57">
        <f t="shared" si="21"/>
        <v>7973</v>
      </c>
      <c r="Q263" s="60">
        <f t="shared" si="27"/>
        <v>231.69</v>
      </c>
      <c r="R263" s="60">
        <f>(D263+E263+F263+G263+H263+I263+J263+K263+N263)*13%</f>
        <v>1003.99</v>
      </c>
      <c r="S263" s="60">
        <v>139.62</v>
      </c>
      <c r="T263" s="57">
        <v>0</v>
      </c>
      <c r="U263" s="5">
        <f t="shared" si="26"/>
        <v>1235.68</v>
      </c>
      <c r="V263" s="5">
        <f t="shared" si="22"/>
        <v>6737.32</v>
      </c>
      <c r="W263" s="23">
        <v>0</v>
      </c>
      <c r="X263" s="130"/>
      <c r="Y263" s="130"/>
      <c r="Z263" s="130"/>
    </row>
    <row r="264" spans="1:26" ht="33.950000000000003" customHeight="1" x14ac:dyDescent="0.2">
      <c r="A264" s="133">
        <v>255</v>
      </c>
      <c r="B264" s="60" t="s">
        <v>688</v>
      </c>
      <c r="C264" s="60" t="s">
        <v>746</v>
      </c>
      <c r="D264" s="86">
        <v>1575</v>
      </c>
      <c r="E264" s="63">
        <v>800</v>
      </c>
      <c r="F264" s="63">
        <v>0</v>
      </c>
      <c r="G264" s="63">
        <v>1000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250</v>
      </c>
      <c r="N264" s="63">
        <v>0</v>
      </c>
      <c r="O264" s="63">
        <v>0</v>
      </c>
      <c r="P264" s="57">
        <f t="shared" ref="P264:P300" si="28">SUM(D264:N264)</f>
        <v>3625</v>
      </c>
      <c r="Q264" s="60">
        <f t="shared" si="27"/>
        <v>101.25</v>
      </c>
      <c r="R264" s="60">
        <f>(D264+E264+F264+G264+H264+I264+J264+K264+N264)*11%</f>
        <v>371.25</v>
      </c>
      <c r="S264" s="60">
        <v>0</v>
      </c>
      <c r="T264" s="57">
        <v>0</v>
      </c>
      <c r="U264" s="5">
        <f t="shared" si="26"/>
        <v>472.5</v>
      </c>
      <c r="V264" s="5">
        <f t="shared" ref="V264:V300" si="29">P264-U264</f>
        <v>3152.5</v>
      </c>
      <c r="W264" s="23">
        <v>0</v>
      </c>
      <c r="X264" s="130"/>
      <c r="Y264" s="130"/>
      <c r="Z264" s="130"/>
    </row>
    <row r="265" spans="1:26" ht="33.950000000000003" customHeight="1" x14ac:dyDescent="0.2">
      <c r="A265" s="133">
        <v>256</v>
      </c>
      <c r="B265" s="60" t="s">
        <v>689</v>
      </c>
      <c r="C265" s="60" t="s">
        <v>1016</v>
      </c>
      <c r="D265" s="65">
        <v>2425</v>
      </c>
      <c r="E265" s="63">
        <v>0</v>
      </c>
      <c r="F265" s="63">
        <v>3031.25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57">
        <f t="shared" si="28"/>
        <v>5456.25</v>
      </c>
      <c r="Q265" s="60">
        <f t="shared" si="27"/>
        <v>163.69</v>
      </c>
      <c r="R265" s="60">
        <f>(D265+E265+F265+G265+H265+I265+J265+K265+N265)*12%</f>
        <v>654.75</v>
      </c>
      <c r="S265" s="60">
        <v>32.72</v>
      </c>
      <c r="T265" s="57">
        <v>0</v>
      </c>
      <c r="U265" s="5">
        <f t="shared" si="26"/>
        <v>818.44</v>
      </c>
      <c r="V265" s="5">
        <f t="shared" si="29"/>
        <v>4637.8100000000004</v>
      </c>
      <c r="W265" s="23">
        <v>0</v>
      </c>
      <c r="X265" s="130"/>
      <c r="Y265" s="130"/>
      <c r="Z265" s="130"/>
    </row>
    <row r="266" spans="1:26" ht="33.950000000000003" customHeight="1" x14ac:dyDescent="0.2">
      <c r="A266" s="133">
        <v>257</v>
      </c>
      <c r="B266" s="60" t="s">
        <v>690</v>
      </c>
      <c r="C266" s="60" t="s">
        <v>691</v>
      </c>
      <c r="D266" s="65">
        <v>1575</v>
      </c>
      <c r="E266" s="63">
        <v>700</v>
      </c>
      <c r="F266" s="63">
        <v>0</v>
      </c>
      <c r="G266" s="63">
        <v>1000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250</v>
      </c>
      <c r="N266" s="63">
        <v>0</v>
      </c>
      <c r="O266" s="63">
        <v>0</v>
      </c>
      <c r="P266" s="57">
        <f t="shared" si="28"/>
        <v>3525</v>
      </c>
      <c r="Q266" s="60">
        <f t="shared" si="27"/>
        <v>98.25</v>
      </c>
      <c r="R266" s="60">
        <f>(D266+E266+F266+G266+H266+I266+J266+K266+N266)*11%</f>
        <v>360.25</v>
      </c>
      <c r="S266" s="60">
        <v>0</v>
      </c>
      <c r="T266" s="57">
        <v>44.02</v>
      </c>
      <c r="U266" s="5">
        <f t="shared" si="26"/>
        <v>502.52</v>
      </c>
      <c r="V266" s="5">
        <f t="shared" si="29"/>
        <v>3022.48</v>
      </c>
      <c r="W266" s="23">
        <v>0</v>
      </c>
      <c r="X266" s="130"/>
      <c r="Y266" s="130"/>
      <c r="Z266" s="130"/>
    </row>
    <row r="267" spans="1:26" ht="33.950000000000003" customHeight="1" x14ac:dyDescent="0.2">
      <c r="A267" s="133">
        <v>258</v>
      </c>
      <c r="B267" s="64" t="s">
        <v>727</v>
      </c>
      <c r="C267" s="60" t="s">
        <v>545</v>
      </c>
      <c r="D267" s="65">
        <v>1128</v>
      </c>
      <c r="E267" s="63">
        <v>0</v>
      </c>
      <c r="F267" s="63">
        <v>0</v>
      </c>
      <c r="G267" s="63">
        <v>1000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250</v>
      </c>
      <c r="N267" s="63">
        <v>0</v>
      </c>
      <c r="O267" s="63">
        <v>0</v>
      </c>
      <c r="P267" s="57">
        <f t="shared" si="28"/>
        <v>2378</v>
      </c>
      <c r="Q267" s="60">
        <f t="shared" si="27"/>
        <v>63.84</v>
      </c>
      <c r="R267" s="60">
        <f>(D267+E267+F267+G267+H267+I267+J267+K267+N267)*11%</f>
        <v>234.08</v>
      </c>
      <c r="S267" s="60">
        <v>0</v>
      </c>
      <c r="T267" s="57">
        <v>0</v>
      </c>
      <c r="U267" s="5">
        <f t="shared" si="26"/>
        <v>297.92</v>
      </c>
      <c r="V267" s="5">
        <f t="shared" si="29"/>
        <v>2080.08</v>
      </c>
      <c r="W267" s="23">
        <v>0</v>
      </c>
      <c r="X267" s="130"/>
      <c r="Y267" s="130"/>
      <c r="Z267" s="130"/>
    </row>
    <row r="268" spans="1:26" ht="48.75" customHeight="1" x14ac:dyDescent="0.2">
      <c r="A268" s="133">
        <v>259</v>
      </c>
      <c r="B268" s="60" t="s">
        <v>692</v>
      </c>
      <c r="C268" s="60" t="s">
        <v>975</v>
      </c>
      <c r="D268" s="65">
        <f>485*4</f>
        <v>1940</v>
      </c>
      <c r="E268" s="63">
        <v>0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57">
        <f t="shared" si="28"/>
        <v>1940</v>
      </c>
      <c r="Q268" s="60">
        <f t="shared" si="27"/>
        <v>58.2</v>
      </c>
      <c r="R268" s="60">
        <f>(D268+E268+F268+G268+H268+I268+J268+K268+N268)*10%</f>
        <v>194</v>
      </c>
      <c r="S268" s="60">
        <v>0</v>
      </c>
      <c r="T268" s="57">
        <v>0</v>
      </c>
      <c r="U268" s="5">
        <f t="shared" si="26"/>
        <v>252.2</v>
      </c>
      <c r="V268" s="5">
        <f t="shared" si="29"/>
        <v>1687.8</v>
      </c>
      <c r="W268" s="23">
        <v>0</v>
      </c>
      <c r="X268" s="130"/>
      <c r="Y268" s="130"/>
      <c r="Z268" s="130"/>
    </row>
    <row r="269" spans="1:26" ht="33.950000000000003" customHeight="1" x14ac:dyDescent="0.2">
      <c r="A269" s="133">
        <v>260</v>
      </c>
      <c r="B269" s="60" t="s">
        <v>693</v>
      </c>
      <c r="C269" s="60" t="s">
        <v>988</v>
      </c>
      <c r="D269" s="65">
        <v>1634</v>
      </c>
      <c r="E269" s="63">
        <v>2400</v>
      </c>
      <c r="F269" s="63">
        <v>0</v>
      </c>
      <c r="G269" s="63">
        <v>0</v>
      </c>
      <c r="H269" s="63">
        <v>0</v>
      </c>
      <c r="I269" s="63">
        <v>5400</v>
      </c>
      <c r="J269" s="63">
        <v>0</v>
      </c>
      <c r="K269" s="63">
        <v>0</v>
      </c>
      <c r="L269" s="63">
        <v>0</v>
      </c>
      <c r="M269" s="63">
        <v>250</v>
      </c>
      <c r="N269" s="63">
        <v>0</v>
      </c>
      <c r="O269" s="63">
        <v>0</v>
      </c>
      <c r="P269" s="57">
        <f t="shared" si="28"/>
        <v>9684</v>
      </c>
      <c r="Q269" s="60">
        <f t="shared" si="27"/>
        <v>283.02</v>
      </c>
      <c r="R269" s="60">
        <f>(D269+E269+F269+G269+H269+I269+J269+K269+N269)*14%</f>
        <v>1320.76</v>
      </c>
      <c r="S269" s="60">
        <v>204.84</v>
      </c>
      <c r="T269" s="57">
        <v>0</v>
      </c>
      <c r="U269" s="5">
        <f t="shared" si="26"/>
        <v>1603.78</v>
      </c>
      <c r="V269" s="5">
        <f t="shared" si="29"/>
        <v>8080.22</v>
      </c>
      <c r="W269" s="23">
        <v>0</v>
      </c>
      <c r="X269" s="130"/>
      <c r="Y269" s="130"/>
      <c r="Z269" s="130"/>
    </row>
    <row r="270" spans="1:26" ht="33.950000000000003" customHeight="1" x14ac:dyDescent="0.2">
      <c r="A270" s="133">
        <v>261</v>
      </c>
      <c r="B270" s="60" t="s">
        <v>694</v>
      </c>
      <c r="C270" s="60" t="s">
        <v>447</v>
      </c>
      <c r="D270" s="65">
        <v>1350</v>
      </c>
      <c r="E270" s="63">
        <v>2000</v>
      </c>
      <c r="F270" s="63">
        <v>0</v>
      </c>
      <c r="G270" s="63">
        <v>0</v>
      </c>
      <c r="H270" s="63">
        <v>2500</v>
      </c>
      <c r="I270" s="63">
        <v>2000</v>
      </c>
      <c r="J270" s="63">
        <v>0</v>
      </c>
      <c r="K270" s="63">
        <v>75</v>
      </c>
      <c r="L270" s="63">
        <v>0</v>
      </c>
      <c r="M270" s="63">
        <v>250</v>
      </c>
      <c r="N270" s="63">
        <v>0</v>
      </c>
      <c r="O270" s="63">
        <v>0</v>
      </c>
      <c r="P270" s="57">
        <f t="shared" si="28"/>
        <v>8175</v>
      </c>
      <c r="Q270" s="60">
        <f t="shared" si="27"/>
        <v>237.75</v>
      </c>
      <c r="R270" s="60">
        <f>(D270+E270+F270+G270+H270+I270+J270+K270+N270)*13%</f>
        <v>1030.25</v>
      </c>
      <c r="S270" s="60">
        <v>146.18</v>
      </c>
      <c r="T270" s="57">
        <v>0</v>
      </c>
      <c r="U270" s="5">
        <f t="shared" si="26"/>
        <v>1268</v>
      </c>
      <c r="V270" s="5">
        <f t="shared" si="29"/>
        <v>6907</v>
      </c>
      <c r="W270" s="23">
        <v>0</v>
      </c>
      <c r="X270" s="130"/>
      <c r="Y270" s="130"/>
      <c r="Z270" s="130"/>
    </row>
    <row r="271" spans="1:26" ht="33.950000000000003" customHeight="1" x14ac:dyDescent="0.2">
      <c r="A271" s="133">
        <v>262</v>
      </c>
      <c r="B271" s="60" t="s">
        <v>695</v>
      </c>
      <c r="C271" s="60" t="s">
        <v>447</v>
      </c>
      <c r="D271" s="65">
        <v>1350</v>
      </c>
      <c r="E271" s="63">
        <v>2000</v>
      </c>
      <c r="F271" s="63">
        <v>0</v>
      </c>
      <c r="G271" s="63">
        <v>0</v>
      </c>
      <c r="H271" s="63">
        <v>0</v>
      </c>
      <c r="I271" s="63">
        <v>4500</v>
      </c>
      <c r="J271" s="63">
        <v>0</v>
      </c>
      <c r="K271" s="63">
        <v>0</v>
      </c>
      <c r="L271" s="63">
        <v>0</v>
      </c>
      <c r="M271" s="63">
        <v>250</v>
      </c>
      <c r="N271" s="63">
        <v>0</v>
      </c>
      <c r="O271" s="63">
        <v>0</v>
      </c>
      <c r="P271" s="57">
        <f t="shared" si="28"/>
        <v>8100</v>
      </c>
      <c r="Q271" s="60">
        <f t="shared" si="27"/>
        <v>235.5</v>
      </c>
      <c r="R271" s="60">
        <f>(D271+E271+F271+G271+H271+I271+J271+K271+N271)*13%</f>
        <v>1020.5</v>
      </c>
      <c r="S271" s="60">
        <v>143.03</v>
      </c>
      <c r="T271" s="57">
        <v>0</v>
      </c>
      <c r="U271" s="5">
        <f t="shared" si="26"/>
        <v>1256</v>
      </c>
      <c r="V271" s="5">
        <f t="shared" si="29"/>
        <v>6844</v>
      </c>
      <c r="W271" s="23">
        <v>0</v>
      </c>
      <c r="X271" s="130"/>
      <c r="Y271" s="130"/>
      <c r="Z271" s="130"/>
    </row>
    <row r="272" spans="1:26" ht="33.950000000000003" customHeight="1" x14ac:dyDescent="0.2">
      <c r="A272" s="133">
        <v>263</v>
      </c>
      <c r="B272" s="60" t="s">
        <v>696</v>
      </c>
      <c r="C272" s="60" t="s">
        <v>988</v>
      </c>
      <c r="D272" s="65">
        <v>1634</v>
      </c>
      <c r="E272" s="63">
        <v>2400</v>
      </c>
      <c r="F272" s="63">
        <v>0</v>
      </c>
      <c r="G272" s="63">
        <v>0</v>
      </c>
      <c r="H272" s="63">
        <v>3000</v>
      </c>
      <c r="I272" s="63">
        <v>2400</v>
      </c>
      <c r="J272" s="63">
        <v>0</v>
      </c>
      <c r="K272" s="63">
        <v>0</v>
      </c>
      <c r="L272" s="63">
        <v>0</v>
      </c>
      <c r="M272" s="63">
        <v>250</v>
      </c>
      <c r="N272" s="63">
        <v>0</v>
      </c>
      <c r="O272" s="63">
        <v>0</v>
      </c>
      <c r="P272" s="57">
        <f t="shared" si="28"/>
        <v>9684</v>
      </c>
      <c r="Q272" s="60">
        <f t="shared" si="27"/>
        <v>283.02</v>
      </c>
      <c r="R272" s="60">
        <f>(D272+E272+F272+G272+H272+I272+J272+K272+N272)*14%</f>
        <v>1320.76</v>
      </c>
      <c r="S272" s="60">
        <v>204.84</v>
      </c>
      <c r="T272" s="57">
        <v>0</v>
      </c>
      <c r="U272" s="5">
        <f t="shared" si="26"/>
        <v>1603.78</v>
      </c>
      <c r="V272" s="5">
        <f t="shared" si="29"/>
        <v>8080.22</v>
      </c>
      <c r="W272" s="23">
        <v>0</v>
      </c>
      <c r="X272" s="130"/>
      <c r="Y272" s="130"/>
      <c r="Z272" s="130"/>
    </row>
    <row r="273" spans="1:26" ht="33.950000000000003" customHeight="1" x14ac:dyDescent="0.2">
      <c r="A273" s="133">
        <v>264</v>
      </c>
      <c r="B273" s="60" t="s">
        <v>697</v>
      </c>
      <c r="C273" s="60" t="s">
        <v>989</v>
      </c>
      <c r="D273" s="65">
        <v>1634</v>
      </c>
      <c r="E273" s="63">
        <v>2400</v>
      </c>
      <c r="F273" s="63">
        <v>0</v>
      </c>
      <c r="G273" s="63">
        <v>0</v>
      </c>
      <c r="H273" s="63">
        <v>3000</v>
      </c>
      <c r="I273" s="63">
        <v>2400</v>
      </c>
      <c r="J273" s="63">
        <v>0</v>
      </c>
      <c r="K273" s="63">
        <v>0</v>
      </c>
      <c r="L273" s="63">
        <v>0</v>
      </c>
      <c r="M273" s="63">
        <v>250</v>
      </c>
      <c r="N273" s="63">
        <v>0</v>
      </c>
      <c r="O273" s="63">
        <v>0</v>
      </c>
      <c r="P273" s="57">
        <f t="shared" si="28"/>
        <v>9684</v>
      </c>
      <c r="Q273" s="60">
        <f t="shared" si="27"/>
        <v>283.02</v>
      </c>
      <c r="R273" s="60">
        <f>(D273+E273+F273+G273+H273+I273+J273+K273+N273)*14%</f>
        <v>1320.76</v>
      </c>
      <c r="S273" s="60">
        <v>204.84</v>
      </c>
      <c r="T273" s="57">
        <v>0</v>
      </c>
      <c r="U273" s="5">
        <f t="shared" si="26"/>
        <v>1603.78</v>
      </c>
      <c r="V273" s="5">
        <f t="shared" si="29"/>
        <v>8080.22</v>
      </c>
      <c r="W273" s="23">
        <v>0</v>
      </c>
      <c r="X273" s="130"/>
      <c r="Y273" s="130"/>
      <c r="Z273" s="130"/>
    </row>
    <row r="274" spans="1:26" ht="33.950000000000003" customHeight="1" x14ac:dyDescent="0.2">
      <c r="A274" s="133">
        <v>265</v>
      </c>
      <c r="B274" s="64" t="s">
        <v>698</v>
      </c>
      <c r="C274" s="64" t="s">
        <v>977</v>
      </c>
      <c r="D274" s="86">
        <v>1155</v>
      </c>
      <c r="E274" s="63">
        <v>0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57">
        <f t="shared" si="28"/>
        <v>1155</v>
      </c>
      <c r="Q274" s="60">
        <f t="shared" si="27"/>
        <v>34.65</v>
      </c>
      <c r="R274" s="60">
        <f>(D274+E274+F274+G274+H274+I274+J274+K274+N274)*10%</f>
        <v>115.5</v>
      </c>
      <c r="S274" s="60">
        <v>0</v>
      </c>
      <c r="T274" s="57">
        <v>0</v>
      </c>
      <c r="U274" s="5">
        <f t="shared" si="26"/>
        <v>150.15</v>
      </c>
      <c r="V274" s="5">
        <f t="shared" si="29"/>
        <v>1004.85</v>
      </c>
      <c r="W274" s="23">
        <v>0</v>
      </c>
      <c r="X274" s="130"/>
      <c r="Y274" s="130"/>
      <c r="Z274" s="130"/>
    </row>
    <row r="275" spans="1:26" ht="33.950000000000003" customHeight="1" x14ac:dyDescent="0.2">
      <c r="A275" s="133">
        <v>266</v>
      </c>
      <c r="B275" s="60" t="s">
        <v>699</v>
      </c>
      <c r="C275" s="60" t="s">
        <v>744</v>
      </c>
      <c r="D275" s="63">
        <v>1476</v>
      </c>
      <c r="E275" s="63">
        <v>2000</v>
      </c>
      <c r="F275" s="63">
        <v>0</v>
      </c>
      <c r="G275" s="63">
        <v>0</v>
      </c>
      <c r="H275" s="63">
        <v>1900</v>
      </c>
      <c r="I275" s="63">
        <v>2600</v>
      </c>
      <c r="J275" s="63">
        <v>0</v>
      </c>
      <c r="K275" s="63">
        <v>0</v>
      </c>
      <c r="L275" s="63">
        <v>0</v>
      </c>
      <c r="M275" s="63">
        <v>250</v>
      </c>
      <c r="N275" s="63">
        <v>0</v>
      </c>
      <c r="O275" s="63">
        <v>0</v>
      </c>
      <c r="P275" s="57">
        <f t="shared" si="28"/>
        <v>8226</v>
      </c>
      <c r="Q275" s="60">
        <f t="shared" si="27"/>
        <v>239.28</v>
      </c>
      <c r="R275" s="60">
        <f>(D275+E275+F275+G275+H275+I275+J275+K275+N275)*13%</f>
        <v>1036.8800000000001</v>
      </c>
      <c r="S275" s="60">
        <v>148.33000000000001</v>
      </c>
      <c r="T275" s="57">
        <v>0</v>
      </c>
      <c r="U275" s="5">
        <f t="shared" si="26"/>
        <v>1276.1600000000001</v>
      </c>
      <c r="V275" s="5">
        <f t="shared" si="29"/>
        <v>6949.84</v>
      </c>
      <c r="W275" s="23">
        <f>706</f>
        <v>706</v>
      </c>
      <c r="X275" s="130"/>
      <c r="Y275" s="130"/>
      <c r="Z275" s="130"/>
    </row>
    <row r="276" spans="1:26" ht="33.950000000000003" customHeight="1" x14ac:dyDescent="0.2">
      <c r="A276" s="133">
        <v>267</v>
      </c>
      <c r="B276" s="67" t="s">
        <v>751</v>
      </c>
      <c r="C276" s="67" t="s">
        <v>447</v>
      </c>
      <c r="D276" s="63">
        <v>1350</v>
      </c>
      <c r="E276" s="63">
        <v>0</v>
      </c>
      <c r="F276" s="63">
        <v>0</v>
      </c>
      <c r="G276" s="63">
        <v>0</v>
      </c>
      <c r="H276" s="63">
        <v>0</v>
      </c>
      <c r="I276" s="63">
        <v>4500</v>
      </c>
      <c r="J276" s="63">
        <v>0</v>
      </c>
      <c r="K276" s="63">
        <v>0</v>
      </c>
      <c r="L276" s="63">
        <v>0</v>
      </c>
      <c r="M276" s="63">
        <v>250</v>
      </c>
      <c r="N276" s="63">
        <v>0</v>
      </c>
      <c r="O276" s="63">
        <v>0</v>
      </c>
      <c r="P276" s="57">
        <f t="shared" si="28"/>
        <v>6100</v>
      </c>
      <c r="Q276" s="60">
        <f t="shared" si="27"/>
        <v>175.5</v>
      </c>
      <c r="R276" s="60">
        <f>(D276+E276+F276+G276+H276+I276+J276+K276+N276)*12%</f>
        <v>702</v>
      </c>
      <c r="S276" s="60">
        <v>61.96</v>
      </c>
      <c r="T276" s="57">
        <v>0</v>
      </c>
      <c r="U276" s="5">
        <f t="shared" si="26"/>
        <v>877.5</v>
      </c>
      <c r="V276" s="5">
        <f t="shared" si="29"/>
        <v>5222.5</v>
      </c>
      <c r="W276" s="23">
        <v>0</v>
      </c>
      <c r="X276" s="130"/>
      <c r="Y276" s="130"/>
      <c r="Z276" s="130"/>
    </row>
    <row r="277" spans="1:26" ht="33.950000000000003" customHeight="1" x14ac:dyDescent="0.2">
      <c r="A277" s="133">
        <v>268</v>
      </c>
      <c r="B277" s="60" t="s">
        <v>700</v>
      </c>
      <c r="C277" s="60" t="s">
        <v>985</v>
      </c>
      <c r="D277" s="65">
        <v>1476</v>
      </c>
      <c r="E277" s="63">
        <v>2000</v>
      </c>
      <c r="F277" s="63">
        <v>0</v>
      </c>
      <c r="G277" s="63">
        <v>1900</v>
      </c>
      <c r="H277" s="63">
        <v>0</v>
      </c>
      <c r="I277" s="63">
        <v>2600</v>
      </c>
      <c r="J277" s="63">
        <v>0</v>
      </c>
      <c r="K277" s="63">
        <v>50</v>
      </c>
      <c r="L277" s="63">
        <v>0</v>
      </c>
      <c r="M277" s="63">
        <v>250</v>
      </c>
      <c r="N277" s="63">
        <v>0</v>
      </c>
      <c r="O277" s="63">
        <v>0</v>
      </c>
      <c r="P277" s="57">
        <f t="shared" si="28"/>
        <v>8276</v>
      </c>
      <c r="Q277" s="60">
        <f t="shared" si="27"/>
        <v>240.78</v>
      </c>
      <c r="R277" s="60">
        <f>(D277+E277+F277+G277+H277+I277+J277+K277+N277)*14%</f>
        <v>1123.6400000000001</v>
      </c>
      <c r="S277" s="60">
        <v>146.41</v>
      </c>
      <c r="T277" s="57">
        <v>0</v>
      </c>
      <c r="U277" s="5">
        <f t="shared" si="26"/>
        <v>1364.42</v>
      </c>
      <c r="V277" s="5">
        <f t="shared" si="29"/>
        <v>6911.58</v>
      </c>
      <c r="W277" s="23">
        <v>0</v>
      </c>
      <c r="X277" s="130"/>
      <c r="Y277" s="130"/>
      <c r="Z277" s="130"/>
    </row>
    <row r="278" spans="1:26" ht="33.950000000000003" customHeight="1" x14ac:dyDescent="0.2">
      <c r="A278" s="133">
        <v>269</v>
      </c>
      <c r="B278" s="60" t="s">
        <v>701</v>
      </c>
      <c r="C278" s="60" t="s">
        <v>985</v>
      </c>
      <c r="D278" s="65">
        <v>1476</v>
      </c>
      <c r="E278" s="63">
        <v>2000</v>
      </c>
      <c r="F278" s="63">
        <v>0</v>
      </c>
      <c r="G278" s="63">
        <v>1900</v>
      </c>
      <c r="H278" s="63">
        <v>0</v>
      </c>
      <c r="I278" s="63">
        <v>2600</v>
      </c>
      <c r="J278" s="63">
        <v>0</v>
      </c>
      <c r="K278" s="63">
        <v>50</v>
      </c>
      <c r="L278" s="63">
        <v>0</v>
      </c>
      <c r="M278" s="63">
        <v>250</v>
      </c>
      <c r="N278" s="63">
        <v>0</v>
      </c>
      <c r="O278" s="63">
        <v>0</v>
      </c>
      <c r="P278" s="57">
        <f t="shared" si="28"/>
        <v>8276</v>
      </c>
      <c r="Q278" s="60">
        <f t="shared" si="27"/>
        <v>240.78</v>
      </c>
      <c r="R278" s="60">
        <f>(D278+E278+F278+G278+H278+I278+J278+K278+N278)*14%</f>
        <v>1123.6400000000001</v>
      </c>
      <c r="S278" s="60">
        <v>146.41</v>
      </c>
      <c r="T278" s="57">
        <v>0</v>
      </c>
      <c r="U278" s="5">
        <f t="shared" si="26"/>
        <v>1364.42</v>
      </c>
      <c r="V278" s="5">
        <f t="shared" si="29"/>
        <v>6911.58</v>
      </c>
      <c r="W278" s="23">
        <v>0</v>
      </c>
      <c r="X278" s="130"/>
      <c r="Y278" s="130"/>
      <c r="Z278" s="130"/>
    </row>
    <row r="279" spans="1:26" ht="66" customHeight="1" x14ac:dyDescent="0.2">
      <c r="A279" s="133">
        <v>270</v>
      </c>
      <c r="B279" s="60" t="s">
        <v>702</v>
      </c>
      <c r="C279" s="60" t="s">
        <v>1026</v>
      </c>
      <c r="D279" s="65">
        <f>1634</f>
        <v>1634</v>
      </c>
      <c r="E279" s="63">
        <v>1800</v>
      </c>
      <c r="F279" s="63">
        <v>0</v>
      </c>
      <c r="G279" s="63">
        <v>0</v>
      </c>
      <c r="H279" s="63">
        <v>2200</v>
      </c>
      <c r="I279" s="63">
        <v>0</v>
      </c>
      <c r="J279" s="63">
        <v>0</v>
      </c>
      <c r="K279" s="63">
        <v>75</v>
      </c>
      <c r="L279" s="63">
        <v>0</v>
      </c>
      <c r="M279" s="63">
        <v>250</v>
      </c>
      <c r="N279" s="63">
        <v>0</v>
      </c>
      <c r="O279" s="63">
        <v>0</v>
      </c>
      <c r="P279" s="57">
        <f t="shared" si="28"/>
        <v>5959</v>
      </c>
      <c r="Q279" s="60">
        <f t="shared" si="27"/>
        <v>171.27</v>
      </c>
      <c r="R279" s="60">
        <f>(D279+E279+F279+G279+H279+I279+J279+K279+N279)*15%</f>
        <v>856.35</v>
      </c>
      <c r="S279" s="60">
        <v>237.52</v>
      </c>
      <c r="T279" s="57">
        <v>0</v>
      </c>
      <c r="U279" s="5">
        <f t="shared" si="26"/>
        <v>1027.6199999999999</v>
      </c>
      <c r="V279" s="5">
        <f t="shared" si="29"/>
        <v>4931.38</v>
      </c>
      <c r="W279" s="23">
        <v>0</v>
      </c>
      <c r="X279" s="130"/>
      <c r="Y279" s="130"/>
      <c r="Z279" s="130"/>
    </row>
    <row r="280" spans="1:26" ht="33.950000000000003" customHeight="1" x14ac:dyDescent="0.2">
      <c r="A280" s="133">
        <v>271</v>
      </c>
      <c r="B280" s="60" t="s">
        <v>703</v>
      </c>
      <c r="C280" s="60" t="s">
        <v>619</v>
      </c>
      <c r="D280" s="65">
        <v>1350</v>
      </c>
      <c r="E280" s="63">
        <v>1500</v>
      </c>
      <c r="F280" s="63">
        <v>0</v>
      </c>
      <c r="G280" s="63">
        <v>0</v>
      </c>
      <c r="H280" s="63">
        <v>1600</v>
      </c>
      <c r="I280" s="63">
        <v>0</v>
      </c>
      <c r="J280" s="63">
        <v>0</v>
      </c>
      <c r="K280" s="63">
        <v>75</v>
      </c>
      <c r="L280" s="63">
        <v>0</v>
      </c>
      <c r="M280" s="63">
        <v>250</v>
      </c>
      <c r="N280" s="63">
        <v>0</v>
      </c>
      <c r="O280" s="63">
        <v>0</v>
      </c>
      <c r="P280" s="57">
        <f t="shared" si="28"/>
        <v>4775</v>
      </c>
      <c r="Q280" s="60">
        <f t="shared" si="27"/>
        <v>135.75</v>
      </c>
      <c r="R280" s="60">
        <f>(D280+E280+F280+G280+H280+I280+J280+K280+N280)*12%</f>
        <v>543</v>
      </c>
      <c r="S280" s="60">
        <v>5.65</v>
      </c>
      <c r="T280" s="57">
        <v>0</v>
      </c>
      <c r="U280" s="5">
        <f t="shared" si="26"/>
        <v>678.75</v>
      </c>
      <c r="V280" s="5">
        <f t="shared" si="29"/>
        <v>4096.25</v>
      </c>
      <c r="W280" s="23">
        <f>629</f>
        <v>629</v>
      </c>
      <c r="X280" s="130"/>
      <c r="Y280" s="130"/>
      <c r="Z280" s="130"/>
    </row>
    <row r="281" spans="1:26" ht="33.950000000000003" customHeight="1" x14ac:dyDescent="0.2">
      <c r="A281" s="133">
        <v>272</v>
      </c>
      <c r="B281" s="60" t="s">
        <v>704</v>
      </c>
      <c r="C281" s="60" t="s">
        <v>705</v>
      </c>
      <c r="D281" s="65">
        <v>1634</v>
      </c>
      <c r="E281" s="63">
        <v>2000</v>
      </c>
      <c r="F281" s="63">
        <v>0</v>
      </c>
      <c r="G281" s="63">
        <v>0</v>
      </c>
      <c r="H281" s="63">
        <v>0</v>
      </c>
      <c r="I281" s="63">
        <v>5400</v>
      </c>
      <c r="J281" s="63">
        <v>0</v>
      </c>
      <c r="K281" s="63">
        <v>0</v>
      </c>
      <c r="L281" s="63">
        <v>0</v>
      </c>
      <c r="M281" s="63">
        <v>250</v>
      </c>
      <c r="N281" s="63">
        <v>0</v>
      </c>
      <c r="O281" s="63">
        <v>0</v>
      </c>
      <c r="P281" s="57">
        <f t="shared" si="28"/>
        <v>9284</v>
      </c>
      <c r="Q281" s="60">
        <f t="shared" si="27"/>
        <v>271.02</v>
      </c>
      <c r="R281" s="60">
        <f>(D281+E281+F281+G281+H281+I281+J281+K281+N281)*11%</f>
        <v>993.74</v>
      </c>
      <c r="S281" s="60">
        <v>188.24</v>
      </c>
      <c r="T281" s="57">
        <v>0</v>
      </c>
      <c r="U281" s="5">
        <f t="shared" si="26"/>
        <v>1264.76</v>
      </c>
      <c r="V281" s="5">
        <f t="shared" si="29"/>
        <v>8019.24</v>
      </c>
      <c r="W281" s="23">
        <v>0</v>
      </c>
      <c r="X281" s="130"/>
      <c r="Y281" s="130"/>
      <c r="Z281" s="130"/>
    </row>
    <row r="282" spans="1:26" ht="33.950000000000003" customHeight="1" x14ac:dyDescent="0.2">
      <c r="A282" s="133">
        <v>273</v>
      </c>
      <c r="B282" s="60" t="s">
        <v>706</v>
      </c>
      <c r="C282" s="60" t="s">
        <v>904</v>
      </c>
      <c r="D282" s="65">
        <v>1476</v>
      </c>
      <c r="E282" s="63">
        <v>2000</v>
      </c>
      <c r="F282" s="63">
        <v>0</v>
      </c>
      <c r="G282" s="63">
        <v>0</v>
      </c>
      <c r="H282" s="63">
        <v>1900</v>
      </c>
      <c r="I282" s="63">
        <v>2600</v>
      </c>
      <c r="J282" s="63">
        <v>0</v>
      </c>
      <c r="K282" s="63">
        <v>35</v>
      </c>
      <c r="L282" s="63">
        <v>0</v>
      </c>
      <c r="M282" s="63">
        <v>250</v>
      </c>
      <c r="N282" s="63">
        <v>0</v>
      </c>
      <c r="O282" s="63">
        <v>0</v>
      </c>
      <c r="P282" s="57">
        <f t="shared" si="28"/>
        <v>8261</v>
      </c>
      <c r="Q282" s="60">
        <f t="shared" si="27"/>
        <v>240.33</v>
      </c>
      <c r="R282" s="60">
        <f>(D282+E282+F282+G282+H282+I282+J282+K282+N282)*14%</f>
        <v>1121.54</v>
      </c>
      <c r="S282" s="60">
        <v>145.79</v>
      </c>
      <c r="T282" s="57">
        <v>0</v>
      </c>
      <c r="U282" s="5">
        <f t="shared" si="26"/>
        <v>1361.87</v>
      </c>
      <c r="V282" s="5">
        <f t="shared" si="29"/>
        <v>6899.13</v>
      </c>
      <c r="W282" s="23">
        <v>0</v>
      </c>
      <c r="X282" s="130"/>
      <c r="Y282" s="130"/>
      <c r="Z282" s="130"/>
    </row>
    <row r="283" spans="1:26" ht="33.950000000000003" customHeight="1" x14ac:dyDescent="0.2">
      <c r="A283" s="133">
        <v>274</v>
      </c>
      <c r="B283" s="60" t="s">
        <v>707</v>
      </c>
      <c r="C283" s="60" t="s">
        <v>447</v>
      </c>
      <c r="D283" s="65">
        <v>1350</v>
      </c>
      <c r="E283" s="63">
        <v>2000</v>
      </c>
      <c r="F283" s="63">
        <v>0</v>
      </c>
      <c r="G283" s="63">
        <v>0</v>
      </c>
      <c r="H283" s="63">
        <v>0</v>
      </c>
      <c r="I283" s="63">
        <v>4500</v>
      </c>
      <c r="J283" s="63">
        <v>0</v>
      </c>
      <c r="K283" s="63">
        <v>75</v>
      </c>
      <c r="L283" s="63">
        <v>0</v>
      </c>
      <c r="M283" s="63">
        <v>250</v>
      </c>
      <c r="N283" s="63">
        <v>0</v>
      </c>
      <c r="O283" s="63">
        <v>0</v>
      </c>
      <c r="P283" s="57">
        <f t="shared" si="28"/>
        <v>8175</v>
      </c>
      <c r="Q283" s="60">
        <f t="shared" si="27"/>
        <v>237.75</v>
      </c>
      <c r="R283" s="60">
        <f>(D283+E283+F283+G283+H283+I283+J283+K283+N283)*13%</f>
        <v>1030.25</v>
      </c>
      <c r="S283" s="60">
        <v>146.18</v>
      </c>
      <c r="T283" s="57">
        <v>0</v>
      </c>
      <c r="U283" s="5">
        <f t="shared" si="26"/>
        <v>1268</v>
      </c>
      <c r="V283" s="5">
        <f t="shared" si="29"/>
        <v>6907</v>
      </c>
      <c r="W283" s="23">
        <v>0</v>
      </c>
      <c r="X283" s="130"/>
      <c r="Y283" s="130"/>
      <c r="Z283" s="130"/>
    </row>
    <row r="284" spans="1:26" ht="33.950000000000003" customHeight="1" x14ac:dyDescent="0.2">
      <c r="A284" s="133">
        <v>275</v>
      </c>
      <c r="B284" s="60" t="s">
        <v>708</v>
      </c>
      <c r="C284" s="60" t="s">
        <v>972</v>
      </c>
      <c r="D284" s="65">
        <f>362*6</f>
        <v>2172</v>
      </c>
      <c r="E284" s="63">
        <v>0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57">
        <f t="shared" si="28"/>
        <v>2172</v>
      </c>
      <c r="Q284" s="60">
        <f t="shared" si="27"/>
        <v>65.16</v>
      </c>
      <c r="R284" s="60">
        <f>(D284+E284+F284+G284+H284+I284+J284+K284+N284)*11%</f>
        <v>238.92</v>
      </c>
      <c r="S284" s="60">
        <v>0</v>
      </c>
      <c r="T284" s="57">
        <v>0</v>
      </c>
      <c r="U284" s="5">
        <f t="shared" si="26"/>
        <v>304.08</v>
      </c>
      <c r="V284" s="5">
        <f t="shared" si="29"/>
        <v>1867.92</v>
      </c>
      <c r="W284" s="23">
        <v>0</v>
      </c>
      <c r="X284" s="130"/>
      <c r="Y284" s="130"/>
      <c r="Z284" s="130"/>
    </row>
    <row r="285" spans="1:26" ht="33.950000000000003" customHeight="1" x14ac:dyDescent="0.2">
      <c r="A285" s="133">
        <v>276</v>
      </c>
      <c r="B285" s="69" t="s">
        <v>709</v>
      </c>
      <c r="C285" s="60" t="s">
        <v>585</v>
      </c>
      <c r="D285" s="63">
        <v>1039</v>
      </c>
      <c r="E285" s="63">
        <v>400</v>
      </c>
      <c r="F285" s="63">
        <v>0</v>
      </c>
      <c r="G285" s="63">
        <v>1000</v>
      </c>
      <c r="H285" s="63">
        <v>0</v>
      </c>
      <c r="I285" s="63">
        <v>0</v>
      </c>
      <c r="J285" s="63">
        <v>0</v>
      </c>
      <c r="K285" s="63">
        <v>0</v>
      </c>
      <c r="L285" s="63">
        <v>200</v>
      </c>
      <c r="M285" s="63">
        <v>250</v>
      </c>
      <c r="N285" s="63">
        <v>0</v>
      </c>
      <c r="O285" s="63">
        <v>0</v>
      </c>
      <c r="P285" s="57">
        <f t="shared" si="28"/>
        <v>2889</v>
      </c>
      <c r="Q285" s="60">
        <f>(D285+E285+F285+G285+H285+I285+J285+K285+N285+L285)*3%</f>
        <v>79.17</v>
      </c>
      <c r="R285" s="60">
        <f>(D285+E285+F285+G285+H285+I285+J285+K285+N285+L285)*11%</f>
        <v>290.29000000000002</v>
      </c>
      <c r="S285" s="60">
        <v>0</v>
      </c>
      <c r="T285" s="57">
        <v>0</v>
      </c>
      <c r="U285" s="5">
        <f t="shared" si="26"/>
        <v>369.46</v>
      </c>
      <c r="V285" s="5">
        <f t="shared" si="29"/>
        <v>2519.54</v>
      </c>
      <c r="W285" s="23">
        <v>0</v>
      </c>
      <c r="X285" s="130"/>
      <c r="Y285" s="130"/>
      <c r="Z285" s="130"/>
    </row>
    <row r="286" spans="1:26" ht="33.950000000000003" customHeight="1" x14ac:dyDescent="0.2">
      <c r="A286" s="133">
        <v>277</v>
      </c>
      <c r="B286" s="60" t="s">
        <v>710</v>
      </c>
      <c r="C286" s="60" t="s">
        <v>545</v>
      </c>
      <c r="D286" s="65">
        <v>1128</v>
      </c>
      <c r="E286" s="63">
        <v>550</v>
      </c>
      <c r="F286" s="63">
        <v>0</v>
      </c>
      <c r="G286" s="63">
        <v>1000</v>
      </c>
      <c r="H286" s="63">
        <v>0</v>
      </c>
      <c r="I286" s="63">
        <v>0</v>
      </c>
      <c r="J286" s="63">
        <v>0</v>
      </c>
      <c r="K286" s="63">
        <v>75</v>
      </c>
      <c r="L286" s="63">
        <v>0</v>
      </c>
      <c r="M286" s="63">
        <v>250</v>
      </c>
      <c r="N286" s="63">
        <v>0</v>
      </c>
      <c r="O286" s="63">
        <v>0</v>
      </c>
      <c r="P286" s="57">
        <f t="shared" si="28"/>
        <v>3003</v>
      </c>
      <c r="Q286" s="60">
        <f>(D286+E286+F286+G286+H286+I286+J286+K286+N286)*3%</f>
        <v>82.59</v>
      </c>
      <c r="R286" s="60">
        <f>(D286+E286+F286+G286+H286+I286+J286+K286+N286)*11%</f>
        <v>302.83</v>
      </c>
      <c r="S286" s="60">
        <v>0</v>
      </c>
      <c r="T286" s="57">
        <v>0</v>
      </c>
      <c r="U286" s="5">
        <f t="shared" si="26"/>
        <v>385.42</v>
      </c>
      <c r="V286" s="5">
        <f t="shared" si="29"/>
        <v>2617.58</v>
      </c>
      <c r="W286" s="23">
        <v>0</v>
      </c>
      <c r="X286" s="130"/>
      <c r="Y286" s="130"/>
      <c r="Z286" s="130"/>
    </row>
    <row r="287" spans="1:26" ht="33.950000000000003" customHeight="1" x14ac:dyDescent="0.2">
      <c r="A287" s="133">
        <v>278</v>
      </c>
      <c r="B287" s="60" t="s">
        <v>711</v>
      </c>
      <c r="C287" s="60" t="s">
        <v>985</v>
      </c>
      <c r="D287" s="65">
        <v>1476</v>
      </c>
      <c r="E287" s="63">
        <v>2000</v>
      </c>
      <c r="F287" s="63">
        <v>0</v>
      </c>
      <c r="G287" s="63">
        <v>1900</v>
      </c>
      <c r="H287" s="63">
        <v>0</v>
      </c>
      <c r="I287" s="63">
        <v>2600</v>
      </c>
      <c r="J287" s="63">
        <v>0</v>
      </c>
      <c r="K287" s="63">
        <v>50</v>
      </c>
      <c r="L287" s="63">
        <v>0</v>
      </c>
      <c r="M287" s="63">
        <v>250</v>
      </c>
      <c r="N287" s="63">
        <v>0</v>
      </c>
      <c r="O287" s="63">
        <v>0</v>
      </c>
      <c r="P287" s="57">
        <f t="shared" si="28"/>
        <v>8276</v>
      </c>
      <c r="Q287" s="60">
        <f>(D287+E287+F287+G287+H287+I287+J287+K287+N287)*3%</f>
        <v>240.78</v>
      </c>
      <c r="R287" s="60">
        <f>(D287+E287+F287+G287+H287+I287+J287+K287+N287)*14%</f>
        <v>1123.6400000000001</v>
      </c>
      <c r="S287" s="60">
        <v>146.41</v>
      </c>
      <c r="T287" s="57">
        <v>0</v>
      </c>
      <c r="U287" s="5">
        <f t="shared" si="26"/>
        <v>1364.42</v>
      </c>
      <c r="V287" s="5">
        <f t="shared" si="29"/>
        <v>6911.58</v>
      </c>
      <c r="W287" s="23">
        <v>0</v>
      </c>
      <c r="X287" s="130"/>
      <c r="Y287" s="130"/>
      <c r="Z287" s="130"/>
    </row>
    <row r="288" spans="1:26" ht="33.950000000000003" customHeight="1" x14ac:dyDescent="0.2">
      <c r="A288" s="133">
        <v>279</v>
      </c>
      <c r="B288" s="60" t="s">
        <v>712</v>
      </c>
      <c r="C288" s="60" t="s">
        <v>985</v>
      </c>
      <c r="D288" s="65">
        <v>1476</v>
      </c>
      <c r="E288" s="63">
        <v>2000</v>
      </c>
      <c r="F288" s="63">
        <v>0</v>
      </c>
      <c r="G288" s="63">
        <v>1900</v>
      </c>
      <c r="H288" s="63">
        <v>0</v>
      </c>
      <c r="I288" s="63">
        <v>2600</v>
      </c>
      <c r="J288" s="63">
        <v>0</v>
      </c>
      <c r="K288" s="63">
        <v>50</v>
      </c>
      <c r="L288" s="63">
        <v>0</v>
      </c>
      <c r="M288" s="63">
        <v>250</v>
      </c>
      <c r="N288" s="63">
        <v>0</v>
      </c>
      <c r="O288" s="63">
        <v>0</v>
      </c>
      <c r="P288" s="57">
        <f t="shared" si="28"/>
        <v>8276</v>
      </c>
      <c r="Q288" s="60">
        <f>(D288+E288+F288+G288+H288+I288+J288+K288+N288)*3%</f>
        <v>240.78</v>
      </c>
      <c r="R288" s="60">
        <f>(D288+E288+F288+G288+H288+I288+J288+K288+N288)*14%</f>
        <v>1123.6400000000001</v>
      </c>
      <c r="S288" s="60">
        <v>146.41</v>
      </c>
      <c r="T288" s="57">
        <v>0</v>
      </c>
      <c r="U288" s="5">
        <f t="shared" si="26"/>
        <v>1364.42</v>
      </c>
      <c r="V288" s="5">
        <f t="shared" si="29"/>
        <v>6911.58</v>
      </c>
      <c r="W288" s="23">
        <v>0</v>
      </c>
      <c r="X288" s="130"/>
      <c r="Y288" s="130"/>
      <c r="Z288" s="130"/>
    </row>
    <row r="289" spans="1:26" ht="33.950000000000003" customHeight="1" x14ac:dyDescent="0.2">
      <c r="A289" s="133">
        <v>280</v>
      </c>
      <c r="B289" s="60" t="s">
        <v>1042</v>
      </c>
      <c r="C289" s="60" t="s">
        <v>1043</v>
      </c>
      <c r="D289" s="65">
        <v>1168</v>
      </c>
      <c r="E289" s="63">
        <v>0</v>
      </c>
      <c r="F289" s="63">
        <v>0</v>
      </c>
      <c r="G289" s="63">
        <v>1000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250</v>
      </c>
      <c r="N289" s="63">
        <v>0</v>
      </c>
      <c r="O289" s="63">
        <v>0</v>
      </c>
      <c r="P289" s="57">
        <f t="shared" si="28"/>
        <v>2418</v>
      </c>
      <c r="Q289" s="60">
        <f>(D289+E289+F289+G289+H289+I289+J289+K289+N289)*3%</f>
        <v>65.040000000000006</v>
      </c>
      <c r="R289" s="60">
        <f>(D289+E289+F289+G289+H289+I289+J289+K289+N289)*11%</f>
        <v>238.48</v>
      </c>
      <c r="S289" s="60">
        <v>0</v>
      </c>
      <c r="T289" s="57">
        <v>0</v>
      </c>
      <c r="U289" s="5">
        <f t="shared" si="26"/>
        <v>303.52</v>
      </c>
      <c r="V289" s="5">
        <f t="shared" si="29"/>
        <v>2114.48</v>
      </c>
      <c r="W289" s="23">
        <v>0</v>
      </c>
      <c r="X289" s="130"/>
      <c r="Y289" s="130"/>
      <c r="Z289" s="130"/>
    </row>
    <row r="290" spans="1:26" ht="33.950000000000003" customHeight="1" x14ac:dyDescent="0.2">
      <c r="A290" s="133">
        <v>281</v>
      </c>
      <c r="B290" s="60" t="s">
        <v>713</v>
      </c>
      <c r="C290" s="60" t="s">
        <v>565</v>
      </c>
      <c r="D290" s="65">
        <f>485*3</f>
        <v>1455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57">
        <f t="shared" si="28"/>
        <v>1455</v>
      </c>
      <c r="Q290" s="60">
        <f>(D290+E290+F290+G290+H290+I290+J290+K290+N290)*3%</f>
        <v>43.65</v>
      </c>
      <c r="R290" s="60">
        <f>(D290+E290+F290+G290+H290+I290+J290+K290+N290)*11%</f>
        <v>160.05000000000001</v>
      </c>
      <c r="S290" s="60">
        <v>0</v>
      </c>
      <c r="T290" s="57">
        <v>0</v>
      </c>
      <c r="U290" s="5">
        <f t="shared" si="26"/>
        <v>203.7</v>
      </c>
      <c r="V290" s="5">
        <f t="shared" si="29"/>
        <v>1251.3</v>
      </c>
      <c r="W290" s="23">
        <v>0</v>
      </c>
      <c r="X290" s="130"/>
      <c r="Y290" s="130"/>
      <c r="Z290" s="130"/>
    </row>
    <row r="291" spans="1:26" ht="60" customHeight="1" x14ac:dyDescent="0.2">
      <c r="A291" s="133">
        <v>282</v>
      </c>
      <c r="B291" s="60" t="s">
        <v>714</v>
      </c>
      <c r="C291" s="60" t="s">
        <v>715</v>
      </c>
      <c r="D291" s="65">
        <v>1074</v>
      </c>
      <c r="E291" s="63">
        <v>0</v>
      </c>
      <c r="F291" s="63">
        <v>0</v>
      </c>
      <c r="G291" s="60">
        <v>1000</v>
      </c>
      <c r="H291" s="63">
        <v>0</v>
      </c>
      <c r="I291" s="63">
        <v>0</v>
      </c>
      <c r="J291" s="63">
        <v>0</v>
      </c>
      <c r="K291" s="63">
        <v>0</v>
      </c>
      <c r="L291" s="63">
        <v>600</v>
      </c>
      <c r="M291" s="63">
        <v>250</v>
      </c>
      <c r="N291" s="63">
        <v>0</v>
      </c>
      <c r="O291" s="63">
        <v>0</v>
      </c>
      <c r="P291" s="57">
        <f t="shared" si="28"/>
        <v>2924</v>
      </c>
      <c r="Q291" s="60">
        <f>(D291+E291+F291+G291+H291+I291+J291+K291+N291+L291)*3%</f>
        <v>80.22</v>
      </c>
      <c r="R291" s="60">
        <f>(D291+E291+F291+G291+H291+I291+J291+K291+N291+L291)*11%</f>
        <v>294.14</v>
      </c>
      <c r="S291" s="60">
        <v>0</v>
      </c>
      <c r="T291" s="57">
        <v>0</v>
      </c>
      <c r="U291" s="5">
        <f t="shared" si="26"/>
        <v>374.36</v>
      </c>
      <c r="V291" s="5">
        <f t="shared" si="29"/>
        <v>2549.64</v>
      </c>
      <c r="W291" s="23">
        <v>0</v>
      </c>
      <c r="X291" s="130"/>
      <c r="Y291" s="130"/>
      <c r="Z291" s="130"/>
    </row>
    <row r="292" spans="1:26" ht="33.950000000000003" customHeight="1" x14ac:dyDescent="0.2">
      <c r="A292" s="133">
        <v>283</v>
      </c>
      <c r="B292" s="64" t="s">
        <v>725</v>
      </c>
      <c r="C292" s="64" t="s">
        <v>447</v>
      </c>
      <c r="D292" s="65">
        <v>1350</v>
      </c>
      <c r="E292" s="63">
        <v>2000</v>
      </c>
      <c r="F292" s="63">
        <v>0</v>
      </c>
      <c r="G292" s="60">
        <v>0</v>
      </c>
      <c r="H292" s="63">
        <v>0</v>
      </c>
      <c r="I292" s="63">
        <f>2000+2500</f>
        <v>4500</v>
      </c>
      <c r="J292" s="63">
        <v>0</v>
      </c>
      <c r="K292" s="63">
        <v>0</v>
      </c>
      <c r="L292" s="63">
        <v>0</v>
      </c>
      <c r="M292" s="63">
        <v>250</v>
      </c>
      <c r="N292" s="63"/>
      <c r="O292" s="63">
        <v>0</v>
      </c>
      <c r="P292" s="57">
        <f t="shared" si="28"/>
        <v>8100</v>
      </c>
      <c r="Q292" s="60">
        <f>(D292+E292+F292+G292+H292+I292+J292+K292+N292)*3%</f>
        <v>235.5</v>
      </c>
      <c r="R292" s="60">
        <f>(D292+E292+F292+G292+H292+I292+J292+K292+N292)*13%</f>
        <v>1020.5</v>
      </c>
      <c r="S292" s="60">
        <v>143.03</v>
      </c>
      <c r="T292" s="57">
        <v>0</v>
      </c>
      <c r="U292" s="5">
        <f t="shared" si="26"/>
        <v>1256</v>
      </c>
      <c r="V292" s="5">
        <f t="shared" si="29"/>
        <v>6844</v>
      </c>
      <c r="W292" s="23">
        <v>0</v>
      </c>
      <c r="X292" s="130"/>
      <c r="Y292" s="130"/>
      <c r="Z292" s="130"/>
    </row>
    <row r="293" spans="1:26" ht="33.950000000000003" customHeight="1" x14ac:dyDescent="0.2">
      <c r="A293" s="133">
        <v>284</v>
      </c>
      <c r="B293" s="60" t="s">
        <v>716</v>
      </c>
      <c r="C293" s="64" t="s">
        <v>447</v>
      </c>
      <c r="D293" s="65">
        <v>1350</v>
      </c>
      <c r="E293" s="63">
        <v>2000</v>
      </c>
      <c r="F293" s="63">
        <v>0</v>
      </c>
      <c r="G293" s="63">
        <v>0</v>
      </c>
      <c r="H293" s="63">
        <v>1600</v>
      </c>
      <c r="I293" s="63">
        <v>2900</v>
      </c>
      <c r="J293" s="63">
        <v>0</v>
      </c>
      <c r="K293" s="63">
        <v>0</v>
      </c>
      <c r="L293" s="63">
        <v>0</v>
      </c>
      <c r="M293" s="63">
        <v>250</v>
      </c>
      <c r="N293" s="63">
        <v>0</v>
      </c>
      <c r="O293" s="63">
        <v>0</v>
      </c>
      <c r="P293" s="57">
        <f t="shared" si="28"/>
        <v>8100</v>
      </c>
      <c r="Q293" s="60">
        <f>(D293+E293+F293+G293+H293+I293+J293+K293+N293)*3%</f>
        <v>235.5</v>
      </c>
      <c r="R293" s="60">
        <f>(D293+E293+F293+G293+H293+I293+J293+K293+N293)*13%</f>
        <v>1020.5</v>
      </c>
      <c r="S293" s="60">
        <v>143.03</v>
      </c>
      <c r="T293" s="57">
        <v>0</v>
      </c>
      <c r="U293" s="5">
        <f t="shared" si="26"/>
        <v>1256</v>
      </c>
      <c r="V293" s="5">
        <f t="shared" si="29"/>
        <v>6844</v>
      </c>
      <c r="W293" s="23">
        <f>606</f>
        <v>606</v>
      </c>
      <c r="X293" s="130"/>
      <c r="Y293" s="130"/>
      <c r="Z293" s="130"/>
    </row>
    <row r="294" spans="1:26" ht="33.950000000000003" customHeight="1" x14ac:dyDescent="0.2">
      <c r="A294" s="133">
        <v>285</v>
      </c>
      <c r="B294" s="60" t="s">
        <v>987</v>
      </c>
      <c r="C294" s="87" t="s">
        <v>744</v>
      </c>
      <c r="D294" s="65">
        <v>1476</v>
      </c>
      <c r="E294" s="63">
        <v>2000</v>
      </c>
      <c r="F294" s="63">
        <v>0</v>
      </c>
      <c r="G294" s="63">
        <v>0</v>
      </c>
      <c r="H294" s="63">
        <v>0</v>
      </c>
      <c r="I294" s="63">
        <v>4500</v>
      </c>
      <c r="J294" s="63">
        <v>0</v>
      </c>
      <c r="K294" s="63">
        <v>0</v>
      </c>
      <c r="L294" s="63">
        <v>0</v>
      </c>
      <c r="M294" s="63">
        <v>250</v>
      </c>
      <c r="N294" s="63">
        <v>0</v>
      </c>
      <c r="O294" s="63">
        <v>0</v>
      </c>
      <c r="P294" s="57">
        <f t="shared" si="28"/>
        <v>8226</v>
      </c>
      <c r="Q294" s="60">
        <f>(D294+E294+F294+G294+H294+I294+J294+K294+N294)*3%</f>
        <v>239.28</v>
      </c>
      <c r="R294" s="60">
        <f>(D294+E294+F294+G294+H294+I294+J294+K294+N294)*13%</f>
        <v>1036.8800000000001</v>
      </c>
      <c r="S294" s="60">
        <v>148.33000000000001</v>
      </c>
      <c r="T294" s="57">
        <v>0</v>
      </c>
      <c r="U294" s="5">
        <f t="shared" si="26"/>
        <v>1276.1600000000001</v>
      </c>
      <c r="V294" s="5">
        <f t="shared" si="29"/>
        <v>6949.84</v>
      </c>
      <c r="W294" s="23">
        <v>0</v>
      </c>
      <c r="X294" s="130"/>
      <c r="Y294" s="130"/>
      <c r="Z294" s="130"/>
    </row>
    <row r="295" spans="1:26" ht="33.950000000000003" customHeight="1" x14ac:dyDescent="0.2">
      <c r="A295" s="133">
        <v>286</v>
      </c>
      <c r="B295" s="60" t="s">
        <v>717</v>
      </c>
      <c r="C295" s="60" t="s">
        <v>976</v>
      </c>
      <c r="D295" s="65">
        <v>1074</v>
      </c>
      <c r="E295" s="63">
        <v>400</v>
      </c>
      <c r="F295" s="63">
        <v>0</v>
      </c>
      <c r="G295" s="63">
        <v>1000</v>
      </c>
      <c r="H295" s="63">
        <v>0</v>
      </c>
      <c r="I295" s="63">
        <v>0</v>
      </c>
      <c r="J295" s="63">
        <v>0</v>
      </c>
      <c r="K295" s="63">
        <v>75</v>
      </c>
      <c r="L295" s="63">
        <v>200</v>
      </c>
      <c r="M295" s="63">
        <v>250</v>
      </c>
      <c r="N295" s="63">
        <v>0</v>
      </c>
      <c r="O295" s="63">
        <v>0</v>
      </c>
      <c r="P295" s="57">
        <f t="shared" si="28"/>
        <v>2999</v>
      </c>
      <c r="Q295" s="60">
        <f>(D295+E295+F295+G295+H295+I295+J295+K295+N295+L295)*3%</f>
        <v>82.47</v>
      </c>
      <c r="R295" s="60">
        <f>(D295+E295+F295+G295+H295+I295+J295+K295+N295+L295)*11%</f>
        <v>302.39</v>
      </c>
      <c r="S295" s="60">
        <v>0</v>
      </c>
      <c r="T295" s="57">
        <v>0</v>
      </c>
      <c r="U295" s="5">
        <f t="shared" si="26"/>
        <v>384.86</v>
      </c>
      <c r="V295" s="5">
        <f t="shared" si="29"/>
        <v>2614.14</v>
      </c>
      <c r="W295" s="23">
        <v>0</v>
      </c>
      <c r="X295" s="130"/>
      <c r="Y295" s="130"/>
      <c r="Z295" s="130"/>
    </row>
    <row r="296" spans="1:26" ht="33.950000000000003" customHeight="1" x14ac:dyDescent="0.2">
      <c r="A296" s="133">
        <v>287</v>
      </c>
      <c r="B296" s="60" t="s">
        <v>718</v>
      </c>
      <c r="C296" s="64" t="s">
        <v>447</v>
      </c>
      <c r="D296" s="65">
        <v>1350</v>
      </c>
      <c r="E296" s="63">
        <v>2000</v>
      </c>
      <c r="F296" s="63">
        <v>0</v>
      </c>
      <c r="G296" s="63">
        <v>0</v>
      </c>
      <c r="H296" s="63">
        <v>1600</v>
      </c>
      <c r="I296" s="63">
        <v>2900</v>
      </c>
      <c r="J296" s="63">
        <v>0</v>
      </c>
      <c r="K296" s="63">
        <v>0</v>
      </c>
      <c r="L296" s="63">
        <v>0</v>
      </c>
      <c r="M296" s="63">
        <v>250</v>
      </c>
      <c r="N296" s="63">
        <v>0</v>
      </c>
      <c r="O296" s="63">
        <v>0</v>
      </c>
      <c r="P296" s="57">
        <f t="shared" si="28"/>
        <v>8100</v>
      </c>
      <c r="Q296" s="60">
        <f>(D296+E296+F296+G296+H296+I296+J296+K296+N296)*3%</f>
        <v>235.5</v>
      </c>
      <c r="R296" s="60">
        <f>(D296+E296+F296+G296+H296+I296+J296+K296+N296)*13%</f>
        <v>1020.5</v>
      </c>
      <c r="S296" s="60">
        <v>143.03</v>
      </c>
      <c r="T296" s="57">
        <v>0</v>
      </c>
      <c r="U296" s="5">
        <f t="shared" si="26"/>
        <v>1256</v>
      </c>
      <c r="V296" s="5">
        <f t="shared" si="29"/>
        <v>6844</v>
      </c>
      <c r="W296" s="23">
        <f>630</f>
        <v>630</v>
      </c>
      <c r="X296" s="130"/>
      <c r="Y296" s="130"/>
      <c r="Z296" s="130"/>
    </row>
    <row r="297" spans="1:26" ht="33.950000000000003" customHeight="1" x14ac:dyDescent="0.2">
      <c r="A297" s="133">
        <v>288</v>
      </c>
      <c r="B297" s="60" t="s">
        <v>719</v>
      </c>
      <c r="C297" s="64" t="s">
        <v>447</v>
      </c>
      <c r="D297" s="65">
        <v>1350</v>
      </c>
      <c r="E297" s="63">
        <v>2000</v>
      </c>
      <c r="F297" s="63">
        <v>0</v>
      </c>
      <c r="G297" s="63">
        <v>0</v>
      </c>
      <c r="H297" s="63">
        <v>1600</v>
      </c>
      <c r="I297" s="63">
        <f>2900</f>
        <v>2900</v>
      </c>
      <c r="J297" s="63">
        <v>0</v>
      </c>
      <c r="K297" s="63">
        <v>75</v>
      </c>
      <c r="L297" s="63">
        <v>0</v>
      </c>
      <c r="M297" s="63">
        <v>250</v>
      </c>
      <c r="N297" s="63">
        <v>0</v>
      </c>
      <c r="O297" s="63">
        <v>0</v>
      </c>
      <c r="P297" s="57">
        <f t="shared" si="28"/>
        <v>8175</v>
      </c>
      <c r="Q297" s="60">
        <f>(D297+E297+F297+G297+H297+I297+J297+K297+N297)*3%</f>
        <v>237.75</v>
      </c>
      <c r="R297" s="60">
        <f>(D297+E297+F297+G297+H297+I297+J297+K297+N297)*13%</f>
        <v>1030.25</v>
      </c>
      <c r="S297" s="60">
        <v>146.18</v>
      </c>
      <c r="T297" s="57">
        <v>0</v>
      </c>
      <c r="U297" s="5">
        <f t="shared" si="26"/>
        <v>1268</v>
      </c>
      <c r="V297" s="5">
        <f t="shared" si="29"/>
        <v>6907</v>
      </c>
      <c r="W297" s="23">
        <v>0</v>
      </c>
      <c r="X297" s="130"/>
      <c r="Y297" s="130"/>
      <c r="Z297" s="130"/>
    </row>
    <row r="298" spans="1:26" ht="33.950000000000003" customHeight="1" x14ac:dyDescent="0.2">
      <c r="A298" s="133">
        <v>289</v>
      </c>
      <c r="B298" s="60" t="s">
        <v>720</v>
      </c>
      <c r="C298" s="64" t="s">
        <v>447</v>
      </c>
      <c r="D298" s="65">
        <v>1350</v>
      </c>
      <c r="E298" s="63">
        <v>2000</v>
      </c>
      <c r="F298" s="63">
        <v>0</v>
      </c>
      <c r="G298" s="63">
        <v>0</v>
      </c>
      <c r="H298" s="63">
        <v>1600</v>
      </c>
      <c r="I298" s="63">
        <v>2900</v>
      </c>
      <c r="J298" s="63">
        <v>0</v>
      </c>
      <c r="K298" s="63">
        <v>75</v>
      </c>
      <c r="L298" s="63">
        <v>0</v>
      </c>
      <c r="M298" s="63">
        <v>250</v>
      </c>
      <c r="N298" s="63">
        <v>0</v>
      </c>
      <c r="O298" s="63">
        <v>0</v>
      </c>
      <c r="P298" s="57">
        <f t="shared" si="28"/>
        <v>8175</v>
      </c>
      <c r="Q298" s="60">
        <f>(D298+E298+F298+G298+H298+I298+J298+K298+N298)*3%</f>
        <v>237.75</v>
      </c>
      <c r="R298" s="60">
        <f>(D298+E298+F298+G298+H298+I298+J298+K298+N298)*13%</f>
        <v>1030.25</v>
      </c>
      <c r="S298" s="60">
        <v>146.18</v>
      </c>
      <c r="T298" s="57">
        <v>0</v>
      </c>
      <c r="U298" s="5">
        <f t="shared" si="26"/>
        <v>1268</v>
      </c>
      <c r="V298" s="5">
        <f t="shared" si="29"/>
        <v>6907</v>
      </c>
      <c r="W298" s="23">
        <v>0</v>
      </c>
      <c r="X298" s="130"/>
      <c r="Y298" s="130"/>
      <c r="Z298" s="130"/>
    </row>
    <row r="299" spans="1:26" ht="44.25" customHeight="1" x14ac:dyDescent="0.2">
      <c r="A299" s="133">
        <v>290</v>
      </c>
      <c r="B299" s="60" t="s">
        <v>721</v>
      </c>
      <c r="C299" s="60" t="s">
        <v>997</v>
      </c>
      <c r="D299" s="65">
        <v>1192</v>
      </c>
      <c r="E299" s="63">
        <v>550</v>
      </c>
      <c r="F299" s="63">
        <v>0</v>
      </c>
      <c r="G299" s="63">
        <v>1000</v>
      </c>
      <c r="H299" s="63">
        <v>0</v>
      </c>
      <c r="I299" s="63">
        <v>0</v>
      </c>
      <c r="J299" s="63">
        <v>0</v>
      </c>
      <c r="K299" s="63">
        <v>50</v>
      </c>
      <c r="L299" s="63">
        <v>0</v>
      </c>
      <c r="M299" s="63">
        <v>250</v>
      </c>
      <c r="N299" s="63">
        <v>0</v>
      </c>
      <c r="O299" s="63">
        <v>0</v>
      </c>
      <c r="P299" s="57">
        <f t="shared" si="28"/>
        <v>3042</v>
      </c>
      <c r="Q299" s="60">
        <f>(D299+E299+F299+G299+H299+I299+J299+K299+N299)*3%</f>
        <v>83.76</v>
      </c>
      <c r="R299" s="60">
        <f>(D299+E299+F299+G299+H299+I299+J299+K299+N299)*11%</f>
        <v>307.12</v>
      </c>
      <c r="S299" s="60">
        <v>0</v>
      </c>
      <c r="T299" s="57">
        <v>0</v>
      </c>
      <c r="U299" s="5">
        <f t="shared" si="26"/>
        <v>390.88</v>
      </c>
      <c r="V299" s="5">
        <f t="shared" si="29"/>
        <v>2651.12</v>
      </c>
      <c r="W299" s="23">
        <v>0</v>
      </c>
      <c r="X299" s="130"/>
      <c r="Y299" s="130"/>
      <c r="Z299" s="130"/>
    </row>
    <row r="300" spans="1:26" ht="33.950000000000003" customHeight="1" x14ac:dyDescent="0.2">
      <c r="A300" s="133">
        <v>291</v>
      </c>
      <c r="B300" s="60" t="s">
        <v>722</v>
      </c>
      <c r="C300" s="64" t="s">
        <v>986</v>
      </c>
      <c r="D300" s="65">
        <v>1701</v>
      </c>
      <c r="E300" s="63">
        <v>1000</v>
      </c>
      <c r="F300" s="63">
        <v>0</v>
      </c>
      <c r="G300" s="63">
        <v>0</v>
      </c>
      <c r="H300" s="63">
        <v>0</v>
      </c>
      <c r="I300" s="63">
        <v>3000</v>
      </c>
      <c r="J300" s="63">
        <v>0</v>
      </c>
      <c r="K300" s="63">
        <v>0</v>
      </c>
      <c r="L300" s="63">
        <v>0</v>
      </c>
      <c r="M300" s="63">
        <v>250</v>
      </c>
      <c r="N300" s="63">
        <v>0</v>
      </c>
      <c r="O300" s="63">
        <v>0</v>
      </c>
      <c r="P300" s="57">
        <f t="shared" si="28"/>
        <v>5951</v>
      </c>
      <c r="Q300" s="60">
        <f>(D300+E300+F300+G300+H300+I300+J300+K300+N300)*3%</f>
        <v>171.03</v>
      </c>
      <c r="R300" s="60">
        <f>(D300+E300+F300+G300+H300+I300+J300+K300+N300)*12%</f>
        <v>684.12</v>
      </c>
      <c r="S300" s="60">
        <v>55.63</v>
      </c>
      <c r="T300" s="57">
        <v>76.62</v>
      </c>
      <c r="U300" s="5">
        <f t="shared" si="26"/>
        <v>931.77</v>
      </c>
      <c r="V300" s="5">
        <f t="shared" si="29"/>
        <v>5019.2299999999996</v>
      </c>
      <c r="W300" s="23">
        <v>0</v>
      </c>
      <c r="X300" s="130"/>
      <c r="Y300" s="130"/>
      <c r="Z300" s="130"/>
    </row>
    <row r="301" spans="1:26" ht="13.5" thickBot="1" x14ac:dyDescent="0.25">
      <c r="A301" s="157" t="s">
        <v>363</v>
      </c>
      <c r="B301" s="158"/>
      <c r="C301" s="158"/>
      <c r="D301" s="134">
        <f t="shared" ref="D301:O301" si="30">SUM(D10:D300)</f>
        <v>513847.5</v>
      </c>
      <c r="E301" s="134">
        <f t="shared" si="30"/>
        <v>375837</v>
      </c>
      <c r="F301" s="134">
        <f t="shared" si="30"/>
        <v>53068.75</v>
      </c>
      <c r="G301" s="134">
        <f t="shared" si="30"/>
        <v>149900</v>
      </c>
      <c r="H301" s="134">
        <f t="shared" si="30"/>
        <v>191075</v>
      </c>
      <c r="I301" s="134">
        <f t="shared" si="30"/>
        <v>532900</v>
      </c>
      <c r="J301" s="134">
        <f t="shared" si="30"/>
        <v>4125</v>
      </c>
      <c r="K301" s="134">
        <f t="shared" si="30"/>
        <v>6995</v>
      </c>
      <c r="L301" s="134">
        <f t="shared" si="30"/>
        <v>9400</v>
      </c>
      <c r="M301" s="134">
        <f t="shared" si="30"/>
        <v>61750</v>
      </c>
      <c r="N301" s="134">
        <f t="shared" si="30"/>
        <v>6000</v>
      </c>
      <c r="O301" s="134">
        <f t="shared" si="30"/>
        <v>1600</v>
      </c>
      <c r="P301" s="134">
        <f t="shared" ref="P301:V301" si="31">SUM(P10:P300)</f>
        <v>1904898.25</v>
      </c>
      <c r="Q301" s="134">
        <f t="shared" si="31"/>
        <v>55092.74</v>
      </c>
      <c r="R301" s="134">
        <f t="shared" si="31"/>
        <v>241223.39</v>
      </c>
      <c r="S301" s="134">
        <f t="shared" si="31"/>
        <v>43714.76</v>
      </c>
      <c r="T301" s="134">
        <f t="shared" si="31"/>
        <v>2667.39</v>
      </c>
      <c r="U301" s="134">
        <f t="shared" si="31"/>
        <v>298983.52</v>
      </c>
      <c r="V301" s="134">
        <f t="shared" si="31"/>
        <v>1605914.73</v>
      </c>
      <c r="W301" s="135">
        <v>0</v>
      </c>
      <c r="X301" s="130"/>
      <c r="Y301" s="130"/>
      <c r="Z301" s="130"/>
    </row>
  </sheetData>
  <protectedRanges>
    <protectedRange sqref="B41" name="Rango1_7_5_2_1_1_1_2_1_2"/>
  </protectedRanges>
  <mergeCells count="16">
    <mergeCell ref="A7:W7"/>
    <mergeCell ref="A1:W1"/>
    <mergeCell ref="A2:W2"/>
    <mergeCell ref="A3:W3"/>
    <mergeCell ref="A4:W4"/>
    <mergeCell ref="A5:W5"/>
    <mergeCell ref="A6:W6"/>
    <mergeCell ref="A301:C301"/>
    <mergeCell ref="A8:A9"/>
    <mergeCell ref="W8:W9"/>
    <mergeCell ref="B8:B9"/>
    <mergeCell ref="C8:C9"/>
    <mergeCell ref="D8:D9"/>
    <mergeCell ref="E8:P8"/>
    <mergeCell ref="Q8:U8"/>
    <mergeCell ref="V8:V9"/>
  </mergeCells>
  <printOptions horizontalCentered="1" verticalCentered="1"/>
  <pageMargins left="0.55118110236220474" right="0.55118110236220474" top="1.1811023622047245" bottom="1.3779527559055118" header="0.78740157480314965" footer="0"/>
  <pageSetup paperSize="5" scale="4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68"/>
  <sheetViews>
    <sheetView showGridLines="0" zoomScale="87" zoomScaleNormal="87" workbookViewId="0">
      <selection activeCell="B11" sqref="B11"/>
    </sheetView>
  </sheetViews>
  <sheetFormatPr baseColWidth="10" defaultColWidth="11.5703125" defaultRowHeight="12.75" x14ac:dyDescent="0.2"/>
  <cols>
    <col min="1" max="1" width="6.5703125" customWidth="1"/>
    <col min="2" max="2" width="40.85546875" customWidth="1"/>
    <col min="3" max="3" width="35.140625" customWidth="1"/>
    <col min="4" max="4" width="17.5703125" style="1" customWidth="1"/>
    <col min="5" max="5" width="15.28515625" style="1" customWidth="1"/>
    <col min="6" max="6" width="12.7109375" style="1" customWidth="1"/>
    <col min="7" max="7" width="14.42578125" style="1" customWidth="1"/>
    <col min="8" max="8" width="11" style="1" customWidth="1"/>
    <col min="9" max="9" width="18.42578125" style="1" customWidth="1"/>
    <col min="10" max="10" width="14.7109375" style="1" hidden="1" customWidth="1"/>
    <col min="11" max="11" width="14.28515625" style="1" hidden="1" customWidth="1"/>
    <col min="12" max="12" width="11" style="1" hidden="1" customWidth="1"/>
    <col min="13" max="13" width="11.28515625" style="1" hidden="1" customWidth="1"/>
    <col min="14" max="14" width="17" style="1" customWidth="1"/>
    <col min="15" max="15" width="17.140625" style="1" customWidth="1"/>
    <col min="16" max="16" width="14.42578125" customWidth="1"/>
    <col min="17" max="17" width="11.5703125" customWidth="1"/>
    <col min="18" max="18" width="13.7109375" customWidth="1"/>
    <col min="19" max="19" width="11.5703125" customWidth="1"/>
    <col min="20" max="20" width="13.5703125" customWidth="1"/>
    <col min="21" max="22" width="11.5703125" customWidth="1"/>
  </cols>
  <sheetData>
    <row r="1" spans="1:27" s="9" customFormat="1" ht="19.5" customHeight="1" x14ac:dyDescent="0.2">
      <c r="A1" s="16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7" s="9" customFormat="1" ht="12.75" customHeight="1" x14ac:dyDescent="0.2">
      <c r="A2" s="169" t="s">
        <v>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7" s="9" customFormat="1" ht="14.25" customHeight="1" x14ac:dyDescent="0.2">
      <c r="A3" s="169" t="s">
        <v>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7" s="9" customFormat="1" ht="14.25" customHeight="1" x14ac:dyDescent="0.2">
      <c r="A4" s="169" t="s">
        <v>293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170"/>
      <c r="S4" s="170"/>
      <c r="T4" s="170"/>
      <c r="U4" s="170"/>
      <c r="V4" s="170"/>
      <c r="W4" s="170"/>
      <c r="X4" s="170"/>
      <c r="Y4" s="10"/>
      <c r="Z4" s="10"/>
      <c r="AA4" s="10"/>
    </row>
    <row r="5" spans="1:27" s="9" customFormat="1" ht="14.25" customHeight="1" x14ac:dyDescent="0.2">
      <c r="A5" s="169" t="s">
        <v>1041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70"/>
      <c r="R5" s="170"/>
      <c r="S5" s="170"/>
      <c r="T5" s="170"/>
      <c r="U5" s="170"/>
      <c r="V5" s="170"/>
      <c r="W5" s="170"/>
      <c r="X5" s="170"/>
      <c r="Y5" s="10"/>
      <c r="Z5" s="10"/>
      <c r="AA5" s="10"/>
    </row>
    <row r="6" spans="1:27" s="9" customFormat="1" ht="14.25" customHeight="1" x14ac:dyDescent="0.2">
      <c r="A6" s="169" t="s">
        <v>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  <c r="R6" s="170"/>
      <c r="S6" s="170"/>
      <c r="T6" s="170"/>
      <c r="U6" s="170"/>
      <c r="V6" s="170"/>
      <c r="W6" s="170"/>
      <c r="X6" s="170"/>
      <c r="Y6" s="11"/>
      <c r="Z6" s="11"/>
      <c r="AA6" s="11"/>
    </row>
    <row r="7" spans="1:27" s="9" customFormat="1" x14ac:dyDescent="0.2">
      <c r="A7" s="167" t="s">
        <v>1058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8"/>
      <c r="S7" s="168"/>
      <c r="T7" s="168"/>
      <c r="U7" s="168"/>
      <c r="V7" s="168"/>
      <c r="W7" s="168"/>
      <c r="X7" s="168"/>
    </row>
    <row r="8" spans="1:27" x14ac:dyDescent="0.2">
      <c r="A8" s="173" t="s">
        <v>7</v>
      </c>
      <c r="B8" s="173" t="s">
        <v>11</v>
      </c>
      <c r="C8" s="174" t="s">
        <v>12</v>
      </c>
      <c r="D8" s="173" t="s">
        <v>13</v>
      </c>
      <c r="E8" s="173" t="s">
        <v>3</v>
      </c>
      <c r="F8" s="175"/>
      <c r="G8" s="175"/>
      <c r="H8" s="175"/>
      <c r="I8" s="175"/>
      <c r="J8" s="173" t="s">
        <v>22</v>
      </c>
      <c r="K8" s="173"/>
      <c r="L8" s="173"/>
      <c r="M8" s="173"/>
      <c r="N8" s="173"/>
      <c r="O8" s="173" t="s">
        <v>255</v>
      </c>
      <c r="P8" s="173" t="s">
        <v>747</v>
      </c>
    </row>
    <row r="9" spans="1:27" ht="38.25" x14ac:dyDescent="0.2">
      <c r="A9" s="173"/>
      <c r="B9" s="173"/>
      <c r="C9" s="174"/>
      <c r="D9" s="173"/>
      <c r="E9" s="38" t="s">
        <v>132</v>
      </c>
      <c r="F9" s="38" t="s">
        <v>15</v>
      </c>
      <c r="G9" s="38" t="s">
        <v>17</v>
      </c>
      <c r="H9" s="38" t="s">
        <v>757</v>
      </c>
      <c r="I9" s="38" t="s">
        <v>8</v>
      </c>
      <c r="J9" s="129" t="s">
        <v>18</v>
      </c>
      <c r="K9" s="129" t="s">
        <v>256</v>
      </c>
      <c r="L9" s="129" t="s">
        <v>19</v>
      </c>
      <c r="M9" s="129" t="s">
        <v>122</v>
      </c>
      <c r="N9" s="38" t="s">
        <v>20</v>
      </c>
      <c r="O9" s="173"/>
      <c r="P9" s="173"/>
    </row>
    <row r="10" spans="1:27" ht="27" customHeight="1" x14ac:dyDescent="0.2">
      <c r="A10" s="54">
        <v>1</v>
      </c>
      <c r="B10" s="60" t="s">
        <v>855</v>
      </c>
      <c r="C10" s="60" t="s">
        <v>257</v>
      </c>
      <c r="D10" s="60">
        <v>2425</v>
      </c>
      <c r="E10" s="64">
        <v>0</v>
      </c>
      <c r="F10" s="78">
        <v>0</v>
      </c>
      <c r="G10" s="62">
        <v>0</v>
      </c>
      <c r="H10" s="62">
        <v>0</v>
      </c>
      <c r="I10" s="62">
        <f t="shared" ref="I10:I73" si="0">(D10+E10+F10+G10+H10)</f>
        <v>2425</v>
      </c>
      <c r="J10" s="21">
        <f t="shared" ref="J10:J73" si="1">(D10+E10+F10)*3%</f>
        <v>72.75</v>
      </c>
      <c r="K10" s="21">
        <f>D10*11%</f>
        <v>266.75</v>
      </c>
      <c r="L10" s="21">
        <v>0</v>
      </c>
      <c r="M10" s="21">
        <v>0</v>
      </c>
      <c r="N10" s="24">
        <f t="shared" ref="N10:N41" si="2">J10+K10+L10+M10</f>
        <v>339.5</v>
      </c>
      <c r="O10" s="24">
        <f t="shared" ref="O10:O73" si="3">I10-N10</f>
        <v>2085.5</v>
      </c>
      <c r="P10" s="24">
        <v>0</v>
      </c>
      <c r="Q10" s="3"/>
      <c r="R10" s="3"/>
      <c r="S10" s="3"/>
      <c r="T10" s="3"/>
      <c r="U10" s="3"/>
      <c r="V10" s="3"/>
    </row>
    <row r="11" spans="1:27" ht="27" customHeight="1" x14ac:dyDescent="0.2">
      <c r="A11" s="54">
        <v>2</v>
      </c>
      <c r="B11" s="60" t="s">
        <v>335</v>
      </c>
      <c r="C11" s="60" t="s">
        <v>259</v>
      </c>
      <c r="D11" s="88">
        <v>1940</v>
      </c>
      <c r="E11" s="64">
        <v>0</v>
      </c>
      <c r="F11" s="78">
        <v>0</v>
      </c>
      <c r="G11" s="62">
        <v>0</v>
      </c>
      <c r="H11" s="62">
        <v>0</v>
      </c>
      <c r="I11" s="62">
        <f t="shared" si="0"/>
        <v>1940</v>
      </c>
      <c r="J11" s="21">
        <f t="shared" si="1"/>
        <v>58.2</v>
      </c>
      <c r="K11" s="21">
        <f>D11*10%</f>
        <v>194</v>
      </c>
      <c r="L11" s="21">
        <v>0</v>
      </c>
      <c r="M11" s="21">
        <v>0</v>
      </c>
      <c r="N11" s="24">
        <f t="shared" si="2"/>
        <v>252.2</v>
      </c>
      <c r="O11" s="24">
        <f t="shared" si="3"/>
        <v>1687.8</v>
      </c>
      <c r="P11" s="24">
        <v>0</v>
      </c>
      <c r="Q11" s="3"/>
      <c r="R11" s="3"/>
      <c r="S11" s="3"/>
      <c r="T11" s="3"/>
      <c r="U11" s="3"/>
      <c r="V11" s="3"/>
    </row>
    <row r="12" spans="1:27" ht="27" customHeight="1" x14ac:dyDescent="0.2">
      <c r="A12" s="54">
        <v>3</v>
      </c>
      <c r="B12" s="60" t="s">
        <v>181</v>
      </c>
      <c r="C12" s="60" t="s">
        <v>257</v>
      </c>
      <c r="D12" s="88">
        <v>2425</v>
      </c>
      <c r="E12" s="64">
        <v>0</v>
      </c>
      <c r="F12" s="78">
        <v>0</v>
      </c>
      <c r="G12" s="62">
        <v>0</v>
      </c>
      <c r="H12" s="62">
        <v>0</v>
      </c>
      <c r="I12" s="62">
        <f t="shared" si="0"/>
        <v>2425</v>
      </c>
      <c r="J12" s="21">
        <f t="shared" si="1"/>
        <v>72.75</v>
      </c>
      <c r="K12" s="21">
        <f>D12*11%</f>
        <v>266.75</v>
      </c>
      <c r="L12" s="21">
        <v>0</v>
      </c>
      <c r="M12" s="21">
        <v>0</v>
      </c>
      <c r="N12" s="24">
        <f t="shared" si="2"/>
        <v>339.5</v>
      </c>
      <c r="O12" s="24">
        <f t="shared" si="3"/>
        <v>2085.5</v>
      </c>
      <c r="P12" s="24">
        <v>0</v>
      </c>
      <c r="Q12" s="3"/>
      <c r="R12" s="3"/>
      <c r="S12" s="3"/>
      <c r="T12" s="3"/>
      <c r="U12" s="3"/>
      <c r="V12" s="3"/>
    </row>
    <row r="13" spans="1:27" ht="27" customHeight="1" x14ac:dyDescent="0.2">
      <c r="A13" s="54">
        <v>4</v>
      </c>
      <c r="B13" s="60" t="s">
        <v>929</v>
      </c>
      <c r="C13" s="66" t="s">
        <v>377</v>
      </c>
      <c r="D13" s="21">
        <v>3081</v>
      </c>
      <c r="E13" s="60">
        <v>1000</v>
      </c>
      <c r="F13" s="78">
        <v>0</v>
      </c>
      <c r="G13" s="62">
        <v>250</v>
      </c>
      <c r="H13" s="62">
        <v>0</v>
      </c>
      <c r="I13" s="62">
        <f t="shared" si="0"/>
        <v>4331</v>
      </c>
      <c r="J13" s="21">
        <f t="shared" si="1"/>
        <v>122.43</v>
      </c>
      <c r="K13" s="21">
        <f>(D13+E13)*12%</f>
        <v>489.72</v>
      </c>
      <c r="L13" s="21">
        <v>0</v>
      </c>
      <c r="M13" s="21">
        <v>0</v>
      </c>
      <c r="N13" s="24">
        <f t="shared" si="2"/>
        <v>612.15</v>
      </c>
      <c r="O13" s="24">
        <f t="shared" si="3"/>
        <v>3718.85</v>
      </c>
      <c r="P13" s="24">
        <v>0</v>
      </c>
      <c r="Q13" s="3"/>
      <c r="R13" s="3"/>
      <c r="S13" s="3"/>
      <c r="T13" s="3"/>
      <c r="U13" s="3"/>
      <c r="V13" s="3"/>
    </row>
    <row r="14" spans="1:27" ht="27" customHeight="1" x14ac:dyDescent="0.2">
      <c r="A14" s="54">
        <v>5</v>
      </c>
      <c r="B14" s="91" t="s">
        <v>36</v>
      </c>
      <c r="C14" s="60" t="s">
        <v>225</v>
      </c>
      <c r="D14" s="78">
        <v>2249</v>
      </c>
      <c r="E14" s="78">
        <v>1000</v>
      </c>
      <c r="F14" s="78">
        <v>0</v>
      </c>
      <c r="G14" s="78">
        <v>250</v>
      </c>
      <c r="H14" s="62">
        <v>0</v>
      </c>
      <c r="I14" s="62">
        <f t="shared" si="0"/>
        <v>3499</v>
      </c>
      <c r="J14" s="21">
        <f t="shared" si="1"/>
        <v>97.47</v>
      </c>
      <c r="K14" s="21">
        <f>(D14+E14)*11%</f>
        <v>357.39</v>
      </c>
      <c r="L14" s="21">
        <v>0</v>
      </c>
      <c r="M14" s="21">
        <v>0</v>
      </c>
      <c r="N14" s="24">
        <f t="shared" si="2"/>
        <v>454.86</v>
      </c>
      <c r="O14" s="24">
        <f t="shared" si="3"/>
        <v>3044.14</v>
      </c>
      <c r="P14" s="24">
        <v>0</v>
      </c>
      <c r="Q14" s="3"/>
      <c r="R14" s="3"/>
      <c r="S14" s="3"/>
      <c r="T14" s="3"/>
      <c r="U14" s="3"/>
      <c r="V14" s="3"/>
    </row>
    <row r="15" spans="1:27" ht="27" customHeight="1" x14ac:dyDescent="0.2">
      <c r="A15" s="54">
        <v>6</v>
      </c>
      <c r="B15" s="89" t="s">
        <v>915</v>
      </c>
      <c r="C15" s="66" t="s">
        <v>86</v>
      </c>
      <c r="D15" s="90">
        <v>2920</v>
      </c>
      <c r="E15" s="60">
        <v>1000</v>
      </c>
      <c r="F15" s="78">
        <v>0</v>
      </c>
      <c r="G15" s="62">
        <v>250</v>
      </c>
      <c r="H15" s="62">
        <v>0</v>
      </c>
      <c r="I15" s="62">
        <f t="shared" si="0"/>
        <v>4170</v>
      </c>
      <c r="J15" s="21">
        <f t="shared" si="1"/>
        <v>117.6</v>
      </c>
      <c r="K15" s="21">
        <f>(D15+E15)*11%</f>
        <v>431.2</v>
      </c>
      <c r="L15" s="21">
        <v>0</v>
      </c>
      <c r="M15" s="21">
        <v>0</v>
      </c>
      <c r="N15" s="24">
        <f t="shared" si="2"/>
        <v>548.79999999999995</v>
      </c>
      <c r="O15" s="24">
        <f t="shared" si="3"/>
        <v>3621.2</v>
      </c>
      <c r="P15" s="24">
        <v>0</v>
      </c>
      <c r="Q15" s="3"/>
      <c r="R15" s="3"/>
      <c r="S15" s="3"/>
      <c r="T15" s="3"/>
      <c r="U15" s="3"/>
      <c r="V15" s="3"/>
    </row>
    <row r="16" spans="1:27" ht="27" customHeight="1" x14ac:dyDescent="0.2">
      <c r="A16" s="54">
        <v>7</v>
      </c>
      <c r="B16" s="60" t="s">
        <v>118</v>
      </c>
      <c r="C16" s="60" t="s">
        <v>382</v>
      </c>
      <c r="D16" s="88">
        <v>2375</v>
      </c>
      <c r="E16" s="60">
        <v>1000</v>
      </c>
      <c r="F16" s="78">
        <v>0</v>
      </c>
      <c r="G16" s="62">
        <v>250</v>
      </c>
      <c r="H16" s="62">
        <v>0</v>
      </c>
      <c r="I16" s="62">
        <f t="shared" si="0"/>
        <v>3625</v>
      </c>
      <c r="J16" s="21">
        <f t="shared" si="1"/>
        <v>101.25</v>
      </c>
      <c r="K16" s="21">
        <f>(D16+E16)*11%</f>
        <v>371.25</v>
      </c>
      <c r="L16" s="21">
        <v>0</v>
      </c>
      <c r="M16" s="21">
        <v>0</v>
      </c>
      <c r="N16" s="24">
        <f t="shared" si="2"/>
        <v>472.5</v>
      </c>
      <c r="O16" s="24">
        <f t="shared" si="3"/>
        <v>3152.5</v>
      </c>
      <c r="P16" s="24">
        <v>0</v>
      </c>
      <c r="Q16" s="3"/>
      <c r="R16" s="3"/>
      <c r="S16" s="3"/>
      <c r="T16" s="3"/>
      <c r="U16" s="3"/>
      <c r="V16" s="3"/>
    </row>
    <row r="17" spans="1:22" ht="27" customHeight="1" x14ac:dyDescent="0.2">
      <c r="A17" s="54">
        <v>8</v>
      </c>
      <c r="B17" s="60" t="s">
        <v>294</v>
      </c>
      <c r="C17" s="60" t="s">
        <v>380</v>
      </c>
      <c r="D17" s="60">
        <v>2760</v>
      </c>
      <c r="E17" s="64">
        <v>1000</v>
      </c>
      <c r="F17" s="78">
        <v>0</v>
      </c>
      <c r="G17" s="62">
        <v>250</v>
      </c>
      <c r="H17" s="62">
        <v>0</v>
      </c>
      <c r="I17" s="62">
        <f t="shared" si="0"/>
        <v>4010</v>
      </c>
      <c r="J17" s="21">
        <f t="shared" si="1"/>
        <v>112.8</v>
      </c>
      <c r="K17" s="21">
        <f>(D17+E17)*11%</f>
        <v>413.6</v>
      </c>
      <c r="L17" s="21">
        <v>0</v>
      </c>
      <c r="M17" s="21">
        <v>0</v>
      </c>
      <c r="N17" s="24">
        <f t="shared" si="2"/>
        <v>526.4</v>
      </c>
      <c r="O17" s="24">
        <f t="shared" si="3"/>
        <v>3483.6</v>
      </c>
      <c r="P17" s="24">
        <v>0</v>
      </c>
      <c r="Q17" s="3"/>
      <c r="R17" s="3"/>
      <c r="S17" s="3"/>
      <c r="T17" s="3"/>
      <c r="U17" s="3"/>
      <c r="V17" s="3"/>
    </row>
    <row r="18" spans="1:22" ht="27" customHeight="1" x14ac:dyDescent="0.2">
      <c r="A18" s="54">
        <v>9</v>
      </c>
      <c r="B18" s="60" t="s">
        <v>258</v>
      </c>
      <c r="C18" s="60" t="s">
        <v>259</v>
      </c>
      <c r="D18" s="88">
        <v>1940</v>
      </c>
      <c r="E18" s="64">
        <v>0</v>
      </c>
      <c r="F18" s="78">
        <v>0</v>
      </c>
      <c r="G18" s="62">
        <v>0</v>
      </c>
      <c r="H18" s="62">
        <v>0</v>
      </c>
      <c r="I18" s="62">
        <f t="shared" si="0"/>
        <v>1940</v>
      </c>
      <c r="J18" s="21">
        <f t="shared" si="1"/>
        <v>58.2</v>
      </c>
      <c r="K18" s="21">
        <f>D18*10%</f>
        <v>194</v>
      </c>
      <c r="L18" s="21">
        <v>0</v>
      </c>
      <c r="M18" s="21">
        <v>0</v>
      </c>
      <c r="N18" s="24">
        <f t="shared" si="2"/>
        <v>252.2</v>
      </c>
      <c r="O18" s="24">
        <f t="shared" si="3"/>
        <v>1687.8</v>
      </c>
      <c r="P18" s="24">
        <v>0</v>
      </c>
      <c r="Q18" s="3"/>
      <c r="R18" s="3"/>
      <c r="S18" s="3"/>
      <c r="T18" s="3"/>
      <c r="U18" s="3"/>
      <c r="V18" s="3"/>
    </row>
    <row r="19" spans="1:22" ht="27" customHeight="1" x14ac:dyDescent="0.2">
      <c r="A19" s="54">
        <v>10</v>
      </c>
      <c r="B19" s="92" t="s">
        <v>360</v>
      </c>
      <c r="C19" s="60" t="s">
        <v>87</v>
      </c>
      <c r="D19" s="93">
        <v>1902</v>
      </c>
      <c r="E19" s="64">
        <v>1000</v>
      </c>
      <c r="F19" s="78">
        <v>0</v>
      </c>
      <c r="G19" s="62">
        <v>250</v>
      </c>
      <c r="H19" s="62">
        <v>0</v>
      </c>
      <c r="I19" s="62">
        <f t="shared" si="0"/>
        <v>3152</v>
      </c>
      <c r="J19" s="21">
        <f t="shared" si="1"/>
        <v>87.06</v>
      </c>
      <c r="K19" s="21">
        <v>319.22000000000003</v>
      </c>
      <c r="L19" s="21">
        <v>0</v>
      </c>
      <c r="M19" s="21">
        <v>39</v>
      </c>
      <c r="N19" s="24">
        <f t="shared" si="2"/>
        <v>445.28</v>
      </c>
      <c r="O19" s="24">
        <f t="shared" si="3"/>
        <v>2706.72</v>
      </c>
      <c r="P19" s="24">
        <v>0</v>
      </c>
      <c r="Q19" s="3"/>
      <c r="R19" s="3"/>
      <c r="S19" s="3"/>
      <c r="T19" s="3"/>
      <c r="U19" s="3"/>
      <c r="V19" s="3"/>
    </row>
    <row r="20" spans="1:22" ht="27" customHeight="1" x14ac:dyDescent="0.2">
      <c r="A20" s="54">
        <v>11</v>
      </c>
      <c r="B20" s="60" t="s">
        <v>75</v>
      </c>
      <c r="C20" s="60" t="s">
        <v>257</v>
      </c>
      <c r="D20" s="88">
        <v>2425</v>
      </c>
      <c r="E20" s="64">
        <v>0</v>
      </c>
      <c r="F20" s="78">
        <v>0</v>
      </c>
      <c r="G20" s="62">
        <v>0</v>
      </c>
      <c r="H20" s="62">
        <v>0</v>
      </c>
      <c r="I20" s="62">
        <f t="shared" si="0"/>
        <v>2425</v>
      </c>
      <c r="J20" s="21">
        <f t="shared" si="1"/>
        <v>72.75</v>
      </c>
      <c r="K20" s="21">
        <f>D20*11%</f>
        <v>266.75</v>
      </c>
      <c r="L20" s="21">
        <v>0</v>
      </c>
      <c r="M20" s="21">
        <v>0</v>
      </c>
      <c r="N20" s="24">
        <f t="shared" si="2"/>
        <v>339.5</v>
      </c>
      <c r="O20" s="24">
        <f t="shared" si="3"/>
        <v>2085.5</v>
      </c>
      <c r="P20" s="24">
        <v>0</v>
      </c>
      <c r="Q20" s="3"/>
      <c r="R20" s="3"/>
      <c r="S20" s="3"/>
      <c r="T20" s="3"/>
      <c r="U20" s="3"/>
      <c r="V20" s="3"/>
    </row>
    <row r="21" spans="1:22" ht="27" customHeight="1" x14ac:dyDescent="0.2">
      <c r="A21" s="54">
        <v>12</v>
      </c>
      <c r="B21" s="60" t="s">
        <v>83</v>
      </c>
      <c r="C21" s="60" t="s">
        <v>259</v>
      </c>
      <c r="D21" s="60">
        <v>1940</v>
      </c>
      <c r="E21" s="64">
        <v>0</v>
      </c>
      <c r="F21" s="78">
        <v>0</v>
      </c>
      <c r="G21" s="62">
        <v>0</v>
      </c>
      <c r="H21" s="62">
        <v>0</v>
      </c>
      <c r="I21" s="62">
        <f t="shared" si="0"/>
        <v>1940</v>
      </c>
      <c r="J21" s="21">
        <f t="shared" si="1"/>
        <v>58.2</v>
      </c>
      <c r="K21" s="21">
        <f>D21*10%</f>
        <v>194</v>
      </c>
      <c r="L21" s="21">
        <v>0</v>
      </c>
      <c r="M21" s="21">
        <v>0</v>
      </c>
      <c r="N21" s="24">
        <f t="shared" si="2"/>
        <v>252.2</v>
      </c>
      <c r="O21" s="24">
        <f t="shared" si="3"/>
        <v>1687.8</v>
      </c>
      <c r="P21" s="24">
        <v>0</v>
      </c>
      <c r="Q21" s="3"/>
      <c r="R21" s="3"/>
      <c r="S21" s="3"/>
      <c r="T21" s="3"/>
      <c r="U21" s="3"/>
      <c r="V21" s="3"/>
    </row>
    <row r="22" spans="1:22" ht="27" customHeight="1" x14ac:dyDescent="0.2">
      <c r="A22" s="54">
        <v>13</v>
      </c>
      <c r="B22" s="21" t="s">
        <v>224</v>
      </c>
      <c r="C22" s="60" t="s">
        <v>252</v>
      </c>
      <c r="D22" s="93">
        <v>5835</v>
      </c>
      <c r="E22" s="60">
        <v>3000</v>
      </c>
      <c r="F22" s="78">
        <v>375</v>
      </c>
      <c r="G22" s="62">
        <v>250</v>
      </c>
      <c r="H22" s="62">
        <v>0</v>
      </c>
      <c r="I22" s="62">
        <f t="shared" si="0"/>
        <v>9460</v>
      </c>
      <c r="J22" s="21">
        <f t="shared" si="1"/>
        <v>276.3</v>
      </c>
      <c r="K22" s="21">
        <f>(D22+E22)*14%</f>
        <v>1236.9000000000001</v>
      </c>
      <c r="L22" s="21">
        <v>195.55</v>
      </c>
      <c r="M22" s="21">
        <v>123.78</v>
      </c>
      <c r="N22" s="24">
        <f t="shared" si="2"/>
        <v>1832.53</v>
      </c>
      <c r="O22" s="24">
        <f t="shared" si="3"/>
        <v>7627.47</v>
      </c>
      <c r="P22" s="24">
        <v>0</v>
      </c>
      <c r="Q22" s="3"/>
      <c r="R22" s="3"/>
      <c r="S22" s="3"/>
      <c r="T22" s="3"/>
      <c r="U22" s="3"/>
      <c r="V22" s="3"/>
    </row>
    <row r="23" spans="1:22" ht="27" customHeight="1" x14ac:dyDescent="0.2">
      <c r="A23" s="54">
        <v>14</v>
      </c>
      <c r="B23" s="64" t="s">
        <v>32</v>
      </c>
      <c r="C23" s="94" t="s">
        <v>390</v>
      </c>
      <c r="D23" s="78">
        <v>5373</v>
      </c>
      <c r="E23" s="78">
        <v>3000</v>
      </c>
      <c r="F23" s="78">
        <v>0</v>
      </c>
      <c r="G23" s="78">
        <v>250</v>
      </c>
      <c r="H23" s="62">
        <v>0</v>
      </c>
      <c r="I23" s="62">
        <f t="shared" si="0"/>
        <v>8623</v>
      </c>
      <c r="J23" s="21">
        <f t="shared" si="1"/>
        <v>251.19</v>
      </c>
      <c r="K23" s="21">
        <f>(D23+E23)*14%</f>
        <v>1172.22</v>
      </c>
      <c r="L23" s="21">
        <v>160.81</v>
      </c>
      <c r="M23" s="21">
        <v>112.53</v>
      </c>
      <c r="N23" s="24">
        <f t="shared" si="2"/>
        <v>1696.75</v>
      </c>
      <c r="O23" s="24">
        <f t="shared" si="3"/>
        <v>6926.25</v>
      </c>
      <c r="P23" s="24">
        <v>0</v>
      </c>
      <c r="Q23" s="3"/>
      <c r="R23" s="3"/>
      <c r="S23" s="3"/>
      <c r="T23" s="3"/>
      <c r="U23" s="3"/>
      <c r="V23" s="3"/>
    </row>
    <row r="24" spans="1:22" ht="27" customHeight="1" x14ac:dyDescent="0.2">
      <c r="A24" s="54">
        <v>15</v>
      </c>
      <c r="B24" s="70" t="s">
        <v>371</v>
      </c>
      <c r="C24" s="60" t="s">
        <v>766</v>
      </c>
      <c r="D24" s="95">
        <v>5835</v>
      </c>
      <c r="E24" s="64">
        <v>3000</v>
      </c>
      <c r="F24" s="78">
        <v>0</v>
      </c>
      <c r="G24" s="62">
        <v>250</v>
      </c>
      <c r="H24" s="62">
        <v>0</v>
      </c>
      <c r="I24" s="62">
        <f t="shared" si="0"/>
        <v>9085</v>
      </c>
      <c r="J24" s="21">
        <f t="shared" si="1"/>
        <v>265.05</v>
      </c>
      <c r="K24" s="21">
        <f>(D24+E24)*14%</f>
        <v>1236.9000000000001</v>
      </c>
      <c r="L24" s="21">
        <v>179.99</v>
      </c>
      <c r="M24" s="21">
        <v>118.74</v>
      </c>
      <c r="N24" s="24">
        <f t="shared" si="2"/>
        <v>1800.68</v>
      </c>
      <c r="O24" s="24">
        <f t="shared" si="3"/>
        <v>7284.32</v>
      </c>
      <c r="P24" s="24">
        <f>60</f>
        <v>60</v>
      </c>
    </row>
    <row r="25" spans="1:22" ht="27" customHeight="1" x14ac:dyDescent="0.2">
      <c r="A25" s="54">
        <v>16</v>
      </c>
      <c r="B25" s="60" t="s">
        <v>336</v>
      </c>
      <c r="C25" s="64" t="s">
        <v>383</v>
      </c>
      <c r="D25" s="88">
        <v>2328</v>
      </c>
      <c r="E25" s="64">
        <v>0</v>
      </c>
      <c r="F25" s="78">
        <v>0</v>
      </c>
      <c r="G25" s="62">
        <v>0</v>
      </c>
      <c r="H25" s="62">
        <v>0</v>
      </c>
      <c r="I25" s="62">
        <f t="shared" si="0"/>
        <v>2328</v>
      </c>
      <c r="J25" s="21">
        <f t="shared" si="1"/>
        <v>69.84</v>
      </c>
      <c r="K25" s="21">
        <f>D25*11%</f>
        <v>256.08</v>
      </c>
      <c r="L25" s="21">
        <v>0</v>
      </c>
      <c r="M25" s="21">
        <v>0</v>
      </c>
      <c r="N25" s="24">
        <f t="shared" si="2"/>
        <v>325.92</v>
      </c>
      <c r="O25" s="24">
        <f t="shared" si="3"/>
        <v>2002.08</v>
      </c>
      <c r="P25" s="24">
        <v>0</v>
      </c>
    </row>
    <row r="26" spans="1:22" ht="27" customHeight="1" x14ac:dyDescent="0.2">
      <c r="A26" s="54">
        <v>17</v>
      </c>
      <c r="B26" s="92" t="s">
        <v>770</v>
      </c>
      <c r="C26" s="64" t="s">
        <v>125</v>
      </c>
      <c r="D26" s="61">
        <v>6759</v>
      </c>
      <c r="E26" s="64">
        <v>4000</v>
      </c>
      <c r="F26" s="78">
        <v>375</v>
      </c>
      <c r="G26" s="62">
        <v>250</v>
      </c>
      <c r="H26" s="62">
        <v>0</v>
      </c>
      <c r="I26" s="62">
        <f t="shared" si="0"/>
        <v>11384</v>
      </c>
      <c r="J26" s="21">
        <f t="shared" si="1"/>
        <v>334.02</v>
      </c>
      <c r="K26" s="21">
        <f>(D26+E26+F26)*15%</f>
        <v>1670.1</v>
      </c>
      <c r="L26" s="21">
        <v>269.83</v>
      </c>
      <c r="M26" s="21">
        <v>149.63999999999999</v>
      </c>
      <c r="N26" s="24">
        <f t="shared" si="2"/>
        <v>2423.59</v>
      </c>
      <c r="O26" s="24">
        <f t="shared" si="3"/>
        <v>8960.41</v>
      </c>
      <c r="P26" s="24">
        <v>0</v>
      </c>
    </row>
    <row r="27" spans="1:22" ht="27" customHeight="1" x14ac:dyDescent="0.2">
      <c r="A27" s="54">
        <v>18</v>
      </c>
      <c r="B27" s="60" t="s">
        <v>260</v>
      </c>
      <c r="C27" s="60" t="s">
        <v>259</v>
      </c>
      <c r="D27" s="88">
        <v>1940</v>
      </c>
      <c r="E27" s="64">
        <v>0</v>
      </c>
      <c r="F27" s="78">
        <v>0</v>
      </c>
      <c r="G27" s="62">
        <v>0</v>
      </c>
      <c r="H27" s="62">
        <v>0</v>
      </c>
      <c r="I27" s="62">
        <f t="shared" si="0"/>
        <v>1940</v>
      </c>
      <c r="J27" s="21">
        <f t="shared" si="1"/>
        <v>58.2</v>
      </c>
      <c r="K27" s="21">
        <f>D27*10%</f>
        <v>194</v>
      </c>
      <c r="L27" s="21">
        <v>0</v>
      </c>
      <c r="M27" s="21">
        <v>0</v>
      </c>
      <c r="N27" s="24">
        <f t="shared" si="2"/>
        <v>252.2</v>
      </c>
      <c r="O27" s="24">
        <f t="shared" si="3"/>
        <v>1687.8</v>
      </c>
      <c r="P27" s="24">
        <v>0</v>
      </c>
    </row>
    <row r="28" spans="1:22" ht="27" customHeight="1" x14ac:dyDescent="0.2">
      <c r="A28" s="54">
        <v>19</v>
      </c>
      <c r="B28" s="91" t="s">
        <v>28</v>
      </c>
      <c r="C28" s="94" t="s">
        <v>392</v>
      </c>
      <c r="D28" s="78">
        <v>2375</v>
      </c>
      <c r="E28" s="78">
        <v>1000</v>
      </c>
      <c r="F28" s="78">
        <v>0</v>
      </c>
      <c r="G28" s="78">
        <v>250</v>
      </c>
      <c r="H28" s="62">
        <v>0</v>
      </c>
      <c r="I28" s="62">
        <f t="shared" si="0"/>
        <v>3625</v>
      </c>
      <c r="J28" s="21">
        <f t="shared" si="1"/>
        <v>101.25</v>
      </c>
      <c r="K28" s="21">
        <f>(D28+E28)*11%</f>
        <v>371.25</v>
      </c>
      <c r="L28" s="21">
        <v>0</v>
      </c>
      <c r="M28" s="21">
        <v>45.36</v>
      </c>
      <c r="N28" s="24">
        <f t="shared" si="2"/>
        <v>517.86</v>
      </c>
      <c r="O28" s="24">
        <f t="shared" si="3"/>
        <v>3107.14</v>
      </c>
      <c r="P28" s="24">
        <v>0</v>
      </c>
    </row>
    <row r="29" spans="1:22" ht="27" customHeight="1" x14ac:dyDescent="0.2">
      <c r="A29" s="54">
        <v>20</v>
      </c>
      <c r="B29" s="21" t="s">
        <v>196</v>
      </c>
      <c r="C29" s="60" t="s">
        <v>386</v>
      </c>
      <c r="D29" s="96">
        <v>2234</v>
      </c>
      <c r="E29" s="65">
        <v>1900</v>
      </c>
      <c r="F29" s="78">
        <v>0</v>
      </c>
      <c r="G29" s="78">
        <v>250</v>
      </c>
      <c r="H29" s="62">
        <v>0</v>
      </c>
      <c r="I29" s="62">
        <f t="shared" si="0"/>
        <v>4384</v>
      </c>
      <c r="J29" s="21">
        <f t="shared" si="1"/>
        <v>124.02</v>
      </c>
      <c r="K29" s="21">
        <f>(D29+E29+F29)*12%</f>
        <v>496.08</v>
      </c>
      <c r="L29" s="21">
        <v>0</v>
      </c>
      <c r="M29" s="21">
        <v>55.56</v>
      </c>
      <c r="N29" s="24">
        <f t="shared" si="2"/>
        <v>675.66</v>
      </c>
      <c r="O29" s="24">
        <f t="shared" si="3"/>
        <v>3708.34</v>
      </c>
      <c r="P29" s="24">
        <v>0</v>
      </c>
    </row>
    <row r="30" spans="1:22" ht="27" customHeight="1" x14ac:dyDescent="0.2">
      <c r="A30" s="54">
        <v>21</v>
      </c>
      <c r="B30" s="89" t="s">
        <v>859</v>
      </c>
      <c r="C30" s="60" t="s">
        <v>162</v>
      </c>
      <c r="D30" s="60">
        <v>5095</v>
      </c>
      <c r="E30" s="64">
        <v>1800</v>
      </c>
      <c r="F30" s="78">
        <v>0</v>
      </c>
      <c r="G30" s="62">
        <v>250</v>
      </c>
      <c r="H30" s="62">
        <v>0</v>
      </c>
      <c r="I30" s="62">
        <f t="shared" si="0"/>
        <v>7145</v>
      </c>
      <c r="J30" s="21">
        <f t="shared" si="1"/>
        <v>206.85</v>
      </c>
      <c r="K30" s="21">
        <f>(D30+E30)*13%</f>
        <v>896.35</v>
      </c>
      <c r="L30" s="21">
        <v>0</v>
      </c>
      <c r="M30" s="21">
        <v>92.67</v>
      </c>
      <c r="N30" s="24">
        <f t="shared" si="2"/>
        <v>1195.8699999999999</v>
      </c>
      <c r="O30" s="24">
        <f t="shared" si="3"/>
        <v>5949.13</v>
      </c>
      <c r="P30" s="24">
        <v>0</v>
      </c>
    </row>
    <row r="31" spans="1:22" ht="27" customHeight="1" x14ac:dyDescent="0.2">
      <c r="A31" s="54">
        <v>22</v>
      </c>
      <c r="B31" s="124" t="s">
        <v>1063</v>
      </c>
      <c r="C31" s="17" t="s">
        <v>366</v>
      </c>
      <c r="D31" s="140">
        <v>3241</v>
      </c>
      <c r="E31" s="64">
        <v>1000</v>
      </c>
      <c r="F31" s="78">
        <v>0</v>
      </c>
      <c r="G31" s="62">
        <v>250</v>
      </c>
      <c r="H31" s="62">
        <v>0</v>
      </c>
      <c r="I31" s="62">
        <f t="shared" si="0"/>
        <v>4491</v>
      </c>
      <c r="J31" s="21">
        <f t="shared" si="1"/>
        <v>127.23</v>
      </c>
      <c r="K31" s="21">
        <f>(D31+E31)*12%</f>
        <v>508.92</v>
      </c>
      <c r="L31" s="21">
        <v>0</v>
      </c>
      <c r="M31" s="21">
        <v>0</v>
      </c>
      <c r="N31" s="24">
        <f t="shared" si="2"/>
        <v>636.15</v>
      </c>
      <c r="O31" s="24">
        <f t="shared" si="3"/>
        <v>3854.85</v>
      </c>
      <c r="P31" s="24">
        <v>0</v>
      </c>
    </row>
    <row r="32" spans="1:22" ht="27" customHeight="1" x14ac:dyDescent="0.2">
      <c r="A32" s="54">
        <v>23</v>
      </c>
      <c r="B32" s="60" t="s">
        <v>59</v>
      </c>
      <c r="C32" s="60" t="s">
        <v>89</v>
      </c>
      <c r="D32" s="60">
        <v>1668</v>
      </c>
      <c r="E32" s="60">
        <v>1000</v>
      </c>
      <c r="F32" s="78">
        <v>0</v>
      </c>
      <c r="G32" s="62">
        <v>250</v>
      </c>
      <c r="H32" s="62">
        <v>0</v>
      </c>
      <c r="I32" s="62">
        <f t="shared" si="0"/>
        <v>2918</v>
      </c>
      <c r="J32" s="21">
        <f t="shared" si="1"/>
        <v>80.040000000000006</v>
      </c>
      <c r="K32" s="21">
        <f>(D32+E32)*11%</f>
        <v>293.48</v>
      </c>
      <c r="L32" s="21">
        <v>0</v>
      </c>
      <c r="M32" s="21">
        <v>0</v>
      </c>
      <c r="N32" s="24">
        <f t="shared" si="2"/>
        <v>373.52</v>
      </c>
      <c r="O32" s="24">
        <f t="shared" si="3"/>
        <v>2544.48</v>
      </c>
      <c r="P32" s="24">
        <v>0</v>
      </c>
    </row>
    <row r="33" spans="1:23" s="2" customFormat="1" ht="27" customHeight="1" x14ac:dyDescent="0.2">
      <c r="A33" s="54">
        <v>24</v>
      </c>
      <c r="B33" s="60" t="s">
        <v>295</v>
      </c>
      <c r="C33" s="60" t="s">
        <v>257</v>
      </c>
      <c r="D33" s="88">
        <v>2425</v>
      </c>
      <c r="E33" s="64">
        <v>0</v>
      </c>
      <c r="F33" s="78">
        <v>0</v>
      </c>
      <c r="G33" s="62">
        <v>0</v>
      </c>
      <c r="H33" s="62">
        <v>0</v>
      </c>
      <c r="I33" s="62">
        <f t="shared" si="0"/>
        <v>2425</v>
      </c>
      <c r="J33" s="21">
        <f t="shared" si="1"/>
        <v>72.75</v>
      </c>
      <c r="K33" s="21">
        <f>D33*11%</f>
        <v>266.75</v>
      </c>
      <c r="L33" s="21">
        <v>0</v>
      </c>
      <c r="M33" s="21">
        <v>0</v>
      </c>
      <c r="N33" s="24">
        <f t="shared" si="2"/>
        <v>339.5</v>
      </c>
      <c r="O33" s="24">
        <f t="shared" si="3"/>
        <v>2085.5</v>
      </c>
      <c r="P33" s="24">
        <v>0</v>
      </c>
      <c r="W33"/>
    </row>
    <row r="34" spans="1:23" ht="27" customHeight="1" x14ac:dyDescent="0.2">
      <c r="A34" s="54">
        <v>25</v>
      </c>
      <c r="B34" s="60" t="s">
        <v>150</v>
      </c>
      <c r="C34" s="60" t="s">
        <v>226</v>
      </c>
      <c r="D34" s="60">
        <v>1831</v>
      </c>
      <c r="E34" s="64">
        <v>1000</v>
      </c>
      <c r="F34" s="78">
        <v>0</v>
      </c>
      <c r="G34" s="62">
        <v>250</v>
      </c>
      <c r="H34" s="62">
        <v>0</v>
      </c>
      <c r="I34" s="62">
        <f t="shared" si="0"/>
        <v>3081</v>
      </c>
      <c r="J34" s="21">
        <f t="shared" si="1"/>
        <v>84.93</v>
      </c>
      <c r="K34" s="21">
        <f>(D34+E34)*11%</f>
        <v>311.41000000000003</v>
      </c>
      <c r="L34" s="21">
        <v>0</v>
      </c>
      <c r="M34" s="21">
        <v>0</v>
      </c>
      <c r="N34" s="24">
        <f t="shared" si="2"/>
        <v>396.34</v>
      </c>
      <c r="O34" s="24">
        <f t="shared" si="3"/>
        <v>2684.66</v>
      </c>
      <c r="P34" s="24">
        <v>0</v>
      </c>
    </row>
    <row r="35" spans="1:23" ht="27" customHeight="1" x14ac:dyDescent="0.2">
      <c r="A35" s="54">
        <v>26</v>
      </c>
      <c r="B35" s="60" t="s">
        <v>261</v>
      </c>
      <c r="C35" s="64" t="s">
        <v>383</v>
      </c>
      <c r="D35" s="88">
        <v>2328</v>
      </c>
      <c r="E35" s="64">
        <v>0</v>
      </c>
      <c r="F35" s="78">
        <v>0</v>
      </c>
      <c r="G35" s="62">
        <v>0</v>
      </c>
      <c r="H35" s="62">
        <v>0</v>
      </c>
      <c r="I35" s="62">
        <f t="shared" si="0"/>
        <v>2328</v>
      </c>
      <c r="J35" s="21">
        <f t="shared" si="1"/>
        <v>69.84</v>
      </c>
      <c r="K35" s="21">
        <f>D35*11%</f>
        <v>256.08</v>
      </c>
      <c r="L35" s="21">
        <v>0</v>
      </c>
      <c r="M35" s="21">
        <v>0</v>
      </c>
      <c r="N35" s="24">
        <f t="shared" si="2"/>
        <v>325.92</v>
      </c>
      <c r="O35" s="24">
        <f t="shared" si="3"/>
        <v>2002.08</v>
      </c>
      <c r="P35" s="24">
        <v>0</v>
      </c>
    </row>
    <row r="36" spans="1:23" ht="27" customHeight="1" x14ac:dyDescent="0.2">
      <c r="A36" s="54">
        <v>27</v>
      </c>
      <c r="B36" s="60" t="s">
        <v>916</v>
      </c>
      <c r="C36" s="64" t="s">
        <v>375</v>
      </c>
      <c r="D36" s="78">
        <v>2920</v>
      </c>
      <c r="E36" s="78">
        <v>1000</v>
      </c>
      <c r="F36" s="78">
        <v>0</v>
      </c>
      <c r="G36" s="78">
        <v>250</v>
      </c>
      <c r="H36" s="62">
        <v>0</v>
      </c>
      <c r="I36" s="62">
        <f t="shared" si="0"/>
        <v>4170</v>
      </c>
      <c r="J36" s="21">
        <f t="shared" si="1"/>
        <v>117.6</v>
      </c>
      <c r="K36" s="21">
        <f>(D36+E36)*11%</f>
        <v>431.2</v>
      </c>
      <c r="L36" s="21">
        <v>0</v>
      </c>
      <c r="M36" s="21">
        <v>52.68</v>
      </c>
      <c r="N36" s="24">
        <f t="shared" si="2"/>
        <v>601.48</v>
      </c>
      <c r="O36" s="24">
        <f t="shared" si="3"/>
        <v>3568.52</v>
      </c>
      <c r="P36" s="24">
        <v>0</v>
      </c>
    </row>
    <row r="37" spans="1:23" ht="27" customHeight="1" x14ac:dyDescent="0.2">
      <c r="A37" s="54">
        <v>28</v>
      </c>
      <c r="B37" s="60" t="s">
        <v>197</v>
      </c>
      <c r="C37" s="60" t="s">
        <v>366</v>
      </c>
      <c r="D37" s="60">
        <v>3241</v>
      </c>
      <c r="E37" s="60">
        <v>1000</v>
      </c>
      <c r="F37" s="62">
        <v>0</v>
      </c>
      <c r="G37" s="62">
        <v>250</v>
      </c>
      <c r="H37" s="62">
        <v>0</v>
      </c>
      <c r="I37" s="62">
        <f t="shared" si="0"/>
        <v>4491</v>
      </c>
      <c r="J37" s="21">
        <f t="shared" si="1"/>
        <v>127.23</v>
      </c>
      <c r="K37" s="21">
        <f>(D37+E37+F37)*12%</f>
        <v>508.92</v>
      </c>
      <c r="L37" s="21">
        <v>0</v>
      </c>
      <c r="M37" s="21">
        <v>0</v>
      </c>
      <c r="N37" s="24">
        <f t="shared" si="2"/>
        <v>636.15</v>
      </c>
      <c r="O37" s="24">
        <f t="shared" si="3"/>
        <v>3854.85</v>
      </c>
      <c r="P37" s="24">
        <v>0</v>
      </c>
    </row>
    <row r="38" spans="1:23" ht="27" customHeight="1" x14ac:dyDescent="0.2">
      <c r="A38" s="54">
        <v>29</v>
      </c>
      <c r="B38" s="60" t="s">
        <v>198</v>
      </c>
      <c r="C38" s="60" t="s">
        <v>89</v>
      </c>
      <c r="D38" s="60">
        <v>1668</v>
      </c>
      <c r="E38" s="60">
        <v>1000</v>
      </c>
      <c r="F38" s="78">
        <v>0</v>
      </c>
      <c r="G38" s="62">
        <v>250</v>
      </c>
      <c r="H38" s="62">
        <v>0</v>
      </c>
      <c r="I38" s="62">
        <f t="shared" si="0"/>
        <v>2918</v>
      </c>
      <c r="J38" s="21">
        <f t="shared" si="1"/>
        <v>80.040000000000006</v>
      </c>
      <c r="K38" s="21">
        <f>(D38+E38)*11%</f>
        <v>293.48</v>
      </c>
      <c r="L38" s="21">
        <v>0</v>
      </c>
      <c r="M38" s="21">
        <v>0</v>
      </c>
      <c r="N38" s="24">
        <f t="shared" si="2"/>
        <v>373.52</v>
      </c>
      <c r="O38" s="24">
        <f t="shared" si="3"/>
        <v>2544.48</v>
      </c>
      <c r="P38" s="24">
        <v>0</v>
      </c>
    </row>
    <row r="39" spans="1:23" ht="27" customHeight="1" x14ac:dyDescent="0.2">
      <c r="A39" s="54">
        <v>30</v>
      </c>
      <c r="B39" s="60" t="s">
        <v>296</v>
      </c>
      <c r="C39" s="60" t="s">
        <v>257</v>
      </c>
      <c r="D39" s="60">
        <v>2425</v>
      </c>
      <c r="E39" s="64">
        <v>0</v>
      </c>
      <c r="F39" s="78">
        <v>0</v>
      </c>
      <c r="G39" s="62">
        <v>0</v>
      </c>
      <c r="H39" s="62">
        <v>0</v>
      </c>
      <c r="I39" s="62">
        <f t="shared" si="0"/>
        <v>2425</v>
      </c>
      <c r="J39" s="21">
        <f t="shared" si="1"/>
        <v>72.75</v>
      </c>
      <c r="K39" s="21">
        <f>D39*11%</f>
        <v>266.75</v>
      </c>
      <c r="L39" s="21">
        <v>0</v>
      </c>
      <c r="M39" s="21">
        <v>0</v>
      </c>
      <c r="N39" s="24">
        <f t="shared" si="2"/>
        <v>339.5</v>
      </c>
      <c r="O39" s="24">
        <f t="shared" si="3"/>
        <v>2085.5</v>
      </c>
      <c r="P39" s="24">
        <v>0</v>
      </c>
    </row>
    <row r="40" spans="1:23" ht="27" customHeight="1" x14ac:dyDescent="0.2">
      <c r="A40" s="54">
        <v>31</v>
      </c>
      <c r="B40" s="89" t="s">
        <v>886</v>
      </c>
      <c r="C40" s="66" t="s">
        <v>84</v>
      </c>
      <c r="D40" s="60">
        <v>2760</v>
      </c>
      <c r="E40" s="64">
        <v>1000</v>
      </c>
      <c r="F40" s="78">
        <v>0</v>
      </c>
      <c r="G40" s="62">
        <v>250</v>
      </c>
      <c r="H40" s="62">
        <v>0</v>
      </c>
      <c r="I40" s="62">
        <f t="shared" si="0"/>
        <v>4010</v>
      </c>
      <c r="J40" s="21">
        <f t="shared" si="1"/>
        <v>112.8</v>
      </c>
      <c r="K40" s="21">
        <f>D40*11%</f>
        <v>303.60000000000002</v>
      </c>
      <c r="L40" s="21">
        <v>0</v>
      </c>
      <c r="M40" s="21">
        <v>0</v>
      </c>
      <c r="N40" s="24">
        <f t="shared" si="2"/>
        <v>416.4</v>
      </c>
      <c r="O40" s="24">
        <f t="shared" si="3"/>
        <v>3593.6</v>
      </c>
      <c r="P40" s="24">
        <v>0</v>
      </c>
    </row>
    <row r="41" spans="1:23" ht="27" customHeight="1" x14ac:dyDescent="0.2">
      <c r="A41" s="54">
        <v>32</v>
      </c>
      <c r="B41" s="89" t="s">
        <v>947</v>
      </c>
      <c r="C41" s="66" t="s">
        <v>392</v>
      </c>
      <c r="D41" s="60">
        <v>2375</v>
      </c>
      <c r="E41" s="64">
        <v>1000</v>
      </c>
      <c r="F41" s="78">
        <v>0</v>
      </c>
      <c r="G41" s="62">
        <v>250</v>
      </c>
      <c r="H41" s="62">
        <v>0</v>
      </c>
      <c r="I41" s="62">
        <f t="shared" si="0"/>
        <v>3625</v>
      </c>
      <c r="J41" s="21">
        <f t="shared" si="1"/>
        <v>101.25</v>
      </c>
      <c r="K41" s="21">
        <f>D41*11%</f>
        <v>261.25</v>
      </c>
      <c r="L41" s="21">
        <v>0</v>
      </c>
      <c r="M41" s="21">
        <v>0</v>
      </c>
      <c r="N41" s="24">
        <f t="shared" si="2"/>
        <v>362.5</v>
      </c>
      <c r="O41" s="24">
        <f t="shared" si="3"/>
        <v>3262.5</v>
      </c>
      <c r="P41" s="24">
        <v>0</v>
      </c>
    </row>
    <row r="42" spans="1:23" ht="27" customHeight="1" x14ac:dyDescent="0.2">
      <c r="A42" s="54">
        <v>33</v>
      </c>
      <c r="B42" s="60" t="s">
        <v>199</v>
      </c>
      <c r="C42" s="60" t="s">
        <v>87</v>
      </c>
      <c r="D42" s="60">
        <v>1902</v>
      </c>
      <c r="E42" s="60">
        <v>1000</v>
      </c>
      <c r="F42" s="78">
        <v>0</v>
      </c>
      <c r="G42" s="62">
        <v>250</v>
      </c>
      <c r="H42" s="62">
        <v>0</v>
      </c>
      <c r="I42" s="62">
        <f t="shared" si="0"/>
        <v>3152</v>
      </c>
      <c r="J42" s="21">
        <f t="shared" si="1"/>
        <v>87.06</v>
      </c>
      <c r="K42" s="21">
        <f>(D42+E42)*11%</f>
        <v>319.22000000000003</v>
      </c>
      <c r="L42" s="21">
        <v>0</v>
      </c>
      <c r="M42" s="21">
        <v>0</v>
      </c>
      <c r="N42" s="24">
        <f t="shared" ref="N42:N73" si="4">J42+K42+L42+M42</f>
        <v>406.28</v>
      </c>
      <c r="O42" s="24">
        <f t="shared" si="3"/>
        <v>2745.72</v>
      </c>
      <c r="P42" s="24">
        <v>0</v>
      </c>
    </row>
    <row r="43" spans="1:23" ht="27" customHeight="1" x14ac:dyDescent="0.2">
      <c r="A43" s="54">
        <v>34</v>
      </c>
      <c r="B43" s="64" t="s">
        <v>40</v>
      </c>
      <c r="C43" s="60" t="s">
        <v>262</v>
      </c>
      <c r="D43" s="21">
        <v>3081</v>
      </c>
      <c r="E43" s="21">
        <v>1000</v>
      </c>
      <c r="F43" s="78">
        <v>0</v>
      </c>
      <c r="G43" s="62">
        <v>250</v>
      </c>
      <c r="H43" s="62">
        <v>0</v>
      </c>
      <c r="I43" s="62">
        <f t="shared" si="0"/>
        <v>4331</v>
      </c>
      <c r="J43" s="21">
        <f t="shared" si="1"/>
        <v>122.43</v>
      </c>
      <c r="K43" s="21">
        <f>(D43+E43)*12%</f>
        <v>489.72</v>
      </c>
      <c r="L43" s="21">
        <v>0</v>
      </c>
      <c r="M43" s="21">
        <v>0</v>
      </c>
      <c r="N43" s="24">
        <f t="shared" si="4"/>
        <v>612.15</v>
      </c>
      <c r="O43" s="24">
        <f t="shared" si="3"/>
        <v>3718.85</v>
      </c>
      <c r="P43" s="24">
        <v>0</v>
      </c>
    </row>
    <row r="44" spans="1:23" ht="27" customHeight="1" x14ac:dyDescent="0.2">
      <c r="A44" s="54">
        <v>35</v>
      </c>
      <c r="B44" s="60" t="s">
        <v>297</v>
      </c>
      <c r="C44" s="60" t="s">
        <v>257</v>
      </c>
      <c r="D44" s="60">
        <v>2425</v>
      </c>
      <c r="E44" s="64">
        <v>0</v>
      </c>
      <c r="F44" s="78">
        <v>0</v>
      </c>
      <c r="G44" s="62">
        <v>0</v>
      </c>
      <c r="H44" s="62">
        <v>0</v>
      </c>
      <c r="I44" s="62">
        <f t="shared" si="0"/>
        <v>2425</v>
      </c>
      <c r="J44" s="21">
        <f t="shared" si="1"/>
        <v>72.75</v>
      </c>
      <c r="K44" s="21">
        <f>D44*11%</f>
        <v>266.75</v>
      </c>
      <c r="L44" s="21">
        <v>0</v>
      </c>
      <c r="M44" s="21">
        <v>0</v>
      </c>
      <c r="N44" s="24">
        <f t="shared" si="4"/>
        <v>339.5</v>
      </c>
      <c r="O44" s="24">
        <f t="shared" si="3"/>
        <v>2085.5</v>
      </c>
      <c r="P44" s="24">
        <v>0</v>
      </c>
    </row>
    <row r="45" spans="1:23" ht="27" customHeight="1" x14ac:dyDescent="0.2">
      <c r="A45" s="54">
        <v>36</v>
      </c>
      <c r="B45" s="60" t="s">
        <v>337</v>
      </c>
      <c r="C45" s="60" t="s">
        <v>259</v>
      </c>
      <c r="D45" s="88">
        <v>1940</v>
      </c>
      <c r="E45" s="64">
        <v>0</v>
      </c>
      <c r="F45" s="78">
        <v>0</v>
      </c>
      <c r="G45" s="62">
        <v>0</v>
      </c>
      <c r="H45" s="62">
        <v>0</v>
      </c>
      <c r="I45" s="62">
        <f t="shared" si="0"/>
        <v>1940</v>
      </c>
      <c r="J45" s="21">
        <f t="shared" si="1"/>
        <v>58.2</v>
      </c>
      <c r="K45" s="21">
        <f>D45*10%</f>
        <v>194</v>
      </c>
      <c r="L45" s="21">
        <v>0</v>
      </c>
      <c r="M45" s="21">
        <v>0</v>
      </c>
      <c r="N45" s="24">
        <f t="shared" si="4"/>
        <v>252.2</v>
      </c>
      <c r="O45" s="24">
        <f t="shared" si="3"/>
        <v>1687.8</v>
      </c>
      <c r="P45" s="24">
        <v>0</v>
      </c>
    </row>
    <row r="46" spans="1:23" ht="27" customHeight="1" x14ac:dyDescent="0.2">
      <c r="A46" s="54">
        <v>37</v>
      </c>
      <c r="B46" s="70" t="s">
        <v>917</v>
      </c>
      <c r="C46" s="60" t="s">
        <v>85</v>
      </c>
      <c r="D46" s="64">
        <v>5095</v>
      </c>
      <c r="E46" s="64">
        <v>1800</v>
      </c>
      <c r="F46" s="78">
        <v>0</v>
      </c>
      <c r="G46" s="97">
        <v>250</v>
      </c>
      <c r="H46" s="62">
        <v>0</v>
      </c>
      <c r="I46" s="62">
        <f t="shared" si="0"/>
        <v>7145</v>
      </c>
      <c r="J46" s="21">
        <f t="shared" si="1"/>
        <v>206.85</v>
      </c>
      <c r="K46" s="98">
        <f>(D46+E46)*13%</f>
        <v>896.35</v>
      </c>
      <c r="L46" s="21">
        <v>0</v>
      </c>
      <c r="M46" s="21">
        <v>92.67</v>
      </c>
      <c r="N46" s="24">
        <f t="shared" si="4"/>
        <v>1195.8699999999999</v>
      </c>
      <c r="O46" s="24">
        <f t="shared" si="3"/>
        <v>5949.13</v>
      </c>
      <c r="P46" s="24">
        <v>0</v>
      </c>
    </row>
    <row r="47" spans="1:23" ht="27" customHeight="1" x14ac:dyDescent="0.2">
      <c r="A47" s="54">
        <v>38</v>
      </c>
      <c r="B47" s="60" t="s">
        <v>227</v>
      </c>
      <c r="C47" s="60" t="s">
        <v>87</v>
      </c>
      <c r="D47" s="21">
        <v>1902</v>
      </c>
      <c r="E47" s="21">
        <v>1000</v>
      </c>
      <c r="F47" s="78">
        <v>0</v>
      </c>
      <c r="G47" s="62">
        <v>250</v>
      </c>
      <c r="H47" s="62">
        <v>0</v>
      </c>
      <c r="I47" s="62">
        <f t="shared" si="0"/>
        <v>3152</v>
      </c>
      <c r="J47" s="21">
        <f t="shared" si="1"/>
        <v>87.06</v>
      </c>
      <c r="K47" s="21">
        <f>(D47+E47)*11%</f>
        <v>319.22000000000003</v>
      </c>
      <c r="L47" s="21">
        <v>0</v>
      </c>
      <c r="M47" s="21">
        <v>0</v>
      </c>
      <c r="N47" s="24">
        <f t="shared" si="4"/>
        <v>406.28</v>
      </c>
      <c r="O47" s="24">
        <f t="shared" si="3"/>
        <v>2745.72</v>
      </c>
      <c r="P47" s="24">
        <v>0</v>
      </c>
    </row>
    <row r="48" spans="1:23" ht="27" customHeight="1" x14ac:dyDescent="0.2">
      <c r="A48" s="54">
        <v>39</v>
      </c>
      <c r="B48" s="70" t="s">
        <v>930</v>
      </c>
      <c r="C48" s="60" t="s">
        <v>257</v>
      </c>
      <c r="D48" s="21">
        <v>2425</v>
      </c>
      <c r="E48" s="60">
        <v>0</v>
      </c>
      <c r="F48" s="78">
        <v>0</v>
      </c>
      <c r="G48" s="62">
        <v>0</v>
      </c>
      <c r="H48" s="62">
        <v>0</v>
      </c>
      <c r="I48" s="62">
        <f t="shared" si="0"/>
        <v>2425</v>
      </c>
      <c r="J48" s="21">
        <f t="shared" si="1"/>
        <v>72.75</v>
      </c>
      <c r="K48" s="21">
        <f>(D48+E48)*11%</f>
        <v>266.75</v>
      </c>
      <c r="L48" s="21">
        <v>0</v>
      </c>
      <c r="M48" s="21">
        <v>0</v>
      </c>
      <c r="N48" s="24">
        <f t="shared" si="4"/>
        <v>339.5</v>
      </c>
      <c r="O48" s="24">
        <f t="shared" si="3"/>
        <v>2085.5</v>
      </c>
      <c r="P48" s="24">
        <v>0</v>
      </c>
    </row>
    <row r="49" spans="1:16" ht="27" customHeight="1" x14ac:dyDescent="0.2">
      <c r="A49" s="54">
        <v>40</v>
      </c>
      <c r="B49" s="70" t="s">
        <v>790</v>
      </c>
      <c r="C49" s="94" t="s">
        <v>389</v>
      </c>
      <c r="D49" s="21">
        <v>2076</v>
      </c>
      <c r="E49" s="60">
        <v>1000</v>
      </c>
      <c r="F49" s="78">
        <v>0</v>
      </c>
      <c r="G49" s="62">
        <v>250</v>
      </c>
      <c r="H49" s="62">
        <v>0</v>
      </c>
      <c r="I49" s="62">
        <f t="shared" si="0"/>
        <v>3326</v>
      </c>
      <c r="J49" s="21">
        <f t="shared" si="1"/>
        <v>92.28</v>
      </c>
      <c r="K49" s="21">
        <f>(D49+E49)*11%</f>
        <v>338.36</v>
      </c>
      <c r="L49" s="21">
        <v>0</v>
      </c>
      <c r="M49" s="21">
        <v>0</v>
      </c>
      <c r="N49" s="24">
        <f t="shared" si="4"/>
        <v>430.64</v>
      </c>
      <c r="O49" s="24">
        <f t="shared" si="3"/>
        <v>2895.36</v>
      </c>
      <c r="P49" s="24">
        <v>0</v>
      </c>
    </row>
    <row r="50" spans="1:16" ht="27" customHeight="1" x14ac:dyDescent="0.2">
      <c r="A50" s="54">
        <v>41</v>
      </c>
      <c r="B50" s="60" t="s">
        <v>338</v>
      </c>
      <c r="C50" s="60" t="s">
        <v>375</v>
      </c>
      <c r="D50" s="60">
        <v>2920</v>
      </c>
      <c r="E50" s="60">
        <v>1000</v>
      </c>
      <c r="F50" s="78">
        <v>0</v>
      </c>
      <c r="G50" s="62">
        <v>250</v>
      </c>
      <c r="H50" s="62">
        <v>0</v>
      </c>
      <c r="I50" s="62">
        <f t="shared" si="0"/>
        <v>4170</v>
      </c>
      <c r="J50" s="21">
        <f t="shared" si="1"/>
        <v>117.6</v>
      </c>
      <c r="K50" s="21">
        <f>(D50+E50)*11%</f>
        <v>431.2</v>
      </c>
      <c r="L50" s="21">
        <v>0</v>
      </c>
      <c r="M50" s="21">
        <v>52.68</v>
      </c>
      <c r="N50" s="24">
        <f t="shared" si="4"/>
        <v>601.48</v>
      </c>
      <c r="O50" s="24">
        <f t="shared" si="3"/>
        <v>3568.52</v>
      </c>
      <c r="P50" s="24">
        <v>0</v>
      </c>
    </row>
    <row r="51" spans="1:16" ht="27" customHeight="1" x14ac:dyDescent="0.2">
      <c r="A51" s="54">
        <v>42</v>
      </c>
      <c r="B51" s="60" t="s">
        <v>298</v>
      </c>
      <c r="C51" s="60" t="s">
        <v>257</v>
      </c>
      <c r="D51" s="99">
        <v>2425</v>
      </c>
      <c r="E51" s="64">
        <v>0</v>
      </c>
      <c r="F51" s="78">
        <v>0</v>
      </c>
      <c r="G51" s="62">
        <v>0</v>
      </c>
      <c r="H51" s="62">
        <v>0</v>
      </c>
      <c r="I51" s="62">
        <f t="shared" si="0"/>
        <v>2425</v>
      </c>
      <c r="J51" s="21">
        <f t="shared" si="1"/>
        <v>72.75</v>
      </c>
      <c r="K51" s="21">
        <f>D51*11%</f>
        <v>266.75</v>
      </c>
      <c r="L51" s="21">
        <v>0</v>
      </c>
      <c r="M51" s="21">
        <v>0</v>
      </c>
      <c r="N51" s="24">
        <f t="shared" si="4"/>
        <v>339.5</v>
      </c>
      <c r="O51" s="24">
        <f t="shared" si="3"/>
        <v>2085.5</v>
      </c>
      <c r="P51" s="24">
        <v>0</v>
      </c>
    </row>
    <row r="52" spans="1:16" ht="27" customHeight="1" x14ac:dyDescent="0.2">
      <c r="A52" s="54">
        <v>43</v>
      </c>
      <c r="B52" s="70" t="s">
        <v>948</v>
      </c>
      <c r="C52" s="60" t="s">
        <v>88</v>
      </c>
      <c r="D52" s="78">
        <v>2920</v>
      </c>
      <c r="E52" s="78">
        <v>1000</v>
      </c>
      <c r="F52" s="78">
        <v>0</v>
      </c>
      <c r="G52" s="78">
        <v>250</v>
      </c>
      <c r="H52" s="62">
        <v>0</v>
      </c>
      <c r="I52" s="62">
        <f t="shared" si="0"/>
        <v>4170</v>
      </c>
      <c r="J52" s="21">
        <f t="shared" si="1"/>
        <v>117.6</v>
      </c>
      <c r="K52" s="78">
        <v>431.2</v>
      </c>
      <c r="L52" s="21">
        <v>0</v>
      </c>
      <c r="M52" s="78">
        <v>52.68</v>
      </c>
      <c r="N52" s="24">
        <f t="shared" si="4"/>
        <v>601.48</v>
      </c>
      <c r="O52" s="24">
        <f t="shared" si="3"/>
        <v>3568.52</v>
      </c>
      <c r="P52" s="24">
        <v>0</v>
      </c>
    </row>
    <row r="53" spans="1:16" ht="27" customHeight="1" x14ac:dyDescent="0.2">
      <c r="A53" s="54">
        <v>44</v>
      </c>
      <c r="B53" s="60" t="s">
        <v>299</v>
      </c>
      <c r="C53" s="60" t="s">
        <v>259</v>
      </c>
      <c r="D53" s="88">
        <v>1940</v>
      </c>
      <c r="E53" s="64">
        <v>0</v>
      </c>
      <c r="F53" s="78">
        <v>0</v>
      </c>
      <c r="G53" s="62">
        <v>0</v>
      </c>
      <c r="H53" s="62">
        <v>0</v>
      </c>
      <c r="I53" s="62">
        <f t="shared" si="0"/>
        <v>1940</v>
      </c>
      <c r="J53" s="21">
        <f t="shared" si="1"/>
        <v>58.2</v>
      </c>
      <c r="K53" s="21">
        <f>D53*10%</f>
        <v>194</v>
      </c>
      <c r="L53" s="21">
        <v>0</v>
      </c>
      <c r="M53" s="21">
        <v>0</v>
      </c>
      <c r="N53" s="24">
        <f t="shared" si="4"/>
        <v>252.2</v>
      </c>
      <c r="O53" s="24">
        <f t="shared" si="3"/>
        <v>1687.8</v>
      </c>
      <c r="P53" s="24">
        <v>0</v>
      </c>
    </row>
    <row r="54" spans="1:16" ht="27" customHeight="1" x14ac:dyDescent="0.2">
      <c r="A54" s="54">
        <v>45</v>
      </c>
      <c r="B54" s="60" t="s">
        <v>264</v>
      </c>
      <c r="C54" s="60" t="s">
        <v>259</v>
      </c>
      <c r="D54" s="88">
        <v>1940</v>
      </c>
      <c r="E54" s="64">
        <v>0</v>
      </c>
      <c r="F54" s="78">
        <v>0</v>
      </c>
      <c r="G54" s="62">
        <v>0</v>
      </c>
      <c r="H54" s="62">
        <v>0</v>
      </c>
      <c r="I54" s="62">
        <f t="shared" si="0"/>
        <v>1940</v>
      </c>
      <c r="J54" s="21">
        <f t="shared" si="1"/>
        <v>58.2</v>
      </c>
      <c r="K54" s="21">
        <f>D54*10%</f>
        <v>194</v>
      </c>
      <c r="L54" s="21">
        <v>0</v>
      </c>
      <c r="M54" s="21">
        <v>0</v>
      </c>
      <c r="N54" s="24">
        <f t="shared" si="4"/>
        <v>252.2</v>
      </c>
      <c r="O54" s="24">
        <f t="shared" si="3"/>
        <v>1687.8</v>
      </c>
      <c r="P54" s="24">
        <v>0</v>
      </c>
    </row>
    <row r="55" spans="1:16" ht="27" customHeight="1" x14ac:dyDescent="0.2">
      <c r="A55" s="54">
        <v>46</v>
      </c>
      <c r="B55" s="60" t="s">
        <v>793</v>
      </c>
      <c r="C55" s="60" t="s">
        <v>259</v>
      </c>
      <c r="D55" s="21">
        <v>1940</v>
      </c>
      <c r="E55" s="60">
        <v>0</v>
      </c>
      <c r="F55" s="78">
        <v>0</v>
      </c>
      <c r="G55" s="62">
        <v>0</v>
      </c>
      <c r="H55" s="62">
        <v>0</v>
      </c>
      <c r="I55" s="62">
        <f t="shared" si="0"/>
        <v>1940</v>
      </c>
      <c r="J55" s="21">
        <f t="shared" si="1"/>
        <v>58.2</v>
      </c>
      <c r="K55" s="21">
        <f>(D55+E55)*10%</f>
        <v>194</v>
      </c>
      <c r="L55" s="21">
        <v>0</v>
      </c>
      <c r="M55" s="21">
        <v>0</v>
      </c>
      <c r="N55" s="24">
        <f t="shared" si="4"/>
        <v>252.2</v>
      </c>
      <c r="O55" s="24">
        <f t="shared" si="3"/>
        <v>1687.8</v>
      </c>
      <c r="P55" s="24">
        <v>0</v>
      </c>
    </row>
    <row r="56" spans="1:16" ht="27" customHeight="1" x14ac:dyDescent="0.2">
      <c r="A56" s="54">
        <v>47</v>
      </c>
      <c r="B56" s="124" t="s">
        <v>1059</v>
      </c>
      <c r="C56" s="124" t="s">
        <v>1060</v>
      </c>
      <c r="D56" s="140">
        <v>5095</v>
      </c>
      <c r="E56" s="141">
        <v>1800</v>
      </c>
      <c r="F56" s="78">
        <v>0</v>
      </c>
      <c r="G56" s="62">
        <v>250</v>
      </c>
      <c r="H56" s="62">
        <v>0</v>
      </c>
      <c r="I56" s="62">
        <f t="shared" si="0"/>
        <v>7145</v>
      </c>
      <c r="J56" s="21">
        <f t="shared" si="1"/>
        <v>206.85</v>
      </c>
      <c r="K56" s="21">
        <f>D56*13%</f>
        <v>662.35</v>
      </c>
      <c r="L56" s="21">
        <v>0</v>
      </c>
      <c r="M56" s="21">
        <v>102.92</v>
      </c>
      <c r="N56" s="24">
        <f t="shared" si="4"/>
        <v>972.12</v>
      </c>
      <c r="O56" s="24">
        <f t="shared" si="3"/>
        <v>6172.88</v>
      </c>
      <c r="P56" s="24">
        <v>0</v>
      </c>
    </row>
    <row r="57" spans="1:16" ht="27" customHeight="1" x14ac:dyDescent="0.2">
      <c r="A57" s="54">
        <v>48</v>
      </c>
      <c r="B57" s="124" t="s">
        <v>1025</v>
      </c>
      <c r="C57" s="60" t="s">
        <v>257</v>
      </c>
      <c r="D57" s="60">
        <v>2425</v>
      </c>
      <c r="E57" s="64">
        <v>0</v>
      </c>
      <c r="F57" s="78">
        <v>0</v>
      </c>
      <c r="G57" s="62">
        <v>0</v>
      </c>
      <c r="H57" s="62">
        <v>0</v>
      </c>
      <c r="I57" s="62">
        <f t="shared" si="0"/>
        <v>2425</v>
      </c>
      <c r="J57" s="21">
        <f t="shared" si="1"/>
        <v>72.75</v>
      </c>
      <c r="K57" s="21">
        <f>D57*11%</f>
        <v>266.75</v>
      </c>
      <c r="L57" s="21">
        <v>0</v>
      </c>
      <c r="M57" s="21">
        <v>0</v>
      </c>
      <c r="N57" s="24">
        <f t="shared" si="4"/>
        <v>339.5</v>
      </c>
      <c r="O57" s="24">
        <f t="shared" si="3"/>
        <v>2085.5</v>
      </c>
      <c r="P57" s="24">
        <v>0</v>
      </c>
    </row>
    <row r="58" spans="1:16" ht="27" customHeight="1" x14ac:dyDescent="0.2">
      <c r="A58" s="54">
        <v>49</v>
      </c>
      <c r="B58" s="64" t="s">
        <v>949</v>
      </c>
      <c r="C58" s="60" t="s">
        <v>90</v>
      </c>
      <c r="D58" s="88">
        <v>1902</v>
      </c>
      <c r="E58" s="64">
        <v>1000</v>
      </c>
      <c r="F58" s="78">
        <v>0</v>
      </c>
      <c r="G58" s="62">
        <v>250</v>
      </c>
      <c r="H58" s="62">
        <v>0</v>
      </c>
      <c r="I58" s="62">
        <f t="shared" si="0"/>
        <v>3152</v>
      </c>
      <c r="J58" s="21">
        <f t="shared" si="1"/>
        <v>87.06</v>
      </c>
      <c r="K58" s="21">
        <f>(D58+E58)*11%</f>
        <v>319.22000000000003</v>
      </c>
      <c r="L58" s="21">
        <v>0</v>
      </c>
      <c r="M58" s="21">
        <v>0</v>
      </c>
      <c r="N58" s="24">
        <f t="shared" si="4"/>
        <v>406.28</v>
      </c>
      <c r="O58" s="24">
        <f t="shared" si="3"/>
        <v>2745.72</v>
      </c>
      <c r="P58" s="24">
        <v>0</v>
      </c>
    </row>
    <row r="59" spans="1:16" ht="27" customHeight="1" x14ac:dyDescent="0.2">
      <c r="A59" s="54">
        <v>50</v>
      </c>
      <c r="B59" s="60" t="s">
        <v>844</v>
      </c>
      <c r="C59" s="60" t="s">
        <v>257</v>
      </c>
      <c r="D59" s="60">
        <v>2425</v>
      </c>
      <c r="E59" s="64">
        <v>0</v>
      </c>
      <c r="F59" s="78">
        <v>0</v>
      </c>
      <c r="G59" s="62">
        <v>0</v>
      </c>
      <c r="H59" s="62">
        <v>0</v>
      </c>
      <c r="I59" s="62">
        <f t="shared" si="0"/>
        <v>2425</v>
      </c>
      <c r="J59" s="21">
        <f t="shared" si="1"/>
        <v>72.75</v>
      </c>
      <c r="K59" s="21">
        <f>D59*11%</f>
        <v>266.75</v>
      </c>
      <c r="L59" s="21">
        <v>0</v>
      </c>
      <c r="M59" s="21">
        <v>0</v>
      </c>
      <c r="N59" s="24">
        <f t="shared" si="4"/>
        <v>339.5</v>
      </c>
      <c r="O59" s="24">
        <f t="shared" si="3"/>
        <v>2085.5</v>
      </c>
      <c r="P59" s="24">
        <v>0</v>
      </c>
    </row>
    <row r="60" spans="1:16" ht="27" customHeight="1" x14ac:dyDescent="0.2">
      <c r="A60" s="54">
        <v>51</v>
      </c>
      <c r="B60" s="60" t="s">
        <v>200</v>
      </c>
      <c r="C60" s="60" t="s">
        <v>262</v>
      </c>
      <c r="D60" s="60">
        <v>3081</v>
      </c>
      <c r="E60" s="64">
        <v>1000</v>
      </c>
      <c r="F60" s="78">
        <v>0</v>
      </c>
      <c r="G60" s="62">
        <v>250</v>
      </c>
      <c r="H60" s="62">
        <v>0</v>
      </c>
      <c r="I60" s="62">
        <f t="shared" si="0"/>
        <v>4331</v>
      </c>
      <c r="J60" s="21">
        <f t="shared" si="1"/>
        <v>122.43</v>
      </c>
      <c r="K60" s="21">
        <f>(D60+E60)*12%</f>
        <v>489.72</v>
      </c>
      <c r="L60" s="21">
        <v>0</v>
      </c>
      <c r="M60" s="21">
        <v>0</v>
      </c>
      <c r="N60" s="24">
        <f t="shared" si="4"/>
        <v>612.15</v>
      </c>
      <c r="O60" s="24">
        <f t="shared" si="3"/>
        <v>3718.85</v>
      </c>
      <c r="P60" s="24">
        <v>0</v>
      </c>
    </row>
    <row r="61" spans="1:16" ht="27" customHeight="1" x14ac:dyDescent="0.2">
      <c r="A61" s="54">
        <v>52</v>
      </c>
      <c r="B61" s="60" t="s">
        <v>201</v>
      </c>
      <c r="C61" s="60" t="s">
        <v>366</v>
      </c>
      <c r="D61" s="78">
        <v>3241</v>
      </c>
      <c r="E61" s="78">
        <v>1000</v>
      </c>
      <c r="F61" s="78">
        <v>0</v>
      </c>
      <c r="G61" s="78">
        <v>250</v>
      </c>
      <c r="H61" s="62">
        <v>0</v>
      </c>
      <c r="I61" s="62">
        <f t="shared" si="0"/>
        <v>4491</v>
      </c>
      <c r="J61" s="21">
        <f t="shared" si="1"/>
        <v>127.23</v>
      </c>
      <c r="K61" s="21">
        <f>(D61+E61)*12%</f>
        <v>508.92</v>
      </c>
      <c r="L61" s="21">
        <v>0</v>
      </c>
      <c r="M61" s="78">
        <v>0</v>
      </c>
      <c r="N61" s="24">
        <f t="shared" si="4"/>
        <v>636.15</v>
      </c>
      <c r="O61" s="24">
        <f t="shared" si="3"/>
        <v>3854.85</v>
      </c>
      <c r="P61" s="24">
        <v>0</v>
      </c>
    </row>
    <row r="62" spans="1:16" ht="27" customHeight="1" x14ac:dyDescent="0.2">
      <c r="A62" s="54">
        <v>53</v>
      </c>
      <c r="B62" s="60" t="s">
        <v>300</v>
      </c>
      <c r="C62" s="60" t="s">
        <v>259</v>
      </c>
      <c r="D62" s="88">
        <v>1940</v>
      </c>
      <c r="E62" s="64">
        <v>0</v>
      </c>
      <c r="F62" s="78">
        <v>0</v>
      </c>
      <c r="G62" s="62">
        <v>0</v>
      </c>
      <c r="H62" s="62">
        <v>0</v>
      </c>
      <c r="I62" s="62">
        <f t="shared" si="0"/>
        <v>1940</v>
      </c>
      <c r="J62" s="21">
        <f t="shared" si="1"/>
        <v>58.2</v>
      </c>
      <c r="K62" s="21">
        <f>D62*10%</f>
        <v>194</v>
      </c>
      <c r="L62" s="21">
        <v>0</v>
      </c>
      <c r="M62" s="21">
        <v>0</v>
      </c>
      <c r="N62" s="24">
        <f t="shared" si="4"/>
        <v>252.2</v>
      </c>
      <c r="O62" s="24">
        <f t="shared" si="3"/>
        <v>1687.8</v>
      </c>
      <c r="P62" s="24">
        <v>0</v>
      </c>
    </row>
    <row r="63" spans="1:16" ht="27" customHeight="1" x14ac:dyDescent="0.2">
      <c r="A63" s="54">
        <v>54</v>
      </c>
      <c r="B63" s="70" t="s">
        <v>334</v>
      </c>
      <c r="C63" s="60" t="s">
        <v>46</v>
      </c>
      <c r="D63" s="99">
        <v>1668</v>
      </c>
      <c r="E63" s="64">
        <v>1000</v>
      </c>
      <c r="F63" s="78">
        <v>0</v>
      </c>
      <c r="G63" s="62">
        <v>250</v>
      </c>
      <c r="H63" s="62">
        <v>0</v>
      </c>
      <c r="I63" s="62">
        <f t="shared" si="0"/>
        <v>2918</v>
      </c>
      <c r="J63" s="21">
        <f t="shared" si="1"/>
        <v>80.040000000000006</v>
      </c>
      <c r="K63" s="21">
        <f>(D63+E63)*11%</f>
        <v>293.48</v>
      </c>
      <c r="L63" s="21">
        <v>0</v>
      </c>
      <c r="M63" s="21">
        <v>0</v>
      </c>
      <c r="N63" s="24">
        <f t="shared" si="4"/>
        <v>373.52</v>
      </c>
      <c r="O63" s="24">
        <f t="shared" si="3"/>
        <v>2544.48</v>
      </c>
      <c r="P63" s="24">
        <v>0</v>
      </c>
    </row>
    <row r="64" spans="1:16" ht="27" customHeight="1" x14ac:dyDescent="0.2">
      <c r="A64" s="54">
        <v>55</v>
      </c>
      <c r="B64" s="89" t="s">
        <v>957</v>
      </c>
      <c r="C64" s="60" t="s">
        <v>257</v>
      </c>
      <c r="D64" s="21">
        <v>2425</v>
      </c>
      <c r="E64" s="60">
        <v>0</v>
      </c>
      <c r="F64" s="78">
        <v>0</v>
      </c>
      <c r="G64" s="62">
        <v>0</v>
      </c>
      <c r="H64" s="62">
        <v>0</v>
      </c>
      <c r="I64" s="62">
        <f t="shared" si="0"/>
        <v>2425</v>
      </c>
      <c r="J64" s="21">
        <f t="shared" si="1"/>
        <v>72.75</v>
      </c>
      <c r="K64" s="21">
        <f>(D64+E64)*11%</f>
        <v>266.75</v>
      </c>
      <c r="L64" s="21">
        <v>0</v>
      </c>
      <c r="M64" s="21">
        <v>0</v>
      </c>
      <c r="N64" s="24">
        <f t="shared" si="4"/>
        <v>339.5</v>
      </c>
      <c r="O64" s="24">
        <f t="shared" si="3"/>
        <v>2085.5</v>
      </c>
      <c r="P64" s="24">
        <v>0</v>
      </c>
    </row>
    <row r="65" spans="1:16" ht="27" customHeight="1" x14ac:dyDescent="0.2">
      <c r="A65" s="54">
        <v>56</v>
      </c>
      <c r="B65" s="60" t="s">
        <v>78</v>
      </c>
      <c r="C65" s="60" t="s">
        <v>259</v>
      </c>
      <c r="D65" s="88">
        <v>1940</v>
      </c>
      <c r="E65" s="64">
        <v>0</v>
      </c>
      <c r="F65" s="78">
        <v>0</v>
      </c>
      <c r="G65" s="62">
        <v>0</v>
      </c>
      <c r="H65" s="62">
        <v>0</v>
      </c>
      <c r="I65" s="62">
        <f t="shared" si="0"/>
        <v>1940</v>
      </c>
      <c r="J65" s="21">
        <f t="shared" si="1"/>
        <v>58.2</v>
      </c>
      <c r="K65" s="21">
        <f>D65*10%</f>
        <v>194</v>
      </c>
      <c r="L65" s="21">
        <v>0</v>
      </c>
      <c r="M65" s="21">
        <v>0</v>
      </c>
      <c r="N65" s="24">
        <f t="shared" si="4"/>
        <v>252.2</v>
      </c>
      <c r="O65" s="24">
        <f t="shared" si="3"/>
        <v>1687.8</v>
      </c>
      <c r="P65" s="24">
        <v>0</v>
      </c>
    </row>
    <row r="66" spans="1:16" ht="27" customHeight="1" x14ac:dyDescent="0.2">
      <c r="A66" s="54">
        <v>57</v>
      </c>
      <c r="B66" s="70" t="s">
        <v>111</v>
      </c>
      <c r="C66" s="60" t="s">
        <v>366</v>
      </c>
      <c r="D66" s="93">
        <v>3241</v>
      </c>
      <c r="E66" s="60">
        <v>1000</v>
      </c>
      <c r="F66" s="78">
        <v>0</v>
      </c>
      <c r="G66" s="62">
        <v>250</v>
      </c>
      <c r="H66" s="62">
        <v>0</v>
      </c>
      <c r="I66" s="62">
        <f t="shared" si="0"/>
        <v>4491</v>
      </c>
      <c r="J66" s="21">
        <f t="shared" si="1"/>
        <v>127.23</v>
      </c>
      <c r="K66" s="21">
        <f>(D66+E66)*12%</f>
        <v>508.92</v>
      </c>
      <c r="L66" s="21">
        <v>0</v>
      </c>
      <c r="M66" s="21">
        <v>57</v>
      </c>
      <c r="N66" s="24">
        <f t="shared" si="4"/>
        <v>693.15</v>
      </c>
      <c r="O66" s="24">
        <f t="shared" si="3"/>
        <v>3797.85</v>
      </c>
      <c r="P66" s="24">
        <v>0</v>
      </c>
    </row>
    <row r="67" spans="1:16" ht="27" customHeight="1" x14ac:dyDescent="0.2">
      <c r="A67" s="54">
        <v>58</v>
      </c>
      <c r="B67" s="60" t="s">
        <v>66</v>
      </c>
      <c r="C67" s="60" t="s">
        <v>259</v>
      </c>
      <c r="D67" s="88">
        <v>1940</v>
      </c>
      <c r="E67" s="64">
        <v>0</v>
      </c>
      <c r="F67" s="78">
        <v>0</v>
      </c>
      <c r="G67" s="62">
        <v>0</v>
      </c>
      <c r="H67" s="62">
        <v>0</v>
      </c>
      <c r="I67" s="62">
        <f t="shared" si="0"/>
        <v>1940</v>
      </c>
      <c r="J67" s="21">
        <f t="shared" si="1"/>
        <v>58.2</v>
      </c>
      <c r="K67" s="21">
        <f>D67*10%</f>
        <v>194</v>
      </c>
      <c r="L67" s="21">
        <v>0</v>
      </c>
      <c r="M67" s="21">
        <v>0</v>
      </c>
      <c r="N67" s="24">
        <f t="shared" si="4"/>
        <v>252.2</v>
      </c>
      <c r="O67" s="24">
        <f t="shared" si="3"/>
        <v>1687.8</v>
      </c>
      <c r="P67" s="24">
        <v>0</v>
      </c>
    </row>
    <row r="68" spans="1:16" ht="27" customHeight="1" x14ac:dyDescent="0.2">
      <c r="A68" s="54">
        <v>59</v>
      </c>
      <c r="B68" s="21" t="s">
        <v>61</v>
      </c>
      <c r="C68" s="60" t="s">
        <v>257</v>
      </c>
      <c r="D68" s="100">
        <v>2425</v>
      </c>
      <c r="E68" s="64">
        <v>0</v>
      </c>
      <c r="F68" s="78">
        <v>0</v>
      </c>
      <c r="G68" s="62">
        <v>0</v>
      </c>
      <c r="H68" s="62">
        <v>0</v>
      </c>
      <c r="I68" s="62">
        <f t="shared" si="0"/>
        <v>2425</v>
      </c>
      <c r="J68" s="21">
        <f t="shared" si="1"/>
        <v>72.75</v>
      </c>
      <c r="K68" s="21">
        <f>(D68+E68)*11%</f>
        <v>266.75</v>
      </c>
      <c r="L68" s="21">
        <v>0</v>
      </c>
      <c r="M68" s="21">
        <v>0</v>
      </c>
      <c r="N68" s="24">
        <f t="shared" si="4"/>
        <v>339.5</v>
      </c>
      <c r="O68" s="24">
        <f t="shared" si="3"/>
        <v>2085.5</v>
      </c>
      <c r="P68" s="24">
        <v>0</v>
      </c>
    </row>
    <row r="69" spans="1:16" ht="27" customHeight="1" x14ac:dyDescent="0.2">
      <c r="A69" s="54">
        <v>60</v>
      </c>
      <c r="B69" s="60" t="s">
        <v>67</v>
      </c>
      <c r="C69" s="60" t="s">
        <v>257</v>
      </c>
      <c r="D69" s="60">
        <v>2425</v>
      </c>
      <c r="E69" s="64">
        <v>0</v>
      </c>
      <c r="F69" s="78">
        <v>0</v>
      </c>
      <c r="G69" s="62">
        <v>0</v>
      </c>
      <c r="H69" s="62">
        <v>0</v>
      </c>
      <c r="I69" s="62">
        <f t="shared" si="0"/>
        <v>2425</v>
      </c>
      <c r="J69" s="21">
        <f t="shared" si="1"/>
        <v>72.75</v>
      </c>
      <c r="K69" s="21">
        <f>D69*11%</f>
        <v>266.75</v>
      </c>
      <c r="L69" s="21">
        <v>0</v>
      </c>
      <c r="M69" s="21">
        <v>0</v>
      </c>
      <c r="N69" s="24">
        <f t="shared" si="4"/>
        <v>339.5</v>
      </c>
      <c r="O69" s="24">
        <f t="shared" si="3"/>
        <v>2085.5</v>
      </c>
      <c r="P69" s="24">
        <v>0</v>
      </c>
    </row>
    <row r="70" spans="1:16" ht="27" customHeight="1" x14ac:dyDescent="0.2">
      <c r="A70" s="54">
        <v>61</v>
      </c>
      <c r="B70" s="60" t="s">
        <v>151</v>
      </c>
      <c r="C70" s="60" t="s">
        <v>386</v>
      </c>
      <c r="D70" s="60">
        <v>2234</v>
      </c>
      <c r="E70" s="64">
        <v>1900</v>
      </c>
      <c r="F70" s="78">
        <v>0</v>
      </c>
      <c r="G70" s="62">
        <v>250</v>
      </c>
      <c r="H70" s="62">
        <v>0</v>
      </c>
      <c r="I70" s="62">
        <f t="shared" si="0"/>
        <v>4384</v>
      </c>
      <c r="J70" s="21">
        <f t="shared" si="1"/>
        <v>124.02</v>
      </c>
      <c r="K70" s="21">
        <f>(D70+E70)*12%</f>
        <v>496.08</v>
      </c>
      <c r="L70" s="21">
        <v>0</v>
      </c>
      <c r="M70" s="21">
        <v>0</v>
      </c>
      <c r="N70" s="24">
        <f t="shared" si="4"/>
        <v>620.1</v>
      </c>
      <c r="O70" s="24">
        <f t="shared" si="3"/>
        <v>3763.9</v>
      </c>
      <c r="P70" s="24">
        <v>0</v>
      </c>
    </row>
    <row r="71" spans="1:16" ht="27" customHeight="1" x14ac:dyDescent="0.2">
      <c r="A71" s="54">
        <v>62</v>
      </c>
      <c r="B71" s="60" t="s">
        <v>62</v>
      </c>
      <c r="C71" s="64" t="s">
        <v>383</v>
      </c>
      <c r="D71" s="88">
        <v>2328</v>
      </c>
      <c r="E71" s="64">
        <v>0</v>
      </c>
      <c r="F71" s="78">
        <v>0</v>
      </c>
      <c r="G71" s="62">
        <v>0</v>
      </c>
      <c r="H71" s="62">
        <v>0</v>
      </c>
      <c r="I71" s="62">
        <f t="shared" si="0"/>
        <v>2328</v>
      </c>
      <c r="J71" s="21">
        <f t="shared" si="1"/>
        <v>69.84</v>
      </c>
      <c r="K71" s="21">
        <f>D71*11%</f>
        <v>256.08</v>
      </c>
      <c r="L71" s="21">
        <v>0</v>
      </c>
      <c r="M71" s="21">
        <v>0</v>
      </c>
      <c r="N71" s="24">
        <f t="shared" si="4"/>
        <v>325.92</v>
      </c>
      <c r="O71" s="24">
        <f t="shared" si="3"/>
        <v>2002.08</v>
      </c>
      <c r="P71" s="24">
        <v>0</v>
      </c>
    </row>
    <row r="72" spans="1:16" ht="27" customHeight="1" x14ac:dyDescent="0.2">
      <c r="A72" s="54">
        <v>63</v>
      </c>
      <c r="B72" s="64" t="s">
        <v>43</v>
      </c>
      <c r="C72" s="60" t="s">
        <v>262</v>
      </c>
      <c r="D72" s="21">
        <v>3081</v>
      </c>
      <c r="E72" s="21">
        <v>1000</v>
      </c>
      <c r="F72" s="78">
        <v>0</v>
      </c>
      <c r="G72" s="62">
        <v>250</v>
      </c>
      <c r="H72" s="62">
        <v>0</v>
      </c>
      <c r="I72" s="62">
        <f t="shared" si="0"/>
        <v>4331</v>
      </c>
      <c r="J72" s="21">
        <f t="shared" si="1"/>
        <v>122.43</v>
      </c>
      <c r="K72" s="21">
        <f>(D72+E72)*12%</f>
        <v>489.72</v>
      </c>
      <c r="L72" s="21">
        <v>0</v>
      </c>
      <c r="M72" s="21">
        <v>0</v>
      </c>
      <c r="N72" s="24">
        <f t="shared" si="4"/>
        <v>612.15</v>
      </c>
      <c r="O72" s="24">
        <f t="shared" si="3"/>
        <v>3718.85</v>
      </c>
      <c r="P72" s="24">
        <f>572</f>
        <v>572</v>
      </c>
    </row>
    <row r="73" spans="1:16" ht="27" customHeight="1" x14ac:dyDescent="0.2">
      <c r="A73" s="54">
        <v>64</v>
      </c>
      <c r="B73" s="89" t="s">
        <v>899</v>
      </c>
      <c r="C73" s="89" t="s">
        <v>900</v>
      </c>
      <c r="D73" s="21">
        <v>6759</v>
      </c>
      <c r="E73" s="21">
        <v>4000</v>
      </c>
      <c r="F73" s="78">
        <v>375</v>
      </c>
      <c r="G73" s="62">
        <v>250</v>
      </c>
      <c r="H73" s="62">
        <v>0</v>
      </c>
      <c r="I73" s="62">
        <f t="shared" si="0"/>
        <v>11384</v>
      </c>
      <c r="J73" s="21">
        <f t="shared" si="1"/>
        <v>334.02</v>
      </c>
      <c r="K73" s="21">
        <f>(D73+E73)*13%</f>
        <v>1398.67</v>
      </c>
      <c r="L73" s="21">
        <v>0</v>
      </c>
      <c r="M73" s="21">
        <v>0</v>
      </c>
      <c r="N73" s="24">
        <f t="shared" si="4"/>
        <v>1732.69</v>
      </c>
      <c r="O73" s="24">
        <f t="shared" si="3"/>
        <v>9651.31</v>
      </c>
      <c r="P73" s="24">
        <v>0</v>
      </c>
    </row>
    <row r="74" spans="1:16" ht="27" customHeight="1" x14ac:dyDescent="0.2">
      <c r="A74" s="54">
        <v>65</v>
      </c>
      <c r="B74" s="60" t="s">
        <v>152</v>
      </c>
      <c r="C74" s="60" t="s">
        <v>259</v>
      </c>
      <c r="D74" s="60">
        <v>1940</v>
      </c>
      <c r="E74" s="64">
        <v>0</v>
      </c>
      <c r="F74" s="78">
        <v>0</v>
      </c>
      <c r="G74" s="62">
        <v>0</v>
      </c>
      <c r="H74" s="62">
        <v>0</v>
      </c>
      <c r="I74" s="62">
        <f t="shared" ref="I74:I138" si="5">(D74+E74+F74+G74+H74)</f>
        <v>1940</v>
      </c>
      <c r="J74" s="21">
        <f t="shared" ref="J74:J138" si="6">(D74+E74+F74)*3%</f>
        <v>58.2</v>
      </c>
      <c r="K74" s="21">
        <f>D74*10%</f>
        <v>194</v>
      </c>
      <c r="L74" s="21">
        <v>0</v>
      </c>
      <c r="M74" s="21">
        <v>0</v>
      </c>
      <c r="N74" s="24">
        <f t="shared" ref="N74:N106" si="7">J74+K74+L74+M74</f>
        <v>252.2</v>
      </c>
      <c r="O74" s="24">
        <f t="shared" ref="O74:O138" si="8">I74-N74</f>
        <v>1687.8</v>
      </c>
      <c r="P74" s="24">
        <v>0</v>
      </c>
    </row>
    <row r="75" spans="1:16" ht="27" customHeight="1" x14ac:dyDescent="0.2">
      <c r="A75" s="54">
        <v>66</v>
      </c>
      <c r="B75" s="60" t="s">
        <v>69</v>
      </c>
      <c r="C75" s="94" t="s">
        <v>389</v>
      </c>
      <c r="D75" s="60">
        <v>2076</v>
      </c>
      <c r="E75" s="64">
        <v>1000</v>
      </c>
      <c r="F75" s="78">
        <v>0</v>
      </c>
      <c r="G75" s="62">
        <v>250</v>
      </c>
      <c r="H75" s="62">
        <v>0</v>
      </c>
      <c r="I75" s="62">
        <f t="shared" si="5"/>
        <v>3326</v>
      </c>
      <c r="J75" s="21">
        <f t="shared" si="6"/>
        <v>92.28</v>
      </c>
      <c r="K75" s="21">
        <f>(D75+E75)*11%</f>
        <v>338.36</v>
      </c>
      <c r="L75" s="21">
        <v>0</v>
      </c>
      <c r="M75" s="21">
        <v>0</v>
      </c>
      <c r="N75" s="24">
        <f t="shared" si="7"/>
        <v>430.64</v>
      </c>
      <c r="O75" s="24">
        <f t="shared" si="8"/>
        <v>2895.36</v>
      </c>
      <c r="P75" s="24">
        <v>0</v>
      </c>
    </row>
    <row r="76" spans="1:16" ht="27" customHeight="1" x14ac:dyDescent="0.2">
      <c r="A76" s="54">
        <v>67</v>
      </c>
      <c r="B76" s="60" t="s">
        <v>339</v>
      </c>
      <c r="C76" s="60" t="s">
        <v>259</v>
      </c>
      <c r="D76" s="88">
        <v>1940</v>
      </c>
      <c r="E76" s="64">
        <v>0</v>
      </c>
      <c r="F76" s="78">
        <v>0</v>
      </c>
      <c r="G76" s="62">
        <v>0</v>
      </c>
      <c r="H76" s="62">
        <v>0</v>
      </c>
      <c r="I76" s="62">
        <f t="shared" si="5"/>
        <v>1940</v>
      </c>
      <c r="J76" s="21">
        <f t="shared" si="6"/>
        <v>58.2</v>
      </c>
      <c r="K76" s="21">
        <f>D76*10%</f>
        <v>194</v>
      </c>
      <c r="L76" s="21">
        <v>0</v>
      </c>
      <c r="M76" s="21">
        <v>0</v>
      </c>
      <c r="N76" s="24">
        <f t="shared" si="7"/>
        <v>252.2</v>
      </c>
      <c r="O76" s="24">
        <f t="shared" si="8"/>
        <v>1687.8</v>
      </c>
      <c r="P76" s="24">
        <v>0</v>
      </c>
    </row>
    <row r="77" spans="1:16" ht="27" customHeight="1" x14ac:dyDescent="0.2">
      <c r="A77" s="54">
        <v>68</v>
      </c>
      <c r="B77" s="60" t="s">
        <v>202</v>
      </c>
      <c r="C77" s="60" t="s">
        <v>259</v>
      </c>
      <c r="D77" s="60">
        <v>1940</v>
      </c>
      <c r="E77" s="64">
        <v>0</v>
      </c>
      <c r="F77" s="78">
        <v>0</v>
      </c>
      <c r="G77" s="62">
        <v>0</v>
      </c>
      <c r="H77" s="62">
        <v>0</v>
      </c>
      <c r="I77" s="62">
        <f t="shared" si="5"/>
        <v>1940</v>
      </c>
      <c r="J77" s="21">
        <f t="shared" si="6"/>
        <v>58.2</v>
      </c>
      <c r="K77" s="21">
        <f>D77*10%</f>
        <v>194</v>
      </c>
      <c r="L77" s="21">
        <v>0</v>
      </c>
      <c r="M77" s="21">
        <v>0</v>
      </c>
      <c r="N77" s="24">
        <f t="shared" si="7"/>
        <v>252.2</v>
      </c>
      <c r="O77" s="24">
        <f t="shared" si="8"/>
        <v>1687.8</v>
      </c>
      <c r="P77" s="24">
        <v>0</v>
      </c>
    </row>
    <row r="78" spans="1:16" ht="27" customHeight="1" x14ac:dyDescent="0.2">
      <c r="A78" s="54">
        <v>69</v>
      </c>
      <c r="B78" s="60" t="s">
        <v>130</v>
      </c>
      <c r="C78" s="60" t="s">
        <v>259</v>
      </c>
      <c r="D78" s="60">
        <v>1940</v>
      </c>
      <c r="E78" s="64">
        <v>0</v>
      </c>
      <c r="F78" s="78">
        <v>0</v>
      </c>
      <c r="G78" s="62">
        <v>0</v>
      </c>
      <c r="H78" s="62">
        <v>0</v>
      </c>
      <c r="I78" s="62">
        <f t="shared" si="5"/>
        <v>1940</v>
      </c>
      <c r="J78" s="21">
        <f t="shared" si="6"/>
        <v>58.2</v>
      </c>
      <c r="K78" s="21">
        <f>D78*10%</f>
        <v>194</v>
      </c>
      <c r="L78" s="21">
        <v>0</v>
      </c>
      <c r="M78" s="21">
        <v>0</v>
      </c>
      <c r="N78" s="24">
        <f t="shared" si="7"/>
        <v>252.2</v>
      </c>
      <c r="O78" s="24">
        <f t="shared" si="8"/>
        <v>1687.8</v>
      </c>
      <c r="P78" s="24">
        <v>0</v>
      </c>
    </row>
    <row r="79" spans="1:16" ht="27" customHeight="1" x14ac:dyDescent="0.2">
      <c r="A79" s="54">
        <v>70</v>
      </c>
      <c r="B79" s="60" t="s">
        <v>301</v>
      </c>
      <c r="C79" s="60" t="s">
        <v>89</v>
      </c>
      <c r="D79" s="60">
        <v>1668</v>
      </c>
      <c r="E79" s="64">
        <v>1000</v>
      </c>
      <c r="F79" s="78">
        <v>0</v>
      </c>
      <c r="G79" s="62">
        <v>250</v>
      </c>
      <c r="H79" s="62">
        <v>0</v>
      </c>
      <c r="I79" s="62">
        <f t="shared" si="5"/>
        <v>2918</v>
      </c>
      <c r="J79" s="21">
        <f t="shared" si="6"/>
        <v>80.040000000000006</v>
      </c>
      <c r="K79" s="21">
        <f>(D79+E79)*11%</f>
        <v>293.48</v>
      </c>
      <c r="L79" s="21">
        <v>0</v>
      </c>
      <c r="M79" s="21">
        <v>0</v>
      </c>
      <c r="N79" s="24">
        <f t="shared" si="7"/>
        <v>373.52</v>
      </c>
      <c r="O79" s="24">
        <f t="shared" si="8"/>
        <v>2544.48</v>
      </c>
      <c r="P79" s="24">
        <v>0</v>
      </c>
    </row>
    <row r="80" spans="1:16" ht="27" customHeight="1" x14ac:dyDescent="0.2">
      <c r="A80" s="54">
        <v>71</v>
      </c>
      <c r="B80" s="60" t="s">
        <v>228</v>
      </c>
      <c r="C80" s="64" t="s">
        <v>383</v>
      </c>
      <c r="D80" s="88">
        <v>2328</v>
      </c>
      <c r="E80" s="64">
        <v>0</v>
      </c>
      <c r="F80" s="78">
        <v>0</v>
      </c>
      <c r="G80" s="62">
        <v>0</v>
      </c>
      <c r="H80" s="62">
        <v>0</v>
      </c>
      <c r="I80" s="62">
        <f t="shared" si="5"/>
        <v>2328</v>
      </c>
      <c r="J80" s="21">
        <f t="shared" si="6"/>
        <v>69.84</v>
      </c>
      <c r="K80" s="21">
        <f>D80*11%</f>
        <v>256.08</v>
      </c>
      <c r="L80" s="21">
        <v>0</v>
      </c>
      <c r="M80" s="21">
        <v>0</v>
      </c>
      <c r="N80" s="24">
        <f t="shared" si="7"/>
        <v>325.92</v>
      </c>
      <c r="O80" s="24">
        <f t="shared" si="8"/>
        <v>2002.08</v>
      </c>
      <c r="P80" s="24">
        <v>0</v>
      </c>
    </row>
    <row r="81" spans="1:16" ht="27" customHeight="1" x14ac:dyDescent="0.2">
      <c r="A81" s="54">
        <v>72</v>
      </c>
      <c r="B81" s="60" t="s">
        <v>203</v>
      </c>
      <c r="C81" s="60" t="s">
        <v>257</v>
      </c>
      <c r="D81" s="88">
        <v>2425</v>
      </c>
      <c r="E81" s="64">
        <v>0</v>
      </c>
      <c r="F81" s="78">
        <v>0</v>
      </c>
      <c r="G81" s="62">
        <v>0</v>
      </c>
      <c r="H81" s="62">
        <v>0</v>
      </c>
      <c r="I81" s="62">
        <f t="shared" si="5"/>
        <v>2425</v>
      </c>
      <c r="J81" s="21">
        <f t="shared" si="6"/>
        <v>72.75</v>
      </c>
      <c r="K81" s="21">
        <f>D81*11%</f>
        <v>266.75</v>
      </c>
      <c r="L81" s="21">
        <v>0</v>
      </c>
      <c r="M81" s="21">
        <v>0</v>
      </c>
      <c r="N81" s="24">
        <f t="shared" si="7"/>
        <v>339.5</v>
      </c>
      <c r="O81" s="24">
        <f t="shared" si="8"/>
        <v>2085.5</v>
      </c>
      <c r="P81" s="24">
        <v>0</v>
      </c>
    </row>
    <row r="82" spans="1:16" ht="27" customHeight="1" x14ac:dyDescent="0.2">
      <c r="A82" s="54">
        <v>73</v>
      </c>
      <c r="B82" s="60" t="s">
        <v>931</v>
      </c>
      <c r="C82" s="60" t="s">
        <v>257</v>
      </c>
      <c r="D82" s="21">
        <v>2425</v>
      </c>
      <c r="E82" s="60">
        <v>0</v>
      </c>
      <c r="F82" s="78">
        <v>0</v>
      </c>
      <c r="G82" s="62">
        <v>0</v>
      </c>
      <c r="H82" s="62">
        <v>0</v>
      </c>
      <c r="I82" s="62">
        <f t="shared" si="5"/>
        <v>2425</v>
      </c>
      <c r="J82" s="21">
        <f t="shared" si="6"/>
        <v>72.75</v>
      </c>
      <c r="K82" s="21">
        <f>(D82+E82)*11%</f>
        <v>266.75</v>
      </c>
      <c r="L82" s="21">
        <v>0</v>
      </c>
      <c r="M82" s="21">
        <v>0</v>
      </c>
      <c r="N82" s="24">
        <f t="shared" si="7"/>
        <v>339.5</v>
      </c>
      <c r="O82" s="24">
        <f t="shared" si="8"/>
        <v>2085.5</v>
      </c>
      <c r="P82" s="24">
        <v>0</v>
      </c>
    </row>
    <row r="83" spans="1:16" ht="27" customHeight="1" x14ac:dyDescent="0.2">
      <c r="A83" s="54">
        <v>74</v>
      </c>
      <c r="B83" s="91" t="s">
        <v>302</v>
      </c>
      <c r="C83" s="60" t="s">
        <v>961</v>
      </c>
      <c r="D83" s="78">
        <v>5787</v>
      </c>
      <c r="E83" s="78">
        <v>1800</v>
      </c>
      <c r="F83" s="78">
        <v>0</v>
      </c>
      <c r="G83" s="78">
        <v>250</v>
      </c>
      <c r="H83" s="62">
        <v>0</v>
      </c>
      <c r="I83" s="62">
        <f t="shared" si="5"/>
        <v>7837</v>
      </c>
      <c r="J83" s="21">
        <f t="shared" si="6"/>
        <v>227.61</v>
      </c>
      <c r="K83" s="21">
        <f>(D83+E83)*13%</f>
        <v>986.31</v>
      </c>
      <c r="L83" s="21">
        <v>0</v>
      </c>
      <c r="M83" s="21">
        <v>101.97</v>
      </c>
      <c r="N83" s="24">
        <f t="shared" si="7"/>
        <v>1315.89</v>
      </c>
      <c r="O83" s="24">
        <f t="shared" si="8"/>
        <v>6521.11</v>
      </c>
      <c r="P83" s="24">
        <v>0</v>
      </c>
    </row>
    <row r="84" spans="1:16" ht="27" customHeight="1" x14ac:dyDescent="0.2">
      <c r="A84" s="54">
        <v>75</v>
      </c>
      <c r="B84" s="60" t="s">
        <v>65</v>
      </c>
      <c r="C84" s="60" t="s">
        <v>257</v>
      </c>
      <c r="D84" s="88">
        <v>2425</v>
      </c>
      <c r="E84" s="64">
        <v>0</v>
      </c>
      <c r="F84" s="78">
        <v>0</v>
      </c>
      <c r="G84" s="62">
        <v>0</v>
      </c>
      <c r="H84" s="62">
        <v>0</v>
      </c>
      <c r="I84" s="62">
        <f t="shared" si="5"/>
        <v>2425</v>
      </c>
      <c r="J84" s="21">
        <f t="shared" si="6"/>
        <v>72.75</v>
      </c>
      <c r="K84" s="21">
        <f>D84*11%</f>
        <v>266.75</v>
      </c>
      <c r="L84" s="21">
        <v>0</v>
      </c>
      <c r="M84" s="21">
        <v>0</v>
      </c>
      <c r="N84" s="24">
        <f t="shared" si="7"/>
        <v>339.5</v>
      </c>
      <c r="O84" s="24">
        <f t="shared" si="8"/>
        <v>2085.5</v>
      </c>
      <c r="P84" s="24">
        <v>0</v>
      </c>
    </row>
    <row r="85" spans="1:16" ht="27" customHeight="1" x14ac:dyDescent="0.2">
      <c r="A85" s="54">
        <v>76</v>
      </c>
      <c r="B85" s="124" t="s">
        <v>1065</v>
      </c>
      <c r="C85" s="124" t="s">
        <v>900</v>
      </c>
      <c r="D85" s="140">
        <v>6759</v>
      </c>
      <c r="E85" s="64">
        <v>4000</v>
      </c>
      <c r="F85" s="78">
        <v>0</v>
      </c>
      <c r="G85" s="62">
        <v>250</v>
      </c>
      <c r="H85" s="62">
        <v>0</v>
      </c>
      <c r="I85" s="62">
        <f t="shared" si="5"/>
        <v>11009</v>
      </c>
      <c r="J85" s="21">
        <f t="shared" si="6"/>
        <v>322.77</v>
      </c>
      <c r="K85" s="21">
        <f>D85*15%</f>
        <v>1013.85</v>
      </c>
      <c r="L85" s="21">
        <v>0</v>
      </c>
      <c r="M85" s="21">
        <v>539.66</v>
      </c>
      <c r="N85" s="24">
        <f t="shared" si="7"/>
        <v>1876.28</v>
      </c>
      <c r="O85" s="24">
        <f t="shared" si="8"/>
        <v>9132.7199999999993</v>
      </c>
      <c r="P85" s="24">
        <v>0</v>
      </c>
    </row>
    <row r="86" spans="1:16" ht="27" customHeight="1" x14ac:dyDescent="0.2">
      <c r="A86" s="54">
        <v>77</v>
      </c>
      <c r="B86" s="91" t="s">
        <v>229</v>
      </c>
      <c r="C86" s="94" t="s">
        <v>303</v>
      </c>
      <c r="D86" s="78">
        <v>5787</v>
      </c>
      <c r="E86" s="78">
        <v>1800</v>
      </c>
      <c r="F86" s="78">
        <v>0</v>
      </c>
      <c r="G86" s="78">
        <v>250</v>
      </c>
      <c r="H86" s="62">
        <v>0</v>
      </c>
      <c r="I86" s="62">
        <f t="shared" si="5"/>
        <v>7837</v>
      </c>
      <c r="J86" s="21">
        <f t="shared" si="6"/>
        <v>227.61</v>
      </c>
      <c r="K86" s="21">
        <f>(D86+E86)*13%</f>
        <v>986.31</v>
      </c>
      <c r="L86" s="21">
        <v>0</v>
      </c>
      <c r="M86" s="21">
        <v>101.97</v>
      </c>
      <c r="N86" s="24">
        <f t="shared" si="7"/>
        <v>1315.89</v>
      </c>
      <c r="O86" s="24">
        <f t="shared" si="8"/>
        <v>6521.11</v>
      </c>
      <c r="P86" s="24">
        <v>0</v>
      </c>
    </row>
    <row r="87" spans="1:16" ht="27" customHeight="1" x14ac:dyDescent="0.2">
      <c r="A87" s="54">
        <v>78</v>
      </c>
      <c r="B87" s="60" t="s">
        <v>907</v>
      </c>
      <c r="C87" s="60" t="s">
        <v>259</v>
      </c>
      <c r="D87" s="21">
        <v>1940</v>
      </c>
      <c r="E87" s="60">
        <v>0</v>
      </c>
      <c r="F87" s="78">
        <v>0</v>
      </c>
      <c r="G87" s="62">
        <v>0</v>
      </c>
      <c r="H87" s="62">
        <v>0</v>
      </c>
      <c r="I87" s="62">
        <f t="shared" si="5"/>
        <v>1940</v>
      </c>
      <c r="J87" s="21">
        <f t="shared" si="6"/>
        <v>58.2</v>
      </c>
      <c r="K87" s="21">
        <f>(D87+E87)*10%</f>
        <v>194</v>
      </c>
      <c r="L87" s="21">
        <v>0</v>
      </c>
      <c r="M87" s="21">
        <v>0</v>
      </c>
      <c r="N87" s="24">
        <f t="shared" si="7"/>
        <v>252.2</v>
      </c>
      <c r="O87" s="24">
        <f t="shared" si="8"/>
        <v>1687.8</v>
      </c>
      <c r="P87" s="24">
        <v>0</v>
      </c>
    </row>
    <row r="88" spans="1:16" ht="27" customHeight="1" x14ac:dyDescent="0.2">
      <c r="A88" s="54">
        <v>79</v>
      </c>
      <c r="B88" s="101" t="s">
        <v>117</v>
      </c>
      <c r="C88" s="60" t="s">
        <v>225</v>
      </c>
      <c r="D88" s="102">
        <v>2249</v>
      </c>
      <c r="E88" s="64">
        <v>1000</v>
      </c>
      <c r="F88" s="78">
        <v>0</v>
      </c>
      <c r="G88" s="62">
        <v>250</v>
      </c>
      <c r="H88" s="62">
        <v>0</v>
      </c>
      <c r="I88" s="62">
        <f t="shared" si="5"/>
        <v>3499</v>
      </c>
      <c r="J88" s="21">
        <f t="shared" si="6"/>
        <v>97.47</v>
      </c>
      <c r="K88" s="21">
        <f>(D88+E88)*11%</f>
        <v>357.39</v>
      </c>
      <c r="L88" s="21">
        <v>0</v>
      </c>
      <c r="M88" s="21">
        <v>0</v>
      </c>
      <c r="N88" s="24">
        <f t="shared" si="7"/>
        <v>454.86</v>
      </c>
      <c r="O88" s="24">
        <f t="shared" si="8"/>
        <v>3044.14</v>
      </c>
      <c r="P88" s="24">
        <v>0</v>
      </c>
    </row>
    <row r="89" spans="1:16" ht="27" customHeight="1" x14ac:dyDescent="0.2">
      <c r="A89" s="54">
        <v>80</v>
      </c>
      <c r="B89" s="60" t="s">
        <v>81</v>
      </c>
      <c r="C89" s="60" t="s">
        <v>257</v>
      </c>
      <c r="D89" s="88">
        <v>2425</v>
      </c>
      <c r="E89" s="64">
        <v>0</v>
      </c>
      <c r="F89" s="78">
        <v>0</v>
      </c>
      <c r="G89" s="62">
        <v>0</v>
      </c>
      <c r="H89" s="62">
        <v>0</v>
      </c>
      <c r="I89" s="62">
        <f t="shared" si="5"/>
        <v>2425</v>
      </c>
      <c r="J89" s="21">
        <f t="shared" si="6"/>
        <v>72.75</v>
      </c>
      <c r="K89" s="21">
        <f>D89*11%</f>
        <v>266.75</v>
      </c>
      <c r="L89" s="21">
        <v>0</v>
      </c>
      <c r="M89" s="21">
        <v>0</v>
      </c>
      <c r="N89" s="24">
        <f t="shared" si="7"/>
        <v>339.5</v>
      </c>
      <c r="O89" s="24">
        <f t="shared" si="8"/>
        <v>2085.5</v>
      </c>
      <c r="P89" s="24">
        <v>0</v>
      </c>
    </row>
    <row r="90" spans="1:16" ht="27" customHeight="1" x14ac:dyDescent="0.2">
      <c r="A90" s="54">
        <v>81</v>
      </c>
      <c r="B90" s="60" t="s">
        <v>787</v>
      </c>
      <c r="C90" s="60" t="s">
        <v>257</v>
      </c>
      <c r="D90" s="103">
        <v>2425</v>
      </c>
      <c r="E90" s="60">
        <v>0</v>
      </c>
      <c r="F90" s="78">
        <v>0</v>
      </c>
      <c r="G90" s="62">
        <v>0</v>
      </c>
      <c r="H90" s="62">
        <v>0</v>
      </c>
      <c r="I90" s="62">
        <f t="shared" si="5"/>
        <v>2425</v>
      </c>
      <c r="J90" s="21">
        <f t="shared" si="6"/>
        <v>72.75</v>
      </c>
      <c r="K90" s="21">
        <f>(D90+E90)*11%</f>
        <v>266.75</v>
      </c>
      <c r="L90" s="21">
        <v>0</v>
      </c>
      <c r="M90" s="21">
        <v>0</v>
      </c>
      <c r="N90" s="24">
        <f t="shared" si="7"/>
        <v>339.5</v>
      </c>
      <c r="O90" s="24">
        <f t="shared" si="8"/>
        <v>2085.5</v>
      </c>
      <c r="P90" s="24">
        <v>0</v>
      </c>
    </row>
    <row r="91" spans="1:16" ht="27" customHeight="1" x14ac:dyDescent="0.2">
      <c r="A91" s="54">
        <v>82</v>
      </c>
      <c r="B91" s="70" t="s">
        <v>950</v>
      </c>
      <c r="C91" s="60" t="s">
        <v>259</v>
      </c>
      <c r="D91" s="21">
        <v>1940</v>
      </c>
      <c r="E91" s="60">
        <v>0</v>
      </c>
      <c r="F91" s="78">
        <v>0</v>
      </c>
      <c r="G91" s="62">
        <v>0</v>
      </c>
      <c r="H91" s="62">
        <v>0</v>
      </c>
      <c r="I91" s="62">
        <f t="shared" si="5"/>
        <v>1940</v>
      </c>
      <c r="J91" s="21">
        <f t="shared" si="6"/>
        <v>58.2</v>
      </c>
      <c r="K91" s="21">
        <f>(D91+E91)*10%</f>
        <v>194</v>
      </c>
      <c r="L91" s="21">
        <v>0</v>
      </c>
      <c r="M91" s="21">
        <v>0</v>
      </c>
      <c r="N91" s="24">
        <f t="shared" si="7"/>
        <v>252.2</v>
      </c>
      <c r="O91" s="24">
        <f t="shared" si="8"/>
        <v>1687.8</v>
      </c>
      <c r="P91" s="24">
        <v>0</v>
      </c>
    </row>
    <row r="92" spans="1:16" ht="27" customHeight="1" x14ac:dyDescent="0.2">
      <c r="A92" s="54">
        <v>83</v>
      </c>
      <c r="B92" s="60" t="s">
        <v>204</v>
      </c>
      <c r="C92" s="60" t="s">
        <v>262</v>
      </c>
      <c r="D92" s="60">
        <v>3081</v>
      </c>
      <c r="E92" s="60">
        <v>1000</v>
      </c>
      <c r="F92" s="78">
        <v>0</v>
      </c>
      <c r="G92" s="62">
        <v>250</v>
      </c>
      <c r="H92" s="62">
        <v>0</v>
      </c>
      <c r="I92" s="62">
        <f t="shared" si="5"/>
        <v>4331</v>
      </c>
      <c r="J92" s="21">
        <f t="shared" si="6"/>
        <v>122.43</v>
      </c>
      <c r="K92" s="21">
        <f>(D92+E92)*12%</f>
        <v>489.72</v>
      </c>
      <c r="L92" s="21">
        <v>0</v>
      </c>
      <c r="M92" s="21">
        <v>0</v>
      </c>
      <c r="N92" s="24">
        <f t="shared" si="7"/>
        <v>612.15</v>
      </c>
      <c r="O92" s="24">
        <f t="shared" si="8"/>
        <v>3718.85</v>
      </c>
      <c r="P92" s="24">
        <v>630</v>
      </c>
    </row>
    <row r="93" spans="1:16" ht="27" customHeight="1" x14ac:dyDescent="0.2">
      <c r="A93" s="54">
        <v>84</v>
      </c>
      <c r="B93" s="60" t="s">
        <v>230</v>
      </c>
      <c r="C93" s="64" t="s">
        <v>383</v>
      </c>
      <c r="D93" s="88">
        <v>2328</v>
      </c>
      <c r="E93" s="64">
        <v>0</v>
      </c>
      <c r="F93" s="78">
        <v>0</v>
      </c>
      <c r="G93" s="62">
        <v>0</v>
      </c>
      <c r="H93" s="62">
        <v>0</v>
      </c>
      <c r="I93" s="62">
        <f t="shared" si="5"/>
        <v>2328</v>
      </c>
      <c r="J93" s="21">
        <f t="shared" si="6"/>
        <v>69.84</v>
      </c>
      <c r="K93" s="21">
        <f>D93*11%</f>
        <v>256.08</v>
      </c>
      <c r="L93" s="21">
        <v>0</v>
      </c>
      <c r="M93" s="21">
        <v>0</v>
      </c>
      <c r="N93" s="24">
        <f t="shared" si="7"/>
        <v>325.92</v>
      </c>
      <c r="O93" s="24">
        <f t="shared" si="8"/>
        <v>2002.08</v>
      </c>
      <c r="P93" s="24">
        <v>0</v>
      </c>
    </row>
    <row r="94" spans="1:16" ht="27" customHeight="1" x14ac:dyDescent="0.2">
      <c r="A94" s="54">
        <v>85</v>
      </c>
      <c r="B94" s="89" t="s">
        <v>932</v>
      </c>
      <c r="C94" s="66" t="s">
        <v>377</v>
      </c>
      <c r="D94" s="78">
        <v>3081</v>
      </c>
      <c r="E94" s="78">
        <v>1000</v>
      </c>
      <c r="F94" s="78">
        <v>0</v>
      </c>
      <c r="G94" s="78">
        <v>250</v>
      </c>
      <c r="H94" s="62">
        <v>0</v>
      </c>
      <c r="I94" s="62">
        <f t="shared" si="5"/>
        <v>4331</v>
      </c>
      <c r="J94" s="21">
        <f t="shared" si="6"/>
        <v>122.43</v>
      </c>
      <c r="K94" s="21">
        <f>(D94+E94)*12%</f>
        <v>489.72</v>
      </c>
      <c r="L94" s="21">
        <v>0</v>
      </c>
      <c r="M94" s="21">
        <v>0</v>
      </c>
      <c r="N94" s="24">
        <f t="shared" si="7"/>
        <v>612.15</v>
      </c>
      <c r="O94" s="24">
        <f t="shared" si="8"/>
        <v>3718.85</v>
      </c>
      <c r="P94" s="24">
        <v>0</v>
      </c>
    </row>
    <row r="95" spans="1:16" ht="27" customHeight="1" x14ac:dyDescent="0.2">
      <c r="A95" s="54">
        <v>86</v>
      </c>
      <c r="B95" s="91" t="s">
        <v>35</v>
      </c>
      <c r="C95" s="60" t="s">
        <v>88</v>
      </c>
      <c r="D95" s="78">
        <v>2920</v>
      </c>
      <c r="E95" s="78">
        <v>1000</v>
      </c>
      <c r="F95" s="78">
        <v>0</v>
      </c>
      <c r="G95" s="78">
        <v>250</v>
      </c>
      <c r="H95" s="62">
        <v>0</v>
      </c>
      <c r="I95" s="62">
        <f t="shared" si="5"/>
        <v>4170</v>
      </c>
      <c r="J95" s="21">
        <f t="shared" si="6"/>
        <v>117.6</v>
      </c>
      <c r="K95" s="21">
        <f>(D95+E95)*11%</f>
        <v>431.2</v>
      </c>
      <c r="L95" s="21">
        <v>0</v>
      </c>
      <c r="M95" s="21">
        <v>52.68</v>
      </c>
      <c r="N95" s="24">
        <f t="shared" si="7"/>
        <v>601.48</v>
      </c>
      <c r="O95" s="24">
        <f t="shared" si="8"/>
        <v>3568.52</v>
      </c>
      <c r="P95" s="24">
        <v>0</v>
      </c>
    </row>
    <row r="96" spans="1:16" ht="27" customHeight="1" x14ac:dyDescent="0.2">
      <c r="A96" s="54">
        <v>87</v>
      </c>
      <c r="B96" s="91" t="s">
        <v>34</v>
      </c>
      <c r="C96" s="60" t="s">
        <v>226</v>
      </c>
      <c r="D96" s="78">
        <v>1831</v>
      </c>
      <c r="E96" s="78">
        <v>1000</v>
      </c>
      <c r="F96" s="78">
        <v>0</v>
      </c>
      <c r="G96" s="78">
        <v>250</v>
      </c>
      <c r="H96" s="62">
        <v>0</v>
      </c>
      <c r="I96" s="62">
        <f t="shared" si="5"/>
        <v>3081</v>
      </c>
      <c r="J96" s="21">
        <f t="shared" si="6"/>
        <v>84.93</v>
      </c>
      <c r="K96" s="21">
        <f>(D96+E96)*11%</f>
        <v>311.41000000000003</v>
      </c>
      <c r="L96" s="21">
        <v>0</v>
      </c>
      <c r="M96" s="21">
        <v>38.049999999999997</v>
      </c>
      <c r="N96" s="24">
        <f t="shared" si="7"/>
        <v>434.39</v>
      </c>
      <c r="O96" s="24">
        <f t="shared" si="8"/>
        <v>2646.61</v>
      </c>
      <c r="P96" s="24">
        <v>0</v>
      </c>
    </row>
    <row r="97" spans="1:16" ht="27" customHeight="1" x14ac:dyDescent="0.2">
      <c r="A97" s="54">
        <v>88</v>
      </c>
      <c r="B97" s="104" t="s">
        <v>958</v>
      </c>
      <c r="C97" s="60" t="s">
        <v>379</v>
      </c>
      <c r="D97" s="78">
        <v>2920</v>
      </c>
      <c r="E97" s="78">
        <v>1000</v>
      </c>
      <c r="F97" s="78">
        <v>0</v>
      </c>
      <c r="G97" s="78">
        <v>250</v>
      </c>
      <c r="H97" s="62">
        <v>0</v>
      </c>
      <c r="I97" s="62">
        <f t="shared" si="5"/>
        <v>4170</v>
      </c>
      <c r="J97" s="21">
        <f t="shared" si="6"/>
        <v>117.6</v>
      </c>
      <c r="K97" s="21">
        <f>(D97+E97)*11%</f>
        <v>431.2</v>
      </c>
      <c r="L97" s="21">
        <v>0</v>
      </c>
      <c r="M97" s="21">
        <v>0</v>
      </c>
      <c r="N97" s="24">
        <f t="shared" si="7"/>
        <v>548.79999999999995</v>
      </c>
      <c r="O97" s="24">
        <f t="shared" si="8"/>
        <v>3621.2</v>
      </c>
      <c r="P97" s="24">
        <v>0</v>
      </c>
    </row>
    <row r="98" spans="1:16" ht="27" customHeight="1" x14ac:dyDescent="0.2">
      <c r="A98" s="54">
        <v>89</v>
      </c>
      <c r="B98" s="70" t="s">
        <v>918</v>
      </c>
      <c r="C98" s="60" t="s">
        <v>259</v>
      </c>
      <c r="D98" s="103">
        <v>1940</v>
      </c>
      <c r="E98" s="60">
        <v>0</v>
      </c>
      <c r="F98" s="78">
        <v>0</v>
      </c>
      <c r="G98" s="62">
        <v>0</v>
      </c>
      <c r="H98" s="62">
        <v>0</v>
      </c>
      <c r="I98" s="62">
        <f t="shared" si="5"/>
        <v>1940</v>
      </c>
      <c r="J98" s="21">
        <f t="shared" si="6"/>
        <v>58.2</v>
      </c>
      <c r="K98" s="21">
        <f>(D98+E98)*10%</f>
        <v>194</v>
      </c>
      <c r="L98" s="21">
        <v>0</v>
      </c>
      <c r="M98" s="21">
        <v>0</v>
      </c>
      <c r="N98" s="24">
        <f t="shared" si="7"/>
        <v>252.2</v>
      </c>
      <c r="O98" s="24">
        <f t="shared" si="8"/>
        <v>1687.8</v>
      </c>
      <c r="P98" s="24">
        <v>0</v>
      </c>
    </row>
    <row r="99" spans="1:16" ht="27" customHeight="1" x14ac:dyDescent="0.2">
      <c r="A99" s="54">
        <v>90</v>
      </c>
      <c r="B99" s="60" t="s">
        <v>304</v>
      </c>
      <c r="C99" s="60" t="s">
        <v>259</v>
      </c>
      <c r="D99" s="88">
        <v>1940</v>
      </c>
      <c r="E99" s="64">
        <v>0</v>
      </c>
      <c r="F99" s="78">
        <v>0</v>
      </c>
      <c r="G99" s="62">
        <v>0</v>
      </c>
      <c r="H99" s="62">
        <v>0</v>
      </c>
      <c r="I99" s="62">
        <f t="shared" si="5"/>
        <v>1940</v>
      </c>
      <c r="J99" s="21">
        <f t="shared" si="6"/>
        <v>58.2</v>
      </c>
      <c r="K99" s="21">
        <f>D99*10%</f>
        <v>194</v>
      </c>
      <c r="L99" s="21">
        <v>0</v>
      </c>
      <c r="M99" s="21">
        <v>0</v>
      </c>
      <c r="N99" s="24">
        <f t="shared" si="7"/>
        <v>252.2</v>
      </c>
      <c r="O99" s="24">
        <f t="shared" si="8"/>
        <v>1687.8</v>
      </c>
      <c r="P99" s="24">
        <v>0</v>
      </c>
    </row>
    <row r="100" spans="1:16" ht="27" customHeight="1" x14ac:dyDescent="0.2">
      <c r="A100" s="54">
        <v>91</v>
      </c>
      <c r="B100" s="60" t="s">
        <v>265</v>
      </c>
      <c r="C100" s="60" t="s">
        <v>262</v>
      </c>
      <c r="D100" s="105">
        <v>3081</v>
      </c>
      <c r="E100" s="65">
        <v>1000</v>
      </c>
      <c r="F100" s="78">
        <v>0</v>
      </c>
      <c r="G100" s="62">
        <v>250</v>
      </c>
      <c r="H100" s="62">
        <v>0</v>
      </c>
      <c r="I100" s="62">
        <f t="shared" si="5"/>
        <v>4331</v>
      </c>
      <c r="J100" s="21">
        <f t="shared" si="6"/>
        <v>122.43</v>
      </c>
      <c r="K100" s="21">
        <f>(D100+E100)*12%</f>
        <v>489.72</v>
      </c>
      <c r="L100" s="21">
        <v>0</v>
      </c>
      <c r="M100" s="21">
        <v>0</v>
      </c>
      <c r="N100" s="24">
        <f t="shared" si="7"/>
        <v>612.15</v>
      </c>
      <c r="O100" s="24">
        <f t="shared" si="8"/>
        <v>3718.85</v>
      </c>
      <c r="P100" s="24">
        <f>292</f>
        <v>292</v>
      </c>
    </row>
    <row r="101" spans="1:16" ht="27" customHeight="1" x14ac:dyDescent="0.2">
      <c r="A101" s="54">
        <v>92</v>
      </c>
      <c r="B101" s="60" t="s">
        <v>231</v>
      </c>
      <c r="C101" s="60" t="s">
        <v>259</v>
      </c>
      <c r="D101" s="88">
        <v>1940</v>
      </c>
      <c r="E101" s="64">
        <v>0</v>
      </c>
      <c r="F101" s="78">
        <v>0</v>
      </c>
      <c r="G101" s="62">
        <v>0</v>
      </c>
      <c r="H101" s="62">
        <v>0</v>
      </c>
      <c r="I101" s="62">
        <f t="shared" si="5"/>
        <v>1940</v>
      </c>
      <c r="J101" s="21">
        <f t="shared" si="6"/>
        <v>58.2</v>
      </c>
      <c r="K101" s="21">
        <f>D101*10%</f>
        <v>194</v>
      </c>
      <c r="L101" s="21">
        <v>0</v>
      </c>
      <c r="M101" s="21">
        <v>0</v>
      </c>
      <c r="N101" s="24">
        <f t="shared" si="7"/>
        <v>252.2</v>
      </c>
      <c r="O101" s="24">
        <f t="shared" si="8"/>
        <v>1687.8</v>
      </c>
      <c r="P101" s="24">
        <v>0</v>
      </c>
    </row>
    <row r="102" spans="1:16" ht="27" customHeight="1" x14ac:dyDescent="0.2">
      <c r="A102" s="54">
        <v>93</v>
      </c>
      <c r="B102" s="60" t="s">
        <v>305</v>
      </c>
      <c r="C102" s="60" t="s">
        <v>380</v>
      </c>
      <c r="D102" s="60">
        <v>2760</v>
      </c>
      <c r="E102" s="64">
        <v>1000</v>
      </c>
      <c r="F102" s="78">
        <v>0</v>
      </c>
      <c r="G102" s="62">
        <v>250</v>
      </c>
      <c r="H102" s="62">
        <v>0</v>
      </c>
      <c r="I102" s="62">
        <f t="shared" si="5"/>
        <v>4010</v>
      </c>
      <c r="J102" s="21">
        <f t="shared" si="6"/>
        <v>112.8</v>
      </c>
      <c r="K102" s="21">
        <f>(D102+E102)*11%</f>
        <v>413.6</v>
      </c>
      <c r="L102" s="21">
        <v>0</v>
      </c>
      <c r="M102" s="21">
        <v>0</v>
      </c>
      <c r="N102" s="24">
        <f t="shared" si="7"/>
        <v>526.4</v>
      </c>
      <c r="O102" s="24">
        <f t="shared" si="8"/>
        <v>3483.6</v>
      </c>
      <c r="P102" s="24">
        <v>0</v>
      </c>
    </row>
    <row r="103" spans="1:16" ht="27" customHeight="1" x14ac:dyDescent="0.2">
      <c r="A103" s="54">
        <v>94</v>
      </c>
      <c r="B103" s="91" t="s">
        <v>306</v>
      </c>
      <c r="C103" s="60" t="s">
        <v>162</v>
      </c>
      <c r="D103" s="78">
        <v>5095</v>
      </c>
      <c r="E103" s="78">
        <v>1800</v>
      </c>
      <c r="F103" s="78">
        <v>0</v>
      </c>
      <c r="G103" s="78">
        <v>250</v>
      </c>
      <c r="H103" s="62">
        <v>0</v>
      </c>
      <c r="I103" s="62">
        <f t="shared" si="5"/>
        <v>7145</v>
      </c>
      <c r="J103" s="21">
        <f t="shared" si="6"/>
        <v>206.85</v>
      </c>
      <c r="K103" s="21">
        <f>(D103+E103)*13%</f>
        <v>896.35</v>
      </c>
      <c r="L103" s="21">
        <v>0</v>
      </c>
      <c r="M103" s="21">
        <v>92.67</v>
      </c>
      <c r="N103" s="24">
        <f t="shared" si="7"/>
        <v>1195.8699999999999</v>
      </c>
      <c r="O103" s="24">
        <f t="shared" si="8"/>
        <v>5949.13</v>
      </c>
      <c r="P103" s="24">
        <v>0</v>
      </c>
    </row>
    <row r="104" spans="1:16" ht="27" customHeight="1" x14ac:dyDescent="0.2">
      <c r="A104" s="54">
        <v>95</v>
      </c>
      <c r="B104" s="91" t="s">
        <v>852</v>
      </c>
      <c r="C104" s="60" t="s">
        <v>90</v>
      </c>
      <c r="D104" s="78">
        <v>1902</v>
      </c>
      <c r="E104" s="78">
        <v>1000</v>
      </c>
      <c r="F104" s="78">
        <v>0</v>
      </c>
      <c r="G104" s="78">
        <v>250</v>
      </c>
      <c r="H104" s="62">
        <v>0</v>
      </c>
      <c r="I104" s="62">
        <f t="shared" si="5"/>
        <v>3152</v>
      </c>
      <c r="J104" s="21">
        <f t="shared" si="6"/>
        <v>87.06</v>
      </c>
      <c r="K104" s="21">
        <f>(D104+E104)*11%</f>
        <v>319.22000000000003</v>
      </c>
      <c r="L104" s="21">
        <v>0</v>
      </c>
      <c r="M104" s="21">
        <v>0</v>
      </c>
      <c r="N104" s="24">
        <f t="shared" si="7"/>
        <v>406.28</v>
      </c>
      <c r="O104" s="24">
        <f t="shared" si="8"/>
        <v>2745.72</v>
      </c>
      <c r="P104" s="24">
        <v>0</v>
      </c>
    </row>
    <row r="105" spans="1:16" ht="27" customHeight="1" x14ac:dyDescent="0.2">
      <c r="A105" s="54">
        <v>96</v>
      </c>
      <c r="B105" s="60" t="s">
        <v>266</v>
      </c>
      <c r="C105" s="60" t="s">
        <v>259</v>
      </c>
      <c r="D105" s="88">
        <v>1940</v>
      </c>
      <c r="E105" s="64">
        <v>0</v>
      </c>
      <c r="F105" s="78">
        <v>0</v>
      </c>
      <c r="G105" s="62">
        <v>0</v>
      </c>
      <c r="H105" s="62">
        <v>0</v>
      </c>
      <c r="I105" s="62">
        <f t="shared" si="5"/>
        <v>1940</v>
      </c>
      <c r="J105" s="21">
        <f t="shared" si="6"/>
        <v>58.2</v>
      </c>
      <c r="K105" s="21">
        <f>D105*10%</f>
        <v>194</v>
      </c>
      <c r="L105" s="21">
        <v>0</v>
      </c>
      <c r="M105" s="21">
        <v>0</v>
      </c>
      <c r="N105" s="24">
        <f t="shared" si="7"/>
        <v>252.2</v>
      </c>
      <c r="O105" s="24">
        <f t="shared" si="8"/>
        <v>1687.8</v>
      </c>
      <c r="P105" s="24">
        <v>0</v>
      </c>
    </row>
    <row r="106" spans="1:16" ht="27" customHeight="1" x14ac:dyDescent="0.2">
      <c r="A106" s="54">
        <v>97</v>
      </c>
      <c r="B106" s="60" t="s">
        <v>307</v>
      </c>
      <c r="C106" s="60" t="s">
        <v>257</v>
      </c>
      <c r="D106" s="88">
        <v>2425</v>
      </c>
      <c r="E106" s="64">
        <v>0</v>
      </c>
      <c r="F106" s="78">
        <v>0</v>
      </c>
      <c r="G106" s="62">
        <v>0</v>
      </c>
      <c r="H106" s="62">
        <v>0</v>
      </c>
      <c r="I106" s="62">
        <f t="shared" si="5"/>
        <v>2425</v>
      </c>
      <c r="J106" s="21">
        <f t="shared" si="6"/>
        <v>72.75</v>
      </c>
      <c r="K106" s="21">
        <f>D106*11%</f>
        <v>266.75</v>
      </c>
      <c r="L106" s="21">
        <v>0</v>
      </c>
      <c r="M106" s="21">
        <v>0</v>
      </c>
      <c r="N106" s="24">
        <f t="shared" si="7"/>
        <v>339.5</v>
      </c>
      <c r="O106" s="24">
        <f t="shared" si="8"/>
        <v>2085.5</v>
      </c>
      <c r="P106" s="24">
        <v>0</v>
      </c>
    </row>
    <row r="107" spans="1:16" ht="27" customHeight="1" x14ac:dyDescent="0.2">
      <c r="A107" s="54">
        <v>98</v>
      </c>
      <c r="B107" s="60" t="s">
        <v>964</v>
      </c>
      <c r="C107" s="60" t="s">
        <v>86</v>
      </c>
      <c r="D107" s="88">
        <v>2920</v>
      </c>
      <c r="E107" s="64">
        <v>1000</v>
      </c>
      <c r="F107" s="78"/>
      <c r="G107" s="62">
        <v>250</v>
      </c>
      <c r="H107" s="62"/>
      <c r="I107" s="62">
        <f t="shared" si="5"/>
        <v>4170</v>
      </c>
      <c r="J107" s="21">
        <f t="shared" si="6"/>
        <v>117.6</v>
      </c>
      <c r="K107" s="21">
        <f>(D107+E107)*11%</f>
        <v>431.2</v>
      </c>
      <c r="L107" s="21">
        <v>0</v>
      </c>
      <c r="M107" s="21">
        <v>52.68</v>
      </c>
      <c r="N107" s="24">
        <f t="shared" ref="N107:N132" si="9">J107+K107+L107+M107</f>
        <v>601.48</v>
      </c>
      <c r="O107" s="24">
        <f t="shared" si="8"/>
        <v>3568.52</v>
      </c>
      <c r="P107" s="24">
        <v>0</v>
      </c>
    </row>
    <row r="108" spans="1:16" ht="27" customHeight="1" x14ac:dyDescent="0.2">
      <c r="A108" s="54">
        <v>99</v>
      </c>
      <c r="B108" s="60" t="s">
        <v>51</v>
      </c>
      <c r="C108" s="60" t="s">
        <v>225</v>
      </c>
      <c r="D108" s="60">
        <v>2249</v>
      </c>
      <c r="E108" s="60">
        <v>1000</v>
      </c>
      <c r="F108" s="78">
        <v>0</v>
      </c>
      <c r="G108" s="62">
        <v>250</v>
      </c>
      <c r="H108" s="62">
        <v>0</v>
      </c>
      <c r="I108" s="62">
        <f t="shared" si="5"/>
        <v>3499</v>
      </c>
      <c r="J108" s="21">
        <f t="shared" si="6"/>
        <v>97.47</v>
      </c>
      <c r="K108" s="21">
        <f>(D108+E108)*11%</f>
        <v>357.39</v>
      </c>
      <c r="L108" s="21">
        <v>0</v>
      </c>
      <c r="M108" s="21">
        <v>0</v>
      </c>
      <c r="N108" s="24">
        <f t="shared" si="9"/>
        <v>454.86</v>
      </c>
      <c r="O108" s="24">
        <f t="shared" si="8"/>
        <v>3044.14</v>
      </c>
      <c r="P108" s="24">
        <v>0</v>
      </c>
    </row>
    <row r="109" spans="1:16" ht="27" customHeight="1" x14ac:dyDescent="0.2">
      <c r="A109" s="54">
        <v>100</v>
      </c>
      <c r="B109" s="106" t="s">
        <v>966</v>
      </c>
      <c r="C109" s="66" t="s">
        <v>366</v>
      </c>
      <c r="D109" s="60">
        <v>3241</v>
      </c>
      <c r="E109" s="60">
        <v>1000</v>
      </c>
      <c r="F109" s="78">
        <v>0</v>
      </c>
      <c r="G109" s="62">
        <v>250</v>
      </c>
      <c r="H109" s="62">
        <v>0</v>
      </c>
      <c r="I109" s="62">
        <f t="shared" si="5"/>
        <v>4491</v>
      </c>
      <c r="J109" s="21">
        <f t="shared" si="6"/>
        <v>127.23</v>
      </c>
      <c r="K109" s="21">
        <f>(D109+E109+F109)*12%</f>
        <v>508.92</v>
      </c>
      <c r="L109" s="21">
        <v>0</v>
      </c>
      <c r="M109" s="21">
        <v>0</v>
      </c>
      <c r="N109" s="24">
        <f t="shared" si="9"/>
        <v>636.15</v>
      </c>
      <c r="O109" s="24">
        <f t="shared" si="8"/>
        <v>3854.85</v>
      </c>
      <c r="P109" s="24">
        <v>0</v>
      </c>
    </row>
    <row r="110" spans="1:16" ht="27" customHeight="1" x14ac:dyDescent="0.2">
      <c r="A110" s="54">
        <v>101</v>
      </c>
      <c r="B110" s="64" t="s">
        <v>308</v>
      </c>
      <c r="C110" s="60" t="s">
        <v>88</v>
      </c>
      <c r="D110" s="21">
        <v>2920</v>
      </c>
      <c r="E110" s="21">
        <v>1000</v>
      </c>
      <c r="F110" s="78">
        <v>0</v>
      </c>
      <c r="G110" s="62">
        <v>250</v>
      </c>
      <c r="H110" s="62">
        <v>0</v>
      </c>
      <c r="I110" s="62">
        <f t="shared" si="5"/>
        <v>4170</v>
      </c>
      <c r="J110" s="21">
        <f t="shared" si="6"/>
        <v>117.6</v>
      </c>
      <c r="K110" s="21">
        <f>(D110+E110)*11%</f>
        <v>431.2</v>
      </c>
      <c r="L110" s="21">
        <v>0</v>
      </c>
      <c r="M110" s="21">
        <v>0</v>
      </c>
      <c r="N110" s="24">
        <f t="shared" si="9"/>
        <v>548.79999999999995</v>
      </c>
      <c r="O110" s="24">
        <f t="shared" si="8"/>
        <v>3621.2</v>
      </c>
      <c r="P110" s="24">
        <v>0</v>
      </c>
    </row>
    <row r="111" spans="1:16" ht="27" customHeight="1" x14ac:dyDescent="0.2">
      <c r="A111" s="54">
        <v>102</v>
      </c>
      <c r="B111" s="60" t="s">
        <v>205</v>
      </c>
      <c r="C111" s="60" t="s">
        <v>257</v>
      </c>
      <c r="D111" s="88">
        <v>2425</v>
      </c>
      <c r="E111" s="60">
        <v>0</v>
      </c>
      <c r="F111" s="78">
        <v>0</v>
      </c>
      <c r="G111" s="62">
        <v>0</v>
      </c>
      <c r="H111" s="62">
        <v>0</v>
      </c>
      <c r="I111" s="62">
        <f t="shared" si="5"/>
        <v>2425</v>
      </c>
      <c r="J111" s="21">
        <f t="shared" si="6"/>
        <v>72.75</v>
      </c>
      <c r="K111" s="21">
        <f>(D111+E111)*11%</f>
        <v>266.75</v>
      </c>
      <c r="L111" s="21">
        <v>0</v>
      </c>
      <c r="M111" s="21">
        <v>0</v>
      </c>
      <c r="N111" s="24">
        <f t="shared" si="9"/>
        <v>339.5</v>
      </c>
      <c r="O111" s="24">
        <f t="shared" si="8"/>
        <v>2085.5</v>
      </c>
      <c r="P111" s="24">
        <v>0</v>
      </c>
    </row>
    <row r="112" spans="1:16" ht="27" customHeight="1" x14ac:dyDescent="0.2">
      <c r="A112" s="54">
        <v>103</v>
      </c>
      <c r="B112" s="60" t="s">
        <v>206</v>
      </c>
      <c r="C112" s="60" t="s">
        <v>259</v>
      </c>
      <c r="D112" s="88">
        <v>1940</v>
      </c>
      <c r="E112" s="60">
        <v>0</v>
      </c>
      <c r="F112" s="78">
        <v>0</v>
      </c>
      <c r="G112" s="62">
        <v>0</v>
      </c>
      <c r="H112" s="62">
        <v>0</v>
      </c>
      <c r="I112" s="62">
        <f t="shared" si="5"/>
        <v>1940</v>
      </c>
      <c r="J112" s="21">
        <f t="shared" si="6"/>
        <v>58.2</v>
      </c>
      <c r="K112" s="21">
        <f>D112*10%</f>
        <v>194</v>
      </c>
      <c r="L112" s="21">
        <v>0</v>
      </c>
      <c r="M112" s="21">
        <v>0</v>
      </c>
      <c r="N112" s="24">
        <f t="shared" si="9"/>
        <v>252.2</v>
      </c>
      <c r="O112" s="24">
        <f t="shared" si="8"/>
        <v>1687.8</v>
      </c>
      <c r="P112" s="24">
        <v>0</v>
      </c>
    </row>
    <row r="113" spans="1:20" ht="27" customHeight="1" x14ac:dyDescent="0.2">
      <c r="A113" s="54">
        <v>104</v>
      </c>
      <c r="B113" s="60" t="s">
        <v>309</v>
      </c>
      <c r="C113" s="60" t="s">
        <v>257</v>
      </c>
      <c r="D113" s="88">
        <v>2425</v>
      </c>
      <c r="E113" s="60">
        <v>0</v>
      </c>
      <c r="F113" s="78">
        <v>0</v>
      </c>
      <c r="G113" s="62">
        <v>0</v>
      </c>
      <c r="H113" s="62">
        <v>0</v>
      </c>
      <c r="I113" s="62">
        <f t="shared" si="5"/>
        <v>2425</v>
      </c>
      <c r="J113" s="21">
        <f t="shared" si="6"/>
        <v>72.75</v>
      </c>
      <c r="K113" s="21">
        <f>D113*11%</f>
        <v>266.75</v>
      </c>
      <c r="L113" s="21">
        <v>0</v>
      </c>
      <c r="M113" s="21">
        <v>0</v>
      </c>
      <c r="N113" s="24">
        <f t="shared" si="9"/>
        <v>339.5</v>
      </c>
      <c r="O113" s="24">
        <f t="shared" si="8"/>
        <v>2085.5</v>
      </c>
      <c r="P113" s="24">
        <v>0</v>
      </c>
    </row>
    <row r="114" spans="1:20" ht="27" customHeight="1" x14ac:dyDescent="0.2">
      <c r="A114" s="54">
        <v>105</v>
      </c>
      <c r="B114" s="89" t="s">
        <v>1040</v>
      </c>
      <c r="C114" s="60" t="s">
        <v>900</v>
      </c>
      <c r="D114" s="88">
        <v>6759</v>
      </c>
      <c r="E114" s="60">
        <v>4000</v>
      </c>
      <c r="F114" s="78">
        <v>375</v>
      </c>
      <c r="G114" s="62">
        <v>250</v>
      </c>
      <c r="H114" s="62">
        <v>0</v>
      </c>
      <c r="I114" s="62">
        <f t="shared" si="5"/>
        <v>11384</v>
      </c>
      <c r="J114" s="21">
        <f t="shared" si="6"/>
        <v>334.02</v>
      </c>
      <c r="K114" s="21">
        <f>(D114+E114+F114)*15%</f>
        <v>1670.1</v>
      </c>
      <c r="L114" s="21">
        <v>0</v>
      </c>
      <c r="M114" s="21">
        <v>0</v>
      </c>
      <c r="N114" s="24">
        <f t="shared" si="9"/>
        <v>2004.12</v>
      </c>
      <c r="O114" s="24">
        <f t="shared" si="8"/>
        <v>9379.8799999999992</v>
      </c>
      <c r="P114" s="24">
        <v>0</v>
      </c>
    </row>
    <row r="115" spans="1:20" ht="27" customHeight="1" x14ac:dyDescent="0.2">
      <c r="A115" s="54">
        <v>106</v>
      </c>
      <c r="B115" s="60" t="s">
        <v>207</v>
      </c>
      <c r="C115" s="60" t="s">
        <v>259</v>
      </c>
      <c r="D115" s="88">
        <v>1940</v>
      </c>
      <c r="E115" s="60">
        <v>0</v>
      </c>
      <c r="F115" s="78">
        <v>0</v>
      </c>
      <c r="G115" s="62">
        <v>0</v>
      </c>
      <c r="H115" s="62">
        <v>0</v>
      </c>
      <c r="I115" s="62">
        <f t="shared" si="5"/>
        <v>1940</v>
      </c>
      <c r="J115" s="21">
        <f t="shared" si="6"/>
        <v>58.2</v>
      </c>
      <c r="K115" s="21">
        <f>D115*10%</f>
        <v>194</v>
      </c>
      <c r="L115" s="21">
        <v>0</v>
      </c>
      <c r="M115" s="21">
        <v>0</v>
      </c>
      <c r="N115" s="24">
        <f t="shared" si="9"/>
        <v>252.2</v>
      </c>
      <c r="O115" s="24">
        <f t="shared" si="8"/>
        <v>1687.8</v>
      </c>
      <c r="P115" s="24">
        <v>0</v>
      </c>
    </row>
    <row r="116" spans="1:20" ht="27" customHeight="1" x14ac:dyDescent="0.2">
      <c r="A116" s="54">
        <v>107</v>
      </c>
      <c r="B116" s="60" t="s">
        <v>223</v>
      </c>
      <c r="C116" s="60" t="s">
        <v>257</v>
      </c>
      <c r="D116" s="88">
        <v>2425</v>
      </c>
      <c r="E116" s="60">
        <v>0</v>
      </c>
      <c r="F116" s="78">
        <v>0</v>
      </c>
      <c r="G116" s="62">
        <v>0</v>
      </c>
      <c r="H116" s="62">
        <v>0</v>
      </c>
      <c r="I116" s="62">
        <f t="shared" si="5"/>
        <v>2425</v>
      </c>
      <c r="J116" s="21">
        <f t="shared" si="6"/>
        <v>72.75</v>
      </c>
      <c r="K116" s="21">
        <f>D116*11%</f>
        <v>266.75</v>
      </c>
      <c r="L116" s="21">
        <v>0</v>
      </c>
      <c r="M116" s="21">
        <v>0</v>
      </c>
      <c r="N116" s="24">
        <f t="shared" si="9"/>
        <v>339.5</v>
      </c>
      <c r="O116" s="24">
        <f t="shared" si="8"/>
        <v>2085.5</v>
      </c>
      <c r="P116" s="24">
        <v>0</v>
      </c>
      <c r="T116" s="4"/>
    </row>
    <row r="117" spans="1:20" ht="27" customHeight="1" x14ac:dyDescent="0.2">
      <c r="A117" s="54">
        <v>108</v>
      </c>
      <c r="B117" s="60" t="s">
        <v>232</v>
      </c>
      <c r="C117" s="60" t="s">
        <v>259</v>
      </c>
      <c r="D117" s="88">
        <v>1940</v>
      </c>
      <c r="E117" s="60">
        <v>0</v>
      </c>
      <c r="F117" s="78">
        <v>0</v>
      </c>
      <c r="G117" s="62">
        <v>0</v>
      </c>
      <c r="H117" s="62">
        <v>0</v>
      </c>
      <c r="I117" s="62">
        <f t="shared" si="5"/>
        <v>1940</v>
      </c>
      <c r="J117" s="21">
        <f t="shared" si="6"/>
        <v>58.2</v>
      </c>
      <c r="K117" s="21">
        <f>D117*10%</f>
        <v>194</v>
      </c>
      <c r="L117" s="21">
        <v>0</v>
      </c>
      <c r="M117" s="21">
        <v>0</v>
      </c>
      <c r="N117" s="24">
        <f t="shared" si="9"/>
        <v>252.2</v>
      </c>
      <c r="O117" s="24">
        <f t="shared" si="8"/>
        <v>1687.8</v>
      </c>
      <c r="P117" s="24">
        <v>0</v>
      </c>
    </row>
    <row r="118" spans="1:20" ht="27" customHeight="1" x14ac:dyDescent="0.2">
      <c r="A118" s="54">
        <v>109</v>
      </c>
      <c r="B118" s="64" t="s">
        <v>2</v>
      </c>
      <c r="C118" s="64" t="s">
        <v>90</v>
      </c>
      <c r="D118" s="21">
        <v>1902</v>
      </c>
      <c r="E118" s="21">
        <v>1000</v>
      </c>
      <c r="F118" s="78">
        <v>0</v>
      </c>
      <c r="G118" s="62">
        <v>250</v>
      </c>
      <c r="H118" s="62">
        <v>0</v>
      </c>
      <c r="I118" s="62">
        <f t="shared" si="5"/>
        <v>3152</v>
      </c>
      <c r="J118" s="21">
        <f t="shared" si="6"/>
        <v>87.06</v>
      </c>
      <c r="K118" s="21">
        <f>(D118+E118)*11%</f>
        <v>319.22000000000003</v>
      </c>
      <c r="L118" s="21">
        <v>0</v>
      </c>
      <c r="M118" s="21">
        <v>0</v>
      </c>
      <c r="N118" s="24">
        <f t="shared" si="9"/>
        <v>406.28</v>
      </c>
      <c r="O118" s="24">
        <f t="shared" si="8"/>
        <v>2745.72</v>
      </c>
      <c r="P118" s="24">
        <v>0</v>
      </c>
    </row>
    <row r="119" spans="1:20" ht="27" customHeight="1" x14ac:dyDescent="0.2">
      <c r="A119" s="54">
        <v>110</v>
      </c>
      <c r="B119" s="60" t="s">
        <v>60</v>
      </c>
      <c r="C119" s="60" t="s">
        <v>87</v>
      </c>
      <c r="D119" s="60">
        <v>1902</v>
      </c>
      <c r="E119" s="60">
        <v>1000</v>
      </c>
      <c r="F119" s="78">
        <v>0</v>
      </c>
      <c r="G119" s="62">
        <v>250</v>
      </c>
      <c r="H119" s="62">
        <v>0</v>
      </c>
      <c r="I119" s="62">
        <f t="shared" si="5"/>
        <v>3152</v>
      </c>
      <c r="J119" s="21">
        <f t="shared" si="6"/>
        <v>87.06</v>
      </c>
      <c r="K119" s="21">
        <f>(D119+E119)*11%</f>
        <v>319.22000000000003</v>
      </c>
      <c r="L119" s="21">
        <v>0</v>
      </c>
      <c r="M119" s="21">
        <v>0</v>
      </c>
      <c r="N119" s="24">
        <f t="shared" si="9"/>
        <v>406.28</v>
      </c>
      <c r="O119" s="24">
        <f t="shared" si="8"/>
        <v>2745.72</v>
      </c>
      <c r="P119" s="24">
        <v>0</v>
      </c>
    </row>
    <row r="120" spans="1:20" ht="27" customHeight="1" x14ac:dyDescent="0.2">
      <c r="A120" s="54">
        <v>111</v>
      </c>
      <c r="B120" s="60" t="s">
        <v>347</v>
      </c>
      <c r="C120" s="60" t="s">
        <v>257</v>
      </c>
      <c r="D120" s="60">
        <v>2425</v>
      </c>
      <c r="E120" s="60">
        <v>0</v>
      </c>
      <c r="F120" s="78">
        <v>0</v>
      </c>
      <c r="G120" s="62">
        <v>0</v>
      </c>
      <c r="H120" s="62">
        <v>0</v>
      </c>
      <c r="I120" s="62">
        <f t="shared" si="5"/>
        <v>2425</v>
      </c>
      <c r="J120" s="21">
        <f t="shared" si="6"/>
        <v>72.75</v>
      </c>
      <c r="K120" s="21">
        <f>D120*11%</f>
        <v>266.75</v>
      </c>
      <c r="L120" s="21">
        <v>0</v>
      </c>
      <c r="M120" s="21">
        <v>0</v>
      </c>
      <c r="N120" s="24">
        <f t="shared" si="9"/>
        <v>339.5</v>
      </c>
      <c r="O120" s="24">
        <f t="shared" si="8"/>
        <v>2085.5</v>
      </c>
      <c r="P120" s="24">
        <v>0</v>
      </c>
    </row>
    <row r="121" spans="1:20" ht="27" customHeight="1" x14ac:dyDescent="0.2">
      <c r="A121" s="54">
        <v>112</v>
      </c>
      <c r="B121" s="70" t="s">
        <v>788</v>
      </c>
      <c r="C121" s="60" t="s">
        <v>257</v>
      </c>
      <c r="D121" s="21">
        <v>2425</v>
      </c>
      <c r="E121" s="60">
        <v>0</v>
      </c>
      <c r="F121" s="78">
        <v>0</v>
      </c>
      <c r="G121" s="62">
        <v>0</v>
      </c>
      <c r="H121" s="62">
        <v>0</v>
      </c>
      <c r="I121" s="62">
        <f t="shared" si="5"/>
        <v>2425</v>
      </c>
      <c r="J121" s="21">
        <f t="shared" si="6"/>
        <v>72.75</v>
      </c>
      <c r="K121" s="21">
        <f>(D121+E121)*11%</f>
        <v>266.75</v>
      </c>
      <c r="L121" s="21">
        <v>0</v>
      </c>
      <c r="M121" s="21">
        <v>0</v>
      </c>
      <c r="N121" s="24">
        <f t="shared" si="9"/>
        <v>339.5</v>
      </c>
      <c r="O121" s="24">
        <f t="shared" si="8"/>
        <v>2085.5</v>
      </c>
      <c r="P121" s="24">
        <v>0</v>
      </c>
    </row>
    <row r="122" spans="1:20" ht="27" customHeight="1" x14ac:dyDescent="0.2">
      <c r="A122" s="54">
        <v>113</v>
      </c>
      <c r="B122" s="91" t="s">
        <v>310</v>
      </c>
      <c r="C122" s="94" t="s">
        <v>233</v>
      </c>
      <c r="D122" s="78">
        <v>2375</v>
      </c>
      <c r="E122" s="78">
        <v>1000</v>
      </c>
      <c r="F122" s="78">
        <v>0</v>
      </c>
      <c r="G122" s="78">
        <v>250</v>
      </c>
      <c r="H122" s="62">
        <v>0</v>
      </c>
      <c r="I122" s="62">
        <f t="shared" si="5"/>
        <v>3625</v>
      </c>
      <c r="J122" s="21">
        <f t="shared" si="6"/>
        <v>101.25</v>
      </c>
      <c r="K122" s="21">
        <f>(D122+E122)*11%</f>
        <v>371.25</v>
      </c>
      <c r="L122" s="21">
        <v>0</v>
      </c>
      <c r="M122" s="21">
        <v>45.36</v>
      </c>
      <c r="N122" s="24">
        <f t="shared" si="9"/>
        <v>517.86</v>
      </c>
      <c r="O122" s="24">
        <f t="shared" si="8"/>
        <v>3107.14</v>
      </c>
      <c r="P122" s="24">
        <v>0</v>
      </c>
    </row>
    <row r="123" spans="1:20" ht="27" customHeight="1" x14ac:dyDescent="0.2">
      <c r="A123" s="54">
        <v>114</v>
      </c>
      <c r="B123" s="60" t="s">
        <v>267</v>
      </c>
      <c r="C123" s="60" t="s">
        <v>385</v>
      </c>
      <c r="D123" s="78">
        <v>3241</v>
      </c>
      <c r="E123" s="78">
        <v>1000</v>
      </c>
      <c r="F123" s="78">
        <v>0</v>
      </c>
      <c r="G123" s="78">
        <v>250</v>
      </c>
      <c r="H123" s="62">
        <v>0</v>
      </c>
      <c r="I123" s="62">
        <f t="shared" si="5"/>
        <v>4491</v>
      </c>
      <c r="J123" s="21">
        <f t="shared" si="6"/>
        <v>127.23</v>
      </c>
      <c r="K123" s="21">
        <f>(D123+E123)*12%</f>
        <v>508.92</v>
      </c>
      <c r="L123" s="21">
        <v>0</v>
      </c>
      <c r="M123" s="21">
        <v>0</v>
      </c>
      <c r="N123" s="24">
        <f t="shared" si="9"/>
        <v>636.15</v>
      </c>
      <c r="O123" s="24">
        <f t="shared" si="8"/>
        <v>3854.85</v>
      </c>
      <c r="P123" s="24">
        <f>1470+1050</f>
        <v>2520</v>
      </c>
    </row>
    <row r="124" spans="1:20" ht="27" customHeight="1" x14ac:dyDescent="0.2">
      <c r="A124" s="54">
        <v>115</v>
      </c>
      <c r="B124" s="91" t="s">
        <v>208</v>
      </c>
      <c r="C124" s="94" t="s">
        <v>124</v>
      </c>
      <c r="D124" s="78">
        <v>2920</v>
      </c>
      <c r="E124" s="78">
        <v>1000</v>
      </c>
      <c r="F124" s="78">
        <v>0</v>
      </c>
      <c r="G124" s="78">
        <v>250</v>
      </c>
      <c r="H124" s="62">
        <v>0</v>
      </c>
      <c r="I124" s="62">
        <f t="shared" si="5"/>
        <v>4170</v>
      </c>
      <c r="J124" s="21">
        <f t="shared" si="6"/>
        <v>117.6</v>
      </c>
      <c r="K124" s="21">
        <f>(D124+E124)*11%</f>
        <v>431.2</v>
      </c>
      <c r="L124" s="21">
        <v>0</v>
      </c>
      <c r="M124" s="21">
        <v>52.68</v>
      </c>
      <c r="N124" s="24">
        <f t="shared" si="9"/>
        <v>601.48</v>
      </c>
      <c r="O124" s="24">
        <f t="shared" si="8"/>
        <v>3568.52</v>
      </c>
      <c r="P124" s="24">
        <v>0</v>
      </c>
    </row>
    <row r="125" spans="1:20" ht="27" customHeight="1" x14ac:dyDescent="0.2">
      <c r="A125" s="54">
        <v>116</v>
      </c>
      <c r="B125" s="21" t="s">
        <v>209</v>
      </c>
      <c r="C125" s="60" t="s">
        <v>46</v>
      </c>
      <c r="D125" s="60">
        <v>1668</v>
      </c>
      <c r="E125" s="64">
        <v>1000</v>
      </c>
      <c r="F125" s="78">
        <v>0</v>
      </c>
      <c r="G125" s="62">
        <v>250</v>
      </c>
      <c r="H125" s="62">
        <v>0</v>
      </c>
      <c r="I125" s="62">
        <f t="shared" si="5"/>
        <v>2918</v>
      </c>
      <c r="J125" s="21">
        <f t="shared" si="6"/>
        <v>80.040000000000006</v>
      </c>
      <c r="K125" s="21">
        <v>293.48</v>
      </c>
      <c r="L125" s="21">
        <v>0</v>
      </c>
      <c r="M125" s="21">
        <v>0</v>
      </c>
      <c r="N125" s="24">
        <f t="shared" si="9"/>
        <v>373.52</v>
      </c>
      <c r="O125" s="24">
        <f t="shared" si="8"/>
        <v>2544.48</v>
      </c>
      <c r="P125" s="24">
        <v>0</v>
      </c>
    </row>
    <row r="126" spans="1:20" ht="27" customHeight="1" x14ac:dyDescent="0.2">
      <c r="A126" s="54">
        <v>117</v>
      </c>
      <c r="B126" s="108" t="s">
        <v>357</v>
      </c>
      <c r="C126" s="60" t="s">
        <v>257</v>
      </c>
      <c r="D126" s="93">
        <v>2425</v>
      </c>
      <c r="E126" s="60">
        <v>0</v>
      </c>
      <c r="F126" s="78">
        <v>0</v>
      </c>
      <c r="G126" s="62">
        <v>0</v>
      </c>
      <c r="H126" s="62">
        <v>0</v>
      </c>
      <c r="I126" s="62">
        <f t="shared" si="5"/>
        <v>2425</v>
      </c>
      <c r="J126" s="21">
        <f t="shared" si="6"/>
        <v>72.75</v>
      </c>
      <c r="K126" s="21">
        <v>266.75</v>
      </c>
      <c r="L126" s="21">
        <v>0</v>
      </c>
      <c r="M126" s="21">
        <v>0</v>
      </c>
      <c r="N126" s="24">
        <f t="shared" si="9"/>
        <v>339.5</v>
      </c>
      <c r="O126" s="24">
        <f t="shared" si="8"/>
        <v>2085.5</v>
      </c>
      <c r="P126" s="24">
        <v>0</v>
      </c>
    </row>
    <row r="127" spans="1:20" ht="27" customHeight="1" x14ac:dyDescent="0.2">
      <c r="A127" s="54">
        <v>118</v>
      </c>
      <c r="B127" s="91" t="s">
        <v>189</v>
      </c>
      <c r="C127" s="64" t="s">
        <v>125</v>
      </c>
      <c r="D127" s="78">
        <v>6759</v>
      </c>
      <c r="E127" s="78">
        <v>4000</v>
      </c>
      <c r="F127" s="78">
        <v>0</v>
      </c>
      <c r="G127" s="78">
        <v>250</v>
      </c>
      <c r="H127" s="62">
        <v>0</v>
      </c>
      <c r="I127" s="62">
        <f t="shared" si="5"/>
        <v>11009</v>
      </c>
      <c r="J127" s="21">
        <f t="shared" si="6"/>
        <v>322.77</v>
      </c>
      <c r="K127" s="21">
        <f>(D127+E127)*15%</f>
        <v>1613.85</v>
      </c>
      <c r="L127" s="21">
        <v>0</v>
      </c>
      <c r="M127" s="21">
        <v>144.6</v>
      </c>
      <c r="N127" s="24">
        <f t="shared" si="9"/>
        <v>2081.2199999999998</v>
      </c>
      <c r="O127" s="24">
        <f t="shared" si="8"/>
        <v>8927.7800000000007</v>
      </c>
      <c r="P127" s="24">
        <v>0</v>
      </c>
    </row>
    <row r="128" spans="1:20" ht="27" customHeight="1" x14ac:dyDescent="0.2">
      <c r="A128" s="54">
        <v>119</v>
      </c>
      <c r="B128" s="21" t="s">
        <v>119</v>
      </c>
      <c r="C128" s="64" t="s">
        <v>90</v>
      </c>
      <c r="D128" s="60">
        <v>1902</v>
      </c>
      <c r="E128" s="64">
        <v>1000</v>
      </c>
      <c r="F128" s="78">
        <v>0</v>
      </c>
      <c r="G128" s="62">
        <v>250</v>
      </c>
      <c r="H128" s="62">
        <v>0</v>
      </c>
      <c r="I128" s="62">
        <f t="shared" si="5"/>
        <v>3152</v>
      </c>
      <c r="J128" s="21">
        <f t="shared" si="6"/>
        <v>87.06</v>
      </c>
      <c r="K128" s="21">
        <f>(D128+E128)*11%</f>
        <v>319.22000000000003</v>
      </c>
      <c r="L128" s="21">
        <v>0</v>
      </c>
      <c r="M128" s="21">
        <v>0</v>
      </c>
      <c r="N128" s="24">
        <f t="shared" si="9"/>
        <v>406.28</v>
      </c>
      <c r="O128" s="24">
        <f t="shared" si="8"/>
        <v>2745.72</v>
      </c>
      <c r="P128" s="24">
        <f>210+209</f>
        <v>419</v>
      </c>
    </row>
    <row r="129" spans="1:16" ht="27" customHeight="1" x14ac:dyDescent="0.2">
      <c r="A129" s="54">
        <v>120</v>
      </c>
      <c r="B129" s="60" t="s">
        <v>816</v>
      </c>
      <c r="C129" s="60" t="s">
        <v>268</v>
      </c>
      <c r="D129" s="99">
        <v>2037</v>
      </c>
      <c r="E129" s="60">
        <v>0</v>
      </c>
      <c r="F129" s="78">
        <v>0</v>
      </c>
      <c r="G129" s="62">
        <v>0</v>
      </c>
      <c r="H129" s="62">
        <v>0</v>
      </c>
      <c r="I129" s="62">
        <f t="shared" si="5"/>
        <v>2037</v>
      </c>
      <c r="J129" s="21">
        <f t="shared" si="6"/>
        <v>61.11</v>
      </c>
      <c r="K129" s="21">
        <f>D129*11%</f>
        <v>224.07</v>
      </c>
      <c r="L129" s="21">
        <v>0</v>
      </c>
      <c r="M129" s="21">
        <v>0</v>
      </c>
      <c r="N129" s="24">
        <f t="shared" si="9"/>
        <v>285.18</v>
      </c>
      <c r="O129" s="24">
        <f t="shared" si="8"/>
        <v>1751.82</v>
      </c>
      <c r="P129" s="24">
        <v>0</v>
      </c>
    </row>
    <row r="130" spans="1:16" ht="27" customHeight="1" x14ac:dyDescent="0.2">
      <c r="A130" s="54">
        <v>121</v>
      </c>
      <c r="B130" s="60" t="s">
        <v>311</v>
      </c>
      <c r="C130" s="60" t="s">
        <v>87</v>
      </c>
      <c r="D130" s="60">
        <v>1902</v>
      </c>
      <c r="E130" s="60">
        <v>1000</v>
      </c>
      <c r="F130" s="78">
        <v>0</v>
      </c>
      <c r="G130" s="62">
        <v>250</v>
      </c>
      <c r="H130" s="62">
        <v>0</v>
      </c>
      <c r="I130" s="62">
        <f t="shared" si="5"/>
        <v>3152</v>
      </c>
      <c r="J130" s="21">
        <f t="shared" si="6"/>
        <v>87.06</v>
      </c>
      <c r="K130" s="21">
        <f>(D130+E130)*11%</f>
        <v>319.22000000000003</v>
      </c>
      <c r="L130" s="21">
        <v>0</v>
      </c>
      <c r="M130" s="21">
        <v>0</v>
      </c>
      <c r="N130" s="24">
        <f t="shared" si="9"/>
        <v>406.28</v>
      </c>
      <c r="O130" s="24">
        <f t="shared" si="8"/>
        <v>2745.72</v>
      </c>
      <c r="P130" s="24">
        <v>0</v>
      </c>
    </row>
    <row r="131" spans="1:16" ht="27" customHeight="1" x14ac:dyDescent="0.2">
      <c r="A131" s="54">
        <v>122</v>
      </c>
      <c r="B131" s="89" t="s">
        <v>919</v>
      </c>
      <c r="C131" s="89" t="s">
        <v>892</v>
      </c>
      <c r="D131" s="60">
        <v>6249</v>
      </c>
      <c r="E131" s="60">
        <v>1800</v>
      </c>
      <c r="F131" s="78">
        <v>0</v>
      </c>
      <c r="G131" s="62">
        <v>250</v>
      </c>
      <c r="H131" s="62">
        <v>0</v>
      </c>
      <c r="I131" s="62">
        <f t="shared" si="5"/>
        <v>8299</v>
      </c>
      <c r="J131" s="21">
        <f t="shared" si="6"/>
        <v>241.47</v>
      </c>
      <c r="K131" s="21">
        <f>(D131+E131)*14%</f>
        <v>1126.8599999999999</v>
      </c>
      <c r="L131" s="21">
        <v>0</v>
      </c>
      <c r="M131" s="21">
        <v>108.18</v>
      </c>
      <c r="N131" s="24">
        <f t="shared" si="9"/>
        <v>1476.51</v>
      </c>
      <c r="O131" s="24">
        <f t="shared" si="8"/>
        <v>6822.49</v>
      </c>
      <c r="P131" s="24">
        <v>0</v>
      </c>
    </row>
    <row r="132" spans="1:16" ht="27" customHeight="1" x14ac:dyDescent="0.2">
      <c r="A132" s="54">
        <v>123</v>
      </c>
      <c r="B132" s="60" t="s">
        <v>349</v>
      </c>
      <c r="C132" s="60" t="s">
        <v>262</v>
      </c>
      <c r="D132" s="21">
        <v>3081</v>
      </c>
      <c r="E132" s="60">
        <v>1000</v>
      </c>
      <c r="F132" s="78">
        <v>0</v>
      </c>
      <c r="G132" s="62">
        <v>250</v>
      </c>
      <c r="H132" s="62">
        <v>0</v>
      </c>
      <c r="I132" s="62">
        <f t="shared" si="5"/>
        <v>4331</v>
      </c>
      <c r="J132" s="21">
        <f t="shared" si="6"/>
        <v>122.43</v>
      </c>
      <c r="K132" s="21">
        <f>(D132+E132)*12%</f>
        <v>489.72</v>
      </c>
      <c r="L132" s="21">
        <v>0</v>
      </c>
      <c r="M132" s="78">
        <v>0</v>
      </c>
      <c r="N132" s="24">
        <f t="shared" si="9"/>
        <v>612.15</v>
      </c>
      <c r="O132" s="24">
        <f t="shared" si="8"/>
        <v>3718.85</v>
      </c>
      <c r="P132" s="24">
        <v>0</v>
      </c>
    </row>
    <row r="133" spans="1:16" ht="27" customHeight="1" x14ac:dyDescent="0.2">
      <c r="A133" s="54">
        <v>124</v>
      </c>
      <c r="B133" s="60" t="s">
        <v>967</v>
      </c>
      <c r="C133" s="60" t="s">
        <v>257</v>
      </c>
      <c r="D133" s="21">
        <v>2425</v>
      </c>
      <c r="E133" s="60">
        <v>0</v>
      </c>
      <c r="F133" s="78"/>
      <c r="G133" s="62">
        <v>0</v>
      </c>
      <c r="H133" s="62"/>
      <c r="I133" s="62">
        <f t="shared" si="5"/>
        <v>2425</v>
      </c>
      <c r="J133" s="21">
        <f t="shared" si="6"/>
        <v>72.75</v>
      </c>
      <c r="K133" s="21">
        <f>D133*11%</f>
        <v>266.75</v>
      </c>
      <c r="L133" s="21">
        <v>0</v>
      </c>
      <c r="M133" s="78">
        <v>0</v>
      </c>
      <c r="N133" s="24"/>
      <c r="O133" s="24">
        <f t="shared" si="8"/>
        <v>2425</v>
      </c>
      <c r="P133" s="24">
        <v>0</v>
      </c>
    </row>
    <row r="134" spans="1:16" ht="27" customHeight="1" x14ac:dyDescent="0.2">
      <c r="A134" s="54">
        <v>125</v>
      </c>
      <c r="B134" s="60" t="s">
        <v>269</v>
      </c>
      <c r="C134" s="60" t="s">
        <v>259</v>
      </c>
      <c r="D134" s="88">
        <v>1940</v>
      </c>
      <c r="E134" s="60">
        <v>0</v>
      </c>
      <c r="F134" s="78">
        <v>0</v>
      </c>
      <c r="G134" s="62">
        <v>0</v>
      </c>
      <c r="H134" s="62">
        <v>0</v>
      </c>
      <c r="I134" s="62">
        <f t="shared" si="5"/>
        <v>1940</v>
      </c>
      <c r="J134" s="21">
        <f t="shared" si="6"/>
        <v>58.2</v>
      </c>
      <c r="K134" s="21">
        <f>D134*11%</f>
        <v>213.4</v>
      </c>
      <c r="L134" s="21">
        <v>0</v>
      </c>
      <c r="M134" s="21">
        <v>0</v>
      </c>
      <c r="N134" s="24">
        <f t="shared" ref="N134:N167" si="10">J134+K134+L134+M134</f>
        <v>271.60000000000002</v>
      </c>
      <c r="O134" s="24">
        <f t="shared" si="8"/>
        <v>1668.4</v>
      </c>
      <c r="P134" s="24">
        <v>0</v>
      </c>
    </row>
    <row r="135" spans="1:16" ht="27" customHeight="1" x14ac:dyDescent="0.2">
      <c r="A135" s="54">
        <v>126</v>
      </c>
      <c r="B135" s="126" t="s">
        <v>1027</v>
      </c>
      <c r="C135" s="66" t="s">
        <v>1028</v>
      </c>
      <c r="D135" s="127">
        <v>1981</v>
      </c>
      <c r="E135" s="60">
        <v>1000</v>
      </c>
      <c r="F135" s="78"/>
      <c r="G135" s="62">
        <v>250</v>
      </c>
      <c r="H135" s="62"/>
      <c r="I135" s="62">
        <f t="shared" si="5"/>
        <v>3231</v>
      </c>
      <c r="J135" s="21">
        <f t="shared" si="6"/>
        <v>89.43</v>
      </c>
      <c r="K135" s="21">
        <f>D135*11%</f>
        <v>217.91</v>
      </c>
      <c r="L135" s="21">
        <v>0</v>
      </c>
      <c r="M135" s="21">
        <v>0</v>
      </c>
      <c r="N135" s="24">
        <f t="shared" si="10"/>
        <v>307.33999999999997</v>
      </c>
      <c r="O135" s="24">
        <f t="shared" si="8"/>
        <v>2923.66</v>
      </c>
      <c r="P135" s="24">
        <v>0</v>
      </c>
    </row>
    <row r="136" spans="1:16" ht="27" customHeight="1" x14ac:dyDescent="0.2">
      <c r="A136" s="54">
        <v>127</v>
      </c>
      <c r="B136" s="91" t="s">
        <v>312</v>
      </c>
      <c r="C136" s="60" t="s">
        <v>386</v>
      </c>
      <c r="D136" s="78">
        <v>2234</v>
      </c>
      <c r="E136" s="78">
        <v>1900</v>
      </c>
      <c r="F136" s="78">
        <v>0</v>
      </c>
      <c r="G136" s="78">
        <v>250</v>
      </c>
      <c r="H136" s="62">
        <v>0</v>
      </c>
      <c r="I136" s="62">
        <f t="shared" si="5"/>
        <v>4384</v>
      </c>
      <c r="J136" s="21">
        <f t="shared" si="6"/>
        <v>124.02</v>
      </c>
      <c r="K136" s="21">
        <f>(D136+E136)*12%</f>
        <v>496.08</v>
      </c>
      <c r="L136" s="21">
        <v>0</v>
      </c>
      <c r="M136" s="21">
        <v>0</v>
      </c>
      <c r="N136" s="24">
        <f t="shared" si="10"/>
        <v>620.1</v>
      </c>
      <c r="O136" s="24">
        <f t="shared" si="8"/>
        <v>3763.9</v>
      </c>
      <c r="P136" s="24">
        <v>0</v>
      </c>
    </row>
    <row r="137" spans="1:16" ht="27" customHeight="1" x14ac:dyDescent="0.2">
      <c r="A137" s="54">
        <v>128</v>
      </c>
      <c r="B137" s="60" t="s">
        <v>153</v>
      </c>
      <c r="C137" s="60" t="s">
        <v>259</v>
      </c>
      <c r="D137" s="60">
        <v>1940</v>
      </c>
      <c r="E137" s="60">
        <v>0</v>
      </c>
      <c r="F137" s="78">
        <v>0</v>
      </c>
      <c r="G137" s="62">
        <v>0</v>
      </c>
      <c r="H137" s="62">
        <v>0</v>
      </c>
      <c r="I137" s="62">
        <f t="shared" si="5"/>
        <v>1940</v>
      </c>
      <c r="J137" s="21">
        <f t="shared" si="6"/>
        <v>58.2</v>
      </c>
      <c r="K137" s="21">
        <f>D137*10%</f>
        <v>194</v>
      </c>
      <c r="L137" s="21">
        <v>0</v>
      </c>
      <c r="M137" s="21">
        <v>0</v>
      </c>
      <c r="N137" s="24">
        <f t="shared" si="10"/>
        <v>252.2</v>
      </c>
      <c r="O137" s="24">
        <f t="shared" si="8"/>
        <v>1687.8</v>
      </c>
      <c r="P137" s="24">
        <v>0</v>
      </c>
    </row>
    <row r="138" spans="1:16" ht="27" customHeight="1" x14ac:dyDescent="0.2">
      <c r="A138" s="54">
        <v>129</v>
      </c>
      <c r="B138" s="60" t="s">
        <v>313</v>
      </c>
      <c r="C138" s="60" t="s">
        <v>257</v>
      </c>
      <c r="D138" s="88">
        <v>2425</v>
      </c>
      <c r="E138" s="60">
        <v>0</v>
      </c>
      <c r="F138" s="78">
        <v>0</v>
      </c>
      <c r="G138" s="62">
        <v>0</v>
      </c>
      <c r="H138" s="62">
        <v>0</v>
      </c>
      <c r="I138" s="62">
        <f t="shared" si="5"/>
        <v>2425</v>
      </c>
      <c r="J138" s="21">
        <f t="shared" si="6"/>
        <v>72.75</v>
      </c>
      <c r="K138" s="21">
        <f>D138*11%</f>
        <v>266.75</v>
      </c>
      <c r="L138" s="21">
        <v>0</v>
      </c>
      <c r="M138" s="21">
        <v>0</v>
      </c>
      <c r="N138" s="24">
        <f t="shared" si="10"/>
        <v>339.5</v>
      </c>
      <c r="O138" s="24">
        <f t="shared" si="8"/>
        <v>2085.5</v>
      </c>
      <c r="P138" s="24">
        <v>0</v>
      </c>
    </row>
    <row r="139" spans="1:16" ht="27" customHeight="1" x14ac:dyDescent="0.2">
      <c r="A139" s="54">
        <v>130</v>
      </c>
      <c r="B139" s="60" t="s">
        <v>154</v>
      </c>
      <c r="C139" s="60" t="s">
        <v>259</v>
      </c>
      <c r="D139" s="60">
        <v>1940</v>
      </c>
      <c r="E139" s="60">
        <v>0</v>
      </c>
      <c r="F139" s="78">
        <v>0</v>
      </c>
      <c r="G139" s="62">
        <v>0</v>
      </c>
      <c r="H139" s="62">
        <v>0</v>
      </c>
      <c r="I139" s="62">
        <f t="shared" ref="I139:I205" si="11">(D139+E139+F139+G139+H139)</f>
        <v>1940</v>
      </c>
      <c r="J139" s="21">
        <f t="shared" ref="J139:J205" si="12">(D139+E139+F139)*3%</f>
        <v>58.2</v>
      </c>
      <c r="K139" s="21">
        <f>D139*10%</f>
        <v>194</v>
      </c>
      <c r="L139" s="21">
        <v>0</v>
      </c>
      <c r="M139" s="21">
        <v>0</v>
      </c>
      <c r="N139" s="24">
        <f t="shared" si="10"/>
        <v>252.2</v>
      </c>
      <c r="O139" s="24">
        <f t="shared" ref="O139:O205" si="13">I139-N139</f>
        <v>1687.8</v>
      </c>
      <c r="P139" s="24">
        <v>0</v>
      </c>
    </row>
    <row r="140" spans="1:16" ht="27" customHeight="1" x14ac:dyDescent="0.2">
      <c r="A140" s="54">
        <v>131</v>
      </c>
      <c r="B140" s="60" t="s">
        <v>784</v>
      </c>
      <c r="C140" s="60" t="s">
        <v>785</v>
      </c>
      <c r="D140" s="60">
        <v>3241</v>
      </c>
      <c r="E140" s="60">
        <v>1000</v>
      </c>
      <c r="F140" s="78">
        <v>0</v>
      </c>
      <c r="G140" s="62">
        <v>250</v>
      </c>
      <c r="H140" s="62"/>
      <c r="I140" s="62">
        <f t="shared" si="11"/>
        <v>4491</v>
      </c>
      <c r="J140" s="21">
        <f t="shared" si="12"/>
        <v>127.23</v>
      </c>
      <c r="K140" s="21">
        <f>(D140+E140)*12%</f>
        <v>508.92</v>
      </c>
      <c r="L140" s="21">
        <v>0</v>
      </c>
      <c r="M140" s="21">
        <v>0</v>
      </c>
      <c r="N140" s="24">
        <f t="shared" si="10"/>
        <v>636.15</v>
      </c>
      <c r="O140" s="24">
        <f t="shared" si="13"/>
        <v>3854.85</v>
      </c>
      <c r="P140" s="24">
        <v>0</v>
      </c>
    </row>
    <row r="141" spans="1:16" ht="27" customHeight="1" x14ac:dyDescent="0.2">
      <c r="A141" s="54">
        <v>132</v>
      </c>
      <c r="B141" s="60" t="s">
        <v>314</v>
      </c>
      <c r="C141" s="60" t="s">
        <v>87</v>
      </c>
      <c r="D141" s="60">
        <v>1902</v>
      </c>
      <c r="E141" s="60">
        <v>1000</v>
      </c>
      <c r="F141" s="78">
        <v>0</v>
      </c>
      <c r="G141" s="62">
        <v>250</v>
      </c>
      <c r="H141" s="62">
        <v>0</v>
      </c>
      <c r="I141" s="62">
        <f t="shared" si="11"/>
        <v>3152</v>
      </c>
      <c r="J141" s="21">
        <f t="shared" si="12"/>
        <v>87.06</v>
      </c>
      <c r="K141" s="21">
        <f>(D141+E141)*11%</f>
        <v>319.22000000000003</v>
      </c>
      <c r="L141" s="21">
        <v>0</v>
      </c>
      <c r="M141" s="60">
        <v>0</v>
      </c>
      <c r="N141" s="24">
        <f t="shared" si="10"/>
        <v>406.28</v>
      </c>
      <c r="O141" s="24">
        <f t="shared" si="13"/>
        <v>2745.72</v>
      </c>
      <c r="P141" s="24">
        <v>0</v>
      </c>
    </row>
    <row r="142" spans="1:16" ht="27" customHeight="1" x14ac:dyDescent="0.2">
      <c r="A142" s="54">
        <v>133</v>
      </c>
      <c r="B142" s="109" t="s">
        <v>211</v>
      </c>
      <c r="C142" s="60" t="s">
        <v>259</v>
      </c>
      <c r="D142" s="88">
        <v>1940</v>
      </c>
      <c r="E142" s="60">
        <v>0</v>
      </c>
      <c r="F142" s="78">
        <v>0</v>
      </c>
      <c r="G142" s="62">
        <v>0</v>
      </c>
      <c r="H142" s="62">
        <v>0</v>
      </c>
      <c r="I142" s="62">
        <f t="shared" si="11"/>
        <v>1940</v>
      </c>
      <c r="J142" s="21">
        <f t="shared" si="12"/>
        <v>58.2</v>
      </c>
      <c r="K142" s="21">
        <f>D142*10%</f>
        <v>194</v>
      </c>
      <c r="L142" s="21">
        <v>0</v>
      </c>
      <c r="M142" s="21">
        <v>0</v>
      </c>
      <c r="N142" s="24">
        <f t="shared" si="10"/>
        <v>252.2</v>
      </c>
      <c r="O142" s="24">
        <f t="shared" si="13"/>
        <v>1687.8</v>
      </c>
      <c r="P142" s="24">
        <v>0</v>
      </c>
    </row>
    <row r="143" spans="1:16" ht="27" customHeight="1" x14ac:dyDescent="0.2">
      <c r="A143" s="54">
        <v>134</v>
      </c>
      <c r="B143" s="109" t="s">
        <v>120</v>
      </c>
      <c r="C143" s="60" t="s">
        <v>225</v>
      </c>
      <c r="D143" s="88">
        <v>2249</v>
      </c>
      <c r="E143" s="60">
        <v>1000</v>
      </c>
      <c r="F143" s="78">
        <v>0</v>
      </c>
      <c r="G143" s="62">
        <v>250</v>
      </c>
      <c r="H143" s="62">
        <v>0</v>
      </c>
      <c r="I143" s="62">
        <f t="shared" si="11"/>
        <v>3499</v>
      </c>
      <c r="J143" s="21">
        <f t="shared" si="12"/>
        <v>97.47</v>
      </c>
      <c r="K143" s="21">
        <f>(D143+E143)*11%</f>
        <v>357.39</v>
      </c>
      <c r="L143" s="21">
        <v>0</v>
      </c>
      <c r="M143" s="60">
        <v>0</v>
      </c>
      <c r="N143" s="24">
        <f t="shared" si="10"/>
        <v>454.86</v>
      </c>
      <c r="O143" s="24">
        <f t="shared" si="13"/>
        <v>3044.14</v>
      </c>
      <c r="P143" s="24">
        <v>0</v>
      </c>
    </row>
    <row r="144" spans="1:16" ht="45" customHeight="1" x14ac:dyDescent="0.2">
      <c r="A144" s="54">
        <v>135</v>
      </c>
      <c r="B144" s="91" t="s">
        <v>27</v>
      </c>
      <c r="C144" s="60" t="s">
        <v>382</v>
      </c>
      <c r="D144" s="78">
        <v>2375</v>
      </c>
      <c r="E144" s="78">
        <v>1000</v>
      </c>
      <c r="F144" s="78">
        <v>0</v>
      </c>
      <c r="G144" s="78">
        <v>250</v>
      </c>
      <c r="H144" s="62">
        <v>0</v>
      </c>
      <c r="I144" s="62">
        <f t="shared" si="11"/>
        <v>3625</v>
      </c>
      <c r="J144" s="21">
        <f t="shared" si="12"/>
        <v>101.25</v>
      </c>
      <c r="K144" s="21">
        <f>(D144+E144)*11%</f>
        <v>371.25</v>
      </c>
      <c r="L144" s="21">
        <v>0</v>
      </c>
      <c r="M144" s="60">
        <v>0</v>
      </c>
      <c r="N144" s="24">
        <f t="shared" si="10"/>
        <v>472.5</v>
      </c>
      <c r="O144" s="24">
        <f t="shared" si="13"/>
        <v>3152.5</v>
      </c>
      <c r="P144" s="24">
        <v>0</v>
      </c>
    </row>
    <row r="145" spans="1:16" ht="27" customHeight="1" x14ac:dyDescent="0.2">
      <c r="A145" s="54">
        <v>136</v>
      </c>
      <c r="B145" s="60" t="s">
        <v>234</v>
      </c>
      <c r="C145" s="60" t="s">
        <v>259</v>
      </c>
      <c r="D145" s="88">
        <v>1940</v>
      </c>
      <c r="E145" s="60">
        <v>0</v>
      </c>
      <c r="F145" s="78">
        <v>0</v>
      </c>
      <c r="G145" s="62">
        <v>0</v>
      </c>
      <c r="H145" s="62">
        <v>0</v>
      </c>
      <c r="I145" s="62">
        <f t="shared" si="11"/>
        <v>1940</v>
      </c>
      <c r="J145" s="21">
        <f t="shared" si="12"/>
        <v>58.2</v>
      </c>
      <c r="K145" s="21">
        <f>D145*10%</f>
        <v>194</v>
      </c>
      <c r="L145" s="21">
        <v>0</v>
      </c>
      <c r="M145" s="21">
        <v>0</v>
      </c>
      <c r="N145" s="24">
        <f t="shared" si="10"/>
        <v>252.2</v>
      </c>
      <c r="O145" s="24">
        <f t="shared" si="13"/>
        <v>1687.8</v>
      </c>
      <c r="P145" s="24">
        <v>0</v>
      </c>
    </row>
    <row r="146" spans="1:16" ht="27" customHeight="1" x14ac:dyDescent="0.2">
      <c r="A146" s="54">
        <v>137</v>
      </c>
      <c r="B146" s="60" t="s">
        <v>396</v>
      </c>
      <c r="C146" s="60" t="s">
        <v>259</v>
      </c>
      <c r="D146" s="88">
        <v>1940</v>
      </c>
      <c r="E146" s="60">
        <v>0</v>
      </c>
      <c r="F146" s="78">
        <v>0</v>
      </c>
      <c r="G146" s="62">
        <v>0</v>
      </c>
      <c r="H146" s="62">
        <v>0</v>
      </c>
      <c r="I146" s="62">
        <f t="shared" si="11"/>
        <v>1940</v>
      </c>
      <c r="J146" s="21">
        <f t="shared" si="12"/>
        <v>58.2</v>
      </c>
      <c r="K146" s="21">
        <f>D146*10%</f>
        <v>194</v>
      </c>
      <c r="L146" s="21">
        <v>0</v>
      </c>
      <c r="M146" s="21">
        <v>0</v>
      </c>
      <c r="N146" s="24">
        <f t="shared" si="10"/>
        <v>252.2</v>
      </c>
      <c r="O146" s="24">
        <f t="shared" si="13"/>
        <v>1687.8</v>
      </c>
      <c r="P146" s="24">
        <v>0</v>
      </c>
    </row>
    <row r="147" spans="1:16" ht="27" customHeight="1" x14ac:dyDescent="0.2">
      <c r="A147" s="54">
        <v>138</v>
      </c>
      <c r="B147" s="60" t="s">
        <v>315</v>
      </c>
      <c r="C147" s="64" t="s">
        <v>383</v>
      </c>
      <c r="D147" s="88">
        <v>2328</v>
      </c>
      <c r="E147" s="60">
        <v>0</v>
      </c>
      <c r="F147" s="78">
        <v>0</v>
      </c>
      <c r="G147" s="62">
        <v>0</v>
      </c>
      <c r="H147" s="62">
        <v>0</v>
      </c>
      <c r="I147" s="62">
        <f t="shared" si="11"/>
        <v>2328</v>
      </c>
      <c r="J147" s="21">
        <f t="shared" si="12"/>
        <v>69.84</v>
      </c>
      <c r="K147" s="21">
        <f>D147*11%</f>
        <v>256.08</v>
      </c>
      <c r="L147" s="21">
        <v>0</v>
      </c>
      <c r="M147" s="21">
        <v>0</v>
      </c>
      <c r="N147" s="24">
        <f t="shared" si="10"/>
        <v>325.92</v>
      </c>
      <c r="O147" s="24">
        <f t="shared" si="13"/>
        <v>2002.08</v>
      </c>
      <c r="P147" s="24">
        <v>0</v>
      </c>
    </row>
    <row r="148" spans="1:16" ht="27" customHeight="1" x14ac:dyDescent="0.2">
      <c r="A148" s="54">
        <v>139</v>
      </c>
      <c r="B148" s="70" t="s">
        <v>933</v>
      </c>
      <c r="C148" s="60" t="s">
        <v>259</v>
      </c>
      <c r="D148" s="21">
        <v>1940</v>
      </c>
      <c r="E148" s="60">
        <v>0</v>
      </c>
      <c r="F148" s="78">
        <v>0</v>
      </c>
      <c r="G148" s="62">
        <v>0</v>
      </c>
      <c r="H148" s="62">
        <v>0</v>
      </c>
      <c r="I148" s="62">
        <f t="shared" si="11"/>
        <v>1940</v>
      </c>
      <c r="J148" s="21">
        <f t="shared" si="12"/>
        <v>58.2</v>
      </c>
      <c r="K148" s="21">
        <f>(D148+E148)*10%</f>
        <v>194</v>
      </c>
      <c r="L148" s="21">
        <v>0</v>
      </c>
      <c r="M148" s="21">
        <v>0</v>
      </c>
      <c r="N148" s="24">
        <f t="shared" si="10"/>
        <v>252.2</v>
      </c>
      <c r="O148" s="24">
        <f t="shared" si="13"/>
        <v>1687.8</v>
      </c>
      <c r="P148" s="24">
        <v>0</v>
      </c>
    </row>
    <row r="149" spans="1:16" ht="27" customHeight="1" x14ac:dyDescent="0.2">
      <c r="A149" s="54">
        <v>140</v>
      </c>
      <c r="B149" s="89" t="s">
        <v>920</v>
      </c>
      <c r="C149" s="60" t="s">
        <v>257</v>
      </c>
      <c r="D149" s="21">
        <v>2425</v>
      </c>
      <c r="E149" s="60">
        <v>0</v>
      </c>
      <c r="F149" s="78">
        <v>0</v>
      </c>
      <c r="G149" s="62">
        <v>0</v>
      </c>
      <c r="H149" s="62">
        <v>0</v>
      </c>
      <c r="I149" s="62">
        <f t="shared" si="11"/>
        <v>2425</v>
      </c>
      <c r="J149" s="21">
        <f t="shared" si="12"/>
        <v>72.75</v>
      </c>
      <c r="K149" s="21">
        <f>(D149+E149)*11%</f>
        <v>266.75</v>
      </c>
      <c r="L149" s="21">
        <v>0</v>
      </c>
      <c r="M149" s="21">
        <v>0</v>
      </c>
      <c r="N149" s="24">
        <f t="shared" si="10"/>
        <v>339.5</v>
      </c>
      <c r="O149" s="24">
        <f t="shared" si="13"/>
        <v>2085.5</v>
      </c>
      <c r="P149" s="24">
        <v>0</v>
      </c>
    </row>
    <row r="150" spans="1:16" ht="27" customHeight="1" x14ac:dyDescent="0.2">
      <c r="A150" s="54">
        <v>141</v>
      </c>
      <c r="B150" s="60" t="s">
        <v>133</v>
      </c>
      <c r="C150" s="60" t="s">
        <v>268</v>
      </c>
      <c r="D150" s="60">
        <v>2037</v>
      </c>
      <c r="E150" s="60">
        <v>0</v>
      </c>
      <c r="F150" s="78">
        <v>0</v>
      </c>
      <c r="G150" s="62">
        <v>0</v>
      </c>
      <c r="H150" s="62">
        <v>0</v>
      </c>
      <c r="I150" s="62">
        <f t="shared" si="11"/>
        <v>2037</v>
      </c>
      <c r="J150" s="21">
        <f t="shared" si="12"/>
        <v>61.11</v>
      </c>
      <c r="K150" s="21">
        <f>D150*11%</f>
        <v>224.07</v>
      </c>
      <c r="L150" s="21">
        <v>0</v>
      </c>
      <c r="M150" s="21">
        <v>0</v>
      </c>
      <c r="N150" s="24">
        <f t="shared" si="10"/>
        <v>285.18</v>
      </c>
      <c r="O150" s="24">
        <f t="shared" si="13"/>
        <v>1751.82</v>
      </c>
      <c r="P150" s="24">
        <v>0</v>
      </c>
    </row>
    <row r="151" spans="1:16" ht="27" customHeight="1" x14ac:dyDescent="0.2">
      <c r="A151" s="54">
        <v>142</v>
      </c>
      <c r="B151" s="60" t="s">
        <v>212</v>
      </c>
      <c r="C151" s="60" t="s">
        <v>257</v>
      </c>
      <c r="D151" s="88">
        <v>2425</v>
      </c>
      <c r="E151" s="60">
        <v>0</v>
      </c>
      <c r="F151" s="78">
        <v>0</v>
      </c>
      <c r="G151" s="62">
        <v>0</v>
      </c>
      <c r="H151" s="62">
        <v>0</v>
      </c>
      <c r="I151" s="62">
        <f t="shared" si="11"/>
        <v>2425</v>
      </c>
      <c r="J151" s="21">
        <f t="shared" si="12"/>
        <v>72.75</v>
      </c>
      <c r="K151" s="21">
        <f>D151*11%</f>
        <v>266.75</v>
      </c>
      <c r="L151" s="21">
        <v>0</v>
      </c>
      <c r="M151" s="21">
        <v>0</v>
      </c>
      <c r="N151" s="24">
        <f t="shared" si="10"/>
        <v>339.5</v>
      </c>
      <c r="O151" s="24">
        <f t="shared" si="13"/>
        <v>2085.5</v>
      </c>
      <c r="P151" s="24">
        <v>0</v>
      </c>
    </row>
    <row r="152" spans="1:16" ht="27" customHeight="1" x14ac:dyDescent="0.2">
      <c r="A152" s="54">
        <v>143</v>
      </c>
      <c r="B152" s="60" t="s">
        <v>1074</v>
      </c>
      <c r="C152" s="60" t="s">
        <v>1075</v>
      </c>
      <c r="D152" s="88">
        <v>3081</v>
      </c>
      <c r="E152" s="60">
        <v>1000</v>
      </c>
      <c r="F152" s="78">
        <v>0</v>
      </c>
      <c r="G152" s="62">
        <v>250</v>
      </c>
      <c r="H152" s="62">
        <v>0</v>
      </c>
      <c r="I152" s="62">
        <f t="shared" si="11"/>
        <v>4331</v>
      </c>
      <c r="J152" s="21">
        <f t="shared" si="12"/>
        <v>122.43</v>
      </c>
      <c r="K152" s="21">
        <f>D152*11%</f>
        <v>338.91</v>
      </c>
      <c r="L152" s="21">
        <v>0</v>
      </c>
      <c r="M152" s="21">
        <v>0</v>
      </c>
      <c r="N152" s="24">
        <f t="shared" si="10"/>
        <v>461.34</v>
      </c>
      <c r="O152" s="24">
        <f t="shared" si="13"/>
        <v>3869.66</v>
      </c>
      <c r="P152" s="24">
        <v>0</v>
      </c>
    </row>
    <row r="153" spans="1:16" ht="27" customHeight="1" x14ac:dyDescent="0.2">
      <c r="A153" s="54">
        <v>144</v>
      </c>
      <c r="B153" s="60" t="s">
        <v>254</v>
      </c>
      <c r="C153" s="60" t="s">
        <v>387</v>
      </c>
      <c r="D153" s="111">
        <v>5787</v>
      </c>
      <c r="E153" s="64">
        <v>1800</v>
      </c>
      <c r="F153" s="78">
        <v>0</v>
      </c>
      <c r="G153" s="62">
        <v>250</v>
      </c>
      <c r="H153" s="62">
        <v>2200</v>
      </c>
      <c r="I153" s="62">
        <f t="shared" si="11"/>
        <v>10037</v>
      </c>
      <c r="J153" s="21">
        <f t="shared" si="12"/>
        <v>227.61</v>
      </c>
      <c r="K153" s="21">
        <f>(D153+E153+F153)*13%</f>
        <v>986.31</v>
      </c>
      <c r="L153" s="21">
        <v>0</v>
      </c>
      <c r="M153" s="21">
        <v>101.97</v>
      </c>
      <c r="N153" s="24">
        <f t="shared" si="10"/>
        <v>1315.89</v>
      </c>
      <c r="O153" s="24">
        <f t="shared" si="13"/>
        <v>8721.11</v>
      </c>
      <c r="P153" s="24">
        <v>0</v>
      </c>
    </row>
    <row r="154" spans="1:16" ht="27" customHeight="1" x14ac:dyDescent="0.2">
      <c r="A154" s="54">
        <v>145</v>
      </c>
      <c r="B154" s="60" t="s">
        <v>76</v>
      </c>
      <c r="C154" s="60" t="s">
        <v>257</v>
      </c>
      <c r="D154" s="88">
        <v>2425</v>
      </c>
      <c r="E154" s="60">
        <v>0</v>
      </c>
      <c r="F154" s="78">
        <v>0</v>
      </c>
      <c r="G154" s="62">
        <v>0</v>
      </c>
      <c r="H154" s="62">
        <v>0</v>
      </c>
      <c r="I154" s="62">
        <f t="shared" si="11"/>
        <v>2425</v>
      </c>
      <c r="J154" s="21">
        <f t="shared" si="12"/>
        <v>72.75</v>
      </c>
      <c r="K154" s="21">
        <f>D154*11%</f>
        <v>266.75</v>
      </c>
      <c r="L154" s="21">
        <v>0</v>
      </c>
      <c r="M154" s="21">
        <v>0</v>
      </c>
      <c r="N154" s="24">
        <f t="shared" si="10"/>
        <v>339.5</v>
      </c>
      <c r="O154" s="24">
        <f t="shared" si="13"/>
        <v>2085.5</v>
      </c>
      <c r="P154" s="24">
        <v>0</v>
      </c>
    </row>
    <row r="155" spans="1:16" ht="27" customHeight="1" x14ac:dyDescent="0.2">
      <c r="A155" s="54">
        <v>146</v>
      </c>
      <c r="B155" s="60" t="s">
        <v>45</v>
      </c>
      <c r="C155" s="60" t="s">
        <v>262</v>
      </c>
      <c r="D155" s="21">
        <v>3081</v>
      </c>
      <c r="E155" s="21">
        <v>1000</v>
      </c>
      <c r="F155" s="78">
        <v>0</v>
      </c>
      <c r="G155" s="62">
        <v>250</v>
      </c>
      <c r="H155" s="62">
        <v>0</v>
      </c>
      <c r="I155" s="62">
        <f t="shared" si="11"/>
        <v>4331</v>
      </c>
      <c r="J155" s="21">
        <f t="shared" si="12"/>
        <v>122.43</v>
      </c>
      <c r="K155" s="21">
        <f>(D155+E155)*12%</f>
        <v>489.72</v>
      </c>
      <c r="L155" s="21">
        <v>0</v>
      </c>
      <c r="M155" s="21">
        <v>0</v>
      </c>
      <c r="N155" s="24">
        <f t="shared" si="10"/>
        <v>612.15</v>
      </c>
      <c r="O155" s="24">
        <f t="shared" si="13"/>
        <v>3718.85</v>
      </c>
      <c r="P155" s="24">
        <v>0</v>
      </c>
    </row>
    <row r="156" spans="1:16" ht="27" customHeight="1" x14ac:dyDescent="0.2">
      <c r="A156" s="54">
        <v>147</v>
      </c>
      <c r="B156" s="64" t="s">
        <v>354</v>
      </c>
      <c r="C156" s="60" t="s">
        <v>262</v>
      </c>
      <c r="D156" s="60">
        <v>3081</v>
      </c>
      <c r="E156" s="64">
        <v>1000</v>
      </c>
      <c r="F156" s="78">
        <v>0</v>
      </c>
      <c r="G156" s="62">
        <v>250</v>
      </c>
      <c r="H156" s="62">
        <v>0</v>
      </c>
      <c r="I156" s="62">
        <f t="shared" si="11"/>
        <v>4331</v>
      </c>
      <c r="J156" s="21">
        <f t="shared" si="12"/>
        <v>122.43</v>
      </c>
      <c r="K156" s="21">
        <f>(D156+E156)*12%</f>
        <v>489.72</v>
      </c>
      <c r="L156" s="21">
        <v>0</v>
      </c>
      <c r="M156" s="21">
        <v>0</v>
      </c>
      <c r="N156" s="24">
        <f t="shared" si="10"/>
        <v>612.15</v>
      </c>
      <c r="O156" s="24">
        <f t="shared" si="13"/>
        <v>3718.85</v>
      </c>
      <c r="P156" s="24">
        <v>0</v>
      </c>
    </row>
    <row r="157" spans="1:16" ht="27" customHeight="1" x14ac:dyDescent="0.2">
      <c r="A157" s="54">
        <v>148</v>
      </c>
      <c r="B157" s="91" t="s">
        <v>316</v>
      </c>
      <c r="C157" s="94" t="s">
        <v>233</v>
      </c>
      <c r="D157" s="78">
        <v>2375</v>
      </c>
      <c r="E157" s="78">
        <v>1000</v>
      </c>
      <c r="F157" s="78">
        <v>0</v>
      </c>
      <c r="G157" s="78">
        <v>250</v>
      </c>
      <c r="H157" s="62">
        <v>0</v>
      </c>
      <c r="I157" s="62">
        <f t="shared" si="11"/>
        <v>3625</v>
      </c>
      <c r="J157" s="21">
        <f t="shared" si="12"/>
        <v>101.25</v>
      </c>
      <c r="K157" s="21">
        <f>(D157+E157)*11%</f>
        <v>371.25</v>
      </c>
      <c r="L157" s="21">
        <v>0</v>
      </c>
      <c r="M157" s="21">
        <v>45.36</v>
      </c>
      <c r="N157" s="24">
        <f t="shared" si="10"/>
        <v>517.86</v>
      </c>
      <c r="O157" s="24">
        <f t="shared" si="13"/>
        <v>3107.14</v>
      </c>
      <c r="P157" s="24">
        <v>0</v>
      </c>
    </row>
    <row r="158" spans="1:16" ht="27" customHeight="1" x14ac:dyDescent="0.2">
      <c r="A158" s="54">
        <v>149</v>
      </c>
      <c r="B158" s="70" t="s">
        <v>921</v>
      </c>
      <c r="C158" s="60" t="s">
        <v>386</v>
      </c>
      <c r="D158" s="112">
        <v>2234</v>
      </c>
      <c r="E158" s="70">
        <v>1900</v>
      </c>
      <c r="F158" s="78">
        <v>0</v>
      </c>
      <c r="G158" s="21">
        <v>250</v>
      </c>
      <c r="H158" s="78">
        <v>0</v>
      </c>
      <c r="I158" s="62">
        <f t="shared" si="11"/>
        <v>4384</v>
      </c>
      <c r="J158" s="21">
        <f t="shared" si="12"/>
        <v>124.02</v>
      </c>
      <c r="K158" s="21">
        <f>(D158+E158)*12%</f>
        <v>496.08</v>
      </c>
      <c r="L158" s="21">
        <v>0</v>
      </c>
      <c r="M158" s="21">
        <v>0</v>
      </c>
      <c r="N158" s="24">
        <f t="shared" si="10"/>
        <v>620.1</v>
      </c>
      <c r="O158" s="24">
        <f t="shared" si="13"/>
        <v>3763.9</v>
      </c>
      <c r="P158" s="24">
        <v>0</v>
      </c>
    </row>
    <row r="159" spans="1:16" ht="27" customHeight="1" x14ac:dyDescent="0.2">
      <c r="A159" s="54">
        <v>150</v>
      </c>
      <c r="B159" s="70" t="s">
        <v>1044</v>
      </c>
      <c r="C159" s="60" t="s">
        <v>379</v>
      </c>
      <c r="D159" s="78">
        <v>2920</v>
      </c>
      <c r="E159" s="78">
        <v>1000</v>
      </c>
      <c r="F159" s="78">
        <v>0</v>
      </c>
      <c r="G159" s="78">
        <v>250</v>
      </c>
      <c r="H159" s="62">
        <v>0</v>
      </c>
      <c r="I159" s="62">
        <f t="shared" si="11"/>
        <v>4170</v>
      </c>
      <c r="J159" s="21">
        <f t="shared" si="12"/>
        <v>117.6</v>
      </c>
      <c r="K159" s="21">
        <f>(D159+E159)*11%</f>
        <v>431.2</v>
      </c>
      <c r="L159" s="21">
        <v>0</v>
      </c>
      <c r="M159" s="21">
        <v>0</v>
      </c>
      <c r="N159" s="24">
        <f t="shared" si="10"/>
        <v>548.79999999999995</v>
      </c>
      <c r="O159" s="24">
        <f t="shared" si="13"/>
        <v>3621.2</v>
      </c>
      <c r="P159" s="24">
        <v>0</v>
      </c>
    </row>
    <row r="160" spans="1:16" ht="27" customHeight="1" x14ac:dyDescent="0.2">
      <c r="A160" s="54">
        <v>151</v>
      </c>
      <c r="B160" s="60" t="s">
        <v>317</v>
      </c>
      <c r="C160" s="60" t="s">
        <v>89</v>
      </c>
      <c r="D160" s="60">
        <v>1668</v>
      </c>
      <c r="E160" s="60">
        <v>1000</v>
      </c>
      <c r="F160" s="78">
        <v>0</v>
      </c>
      <c r="G160" s="62">
        <v>250</v>
      </c>
      <c r="H160" s="62">
        <v>0</v>
      </c>
      <c r="I160" s="62">
        <f t="shared" si="11"/>
        <v>2918</v>
      </c>
      <c r="J160" s="21">
        <f t="shared" si="12"/>
        <v>80.040000000000006</v>
      </c>
      <c r="K160" s="21">
        <f>(D160+E160)*11%</f>
        <v>293.48</v>
      </c>
      <c r="L160" s="21">
        <v>0</v>
      </c>
      <c r="M160" s="21">
        <v>0</v>
      </c>
      <c r="N160" s="24">
        <f t="shared" si="10"/>
        <v>373.52</v>
      </c>
      <c r="O160" s="24">
        <f t="shared" si="13"/>
        <v>2544.48</v>
      </c>
      <c r="P160" s="24">
        <v>0</v>
      </c>
    </row>
    <row r="161" spans="1:16" ht="27" customHeight="1" x14ac:dyDescent="0.2">
      <c r="A161" s="54">
        <v>152</v>
      </c>
      <c r="B161" s="91" t="s">
        <v>213</v>
      </c>
      <c r="C161" s="94" t="s">
        <v>318</v>
      </c>
      <c r="D161" s="78">
        <v>5787</v>
      </c>
      <c r="E161" s="78">
        <v>1800</v>
      </c>
      <c r="F161" s="78">
        <v>0</v>
      </c>
      <c r="G161" s="78">
        <v>250</v>
      </c>
      <c r="H161" s="62">
        <v>0</v>
      </c>
      <c r="I161" s="62">
        <f t="shared" si="11"/>
        <v>7837</v>
      </c>
      <c r="J161" s="21">
        <f t="shared" si="12"/>
        <v>227.61</v>
      </c>
      <c r="K161" s="21">
        <f>(D161+E161)*13%</f>
        <v>986.31</v>
      </c>
      <c r="L161" s="21">
        <v>0</v>
      </c>
      <c r="M161" s="21">
        <v>101.97</v>
      </c>
      <c r="N161" s="24">
        <f t="shared" si="10"/>
        <v>1315.89</v>
      </c>
      <c r="O161" s="24">
        <f t="shared" si="13"/>
        <v>6521.11</v>
      </c>
      <c r="P161" s="24">
        <v>0</v>
      </c>
    </row>
    <row r="162" spans="1:16" ht="27" customHeight="1" x14ac:dyDescent="0.2">
      <c r="A162" s="54">
        <v>153</v>
      </c>
      <c r="B162" s="60" t="s">
        <v>969</v>
      </c>
      <c r="C162" s="60" t="s">
        <v>268</v>
      </c>
      <c r="D162" s="99">
        <v>2037</v>
      </c>
      <c r="E162" s="60">
        <v>0</v>
      </c>
      <c r="F162" s="78">
        <v>0</v>
      </c>
      <c r="G162" s="62">
        <v>0</v>
      </c>
      <c r="H162" s="62">
        <v>0</v>
      </c>
      <c r="I162" s="62">
        <f t="shared" si="11"/>
        <v>2037</v>
      </c>
      <c r="J162" s="21">
        <f t="shared" si="12"/>
        <v>61.11</v>
      </c>
      <c r="K162" s="21">
        <f>D162*11%</f>
        <v>224.07</v>
      </c>
      <c r="L162" s="21">
        <v>0</v>
      </c>
      <c r="M162" s="21">
        <v>0</v>
      </c>
      <c r="N162" s="24">
        <f t="shared" si="10"/>
        <v>285.18</v>
      </c>
      <c r="O162" s="24">
        <f t="shared" si="13"/>
        <v>1751.82</v>
      </c>
      <c r="P162" s="24">
        <v>0</v>
      </c>
    </row>
    <row r="163" spans="1:16" ht="27" customHeight="1" x14ac:dyDescent="0.2">
      <c r="A163" s="54">
        <v>154</v>
      </c>
      <c r="B163" s="21" t="s">
        <v>319</v>
      </c>
      <c r="C163" s="66" t="s">
        <v>377</v>
      </c>
      <c r="D163" s="113">
        <v>3081</v>
      </c>
      <c r="E163" s="60">
        <v>1000</v>
      </c>
      <c r="F163" s="78">
        <v>0</v>
      </c>
      <c r="G163" s="62">
        <v>250</v>
      </c>
      <c r="H163" s="62">
        <v>0</v>
      </c>
      <c r="I163" s="62">
        <f t="shared" si="11"/>
        <v>4331</v>
      </c>
      <c r="J163" s="21">
        <f t="shared" si="12"/>
        <v>122.43</v>
      </c>
      <c r="K163" s="21">
        <f>(D163+E163)*12%</f>
        <v>489.72</v>
      </c>
      <c r="L163" s="21">
        <v>0</v>
      </c>
      <c r="M163" s="21">
        <v>0</v>
      </c>
      <c r="N163" s="24">
        <f t="shared" si="10"/>
        <v>612.15</v>
      </c>
      <c r="O163" s="24">
        <f t="shared" si="13"/>
        <v>3718.85</v>
      </c>
      <c r="P163" s="24">
        <v>0</v>
      </c>
    </row>
    <row r="164" spans="1:16" ht="27" customHeight="1" x14ac:dyDescent="0.2">
      <c r="A164" s="54">
        <v>155</v>
      </c>
      <c r="B164" s="60" t="s">
        <v>80</v>
      </c>
      <c r="C164" s="60" t="s">
        <v>259</v>
      </c>
      <c r="D164" s="88">
        <v>1940</v>
      </c>
      <c r="E164" s="60">
        <v>0</v>
      </c>
      <c r="F164" s="78">
        <v>0</v>
      </c>
      <c r="G164" s="62">
        <v>0</v>
      </c>
      <c r="H164" s="62">
        <v>0</v>
      </c>
      <c r="I164" s="62">
        <f t="shared" si="11"/>
        <v>1940</v>
      </c>
      <c r="J164" s="21">
        <f t="shared" si="12"/>
        <v>58.2</v>
      </c>
      <c r="K164" s="21">
        <f>D164*10%</f>
        <v>194</v>
      </c>
      <c r="L164" s="21">
        <v>0</v>
      </c>
      <c r="M164" s="21">
        <v>0</v>
      </c>
      <c r="N164" s="24">
        <f t="shared" si="10"/>
        <v>252.2</v>
      </c>
      <c r="O164" s="24">
        <f t="shared" si="13"/>
        <v>1687.8</v>
      </c>
      <c r="P164" s="24">
        <v>0</v>
      </c>
    </row>
    <row r="165" spans="1:16" ht="27" customHeight="1" x14ac:dyDescent="0.2">
      <c r="A165" s="54">
        <v>156</v>
      </c>
      <c r="B165" s="91" t="s">
        <v>184</v>
      </c>
      <c r="C165" s="60" t="s">
        <v>385</v>
      </c>
      <c r="D165" s="78">
        <v>3241</v>
      </c>
      <c r="E165" s="78">
        <v>1000</v>
      </c>
      <c r="F165" s="78">
        <v>0</v>
      </c>
      <c r="G165" s="78">
        <v>250</v>
      </c>
      <c r="H165" s="62">
        <v>0</v>
      </c>
      <c r="I165" s="62">
        <f t="shared" si="11"/>
        <v>4491</v>
      </c>
      <c r="J165" s="21">
        <f t="shared" si="12"/>
        <v>127.23</v>
      </c>
      <c r="K165" s="21">
        <f>(D165+E165)*12%</f>
        <v>508.92</v>
      </c>
      <c r="L165" s="21">
        <v>0</v>
      </c>
      <c r="M165" s="21">
        <v>0</v>
      </c>
      <c r="N165" s="24">
        <f t="shared" si="10"/>
        <v>636.15</v>
      </c>
      <c r="O165" s="24">
        <f t="shared" si="13"/>
        <v>3854.85</v>
      </c>
      <c r="P165" s="24">
        <f>1050+1050</f>
        <v>2100</v>
      </c>
    </row>
    <row r="166" spans="1:16" ht="27" customHeight="1" x14ac:dyDescent="0.2">
      <c r="A166" s="54">
        <v>157</v>
      </c>
      <c r="B166" s="60" t="s">
        <v>320</v>
      </c>
      <c r="C166" s="60" t="s">
        <v>87</v>
      </c>
      <c r="D166" s="60">
        <v>1902</v>
      </c>
      <c r="E166" s="60">
        <v>1000</v>
      </c>
      <c r="F166" s="78">
        <v>0</v>
      </c>
      <c r="G166" s="62">
        <v>250</v>
      </c>
      <c r="H166" s="62">
        <v>0</v>
      </c>
      <c r="I166" s="62">
        <f t="shared" si="11"/>
        <v>3152</v>
      </c>
      <c r="J166" s="21">
        <f t="shared" si="12"/>
        <v>87.06</v>
      </c>
      <c r="K166" s="21">
        <f>(D166+E166)*11%</f>
        <v>319.22000000000003</v>
      </c>
      <c r="L166" s="21">
        <v>0</v>
      </c>
      <c r="M166" s="21">
        <v>0</v>
      </c>
      <c r="N166" s="24">
        <f t="shared" si="10"/>
        <v>406.28</v>
      </c>
      <c r="O166" s="24">
        <f t="shared" si="13"/>
        <v>2745.72</v>
      </c>
      <c r="P166" s="24">
        <v>0</v>
      </c>
    </row>
    <row r="167" spans="1:16" ht="27" customHeight="1" x14ac:dyDescent="0.2">
      <c r="A167" s="54">
        <v>158</v>
      </c>
      <c r="B167" s="60" t="s">
        <v>270</v>
      </c>
      <c r="C167" s="60" t="s">
        <v>259</v>
      </c>
      <c r="D167" s="60">
        <v>1940</v>
      </c>
      <c r="E167" s="60">
        <v>0</v>
      </c>
      <c r="F167" s="78">
        <v>0</v>
      </c>
      <c r="G167" s="62">
        <v>0</v>
      </c>
      <c r="H167" s="62">
        <v>0</v>
      </c>
      <c r="I167" s="62">
        <f t="shared" si="11"/>
        <v>1940</v>
      </c>
      <c r="J167" s="21">
        <f t="shared" si="12"/>
        <v>58.2</v>
      </c>
      <c r="K167" s="21">
        <f>D167*10%</f>
        <v>194</v>
      </c>
      <c r="L167" s="21">
        <v>0</v>
      </c>
      <c r="M167" s="21">
        <v>0</v>
      </c>
      <c r="N167" s="24">
        <f t="shared" si="10"/>
        <v>252.2</v>
      </c>
      <c r="O167" s="24">
        <f t="shared" si="13"/>
        <v>1687.8</v>
      </c>
      <c r="P167" s="24">
        <v>0</v>
      </c>
    </row>
    <row r="168" spans="1:16" ht="27" customHeight="1" x14ac:dyDescent="0.2">
      <c r="A168" s="54">
        <v>159</v>
      </c>
      <c r="B168" s="60" t="s">
        <v>235</v>
      </c>
      <c r="C168" s="60" t="s">
        <v>87</v>
      </c>
      <c r="D168" s="60">
        <v>1902</v>
      </c>
      <c r="E168" s="60">
        <v>1000</v>
      </c>
      <c r="F168" s="78">
        <v>0</v>
      </c>
      <c r="G168" s="62">
        <v>250</v>
      </c>
      <c r="H168" s="62">
        <v>0</v>
      </c>
      <c r="I168" s="62">
        <f t="shared" si="11"/>
        <v>3152</v>
      </c>
      <c r="J168" s="21">
        <f t="shared" si="12"/>
        <v>87.06</v>
      </c>
      <c r="K168" s="21">
        <f>(D168+E168)*11%</f>
        <v>319.22000000000003</v>
      </c>
      <c r="L168" s="21">
        <v>0</v>
      </c>
      <c r="M168" s="21">
        <v>0</v>
      </c>
      <c r="N168" s="24">
        <f t="shared" ref="N168:N200" si="14">J168+K168+L168+M168</f>
        <v>406.28</v>
      </c>
      <c r="O168" s="24">
        <f t="shared" si="13"/>
        <v>2745.72</v>
      </c>
      <c r="P168" s="24">
        <v>0</v>
      </c>
    </row>
    <row r="169" spans="1:16" ht="27" customHeight="1" x14ac:dyDescent="0.2">
      <c r="A169" s="54">
        <v>160</v>
      </c>
      <c r="B169" s="70" t="s">
        <v>791</v>
      </c>
      <c r="C169" s="60" t="s">
        <v>257</v>
      </c>
      <c r="D169" s="21">
        <v>2425</v>
      </c>
      <c r="E169" s="60">
        <v>0</v>
      </c>
      <c r="F169" s="78">
        <v>0</v>
      </c>
      <c r="G169" s="62">
        <v>0</v>
      </c>
      <c r="H169" s="62">
        <v>0</v>
      </c>
      <c r="I169" s="62">
        <f t="shared" si="11"/>
        <v>2425</v>
      </c>
      <c r="J169" s="21">
        <f t="shared" si="12"/>
        <v>72.75</v>
      </c>
      <c r="K169" s="21">
        <f>(D169+E169)*11%</f>
        <v>266.75</v>
      </c>
      <c r="L169" s="21">
        <v>0</v>
      </c>
      <c r="M169" s="21">
        <v>0</v>
      </c>
      <c r="N169" s="24">
        <f t="shared" si="14"/>
        <v>339.5</v>
      </c>
      <c r="O169" s="24">
        <f t="shared" si="13"/>
        <v>2085.5</v>
      </c>
      <c r="P169" s="24">
        <v>0</v>
      </c>
    </row>
    <row r="170" spans="1:16" ht="27" customHeight="1" x14ac:dyDescent="0.2">
      <c r="A170" s="54">
        <v>161</v>
      </c>
      <c r="B170" s="17" t="s">
        <v>1037</v>
      </c>
      <c r="C170" s="60" t="s">
        <v>259</v>
      </c>
      <c r="D170" s="60">
        <v>1940</v>
      </c>
      <c r="E170" s="60">
        <v>0</v>
      </c>
      <c r="F170" s="78">
        <v>0</v>
      </c>
      <c r="G170" s="62">
        <v>0</v>
      </c>
      <c r="H170" s="62">
        <v>0</v>
      </c>
      <c r="I170" s="62">
        <f t="shared" si="11"/>
        <v>1940</v>
      </c>
      <c r="J170" s="21">
        <f t="shared" si="12"/>
        <v>58.2</v>
      </c>
      <c r="K170" s="21">
        <f>(D170+E170)*10%</f>
        <v>194</v>
      </c>
      <c r="L170" s="21">
        <v>0</v>
      </c>
      <c r="M170" s="21">
        <v>0</v>
      </c>
      <c r="N170" s="24">
        <f t="shared" si="14"/>
        <v>252.2</v>
      </c>
      <c r="O170" s="24">
        <f t="shared" si="13"/>
        <v>1687.8</v>
      </c>
      <c r="P170" s="24">
        <v>0</v>
      </c>
    </row>
    <row r="171" spans="1:16" ht="27" customHeight="1" x14ac:dyDescent="0.2">
      <c r="A171" s="54">
        <v>162</v>
      </c>
      <c r="B171" s="60" t="s">
        <v>346</v>
      </c>
      <c r="C171" s="60" t="s">
        <v>259</v>
      </c>
      <c r="D171" s="60">
        <v>1940</v>
      </c>
      <c r="E171" s="60">
        <v>0</v>
      </c>
      <c r="F171" s="78">
        <v>0</v>
      </c>
      <c r="G171" s="62">
        <v>0</v>
      </c>
      <c r="H171" s="62">
        <v>0</v>
      </c>
      <c r="I171" s="62">
        <f t="shared" si="11"/>
        <v>1940</v>
      </c>
      <c r="J171" s="21">
        <f t="shared" si="12"/>
        <v>58.2</v>
      </c>
      <c r="K171" s="21">
        <f>(D171+E171)*10%</f>
        <v>194</v>
      </c>
      <c r="L171" s="21">
        <v>0</v>
      </c>
      <c r="M171" s="21">
        <v>0</v>
      </c>
      <c r="N171" s="24">
        <f t="shared" si="14"/>
        <v>252.2</v>
      </c>
      <c r="O171" s="24">
        <f t="shared" si="13"/>
        <v>1687.8</v>
      </c>
      <c r="P171" s="24">
        <v>0</v>
      </c>
    </row>
    <row r="172" spans="1:16" ht="27" customHeight="1" x14ac:dyDescent="0.2">
      <c r="A172" s="54">
        <v>163</v>
      </c>
      <c r="B172" s="60" t="s">
        <v>356</v>
      </c>
      <c r="C172" s="94" t="s">
        <v>123</v>
      </c>
      <c r="D172" s="78">
        <v>2920</v>
      </c>
      <c r="E172" s="86">
        <v>1000</v>
      </c>
      <c r="F172" s="64">
        <v>0</v>
      </c>
      <c r="G172" s="64">
        <v>250</v>
      </c>
      <c r="H172" s="62">
        <v>0</v>
      </c>
      <c r="I172" s="62">
        <f t="shared" si="11"/>
        <v>4170</v>
      </c>
      <c r="J172" s="21">
        <f t="shared" si="12"/>
        <v>117.6</v>
      </c>
      <c r="K172" s="21">
        <f>(D172+E172)*11%</f>
        <v>431.2</v>
      </c>
      <c r="L172" s="21">
        <v>0</v>
      </c>
      <c r="M172" s="21">
        <v>0</v>
      </c>
      <c r="N172" s="24">
        <f t="shared" si="14"/>
        <v>548.79999999999995</v>
      </c>
      <c r="O172" s="24">
        <f t="shared" si="13"/>
        <v>3621.2</v>
      </c>
      <c r="P172" s="24">
        <v>0</v>
      </c>
    </row>
    <row r="173" spans="1:16" ht="27" customHeight="1" x14ac:dyDescent="0.2">
      <c r="A173" s="54">
        <v>164</v>
      </c>
      <c r="B173" s="60" t="s">
        <v>148</v>
      </c>
      <c r="C173" s="66" t="s">
        <v>377</v>
      </c>
      <c r="D173" s="60">
        <v>3081</v>
      </c>
      <c r="E173" s="60">
        <v>1000</v>
      </c>
      <c r="F173" s="78">
        <v>0</v>
      </c>
      <c r="G173" s="62">
        <v>250</v>
      </c>
      <c r="H173" s="62">
        <v>0</v>
      </c>
      <c r="I173" s="62">
        <f t="shared" si="11"/>
        <v>4331</v>
      </c>
      <c r="J173" s="21">
        <f t="shared" si="12"/>
        <v>122.43</v>
      </c>
      <c r="K173" s="21">
        <f>(D173+E173)*12%</f>
        <v>489.72</v>
      </c>
      <c r="L173" s="21">
        <v>0</v>
      </c>
      <c r="M173" s="21">
        <v>54.85</v>
      </c>
      <c r="N173" s="24">
        <f t="shared" si="14"/>
        <v>667</v>
      </c>
      <c r="O173" s="24">
        <f t="shared" si="13"/>
        <v>3664</v>
      </c>
      <c r="P173" s="24">
        <v>0</v>
      </c>
    </row>
    <row r="174" spans="1:16" ht="27" customHeight="1" x14ac:dyDescent="0.2">
      <c r="A174" s="54">
        <v>165</v>
      </c>
      <c r="B174" s="91" t="s">
        <v>236</v>
      </c>
      <c r="C174" s="94" t="s">
        <v>391</v>
      </c>
      <c r="D174" s="78">
        <v>2631</v>
      </c>
      <c r="E174" s="78">
        <v>1000</v>
      </c>
      <c r="F174" s="78">
        <v>0</v>
      </c>
      <c r="G174" s="78">
        <v>250</v>
      </c>
      <c r="H174" s="62">
        <v>0</v>
      </c>
      <c r="I174" s="62">
        <f t="shared" si="11"/>
        <v>3881</v>
      </c>
      <c r="J174" s="21">
        <f t="shared" si="12"/>
        <v>108.93</v>
      </c>
      <c r="K174" s="21">
        <f>(D174+E174)*11%</f>
        <v>399.41</v>
      </c>
      <c r="L174" s="21">
        <v>0</v>
      </c>
      <c r="M174" s="21">
        <v>48.8</v>
      </c>
      <c r="N174" s="24">
        <f t="shared" si="14"/>
        <v>557.14</v>
      </c>
      <c r="O174" s="24">
        <f t="shared" si="13"/>
        <v>3323.86</v>
      </c>
      <c r="P174" s="24">
        <v>0</v>
      </c>
    </row>
    <row r="175" spans="1:16" ht="27" customHeight="1" x14ac:dyDescent="0.2">
      <c r="A175" s="54">
        <v>166</v>
      </c>
      <c r="B175" s="124" t="s">
        <v>1064</v>
      </c>
      <c r="C175" s="17" t="s">
        <v>86</v>
      </c>
      <c r="D175" s="140">
        <v>2920</v>
      </c>
      <c r="E175" s="78">
        <v>1000</v>
      </c>
      <c r="F175" s="78">
        <v>0</v>
      </c>
      <c r="G175" s="78">
        <v>250</v>
      </c>
      <c r="H175" s="62">
        <v>0</v>
      </c>
      <c r="I175" s="62">
        <f t="shared" si="11"/>
        <v>4170</v>
      </c>
      <c r="J175" s="21">
        <f t="shared" si="12"/>
        <v>117.6</v>
      </c>
      <c r="K175" s="21">
        <f>(D175+E175)*12%</f>
        <v>470.4</v>
      </c>
      <c r="L175" s="21">
        <v>0</v>
      </c>
      <c r="M175" s="21">
        <v>0</v>
      </c>
      <c r="N175" s="24">
        <f t="shared" si="14"/>
        <v>588</v>
      </c>
      <c r="O175" s="24">
        <f t="shared" si="13"/>
        <v>3582</v>
      </c>
      <c r="P175" s="24">
        <v>0</v>
      </c>
    </row>
    <row r="176" spans="1:16" ht="27" customHeight="1" x14ac:dyDescent="0.2">
      <c r="A176" s="54">
        <v>167</v>
      </c>
      <c r="B176" s="60" t="s">
        <v>134</v>
      </c>
      <c r="C176" s="60" t="s">
        <v>225</v>
      </c>
      <c r="D176" s="60">
        <v>2249</v>
      </c>
      <c r="E176" s="64">
        <v>1000</v>
      </c>
      <c r="F176" s="78">
        <v>0</v>
      </c>
      <c r="G176" s="62">
        <v>250</v>
      </c>
      <c r="H176" s="62">
        <v>0</v>
      </c>
      <c r="I176" s="62">
        <f t="shared" si="11"/>
        <v>3499</v>
      </c>
      <c r="J176" s="21">
        <f t="shared" si="12"/>
        <v>97.47</v>
      </c>
      <c r="K176" s="21">
        <f>(D176+E176)*11%</f>
        <v>357.39</v>
      </c>
      <c r="L176" s="21">
        <v>0</v>
      </c>
      <c r="M176" s="21">
        <v>0</v>
      </c>
      <c r="N176" s="24">
        <f t="shared" si="14"/>
        <v>454.86</v>
      </c>
      <c r="O176" s="24">
        <f t="shared" si="13"/>
        <v>3044.14</v>
      </c>
      <c r="P176" s="24">
        <v>0</v>
      </c>
    </row>
    <row r="177" spans="1:16" ht="27" customHeight="1" x14ac:dyDescent="0.2">
      <c r="A177" s="54">
        <v>168</v>
      </c>
      <c r="B177" s="60" t="s">
        <v>214</v>
      </c>
      <c r="C177" s="60" t="s">
        <v>257</v>
      </c>
      <c r="D177" s="60">
        <v>2425</v>
      </c>
      <c r="E177" s="60">
        <v>0</v>
      </c>
      <c r="F177" s="78">
        <v>0</v>
      </c>
      <c r="G177" s="62">
        <v>0</v>
      </c>
      <c r="H177" s="62">
        <v>0</v>
      </c>
      <c r="I177" s="62">
        <f t="shared" si="11"/>
        <v>2425</v>
      </c>
      <c r="J177" s="21">
        <f t="shared" si="12"/>
        <v>72.75</v>
      </c>
      <c r="K177" s="21">
        <f>D177*11%</f>
        <v>266.75</v>
      </c>
      <c r="L177" s="21">
        <v>0</v>
      </c>
      <c r="M177" s="21">
        <v>0</v>
      </c>
      <c r="N177" s="24">
        <f t="shared" si="14"/>
        <v>339.5</v>
      </c>
      <c r="O177" s="24">
        <f t="shared" si="13"/>
        <v>2085.5</v>
      </c>
      <c r="P177" s="24">
        <v>0</v>
      </c>
    </row>
    <row r="178" spans="1:16" ht="27" customHeight="1" x14ac:dyDescent="0.2">
      <c r="A178" s="54">
        <v>169</v>
      </c>
      <c r="B178" s="91" t="s">
        <v>237</v>
      </c>
      <c r="C178" s="60" t="s">
        <v>226</v>
      </c>
      <c r="D178" s="78">
        <v>1831</v>
      </c>
      <c r="E178" s="78">
        <v>1000</v>
      </c>
      <c r="F178" s="78">
        <v>0</v>
      </c>
      <c r="G178" s="78">
        <v>250</v>
      </c>
      <c r="H178" s="62">
        <v>0</v>
      </c>
      <c r="I178" s="62">
        <f t="shared" si="11"/>
        <v>3081</v>
      </c>
      <c r="J178" s="21">
        <f t="shared" si="12"/>
        <v>84.93</v>
      </c>
      <c r="K178" s="21">
        <f>(D178+E178)*11%</f>
        <v>311.41000000000003</v>
      </c>
      <c r="L178" s="21">
        <v>0</v>
      </c>
      <c r="M178" s="21">
        <v>38.049999999999997</v>
      </c>
      <c r="N178" s="24">
        <f t="shared" si="14"/>
        <v>434.39</v>
      </c>
      <c r="O178" s="24">
        <f t="shared" si="13"/>
        <v>2646.61</v>
      </c>
      <c r="P178" s="24">
        <v>0</v>
      </c>
    </row>
    <row r="179" spans="1:16" ht="27" customHeight="1" x14ac:dyDescent="0.2">
      <c r="A179" s="54">
        <v>170</v>
      </c>
      <c r="B179" s="91" t="s">
        <v>765</v>
      </c>
      <c r="C179" s="60" t="s">
        <v>262</v>
      </c>
      <c r="D179" s="78">
        <v>3081</v>
      </c>
      <c r="E179" s="78">
        <v>1000</v>
      </c>
      <c r="F179" s="78">
        <v>0</v>
      </c>
      <c r="G179" s="78">
        <v>250</v>
      </c>
      <c r="H179" s="62">
        <v>0</v>
      </c>
      <c r="I179" s="62">
        <f t="shared" si="11"/>
        <v>4331</v>
      </c>
      <c r="J179" s="21">
        <f t="shared" si="12"/>
        <v>122.43</v>
      </c>
      <c r="K179" s="21">
        <f>(D179+E179)*12%</f>
        <v>489.72</v>
      </c>
      <c r="L179" s="21">
        <v>0</v>
      </c>
      <c r="M179" s="21">
        <v>0</v>
      </c>
      <c r="N179" s="24">
        <f t="shared" si="14"/>
        <v>612.15</v>
      </c>
      <c r="O179" s="24">
        <f t="shared" si="13"/>
        <v>3718.85</v>
      </c>
      <c r="P179" s="24">
        <v>0</v>
      </c>
    </row>
    <row r="180" spans="1:16" ht="27" customHeight="1" x14ac:dyDescent="0.2">
      <c r="A180" s="54">
        <v>171</v>
      </c>
      <c r="B180" s="106" t="s">
        <v>922</v>
      </c>
      <c r="C180" s="60" t="s">
        <v>87</v>
      </c>
      <c r="D180" s="107">
        <v>1902</v>
      </c>
      <c r="E180" s="78">
        <v>1000</v>
      </c>
      <c r="F180" s="78">
        <v>0</v>
      </c>
      <c r="G180" s="78">
        <v>250</v>
      </c>
      <c r="H180" s="62">
        <v>0</v>
      </c>
      <c r="I180" s="62">
        <f t="shared" si="11"/>
        <v>3152</v>
      </c>
      <c r="J180" s="21">
        <f t="shared" si="12"/>
        <v>87.06</v>
      </c>
      <c r="K180" s="21">
        <f>(D180+E180)*11%</f>
        <v>319.22000000000003</v>
      </c>
      <c r="L180" s="21">
        <v>0</v>
      </c>
      <c r="M180" s="21">
        <v>0</v>
      </c>
      <c r="N180" s="24">
        <f t="shared" si="14"/>
        <v>406.28</v>
      </c>
      <c r="O180" s="24">
        <f t="shared" si="13"/>
        <v>2745.72</v>
      </c>
      <c r="P180" s="24">
        <v>0</v>
      </c>
    </row>
    <row r="181" spans="1:16" ht="27" customHeight="1" x14ac:dyDescent="0.2">
      <c r="A181" s="54">
        <v>172</v>
      </c>
      <c r="B181" s="89" t="s">
        <v>923</v>
      </c>
      <c r="C181" s="60" t="s">
        <v>257</v>
      </c>
      <c r="D181" s="21">
        <v>2425</v>
      </c>
      <c r="E181" s="78">
        <v>0</v>
      </c>
      <c r="F181" s="78">
        <v>0</v>
      </c>
      <c r="G181" s="78">
        <v>0</v>
      </c>
      <c r="H181" s="62">
        <v>0</v>
      </c>
      <c r="I181" s="62">
        <f t="shared" si="11"/>
        <v>2425</v>
      </c>
      <c r="J181" s="21">
        <f t="shared" si="12"/>
        <v>72.75</v>
      </c>
      <c r="K181" s="21">
        <f>(D181+E181)*11%</f>
        <v>266.75</v>
      </c>
      <c r="L181" s="21">
        <v>0</v>
      </c>
      <c r="M181" s="21">
        <v>0</v>
      </c>
      <c r="N181" s="24">
        <f t="shared" si="14"/>
        <v>339.5</v>
      </c>
      <c r="O181" s="24">
        <f t="shared" si="13"/>
        <v>2085.5</v>
      </c>
      <c r="P181" s="24">
        <v>0</v>
      </c>
    </row>
    <row r="182" spans="1:16" ht="27" customHeight="1" x14ac:dyDescent="0.2">
      <c r="A182" s="54">
        <v>173</v>
      </c>
      <c r="B182" s="109" t="s">
        <v>271</v>
      </c>
      <c r="C182" s="60" t="s">
        <v>257</v>
      </c>
      <c r="D182" s="88">
        <v>2425</v>
      </c>
      <c r="E182" s="60">
        <v>0</v>
      </c>
      <c r="F182" s="78">
        <v>0</v>
      </c>
      <c r="G182" s="62">
        <v>0</v>
      </c>
      <c r="H182" s="62">
        <v>0</v>
      </c>
      <c r="I182" s="62">
        <f t="shared" si="11"/>
        <v>2425</v>
      </c>
      <c r="J182" s="21">
        <f t="shared" si="12"/>
        <v>72.75</v>
      </c>
      <c r="K182" s="21">
        <f>D182*11%</f>
        <v>266.75</v>
      </c>
      <c r="L182" s="21">
        <v>0</v>
      </c>
      <c r="M182" s="21">
        <v>0</v>
      </c>
      <c r="N182" s="24">
        <f t="shared" si="14"/>
        <v>339.5</v>
      </c>
      <c r="O182" s="24">
        <f t="shared" si="13"/>
        <v>2085.5</v>
      </c>
      <c r="P182" s="24">
        <v>0</v>
      </c>
    </row>
    <row r="183" spans="1:16" ht="27" customHeight="1" x14ac:dyDescent="0.2">
      <c r="A183" s="54">
        <v>174</v>
      </c>
      <c r="B183" s="60" t="s">
        <v>238</v>
      </c>
      <c r="C183" s="60" t="s">
        <v>259</v>
      </c>
      <c r="D183" s="88">
        <v>1940</v>
      </c>
      <c r="E183" s="60">
        <v>0</v>
      </c>
      <c r="F183" s="78">
        <v>0</v>
      </c>
      <c r="G183" s="62">
        <v>0</v>
      </c>
      <c r="H183" s="62">
        <v>0</v>
      </c>
      <c r="I183" s="62">
        <f t="shared" si="11"/>
        <v>1940</v>
      </c>
      <c r="J183" s="21">
        <f t="shared" si="12"/>
        <v>58.2</v>
      </c>
      <c r="K183" s="21">
        <f>D183*10%</f>
        <v>194</v>
      </c>
      <c r="L183" s="21">
        <v>0</v>
      </c>
      <c r="M183" s="21">
        <v>0</v>
      </c>
      <c r="N183" s="24">
        <f t="shared" si="14"/>
        <v>252.2</v>
      </c>
      <c r="O183" s="24">
        <f t="shared" si="13"/>
        <v>1687.8</v>
      </c>
      <c r="P183" s="24">
        <v>0</v>
      </c>
    </row>
    <row r="184" spans="1:16" ht="27" customHeight="1" x14ac:dyDescent="0.2">
      <c r="A184" s="54">
        <v>175</v>
      </c>
      <c r="B184" s="64" t="s">
        <v>272</v>
      </c>
      <c r="C184" s="60" t="s">
        <v>262</v>
      </c>
      <c r="D184" s="60">
        <v>3081</v>
      </c>
      <c r="E184" s="64">
        <v>1000</v>
      </c>
      <c r="F184" s="78">
        <v>0</v>
      </c>
      <c r="G184" s="62">
        <v>250</v>
      </c>
      <c r="H184" s="62">
        <v>0</v>
      </c>
      <c r="I184" s="62">
        <f t="shared" si="11"/>
        <v>4331</v>
      </c>
      <c r="J184" s="21">
        <f t="shared" si="12"/>
        <v>122.43</v>
      </c>
      <c r="K184" s="21">
        <f>(D184+E184)*12%</f>
        <v>489.72</v>
      </c>
      <c r="L184" s="21">
        <v>0</v>
      </c>
      <c r="M184" s="21">
        <v>0</v>
      </c>
      <c r="N184" s="24">
        <f t="shared" si="14"/>
        <v>612.15</v>
      </c>
      <c r="O184" s="24">
        <f t="shared" si="13"/>
        <v>3718.85</v>
      </c>
      <c r="P184" s="24">
        <v>0</v>
      </c>
    </row>
    <row r="185" spans="1:16" ht="27" customHeight="1" x14ac:dyDescent="0.2">
      <c r="A185" s="54">
        <v>176</v>
      </c>
      <c r="B185" s="64" t="s">
        <v>239</v>
      </c>
      <c r="C185" s="60" t="s">
        <v>262</v>
      </c>
      <c r="D185" s="96">
        <v>3081</v>
      </c>
      <c r="E185" s="65">
        <v>1000</v>
      </c>
      <c r="F185" s="78">
        <v>0</v>
      </c>
      <c r="G185" s="78">
        <v>250</v>
      </c>
      <c r="H185" s="62">
        <v>0</v>
      </c>
      <c r="I185" s="62">
        <f t="shared" si="11"/>
        <v>4331</v>
      </c>
      <c r="J185" s="21">
        <f t="shared" si="12"/>
        <v>122.43</v>
      </c>
      <c r="K185" s="21">
        <f>(D185+E185)*12%</f>
        <v>489.72</v>
      </c>
      <c r="L185" s="21">
        <v>0</v>
      </c>
      <c r="M185" s="21">
        <v>0</v>
      </c>
      <c r="N185" s="24">
        <f t="shared" si="14"/>
        <v>612.15</v>
      </c>
      <c r="O185" s="24">
        <f t="shared" si="13"/>
        <v>3718.85</v>
      </c>
      <c r="P185" s="24">
        <f>630</f>
        <v>630</v>
      </c>
    </row>
    <row r="186" spans="1:16" ht="27" customHeight="1" x14ac:dyDescent="0.2">
      <c r="A186" s="54">
        <v>177</v>
      </c>
      <c r="B186" s="60" t="s">
        <v>333</v>
      </c>
      <c r="C186" s="60" t="s">
        <v>257</v>
      </c>
      <c r="D186" s="88">
        <v>2425</v>
      </c>
      <c r="E186" s="60">
        <v>0</v>
      </c>
      <c r="F186" s="78">
        <v>0</v>
      </c>
      <c r="G186" s="62">
        <v>0</v>
      </c>
      <c r="H186" s="62">
        <v>0</v>
      </c>
      <c r="I186" s="62">
        <f t="shared" si="11"/>
        <v>2425</v>
      </c>
      <c r="J186" s="21">
        <f t="shared" si="12"/>
        <v>72.75</v>
      </c>
      <c r="K186" s="21">
        <f>D186*11%</f>
        <v>266.75</v>
      </c>
      <c r="L186" s="21">
        <v>0</v>
      </c>
      <c r="M186" s="21">
        <v>0</v>
      </c>
      <c r="N186" s="24">
        <f t="shared" si="14"/>
        <v>339.5</v>
      </c>
      <c r="O186" s="24">
        <f t="shared" si="13"/>
        <v>2085.5</v>
      </c>
      <c r="P186" s="24">
        <v>0</v>
      </c>
    </row>
    <row r="187" spans="1:16" ht="27" customHeight="1" x14ac:dyDescent="0.2">
      <c r="A187" s="54">
        <v>178</v>
      </c>
      <c r="B187" s="89" t="s">
        <v>903</v>
      </c>
      <c r="C187" s="66" t="s">
        <v>90</v>
      </c>
      <c r="D187" s="115">
        <v>1902</v>
      </c>
      <c r="E187" s="60">
        <v>1000</v>
      </c>
      <c r="F187" s="78">
        <v>0</v>
      </c>
      <c r="G187" s="62">
        <v>250</v>
      </c>
      <c r="H187" s="62">
        <v>0</v>
      </c>
      <c r="I187" s="62">
        <f t="shared" si="11"/>
        <v>3152</v>
      </c>
      <c r="J187" s="21">
        <f t="shared" si="12"/>
        <v>87.06</v>
      </c>
      <c r="K187" s="21">
        <f>(D187+E187)*11%</f>
        <v>319.22000000000003</v>
      </c>
      <c r="L187" s="21">
        <v>0</v>
      </c>
      <c r="M187" s="21">
        <v>0</v>
      </c>
      <c r="N187" s="24">
        <f t="shared" si="14"/>
        <v>406.28</v>
      </c>
      <c r="O187" s="24">
        <f t="shared" si="13"/>
        <v>2745.72</v>
      </c>
      <c r="P187" s="24">
        <v>0</v>
      </c>
    </row>
    <row r="188" spans="1:16" ht="27" customHeight="1" x14ac:dyDescent="0.2">
      <c r="A188" s="54">
        <v>179</v>
      </c>
      <c r="B188" s="60" t="s">
        <v>251</v>
      </c>
      <c r="C188" s="60" t="s">
        <v>385</v>
      </c>
      <c r="D188" s="93">
        <v>3241</v>
      </c>
      <c r="E188" s="60">
        <v>1000</v>
      </c>
      <c r="F188" s="78">
        <v>0</v>
      </c>
      <c r="G188" s="62">
        <v>250</v>
      </c>
      <c r="H188" s="62">
        <v>0</v>
      </c>
      <c r="I188" s="62">
        <f t="shared" si="11"/>
        <v>4491</v>
      </c>
      <c r="J188" s="21">
        <f t="shared" si="12"/>
        <v>127.23</v>
      </c>
      <c r="K188" s="21">
        <f>(D188+E188)*12%</f>
        <v>508.92</v>
      </c>
      <c r="L188" s="21">
        <v>0</v>
      </c>
      <c r="M188" s="21">
        <v>0</v>
      </c>
      <c r="N188" s="24">
        <f t="shared" si="14"/>
        <v>636.15</v>
      </c>
      <c r="O188" s="24">
        <f t="shared" si="13"/>
        <v>3854.85</v>
      </c>
      <c r="P188" s="24">
        <f>1050</f>
        <v>1050</v>
      </c>
    </row>
    <row r="189" spans="1:16" ht="27" customHeight="1" x14ac:dyDescent="0.2">
      <c r="A189" s="54">
        <v>180</v>
      </c>
      <c r="B189" s="64" t="s">
        <v>253</v>
      </c>
      <c r="C189" s="60" t="s">
        <v>87</v>
      </c>
      <c r="D189" s="78">
        <v>1902</v>
      </c>
      <c r="E189" s="78">
        <v>1000</v>
      </c>
      <c r="F189" s="78">
        <v>0</v>
      </c>
      <c r="G189" s="78">
        <v>250</v>
      </c>
      <c r="H189" s="62">
        <v>0</v>
      </c>
      <c r="I189" s="62">
        <f t="shared" si="11"/>
        <v>3152</v>
      </c>
      <c r="J189" s="21">
        <f t="shared" si="12"/>
        <v>87.06</v>
      </c>
      <c r="K189" s="21">
        <f>(D189+E189)*11%</f>
        <v>319.22000000000003</v>
      </c>
      <c r="L189" s="21">
        <v>0</v>
      </c>
      <c r="M189" s="21">
        <v>0</v>
      </c>
      <c r="N189" s="24">
        <f t="shared" si="14"/>
        <v>406.28</v>
      </c>
      <c r="O189" s="24">
        <f t="shared" si="13"/>
        <v>2745.72</v>
      </c>
      <c r="P189" s="24">
        <v>0</v>
      </c>
    </row>
    <row r="190" spans="1:16" ht="25.5" x14ac:dyDescent="0.2">
      <c r="A190" s="54">
        <v>181</v>
      </c>
      <c r="B190" s="60" t="s">
        <v>240</v>
      </c>
      <c r="C190" s="60" t="s">
        <v>257</v>
      </c>
      <c r="D190" s="60">
        <v>2425</v>
      </c>
      <c r="E190" s="60">
        <v>0</v>
      </c>
      <c r="F190" s="78">
        <v>0</v>
      </c>
      <c r="G190" s="62">
        <v>0</v>
      </c>
      <c r="H190" s="62">
        <v>0</v>
      </c>
      <c r="I190" s="62">
        <f t="shared" si="11"/>
        <v>2425</v>
      </c>
      <c r="J190" s="21">
        <f t="shared" si="12"/>
        <v>72.75</v>
      </c>
      <c r="K190" s="21">
        <f>D190*11%</f>
        <v>266.75</v>
      </c>
      <c r="L190" s="21">
        <v>0</v>
      </c>
      <c r="M190" s="21">
        <v>0</v>
      </c>
      <c r="N190" s="24">
        <f t="shared" si="14"/>
        <v>339.5</v>
      </c>
      <c r="O190" s="24">
        <f t="shared" si="13"/>
        <v>2085.5</v>
      </c>
      <c r="P190" s="24">
        <v>0</v>
      </c>
    </row>
    <row r="191" spans="1:16" ht="25.5" x14ac:dyDescent="0.2">
      <c r="A191" s="54">
        <v>182</v>
      </c>
      <c r="B191" s="89" t="s">
        <v>934</v>
      </c>
      <c r="C191" s="60" t="s">
        <v>257</v>
      </c>
      <c r="D191" s="21">
        <v>2425</v>
      </c>
      <c r="E191" s="60">
        <v>0</v>
      </c>
      <c r="F191" s="78">
        <v>0</v>
      </c>
      <c r="G191" s="62">
        <v>0</v>
      </c>
      <c r="H191" s="62">
        <v>0</v>
      </c>
      <c r="I191" s="62">
        <f t="shared" si="11"/>
        <v>2425</v>
      </c>
      <c r="J191" s="21">
        <f t="shared" si="12"/>
        <v>72.75</v>
      </c>
      <c r="K191" s="21">
        <f>D191*11%</f>
        <v>266.75</v>
      </c>
      <c r="L191" s="21">
        <v>0</v>
      </c>
      <c r="M191" s="21">
        <v>0</v>
      </c>
      <c r="N191" s="24">
        <f t="shared" si="14"/>
        <v>339.5</v>
      </c>
      <c r="O191" s="24">
        <f t="shared" si="13"/>
        <v>2085.5</v>
      </c>
      <c r="P191" s="24">
        <v>0</v>
      </c>
    </row>
    <row r="192" spans="1:16" ht="25.5" x14ac:dyDescent="0.2">
      <c r="A192" s="54">
        <v>183</v>
      </c>
      <c r="B192" s="60" t="s">
        <v>321</v>
      </c>
      <c r="C192" s="114" t="s">
        <v>273</v>
      </c>
      <c r="D192" s="99">
        <v>1649</v>
      </c>
      <c r="E192" s="60">
        <v>0</v>
      </c>
      <c r="F192" s="78">
        <v>0</v>
      </c>
      <c r="G192" s="62">
        <v>0</v>
      </c>
      <c r="H192" s="62">
        <v>0</v>
      </c>
      <c r="I192" s="62">
        <f t="shared" si="11"/>
        <v>1649</v>
      </c>
      <c r="J192" s="21">
        <f t="shared" si="12"/>
        <v>49.47</v>
      </c>
      <c r="K192" s="21">
        <f>D192*10%</f>
        <v>164.9</v>
      </c>
      <c r="L192" s="21">
        <v>0</v>
      </c>
      <c r="M192" s="21">
        <v>22.16</v>
      </c>
      <c r="N192" s="24">
        <f t="shared" si="14"/>
        <v>236.53</v>
      </c>
      <c r="O192" s="24">
        <f t="shared" si="13"/>
        <v>1412.47</v>
      </c>
      <c r="P192" s="24">
        <v>0</v>
      </c>
    </row>
    <row r="193" spans="1:16" ht="25.5" x14ac:dyDescent="0.2">
      <c r="A193" s="54">
        <v>184</v>
      </c>
      <c r="B193" s="89" t="s">
        <v>951</v>
      </c>
      <c r="C193" s="60" t="s">
        <v>257</v>
      </c>
      <c r="D193" s="99">
        <v>2425</v>
      </c>
      <c r="E193" s="60">
        <v>0</v>
      </c>
      <c r="F193" s="78">
        <v>0</v>
      </c>
      <c r="G193" s="62">
        <v>0</v>
      </c>
      <c r="H193" s="62">
        <v>0</v>
      </c>
      <c r="I193" s="62">
        <f t="shared" si="11"/>
        <v>2425</v>
      </c>
      <c r="J193" s="21">
        <f t="shared" si="12"/>
        <v>72.75</v>
      </c>
      <c r="K193" s="21">
        <f>D193*11%</f>
        <v>266.75</v>
      </c>
      <c r="L193" s="21">
        <v>0</v>
      </c>
      <c r="M193" s="21">
        <v>0</v>
      </c>
      <c r="N193" s="24">
        <f t="shared" si="14"/>
        <v>339.5</v>
      </c>
      <c r="O193" s="24">
        <f t="shared" si="13"/>
        <v>2085.5</v>
      </c>
      <c r="P193" s="24">
        <v>0</v>
      </c>
    </row>
    <row r="194" spans="1:16" ht="25.5" x14ac:dyDescent="0.2">
      <c r="A194" s="54">
        <v>185</v>
      </c>
      <c r="B194" s="60" t="s">
        <v>764</v>
      </c>
      <c r="C194" s="60" t="s">
        <v>963</v>
      </c>
      <c r="D194" s="99">
        <v>5787</v>
      </c>
      <c r="E194" s="60">
        <v>1800</v>
      </c>
      <c r="F194" s="78"/>
      <c r="G194" s="62">
        <v>250</v>
      </c>
      <c r="H194" s="62">
        <v>0</v>
      </c>
      <c r="I194" s="62">
        <f t="shared" si="11"/>
        <v>7837</v>
      </c>
      <c r="J194" s="21">
        <f t="shared" si="12"/>
        <v>227.61</v>
      </c>
      <c r="K194" s="21">
        <f>(D194+E194)*13%</f>
        <v>986.31</v>
      </c>
      <c r="L194" s="21">
        <v>0</v>
      </c>
      <c r="M194" s="21">
        <v>101.97</v>
      </c>
      <c r="N194" s="24">
        <f t="shared" si="14"/>
        <v>1315.89</v>
      </c>
      <c r="O194" s="24">
        <f t="shared" si="13"/>
        <v>6521.11</v>
      </c>
      <c r="P194" s="24">
        <v>0</v>
      </c>
    </row>
    <row r="195" spans="1:16" ht="25.5" x14ac:dyDescent="0.2">
      <c r="A195" s="54">
        <v>186</v>
      </c>
      <c r="B195" s="21" t="s">
        <v>274</v>
      </c>
      <c r="C195" s="66" t="s">
        <v>86</v>
      </c>
      <c r="D195" s="21">
        <v>2920</v>
      </c>
      <c r="E195" s="21">
        <v>1000</v>
      </c>
      <c r="F195" s="78">
        <v>0</v>
      </c>
      <c r="G195" s="62">
        <v>250</v>
      </c>
      <c r="H195" s="62">
        <v>0</v>
      </c>
      <c r="I195" s="62">
        <f t="shared" si="11"/>
        <v>4170</v>
      </c>
      <c r="J195" s="21">
        <f t="shared" si="12"/>
        <v>117.6</v>
      </c>
      <c r="K195" s="21">
        <f>(D195+E195)*11%</f>
        <v>431.2</v>
      </c>
      <c r="L195" s="21">
        <v>0</v>
      </c>
      <c r="M195" s="21">
        <v>0</v>
      </c>
      <c r="N195" s="24">
        <f t="shared" si="14"/>
        <v>548.79999999999995</v>
      </c>
      <c r="O195" s="24">
        <f t="shared" si="13"/>
        <v>3621.2</v>
      </c>
      <c r="P195" s="24">
        <v>0</v>
      </c>
    </row>
    <row r="196" spans="1:16" ht="25.5" x14ac:dyDescent="0.2">
      <c r="A196" s="54">
        <v>187</v>
      </c>
      <c r="B196" s="64" t="s">
        <v>41</v>
      </c>
      <c r="C196" s="60" t="s">
        <v>382</v>
      </c>
      <c r="D196" s="21">
        <v>2375</v>
      </c>
      <c r="E196" s="21">
        <v>1000</v>
      </c>
      <c r="F196" s="78">
        <v>0</v>
      </c>
      <c r="G196" s="62">
        <v>250</v>
      </c>
      <c r="H196" s="62">
        <v>0</v>
      </c>
      <c r="I196" s="62">
        <f t="shared" si="11"/>
        <v>3625</v>
      </c>
      <c r="J196" s="21">
        <f t="shared" si="12"/>
        <v>101.25</v>
      </c>
      <c r="K196" s="21">
        <f>(D196+E196)*11%</f>
        <v>371.25</v>
      </c>
      <c r="L196" s="21">
        <v>0</v>
      </c>
      <c r="M196" s="21">
        <v>0</v>
      </c>
      <c r="N196" s="24">
        <f t="shared" si="14"/>
        <v>472.5</v>
      </c>
      <c r="O196" s="24">
        <f t="shared" si="13"/>
        <v>3152.5</v>
      </c>
      <c r="P196" s="24">
        <v>0</v>
      </c>
    </row>
    <row r="197" spans="1:16" ht="25.5" x14ac:dyDescent="0.2">
      <c r="A197" s="54">
        <v>188</v>
      </c>
      <c r="B197" s="89" t="s">
        <v>935</v>
      </c>
      <c r="C197" s="60" t="s">
        <v>257</v>
      </c>
      <c r="D197" s="21">
        <v>2425</v>
      </c>
      <c r="E197" s="21">
        <v>0</v>
      </c>
      <c r="F197" s="78">
        <v>0</v>
      </c>
      <c r="G197" s="62">
        <v>0</v>
      </c>
      <c r="H197" s="62">
        <v>0</v>
      </c>
      <c r="I197" s="62">
        <f t="shared" si="11"/>
        <v>2425</v>
      </c>
      <c r="J197" s="21">
        <f t="shared" si="12"/>
        <v>72.75</v>
      </c>
      <c r="K197" s="21">
        <f>(D197+E197)*11%</f>
        <v>266.75</v>
      </c>
      <c r="L197" s="21">
        <v>0</v>
      </c>
      <c r="M197" s="21">
        <v>0</v>
      </c>
      <c r="N197" s="24">
        <f t="shared" si="14"/>
        <v>339.5</v>
      </c>
      <c r="O197" s="24">
        <f t="shared" si="13"/>
        <v>2085.5</v>
      </c>
      <c r="P197" s="24">
        <v>0</v>
      </c>
    </row>
    <row r="198" spans="1:16" x14ac:dyDescent="0.2">
      <c r="A198" s="54">
        <v>189</v>
      </c>
      <c r="B198" s="60" t="s">
        <v>215</v>
      </c>
      <c r="C198" s="60" t="s">
        <v>89</v>
      </c>
      <c r="D198" s="60">
        <v>1668</v>
      </c>
      <c r="E198" s="60">
        <v>1000</v>
      </c>
      <c r="F198" s="78">
        <v>0</v>
      </c>
      <c r="G198" s="62">
        <v>250</v>
      </c>
      <c r="H198" s="62">
        <v>0</v>
      </c>
      <c r="I198" s="62">
        <f t="shared" si="11"/>
        <v>2918</v>
      </c>
      <c r="J198" s="21">
        <f t="shared" si="12"/>
        <v>80.040000000000006</v>
      </c>
      <c r="K198" s="21">
        <f>(D198+E198)*11%</f>
        <v>293.48</v>
      </c>
      <c r="L198" s="21">
        <v>0</v>
      </c>
      <c r="M198" s="21">
        <v>0</v>
      </c>
      <c r="N198" s="24">
        <f t="shared" si="14"/>
        <v>373.52</v>
      </c>
      <c r="O198" s="24">
        <f t="shared" si="13"/>
        <v>2544.48</v>
      </c>
      <c r="P198" s="24">
        <v>0</v>
      </c>
    </row>
    <row r="199" spans="1:16" ht="25.5" x14ac:dyDescent="0.2">
      <c r="A199" s="54">
        <v>190</v>
      </c>
      <c r="B199" s="60" t="s">
        <v>52</v>
      </c>
      <c r="C199" s="60" t="s">
        <v>369</v>
      </c>
      <c r="D199" s="78">
        <v>3404</v>
      </c>
      <c r="E199" s="78">
        <v>1000</v>
      </c>
      <c r="F199" s="78">
        <v>0</v>
      </c>
      <c r="G199" s="78">
        <v>250</v>
      </c>
      <c r="H199" s="62">
        <v>0</v>
      </c>
      <c r="I199" s="62">
        <f t="shared" si="11"/>
        <v>4654</v>
      </c>
      <c r="J199" s="21">
        <f t="shared" si="12"/>
        <v>132.12</v>
      </c>
      <c r="K199" s="78">
        <f>(D199+E199)*12%</f>
        <v>528.48</v>
      </c>
      <c r="L199" s="21">
        <v>0</v>
      </c>
      <c r="M199" s="78">
        <v>59.19</v>
      </c>
      <c r="N199" s="24">
        <f t="shared" si="14"/>
        <v>719.79</v>
      </c>
      <c r="O199" s="24">
        <f t="shared" si="13"/>
        <v>3934.21</v>
      </c>
      <c r="P199" s="24">
        <v>0</v>
      </c>
    </row>
    <row r="200" spans="1:16" ht="25.5" x14ac:dyDescent="0.2">
      <c r="A200" s="54">
        <v>191</v>
      </c>
      <c r="B200" s="60" t="s">
        <v>241</v>
      </c>
      <c r="C200" s="60" t="s">
        <v>259</v>
      </c>
      <c r="D200" s="88">
        <v>1940</v>
      </c>
      <c r="E200" s="60">
        <v>0</v>
      </c>
      <c r="F200" s="78">
        <v>0</v>
      </c>
      <c r="G200" s="62">
        <v>0</v>
      </c>
      <c r="H200" s="62">
        <v>0</v>
      </c>
      <c r="I200" s="62">
        <f t="shared" si="11"/>
        <v>1940</v>
      </c>
      <c r="J200" s="21">
        <f t="shared" si="12"/>
        <v>58.2</v>
      </c>
      <c r="K200" s="21">
        <f>D200*10%</f>
        <v>194</v>
      </c>
      <c r="L200" s="21">
        <v>0</v>
      </c>
      <c r="M200" s="21">
        <v>0</v>
      </c>
      <c r="N200" s="24">
        <f t="shared" si="14"/>
        <v>252.2</v>
      </c>
      <c r="O200" s="24">
        <f t="shared" si="13"/>
        <v>1687.8</v>
      </c>
      <c r="P200" s="24">
        <v>0</v>
      </c>
    </row>
    <row r="201" spans="1:16" ht="25.5" x14ac:dyDescent="0.2">
      <c r="A201" s="54">
        <v>192</v>
      </c>
      <c r="B201" s="89" t="s">
        <v>936</v>
      </c>
      <c r="C201" s="60" t="s">
        <v>257</v>
      </c>
      <c r="D201" s="21">
        <v>2425</v>
      </c>
      <c r="E201" s="78">
        <v>0</v>
      </c>
      <c r="F201" s="78">
        <v>0</v>
      </c>
      <c r="G201" s="78">
        <v>0</v>
      </c>
      <c r="H201" s="62">
        <v>0</v>
      </c>
      <c r="I201" s="62">
        <f t="shared" si="11"/>
        <v>2425</v>
      </c>
      <c r="J201" s="21">
        <f t="shared" si="12"/>
        <v>72.75</v>
      </c>
      <c r="K201" s="21">
        <f>(D201+E201)*11%</f>
        <v>266.75</v>
      </c>
      <c r="L201" s="21">
        <v>0</v>
      </c>
      <c r="M201" s="21">
        <v>0</v>
      </c>
      <c r="N201" s="24">
        <f t="shared" ref="N201:N233" si="15">J201+K201+L201+M201</f>
        <v>339.5</v>
      </c>
      <c r="O201" s="24">
        <f t="shared" si="13"/>
        <v>2085.5</v>
      </c>
      <c r="P201" s="24">
        <v>0</v>
      </c>
    </row>
    <row r="202" spans="1:16" ht="25.5" x14ac:dyDescent="0.2">
      <c r="A202" s="54">
        <v>193</v>
      </c>
      <c r="B202" s="70" t="s">
        <v>789</v>
      </c>
      <c r="C202" s="116" t="s">
        <v>275</v>
      </c>
      <c r="D202" s="21">
        <v>1358</v>
      </c>
      <c r="E202" s="60">
        <v>0</v>
      </c>
      <c r="F202" s="78">
        <v>0</v>
      </c>
      <c r="G202" s="62">
        <v>0</v>
      </c>
      <c r="H202" s="62">
        <v>0</v>
      </c>
      <c r="I202" s="62">
        <f t="shared" si="11"/>
        <v>1358</v>
      </c>
      <c r="J202" s="21">
        <f t="shared" si="12"/>
        <v>40.74</v>
      </c>
      <c r="K202" s="21">
        <f>(D202+E202)*10%</f>
        <v>135.80000000000001</v>
      </c>
      <c r="L202" s="21">
        <v>0</v>
      </c>
      <c r="M202" s="21">
        <v>0</v>
      </c>
      <c r="N202" s="24">
        <f t="shared" si="15"/>
        <v>176.54</v>
      </c>
      <c r="O202" s="24">
        <f t="shared" si="13"/>
        <v>1181.46</v>
      </c>
      <c r="P202" s="24">
        <v>0</v>
      </c>
    </row>
    <row r="203" spans="1:16" ht="25.5" x14ac:dyDescent="0.2">
      <c r="A203" s="54">
        <v>194</v>
      </c>
      <c r="B203" s="60" t="s">
        <v>155</v>
      </c>
      <c r="C203" s="60" t="s">
        <v>257</v>
      </c>
      <c r="D203" s="60">
        <v>2425</v>
      </c>
      <c r="E203" s="60">
        <v>0</v>
      </c>
      <c r="F203" s="78">
        <v>0</v>
      </c>
      <c r="G203" s="62">
        <v>0</v>
      </c>
      <c r="H203" s="62">
        <v>0</v>
      </c>
      <c r="I203" s="62">
        <f t="shared" si="11"/>
        <v>2425</v>
      </c>
      <c r="J203" s="21">
        <f t="shared" si="12"/>
        <v>72.75</v>
      </c>
      <c r="K203" s="21">
        <f>D203*11%</f>
        <v>266.75</v>
      </c>
      <c r="L203" s="21">
        <v>0</v>
      </c>
      <c r="M203" s="21">
        <v>0</v>
      </c>
      <c r="N203" s="24">
        <f t="shared" si="15"/>
        <v>339.5</v>
      </c>
      <c r="O203" s="24">
        <f t="shared" si="13"/>
        <v>2085.5</v>
      </c>
      <c r="P203" s="24">
        <v>0</v>
      </c>
    </row>
    <row r="204" spans="1:16" ht="25.5" x14ac:dyDescent="0.2">
      <c r="A204" s="54">
        <v>195</v>
      </c>
      <c r="B204" s="60" t="s">
        <v>242</v>
      </c>
      <c r="C204" s="60" t="s">
        <v>259</v>
      </c>
      <c r="D204" s="88">
        <v>1940</v>
      </c>
      <c r="E204" s="60">
        <v>0</v>
      </c>
      <c r="F204" s="62">
        <v>0</v>
      </c>
      <c r="G204" s="62">
        <v>0</v>
      </c>
      <c r="H204" s="62">
        <v>0</v>
      </c>
      <c r="I204" s="62">
        <f t="shared" si="11"/>
        <v>1940</v>
      </c>
      <c r="J204" s="21">
        <f t="shared" si="12"/>
        <v>58.2</v>
      </c>
      <c r="K204" s="21">
        <f>D204*10%</f>
        <v>194</v>
      </c>
      <c r="L204" s="21">
        <v>0</v>
      </c>
      <c r="M204" s="21">
        <v>0</v>
      </c>
      <c r="N204" s="24">
        <f t="shared" si="15"/>
        <v>252.2</v>
      </c>
      <c r="O204" s="24">
        <f t="shared" si="13"/>
        <v>1687.8</v>
      </c>
      <c r="P204" s="24">
        <v>0</v>
      </c>
    </row>
    <row r="205" spans="1:16" ht="25.5" x14ac:dyDescent="0.2">
      <c r="A205" s="54">
        <v>196</v>
      </c>
      <c r="B205" s="60" t="s">
        <v>54</v>
      </c>
      <c r="C205" s="60" t="s">
        <v>87</v>
      </c>
      <c r="D205" s="60">
        <v>1902</v>
      </c>
      <c r="E205" s="60">
        <v>1000</v>
      </c>
      <c r="F205" s="78">
        <v>0</v>
      </c>
      <c r="G205" s="62">
        <v>250</v>
      </c>
      <c r="H205" s="62">
        <v>0</v>
      </c>
      <c r="I205" s="62">
        <f t="shared" si="11"/>
        <v>3152</v>
      </c>
      <c r="J205" s="21">
        <f t="shared" si="12"/>
        <v>87.06</v>
      </c>
      <c r="K205" s="21">
        <f>(D205+E205)*11%</f>
        <v>319.22000000000003</v>
      </c>
      <c r="L205" s="21">
        <v>0</v>
      </c>
      <c r="M205" s="21">
        <v>0</v>
      </c>
      <c r="N205" s="24">
        <f t="shared" si="15"/>
        <v>406.28</v>
      </c>
      <c r="O205" s="24">
        <f t="shared" si="13"/>
        <v>2745.72</v>
      </c>
      <c r="P205" s="24">
        <v>0</v>
      </c>
    </row>
    <row r="206" spans="1:16" ht="25.5" x14ac:dyDescent="0.2">
      <c r="A206" s="54">
        <v>197</v>
      </c>
      <c r="B206" s="110" t="s">
        <v>243</v>
      </c>
      <c r="C206" s="94" t="s">
        <v>84</v>
      </c>
      <c r="D206" s="78">
        <v>2760</v>
      </c>
      <c r="E206" s="78">
        <v>1000</v>
      </c>
      <c r="F206" s="78">
        <v>0</v>
      </c>
      <c r="G206" s="78">
        <v>250</v>
      </c>
      <c r="H206" s="62">
        <v>0</v>
      </c>
      <c r="I206" s="62">
        <f t="shared" ref="I206:I270" si="16">(D206+E206+F206+G206+H206)</f>
        <v>4010</v>
      </c>
      <c r="J206" s="21">
        <f t="shared" ref="J206:J245" si="17">(D206+E206+F206)*3%</f>
        <v>112.8</v>
      </c>
      <c r="K206" s="21">
        <f>(D206+E206)*11%</f>
        <v>413.6</v>
      </c>
      <c r="L206" s="21">
        <v>0</v>
      </c>
      <c r="M206" s="21">
        <v>0</v>
      </c>
      <c r="N206" s="24">
        <f t="shared" si="15"/>
        <v>526.4</v>
      </c>
      <c r="O206" s="24">
        <f t="shared" ref="O206:O270" si="18">I206-N206</f>
        <v>3483.6</v>
      </c>
      <c r="P206" s="24">
        <v>0</v>
      </c>
    </row>
    <row r="207" spans="1:16" ht="25.5" x14ac:dyDescent="0.2">
      <c r="A207" s="54">
        <v>198</v>
      </c>
      <c r="B207" s="60" t="s">
        <v>135</v>
      </c>
      <c r="C207" s="116" t="s">
        <v>259</v>
      </c>
      <c r="D207" s="60">
        <v>1940</v>
      </c>
      <c r="E207" s="60">
        <v>0</v>
      </c>
      <c r="F207" s="78">
        <v>0</v>
      </c>
      <c r="G207" s="62">
        <v>0</v>
      </c>
      <c r="H207" s="62">
        <v>0</v>
      </c>
      <c r="I207" s="62">
        <f t="shared" si="16"/>
        <v>1940</v>
      </c>
      <c r="J207" s="21">
        <f t="shared" si="17"/>
        <v>58.2</v>
      </c>
      <c r="K207" s="21">
        <f>D207*10%</f>
        <v>194</v>
      </c>
      <c r="L207" s="21">
        <v>0</v>
      </c>
      <c r="M207" s="21">
        <v>0</v>
      </c>
      <c r="N207" s="24">
        <f t="shared" si="15"/>
        <v>252.2</v>
      </c>
      <c r="O207" s="24">
        <f t="shared" si="18"/>
        <v>1687.8</v>
      </c>
      <c r="P207" s="24">
        <v>0</v>
      </c>
    </row>
    <row r="208" spans="1:16" ht="25.5" customHeight="1" x14ac:dyDescent="0.2">
      <c r="A208" s="54">
        <v>199</v>
      </c>
      <c r="B208" s="124" t="s">
        <v>1061</v>
      </c>
      <c r="C208" s="17" t="s">
        <v>1062</v>
      </c>
      <c r="D208" s="140">
        <v>2392</v>
      </c>
      <c r="E208" s="60">
        <v>1900</v>
      </c>
      <c r="F208" s="78">
        <v>0</v>
      </c>
      <c r="G208" s="62">
        <v>250</v>
      </c>
      <c r="H208" s="62">
        <v>0</v>
      </c>
      <c r="I208" s="62">
        <f t="shared" si="16"/>
        <v>4542</v>
      </c>
      <c r="J208" s="21">
        <f t="shared" si="17"/>
        <v>128.76</v>
      </c>
      <c r="K208" s="21">
        <f>D208*12%</f>
        <v>287.04000000000002</v>
      </c>
      <c r="L208" s="21">
        <v>0</v>
      </c>
      <c r="M208" s="21">
        <v>0</v>
      </c>
      <c r="N208" s="24">
        <f t="shared" si="15"/>
        <v>415.8</v>
      </c>
      <c r="O208" s="24">
        <f t="shared" si="18"/>
        <v>4126.2</v>
      </c>
      <c r="P208" s="24">
        <v>0</v>
      </c>
    </row>
    <row r="209" spans="1:16" ht="25.5" x14ac:dyDescent="0.2">
      <c r="A209" s="54">
        <v>200</v>
      </c>
      <c r="B209" s="70" t="s">
        <v>792</v>
      </c>
      <c r="C209" s="60" t="s">
        <v>883</v>
      </c>
      <c r="D209" s="21">
        <v>1746</v>
      </c>
      <c r="E209" s="60">
        <v>0</v>
      </c>
      <c r="F209" s="78">
        <v>0</v>
      </c>
      <c r="G209" s="62">
        <v>0</v>
      </c>
      <c r="H209" s="62">
        <v>0</v>
      </c>
      <c r="I209" s="62">
        <f t="shared" si="16"/>
        <v>1746</v>
      </c>
      <c r="J209" s="21">
        <f t="shared" si="17"/>
        <v>52.38</v>
      </c>
      <c r="K209" s="21">
        <f>(D209+E209)*10%</f>
        <v>174.6</v>
      </c>
      <c r="L209" s="21">
        <v>0</v>
      </c>
      <c r="M209" s="21">
        <v>0</v>
      </c>
      <c r="N209" s="24">
        <f t="shared" si="15"/>
        <v>226.98</v>
      </c>
      <c r="O209" s="24">
        <f t="shared" si="18"/>
        <v>1519.02</v>
      </c>
      <c r="P209" s="24">
        <v>0</v>
      </c>
    </row>
    <row r="210" spans="1:16" ht="25.5" x14ac:dyDescent="0.2">
      <c r="A210" s="54">
        <v>201</v>
      </c>
      <c r="B210" s="60" t="s">
        <v>149</v>
      </c>
      <c r="C210" s="60" t="s">
        <v>382</v>
      </c>
      <c r="D210" s="60">
        <v>2375</v>
      </c>
      <c r="E210" s="60">
        <v>1000</v>
      </c>
      <c r="F210" s="78">
        <v>0</v>
      </c>
      <c r="G210" s="62">
        <v>250</v>
      </c>
      <c r="H210" s="62">
        <v>0</v>
      </c>
      <c r="I210" s="62">
        <f t="shared" si="16"/>
        <v>3625</v>
      </c>
      <c r="J210" s="21">
        <f t="shared" si="17"/>
        <v>101.25</v>
      </c>
      <c r="K210" s="21">
        <f>(D210+E210)*11%</f>
        <v>371.25</v>
      </c>
      <c r="L210" s="21">
        <v>0</v>
      </c>
      <c r="M210" s="21">
        <v>0</v>
      </c>
      <c r="N210" s="24">
        <f t="shared" si="15"/>
        <v>472.5</v>
      </c>
      <c r="O210" s="24">
        <f t="shared" si="18"/>
        <v>3152.5</v>
      </c>
      <c r="P210" s="24">
        <v>0</v>
      </c>
    </row>
    <row r="211" spans="1:16" ht="25.5" x14ac:dyDescent="0.2">
      <c r="A211" s="54">
        <v>202</v>
      </c>
      <c r="B211" s="64" t="s">
        <v>244</v>
      </c>
      <c r="C211" s="64" t="s">
        <v>90</v>
      </c>
      <c r="D211" s="96">
        <v>1902</v>
      </c>
      <c r="E211" s="65">
        <v>1000</v>
      </c>
      <c r="F211" s="78">
        <v>0</v>
      </c>
      <c r="G211" s="62">
        <v>250</v>
      </c>
      <c r="H211" s="62">
        <v>0</v>
      </c>
      <c r="I211" s="62">
        <f t="shared" si="16"/>
        <v>3152</v>
      </c>
      <c r="J211" s="21">
        <f t="shared" si="17"/>
        <v>87.06</v>
      </c>
      <c r="K211" s="21">
        <f>(D211+E211+F211)*11%</f>
        <v>319.22000000000003</v>
      </c>
      <c r="L211" s="21">
        <v>0</v>
      </c>
      <c r="M211" s="21">
        <v>0</v>
      </c>
      <c r="N211" s="24">
        <f t="shared" si="15"/>
        <v>406.28</v>
      </c>
      <c r="O211" s="24">
        <f t="shared" si="18"/>
        <v>2745.72</v>
      </c>
      <c r="P211" s="24">
        <v>0</v>
      </c>
    </row>
    <row r="212" spans="1:16" ht="25.5" x14ac:dyDescent="0.2">
      <c r="A212" s="54">
        <v>203</v>
      </c>
      <c r="B212" s="60" t="s">
        <v>82</v>
      </c>
      <c r="C212" s="60" t="s">
        <v>259</v>
      </c>
      <c r="D212" s="88">
        <v>1940</v>
      </c>
      <c r="E212" s="60">
        <v>0</v>
      </c>
      <c r="F212" s="78">
        <v>0</v>
      </c>
      <c r="G212" s="62">
        <v>0</v>
      </c>
      <c r="H212" s="62">
        <v>0</v>
      </c>
      <c r="I212" s="62">
        <f t="shared" si="16"/>
        <v>1940</v>
      </c>
      <c r="J212" s="21">
        <f t="shared" si="17"/>
        <v>58.2</v>
      </c>
      <c r="K212" s="21">
        <f>D212*10%</f>
        <v>194</v>
      </c>
      <c r="L212" s="21">
        <v>0</v>
      </c>
      <c r="M212" s="21">
        <v>0</v>
      </c>
      <c r="N212" s="24">
        <f t="shared" si="15"/>
        <v>252.2</v>
      </c>
      <c r="O212" s="24">
        <f t="shared" si="18"/>
        <v>1687.8</v>
      </c>
      <c r="P212" s="24">
        <v>0</v>
      </c>
    </row>
    <row r="213" spans="1:16" ht="25.5" x14ac:dyDescent="0.2">
      <c r="A213" s="54">
        <v>204</v>
      </c>
      <c r="B213" s="60" t="s">
        <v>39</v>
      </c>
      <c r="C213" s="94" t="s">
        <v>389</v>
      </c>
      <c r="D213" s="78">
        <v>2076</v>
      </c>
      <c r="E213" s="78">
        <v>1000</v>
      </c>
      <c r="F213" s="78">
        <v>0</v>
      </c>
      <c r="G213" s="78">
        <v>250</v>
      </c>
      <c r="H213" s="62">
        <v>0</v>
      </c>
      <c r="I213" s="62">
        <f t="shared" si="16"/>
        <v>3326</v>
      </c>
      <c r="J213" s="21">
        <f t="shared" si="17"/>
        <v>92.28</v>
      </c>
      <c r="K213" s="21">
        <f>(D213+E213)*11%</f>
        <v>338.36</v>
      </c>
      <c r="L213" s="21">
        <v>0</v>
      </c>
      <c r="M213" s="21">
        <v>0</v>
      </c>
      <c r="N213" s="24">
        <f t="shared" si="15"/>
        <v>430.64</v>
      </c>
      <c r="O213" s="24">
        <f t="shared" si="18"/>
        <v>2895.36</v>
      </c>
      <c r="P213" s="24">
        <v>0</v>
      </c>
    </row>
    <row r="214" spans="1:16" ht="25.5" x14ac:dyDescent="0.2">
      <c r="A214" s="54">
        <v>205</v>
      </c>
      <c r="B214" s="60" t="s">
        <v>322</v>
      </c>
      <c r="C214" s="60" t="s">
        <v>259</v>
      </c>
      <c r="D214" s="88">
        <v>1940</v>
      </c>
      <c r="E214" s="60">
        <v>0</v>
      </c>
      <c r="F214" s="78">
        <v>0</v>
      </c>
      <c r="G214" s="62">
        <v>0</v>
      </c>
      <c r="H214" s="62">
        <v>0</v>
      </c>
      <c r="I214" s="62">
        <f t="shared" si="16"/>
        <v>1940</v>
      </c>
      <c r="J214" s="21">
        <f t="shared" si="17"/>
        <v>58.2</v>
      </c>
      <c r="K214" s="21">
        <f>D214*10%</f>
        <v>194</v>
      </c>
      <c r="L214" s="21">
        <v>0</v>
      </c>
      <c r="M214" s="21">
        <v>0</v>
      </c>
      <c r="N214" s="24">
        <f t="shared" si="15"/>
        <v>252.2</v>
      </c>
      <c r="O214" s="24">
        <f t="shared" si="18"/>
        <v>1687.8</v>
      </c>
      <c r="P214" s="24">
        <v>0</v>
      </c>
    </row>
    <row r="215" spans="1:16" ht="25.5" x14ac:dyDescent="0.2">
      <c r="A215" s="54">
        <v>206</v>
      </c>
      <c r="B215" s="60" t="s">
        <v>728</v>
      </c>
      <c r="C215" s="66" t="s">
        <v>86</v>
      </c>
      <c r="D215" s="88">
        <v>2920</v>
      </c>
      <c r="E215" s="60">
        <v>1000</v>
      </c>
      <c r="F215" s="78">
        <v>0</v>
      </c>
      <c r="G215" s="62">
        <v>250</v>
      </c>
      <c r="H215" s="62">
        <v>0</v>
      </c>
      <c r="I215" s="62">
        <f t="shared" si="16"/>
        <v>4170</v>
      </c>
      <c r="J215" s="21">
        <f t="shared" si="17"/>
        <v>117.6</v>
      </c>
      <c r="K215" s="21">
        <f>(D215+E215)*11%</f>
        <v>431.2</v>
      </c>
      <c r="L215" s="21">
        <v>0</v>
      </c>
      <c r="M215" s="21">
        <v>52.68</v>
      </c>
      <c r="N215" s="24">
        <f t="shared" si="15"/>
        <v>601.48</v>
      </c>
      <c r="O215" s="24">
        <f t="shared" si="18"/>
        <v>3568.52</v>
      </c>
      <c r="P215" s="24">
        <v>0</v>
      </c>
    </row>
    <row r="216" spans="1:16" ht="25.5" x14ac:dyDescent="0.2">
      <c r="A216" s="54">
        <v>207</v>
      </c>
      <c r="B216" s="21" t="s">
        <v>370</v>
      </c>
      <c r="C216" s="60" t="s">
        <v>262</v>
      </c>
      <c r="D216" s="78">
        <v>3081</v>
      </c>
      <c r="E216" s="78">
        <v>1000</v>
      </c>
      <c r="F216" s="78">
        <v>0</v>
      </c>
      <c r="G216" s="78">
        <v>250</v>
      </c>
      <c r="H216" s="62">
        <v>0</v>
      </c>
      <c r="I216" s="62">
        <f t="shared" si="16"/>
        <v>4331</v>
      </c>
      <c r="J216" s="21">
        <f t="shared" si="17"/>
        <v>122.43</v>
      </c>
      <c r="K216" s="21">
        <f>(D216+E216)*12%</f>
        <v>489.72</v>
      </c>
      <c r="L216" s="21">
        <v>0</v>
      </c>
      <c r="M216" s="78">
        <v>0</v>
      </c>
      <c r="N216" s="24">
        <f t="shared" si="15"/>
        <v>612.15</v>
      </c>
      <c r="O216" s="24">
        <f t="shared" si="18"/>
        <v>3718.85</v>
      </c>
      <c r="P216" s="24">
        <v>0</v>
      </c>
    </row>
    <row r="217" spans="1:16" ht="25.5" x14ac:dyDescent="0.2">
      <c r="A217" s="54">
        <v>208</v>
      </c>
      <c r="B217" s="91" t="s">
        <v>29</v>
      </c>
      <c r="C217" s="94" t="s">
        <v>390</v>
      </c>
      <c r="D217" s="88">
        <v>5373</v>
      </c>
      <c r="E217" s="60">
        <v>3000</v>
      </c>
      <c r="F217" s="78">
        <v>0</v>
      </c>
      <c r="G217" s="78">
        <v>250</v>
      </c>
      <c r="H217" s="62">
        <v>0</v>
      </c>
      <c r="I217" s="62">
        <f t="shared" si="16"/>
        <v>8623</v>
      </c>
      <c r="J217" s="21">
        <f t="shared" si="17"/>
        <v>251.19</v>
      </c>
      <c r="K217" s="21">
        <v>1172.22</v>
      </c>
      <c r="L217" s="21">
        <v>0</v>
      </c>
      <c r="M217" s="21">
        <v>112.53</v>
      </c>
      <c r="N217" s="24">
        <f t="shared" si="15"/>
        <v>1535.94</v>
      </c>
      <c r="O217" s="24">
        <f t="shared" si="18"/>
        <v>7087.06</v>
      </c>
      <c r="P217" s="24">
        <v>0</v>
      </c>
    </row>
    <row r="218" spans="1:16" ht="25.5" x14ac:dyDescent="0.2">
      <c r="A218" s="54">
        <v>209</v>
      </c>
      <c r="B218" s="66" t="s">
        <v>819</v>
      </c>
      <c r="C218" s="60" t="s">
        <v>262</v>
      </c>
      <c r="D218" s="78">
        <f>3081</f>
        <v>3081</v>
      </c>
      <c r="E218" s="78">
        <v>1000</v>
      </c>
      <c r="F218" s="78">
        <v>0</v>
      </c>
      <c r="G218" s="78">
        <v>250</v>
      </c>
      <c r="H218" s="62">
        <v>0</v>
      </c>
      <c r="I218" s="62">
        <f t="shared" si="16"/>
        <v>4331</v>
      </c>
      <c r="J218" s="21">
        <f t="shared" si="17"/>
        <v>122.43</v>
      </c>
      <c r="K218" s="21">
        <f>(D218+E218)*12%</f>
        <v>489.72</v>
      </c>
      <c r="L218" s="21">
        <v>0</v>
      </c>
      <c r="M218" s="21">
        <v>0</v>
      </c>
      <c r="N218" s="24">
        <f t="shared" si="15"/>
        <v>612.15</v>
      </c>
      <c r="O218" s="24">
        <f t="shared" si="18"/>
        <v>3718.85</v>
      </c>
      <c r="P218" s="24">
        <v>0</v>
      </c>
    </row>
    <row r="219" spans="1:16" ht="25.5" x14ac:dyDescent="0.2">
      <c r="A219" s="54">
        <v>210</v>
      </c>
      <c r="B219" s="64" t="s">
        <v>245</v>
      </c>
      <c r="C219" s="60" t="s">
        <v>259</v>
      </c>
      <c r="D219" s="60">
        <v>1940</v>
      </c>
      <c r="E219" s="60">
        <v>0</v>
      </c>
      <c r="F219" s="78">
        <v>0</v>
      </c>
      <c r="G219" s="62">
        <v>0</v>
      </c>
      <c r="H219" s="62">
        <v>0</v>
      </c>
      <c r="I219" s="62">
        <f t="shared" si="16"/>
        <v>1940</v>
      </c>
      <c r="J219" s="21">
        <f t="shared" si="17"/>
        <v>58.2</v>
      </c>
      <c r="K219" s="21">
        <f>D219*10%</f>
        <v>194</v>
      </c>
      <c r="L219" s="21">
        <v>0</v>
      </c>
      <c r="M219" s="21">
        <v>0</v>
      </c>
      <c r="N219" s="24">
        <f t="shared" si="15"/>
        <v>252.2</v>
      </c>
      <c r="O219" s="24">
        <f t="shared" si="18"/>
        <v>1687.8</v>
      </c>
      <c r="P219" s="24">
        <v>0</v>
      </c>
    </row>
    <row r="220" spans="1:16" ht="25.5" x14ac:dyDescent="0.2">
      <c r="A220" s="54">
        <v>211</v>
      </c>
      <c r="B220" s="60" t="s">
        <v>216</v>
      </c>
      <c r="C220" s="60" t="s">
        <v>257</v>
      </c>
      <c r="D220" s="88">
        <v>2425</v>
      </c>
      <c r="E220" s="60">
        <v>0</v>
      </c>
      <c r="F220" s="78">
        <v>0</v>
      </c>
      <c r="G220" s="62">
        <v>0</v>
      </c>
      <c r="H220" s="62">
        <v>0</v>
      </c>
      <c r="I220" s="62">
        <f t="shared" si="16"/>
        <v>2425</v>
      </c>
      <c r="J220" s="21">
        <f t="shared" si="17"/>
        <v>72.75</v>
      </c>
      <c r="K220" s="21">
        <f>D220*11%</f>
        <v>266.75</v>
      </c>
      <c r="L220" s="21">
        <v>0</v>
      </c>
      <c r="M220" s="21">
        <v>0</v>
      </c>
      <c r="N220" s="24">
        <f t="shared" si="15"/>
        <v>339.5</v>
      </c>
      <c r="O220" s="24">
        <f t="shared" si="18"/>
        <v>2085.5</v>
      </c>
      <c r="P220" s="24">
        <v>0</v>
      </c>
    </row>
    <row r="221" spans="1:16" x14ac:dyDescent="0.2">
      <c r="A221" s="54">
        <v>212</v>
      </c>
      <c r="B221" s="109" t="s">
        <v>340</v>
      </c>
      <c r="C221" s="60" t="s">
        <v>46</v>
      </c>
      <c r="D221" s="60">
        <v>1668</v>
      </c>
      <c r="E221" s="60">
        <v>1000</v>
      </c>
      <c r="F221" s="78">
        <v>0</v>
      </c>
      <c r="G221" s="62">
        <v>250</v>
      </c>
      <c r="H221" s="62">
        <v>0</v>
      </c>
      <c r="I221" s="62">
        <f t="shared" si="16"/>
        <v>2918</v>
      </c>
      <c r="J221" s="21">
        <f t="shared" si="17"/>
        <v>80.040000000000006</v>
      </c>
      <c r="K221" s="21">
        <f>(D221+E221)*11%</f>
        <v>293.48</v>
      </c>
      <c r="L221" s="21">
        <v>0</v>
      </c>
      <c r="M221" s="21">
        <v>0</v>
      </c>
      <c r="N221" s="24">
        <f t="shared" si="15"/>
        <v>373.52</v>
      </c>
      <c r="O221" s="24">
        <f t="shared" si="18"/>
        <v>2544.48</v>
      </c>
      <c r="P221" s="24">
        <v>0</v>
      </c>
    </row>
    <row r="222" spans="1:16" ht="25.5" x14ac:dyDescent="0.2">
      <c r="A222" s="54">
        <v>213</v>
      </c>
      <c r="B222" s="60" t="s">
        <v>49</v>
      </c>
      <c r="C222" s="66" t="s">
        <v>86</v>
      </c>
      <c r="D222" s="60">
        <v>2920</v>
      </c>
      <c r="E222" s="60">
        <v>1000</v>
      </c>
      <c r="F222" s="78">
        <v>0</v>
      </c>
      <c r="G222" s="62">
        <v>250</v>
      </c>
      <c r="H222" s="62">
        <v>0</v>
      </c>
      <c r="I222" s="62">
        <f t="shared" si="16"/>
        <v>4170</v>
      </c>
      <c r="J222" s="21">
        <f t="shared" si="17"/>
        <v>117.6</v>
      </c>
      <c r="K222" s="21">
        <f>(D222+E222)*11%</f>
        <v>431.2</v>
      </c>
      <c r="L222" s="21">
        <v>0</v>
      </c>
      <c r="M222" s="21">
        <v>52.68</v>
      </c>
      <c r="N222" s="24">
        <f t="shared" si="15"/>
        <v>601.48</v>
      </c>
      <c r="O222" s="24">
        <f t="shared" si="18"/>
        <v>3568.52</v>
      </c>
      <c r="P222" s="24">
        <v>0</v>
      </c>
    </row>
    <row r="223" spans="1:16" ht="25.5" x14ac:dyDescent="0.2">
      <c r="A223" s="54">
        <v>214</v>
      </c>
      <c r="B223" s="64" t="s">
        <v>121</v>
      </c>
      <c r="C223" s="64" t="s">
        <v>323</v>
      </c>
      <c r="D223" s="64">
        <v>5787</v>
      </c>
      <c r="E223" s="64">
        <v>1800</v>
      </c>
      <c r="F223" s="78">
        <v>0</v>
      </c>
      <c r="G223" s="97">
        <v>250</v>
      </c>
      <c r="H223" s="62">
        <v>0</v>
      </c>
      <c r="I223" s="62">
        <f t="shared" si="16"/>
        <v>7837</v>
      </c>
      <c r="J223" s="21">
        <f t="shared" si="17"/>
        <v>227.61</v>
      </c>
      <c r="K223" s="98">
        <f>(D223+E223)*13%</f>
        <v>986.31</v>
      </c>
      <c r="L223" s="21">
        <v>0</v>
      </c>
      <c r="M223" s="98">
        <v>101.97</v>
      </c>
      <c r="N223" s="24">
        <f t="shared" si="15"/>
        <v>1315.89</v>
      </c>
      <c r="O223" s="24">
        <f t="shared" si="18"/>
        <v>6521.11</v>
      </c>
      <c r="P223" s="24">
        <v>0</v>
      </c>
    </row>
    <row r="224" spans="1:16" ht="25.5" x14ac:dyDescent="0.2">
      <c r="A224" s="54">
        <v>215</v>
      </c>
      <c r="B224" s="92" t="s">
        <v>276</v>
      </c>
      <c r="C224" s="89" t="s">
        <v>952</v>
      </c>
      <c r="D224" s="64">
        <v>5787</v>
      </c>
      <c r="E224" s="64">
        <v>1800</v>
      </c>
      <c r="F224" s="78">
        <v>0</v>
      </c>
      <c r="G224" s="97">
        <v>250</v>
      </c>
      <c r="H224" s="62">
        <v>0</v>
      </c>
      <c r="I224" s="62">
        <f t="shared" si="16"/>
        <v>7837</v>
      </c>
      <c r="J224" s="21">
        <f t="shared" si="17"/>
        <v>227.61</v>
      </c>
      <c r="K224" s="98">
        <f>(D224+E224)*13%</f>
        <v>986.31</v>
      </c>
      <c r="L224" s="21">
        <v>0</v>
      </c>
      <c r="M224" s="98">
        <v>101.97</v>
      </c>
      <c r="N224" s="24">
        <f t="shared" si="15"/>
        <v>1315.89</v>
      </c>
      <c r="O224" s="24">
        <f t="shared" si="18"/>
        <v>6521.11</v>
      </c>
      <c r="P224" s="24">
        <v>0</v>
      </c>
    </row>
    <row r="225" spans="1:16" ht="25.5" x14ac:dyDescent="0.2">
      <c r="A225" s="54">
        <v>216</v>
      </c>
      <c r="B225" s="60" t="s">
        <v>217</v>
      </c>
      <c r="C225" s="60" t="s">
        <v>257</v>
      </c>
      <c r="D225" s="99">
        <v>2425</v>
      </c>
      <c r="E225" s="60">
        <v>0</v>
      </c>
      <c r="F225" s="78">
        <v>0</v>
      </c>
      <c r="G225" s="62">
        <v>0</v>
      </c>
      <c r="H225" s="62">
        <v>0</v>
      </c>
      <c r="I225" s="62">
        <f t="shared" si="16"/>
        <v>2425</v>
      </c>
      <c r="J225" s="21">
        <f t="shared" si="17"/>
        <v>72.75</v>
      </c>
      <c r="K225" s="21">
        <f>D225*11%</f>
        <v>266.75</v>
      </c>
      <c r="L225" s="21">
        <v>0</v>
      </c>
      <c r="M225" s="21">
        <v>32.590000000000003</v>
      </c>
      <c r="N225" s="24">
        <f t="shared" si="15"/>
        <v>372.09</v>
      </c>
      <c r="O225" s="24">
        <f t="shared" si="18"/>
        <v>2052.91</v>
      </c>
      <c r="P225" s="24">
        <v>0</v>
      </c>
    </row>
    <row r="226" spans="1:16" ht="25.5" x14ac:dyDescent="0.2">
      <c r="A226" s="54">
        <v>217</v>
      </c>
      <c r="B226" s="60" t="s">
        <v>64</v>
      </c>
      <c r="C226" s="60" t="s">
        <v>259</v>
      </c>
      <c r="D226" s="88">
        <v>1940</v>
      </c>
      <c r="E226" s="60">
        <v>0</v>
      </c>
      <c r="F226" s="78">
        <v>0</v>
      </c>
      <c r="G226" s="62">
        <v>0</v>
      </c>
      <c r="H226" s="62">
        <v>0</v>
      </c>
      <c r="I226" s="62">
        <f t="shared" si="16"/>
        <v>1940</v>
      </c>
      <c r="J226" s="21">
        <f t="shared" si="17"/>
        <v>58.2</v>
      </c>
      <c r="K226" s="21">
        <f>D226*10%</f>
        <v>194</v>
      </c>
      <c r="L226" s="21">
        <v>0</v>
      </c>
      <c r="M226" s="21">
        <v>0</v>
      </c>
      <c r="N226" s="24">
        <f t="shared" si="15"/>
        <v>252.2</v>
      </c>
      <c r="O226" s="24">
        <f t="shared" si="18"/>
        <v>1687.8</v>
      </c>
      <c r="P226" s="24">
        <v>0</v>
      </c>
    </row>
    <row r="227" spans="1:16" ht="25.5" x14ac:dyDescent="0.2">
      <c r="A227" s="54">
        <v>218</v>
      </c>
      <c r="B227" s="60" t="s">
        <v>73</v>
      </c>
      <c r="C227" s="60" t="s">
        <v>257</v>
      </c>
      <c r="D227" s="88">
        <v>2425</v>
      </c>
      <c r="E227" s="60">
        <v>0</v>
      </c>
      <c r="F227" s="78">
        <v>0</v>
      </c>
      <c r="G227" s="62">
        <v>0</v>
      </c>
      <c r="H227" s="62">
        <v>0</v>
      </c>
      <c r="I227" s="62">
        <f t="shared" si="16"/>
        <v>2425</v>
      </c>
      <c r="J227" s="21">
        <f t="shared" si="17"/>
        <v>72.75</v>
      </c>
      <c r="K227" s="21">
        <f>D227*11%</f>
        <v>266.75</v>
      </c>
      <c r="L227" s="21">
        <v>0</v>
      </c>
      <c r="M227" s="21">
        <v>0</v>
      </c>
      <c r="N227" s="24">
        <f t="shared" si="15"/>
        <v>339.5</v>
      </c>
      <c r="O227" s="24">
        <f t="shared" si="18"/>
        <v>2085.5</v>
      </c>
      <c r="P227" s="24">
        <v>0</v>
      </c>
    </row>
    <row r="228" spans="1:16" ht="25.5" x14ac:dyDescent="0.2">
      <c r="A228" s="54">
        <v>219</v>
      </c>
      <c r="B228" s="60" t="s">
        <v>72</v>
      </c>
      <c r="C228" s="60" t="s">
        <v>257</v>
      </c>
      <c r="D228" s="88">
        <v>2425</v>
      </c>
      <c r="E228" s="60">
        <v>0</v>
      </c>
      <c r="F228" s="78">
        <v>0</v>
      </c>
      <c r="G228" s="62">
        <v>0</v>
      </c>
      <c r="H228" s="62">
        <v>0</v>
      </c>
      <c r="I228" s="62">
        <f t="shared" si="16"/>
        <v>2425</v>
      </c>
      <c r="J228" s="21">
        <f t="shared" si="17"/>
        <v>72.75</v>
      </c>
      <c r="K228" s="21">
        <f>D228*11%</f>
        <v>266.75</v>
      </c>
      <c r="L228" s="21">
        <v>0</v>
      </c>
      <c r="M228" s="21">
        <v>0</v>
      </c>
      <c r="N228" s="24">
        <f t="shared" si="15"/>
        <v>339.5</v>
      </c>
      <c r="O228" s="24">
        <f t="shared" si="18"/>
        <v>2085.5</v>
      </c>
      <c r="P228" s="24">
        <v>0</v>
      </c>
    </row>
    <row r="229" spans="1:16" ht="25.5" x14ac:dyDescent="0.2">
      <c r="A229" s="54">
        <v>220</v>
      </c>
      <c r="B229" s="64" t="s">
        <v>42</v>
      </c>
      <c r="C229" s="60" t="s">
        <v>262</v>
      </c>
      <c r="D229" s="21">
        <v>3081</v>
      </c>
      <c r="E229" s="21">
        <v>1000</v>
      </c>
      <c r="F229" s="78">
        <v>0</v>
      </c>
      <c r="G229" s="62">
        <v>250</v>
      </c>
      <c r="H229" s="62">
        <v>0</v>
      </c>
      <c r="I229" s="62">
        <f t="shared" si="16"/>
        <v>4331</v>
      </c>
      <c r="J229" s="21">
        <f t="shared" si="17"/>
        <v>122.43</v>
      </c>
      <c r="K229" s="21">
        <f>(D229+E229)*12%</f>
        <v>489.72</v>
      </c>
      <c r="L229" s="21">
        <v>0</v>
      </c>
      <c r="M229" s="21">
        <v>0</v>
      </c>
      <c r="N229" s="24">
        <f t="shared" si="15"/>
        <v>612.15</v>
      </c>
      <c r="O229" s="24">
        <f t="shared" si="18"/>
        <v>3718.85</v>
      </c>
      <c r="P229" s="24">
        <v>0</v>
      </c>
    </row>
    <row r="230" spans="1:16" ht="25.5" x14ac:dyDescent="0.2">
      <c r="A230" s="54">
        <v>221</v>
      </c>
      <c r="B230" s="60" t="s">
        <v>324</v>
      </c>
      <c r="C230" s="94" t="s">
        <v>389</v>
      </c>
      <c r="D230" s="78">
        <v>2076</v>
      </c>
      <c r="E230" s="78">
        <v>1000</v>
      </c>
      <c r="F230" s="78">
        <v>0</v>
      </c>
      <c r="G230" s="78">
        <v>250</v>
      </c>
      <c r="H230" s="62">
        <v>0</v>
      </c>
      <c r="I230" s="62">
        <f t="shared" si="16"/>
        <v>3326</v>
      </c>
      <c r="J230" s="21">
        <f t="shared" si="17"/>
        <v>92.28</v>
      </c>
      <c r="K230" s="21">
        <f>(D230+E230)*11%</f>
        <v>338.36</v>
      </c>
      <c r="L230" s="21">
        <v>0</v>
      </c>
      <c r="M230" s="21">
        <v>0</v>
      </c>
      <c r="N230" s="24">
        <f t="shared" si="15"/>
        <v>430.64</v>
      </c>
      <c r="O230" s="24">
        <f t="shared" si="18"/>
        <v>2895.36</v>
      </c>
      <c r="P230" s="24">
        <v>0</v>
      </c>
    </row>
    <row r="231" spans="1:16" ht="25.5" x14ac:dyDescent="0.2">
      <c r="A231" s="54">
        <v>222</v>
      </c>
      <c r="B231" s="60" t="s">
        <v>361</v>
      </c>
      <c r="C231" s="64" t="s">
        <v>90</v>
      </c>
      <c r="D231" s="21">
        <v>1902</v>
      </c>
      <c r="E231" s="21">
        <v>1000</v>
      </c>
      <c r="F231" s="78">
        <v>0</v>
      </c>
      <c r="G231" s="62">
        <v>250</v>
      </c>
      <c r="H231" s="62">
        <v>0</v>
      </c>
      <c r="I231" s="62">
        <f t="shared" si="16"/>
        <v>3152</v>
      </c>
      <c r="J231" s="21">
        <f t="shared" si="17"/>
        <v>87.06</v>
      </c>
      <c r="K231" s="21">
        <f>(D231+E231)*11%</f>
        <v>319.22000000000003</v>
      </c>
      <c r="L231" s="21">
        <v>0</v>
      </c>
      <c r="M231" s="21">
        <v>0</v>
      </c>
      <c r="N231" s="24">
        <f t="shared" si="15"/>
        <v>406.28</v>
      </c>
      <c r="O231" s="24">
        <f t="shared" si="18"/>
        <v>2745.72</v>
      </c>
      <c r="P231" s="24">
        <v>0</v>
      </c>
    </row>
    <row r="232" spans="1:16" ht="25.5" x14ac:dyDescent="0.2">
      <c r="A232" s="54">
        <v>223</v>
      </c>
      <c r="B232" s="60" t="s">
        <v>246</v>
      </c>
      <c r="C232" s="60" t="s">
        <v>962</v>
      </c>
      <c r="D232" s="60">
        <v>1668</v>
      </c>
      <c r="E232" s="64">
        <v>1000</v>
      </c>
      <c r="F232" s="78">
        <v>0</v>
      </c>
      <c r="G232" s="62">
        <v>250</v>
      </c>
      <c r="H232" s="62">
        <v>0</v>
      </c>
      <c r="I232" s="62">
        <f t="shared" si="16"/>
        <v>2918</v>
      </c>
      <c r="J232" s="21">
        <f t="shared" si="17"/>
        <v>80.040000000000006</v>
      </c>
      <c r="K232" s="21">
        <f>(D232+E232)*11%</f>
        <v>293.48</v>
      </c>
      <c r="L232" s="21">
        <v>0</v>
      </c>
      <c r="M232" s="21">
        <v>0</v>
      </c>
      <c r="N232" s="24">
        <f t="shared" si="15"/>
        <v>373.52</v>
      </c>
      <c r="O232" s="24">
        <f t="shared" si="18"/>
        <v>2544.48</v>
      </c>
      <c r="P232" s="24">
        <f>195+1045+120</f>
        <v>1360</v>
      </c>
    </row>
    <row r="233" spans="1:16" ht="25.5" x14ac:dyDescent="0.2">
      <c r="A233" s="54">
        <v>224</v>
      </c>
      <c r="B233" s="91" t="s">
        <v>277</v>
      </c>
      <c r="C233" s="60" t="s">
        <v>386</v>
      </c>
      <c r="D233" s="78">
        <v>2234</v>
      </c>
      <c r="E233" s="78">
        <v>1900</v>
      </c>
      <c r="F233" s="78">
        <v>0</v>
      </c>
      <c r="G233" s="78">
        <v>250</v>
      </c>
      <c r="H233" s="62">
        <v>0</v>
      </c>
      <c r="I233" s="62">
        <f t="shared" si="16"/>
        <v>4384</v>
      </c>
      <c r="J233" s="21">
        <f t="shared" si="17"/>
        <v>124.02</v>
      </c>
      <c r="K233" s="21">
        <f>(D233+E233)*12%</f>
        <v>496.08</v>
      </c>
      <c r="L233" s="21">
        <v>0</v>
      </c>
      <c r="M233" s="21">
        <v>55.56</v>
      </c>
      <c r="N233" s="24">
        <f t="shared" si="15"/>
        <v>675.66</v>
      </c>
      <c r="O233" s="24">
        <f t="shared" si="18"/>
        <v>3708.34</v>
      </c>
      <c r="P233" s="24">
        <v>0</v>
      </c>
    </row>
    <row r="234" spans="1:16" ht="25.5" x14ac:dyDescent="0.2">
      <c r="A234" s="54">
        <v>225</v>
      </c>
      <c r="B234" s="60" t="s">
        <v>908</v>
      </c>
      <c r="C234" s="60" t="s">
        <v>257</v>
      </c>
      <c r="D234" s="21">
        <v>2425</v>
      </c>
      <c r="E234" s="60">
        <v>0</v>
      </c>
      <c r="F234" s="78">
        <v>0</v>
      </c>
      <c r="G234" s="62">
        <v>0</v>
      </c>
      <c r="H234" s="62">
        <v>0</v>
      </c>
      <c r="I234" s="62">
        <f t="shared" si="16"/>
        <v>2425</v>
      </c>
      <c r="J234" s="21">
        <f t="shared" si="17"/>
        <v>72.75</v>
      </c>
      <c r="K234" s="21">
        <f>(D234+E234)*11%</f>
        <v>266.75</v>
      </c>
      <c r="L234" s="21">
        <v>0</v>
      </c>
      <c r="M234" s="21">
        <v>0</v>
      </c>
      <c r="N234" s="24">
        <f t="shared" ref="N234:N265" si="19">J234+K234+L234+M234</f>
        <v>339.5</v>
      </c>
      <c r="O234" s="24">
        <f t="shared" si="18"/>
        <v>2085.5</v>
      </c>
      <c r="P234" s="24">
        <v>0</v>
      </c>
    </row>
    <row r="235" spans="1:16" ht="25.5" x14ac:dyDescent="0.2">
      <c r="A235" s="54">
        <v>226</v>
      </c>
      <c r="B235" s="91" t="s">
        <v>31</v>
      </c>
      <c r="C235" s="66" t="s">
        <v>377</v>
      </c>
      <c r="D235" s="78">
        <v>3081</v>
      </c>
      <c r="E235" s="78">
        <v>1000</v>
      </c>
      <c r="F235" s="78">
        <v>0</v>
      </c>
      <c r="G235" s="78">
        <v>250</v>
      </c>
      <c r="H235" s="62">
        <v>0</v>
      </c>
      <c r="I235" s="62">
        <f t="shared" si="16"/>
        <v>4331</v>
      </c>
      <c r="J235" s="21">
        <f t="shared" si="17"/>
        <v>122.43</v>
      </c>
      <c r="K235" s="21">
        <f>(D235+E235)*12%</f>
        <v>489.72</v>
      </c>
      <c r="L235" s="21">
        <v>0</v>
      </c>
      <c r="M235" s="21">
        <v>0</v>
      </c>
      <c r="N235" s="24">
        <f t="shared" si="19"/>
        <v>612.15</v>
      </c>
      <c r="O235" s="24">
        <f t="shared" si="18"/>
        <v>3718.85</v>
      </c>
      <c r="P235" s="24">
        <v>0</v>
      </c>
    </row>
    <row r="236" spans="1:16" ht="25.5" x14ac:dyDescent="0.2">
      <c r="A236" s="54">
        <v>227</v>
      </c>
      <c r="B236" s="89" t="s">
        <v>924</v>
      </c>
      <c r="C236" s="60" t="s">
        <v>257</v>
      </c>
      <c r="D236" s="78">
        <v>2425</v>
      </c>
      <c r="E236" s="78">
        <v>0</v>
      </c>
      <c r="F236" s="78">
        <v>0</v>
      </c>
      <c r="G236" s="78">
        <v>0</v>
      </c>
      <c r="H236" s="62">
        <v>0</v>
      </c>
      <c r="I236" s="62">
        <f t="shared" si="16"/>
        <v>2425</v>
      </c>
      <c r="J236" s="21">
        <f t="shared" si="17"/>
        <v>72.75</v>
      </c>
      <c r="K236" s="21">
        <f>(D236+E236)*11%</f>
        <v>266.75</v>
      </c>
      <c r="L236" s="21">
        <v>0</v>
      </c>
      <c r="M236" s="21">
        <v>0</v>
      </c>
      <c r="N236" s="24">
        <f t="shared" si="19"/>
        <v>339.5</v>
      </c>
      <c r="O236" s="24">
        <f t="shared" si="18"/>
        <v>2085.5</v>
      </c>
      <c r="P236" s="24">
        <v>0</v>
      </c>
    </row>
    <row r="237" spans="1:16" ht="25.5" x14ac:dyDescent="0.2">
      <c r="A237" s="54">
        <v>228</v>
      </c>
      <c r="B237" s="91" t="s">
        <v>937</v>
      </c>
      <c r="C237" s="60" t="s">
        <v>257</v>
      </c>
      <c r="D237" s="21">
        <v>2425</v>
      </c>
      <c r="E237" s="78">
        <v>0</v>
      </c>
      <c r="F237" s="78">
        <v>0</v>
      </c>
      <c r="G237" s="78">
        <v>0</v>
      </c>
      <c r="H237" s="62">
        <v>0</v>
      </c>
      <c r="I237" s="62">
        <f t="shared" si="16"/>
        <v>2425</v>
      </c>
      <c r="J237" s="21">
        <f t="shared" si="17"/>
        <v>72.75</v>
      </c>
      <c r="K237" s="21">
        <f>(D237+E237)*11%</f>
        <v>266.75</v>
      </c>
      <c r="L237" s="21">
        <v>0</v>
      </c>
      <c r="M237" s="21">
        <v>0</v>
      </c>
      <c r="N237" s="24">
        <f t="shared" si="19"/>
        <v>339.5</v>
      </c>
      <c r="O237" s="24">
        <f t="shared" si="18"/>
        <v>2085.5</v>
      </c>
      <c r="P237" s="24">
        <v>0</v>
      </c>
    </row>
    <row r="238" spans="1:16" ht="25.5" x14ac:dyDescent="0.2">
      <c r="A238" s="54">
        <v>229</v>
      </c>
      <c r="B238" s="60" t="s">
        <v>74</v>
      </c>
      <c r="C238" s="60" t="s">
        <v>259</v>
      </c>
      <c r="D238" s="88">
        <v>1940</v>
      </c>
      <c r="E238" s="60">
        <v>0</v>
      </c>
      <c r="F238" s="78">
        <v>0</v>
      </c>
      <c r="G238" s="62">
        <v>0</v>
      </c>
      <c r="H238" s="62">
        <v>0</v>
      </c>
      <c r="I238" s="62">
        <f t="shared" si="16"/>
        <v>1940</v>
      </c>
      <c r="J238" s="21">
        <f t="shared" si="17"/>
        <v>58.2</v>
      </c>
      <c r="K238" s="21">
        <f>D238*10%</f>
        <v>194</v>
      </c>
      <c r="L238" s="21">
        <v>0</v>
      </c>
      <c r="M238" s="21">
        <v>0</v>
      </c>
      <c r="N238" s="24">
        <f t="shared" si="19"/>
        <v>252.2</v>
      </c>
      <c r="O238" s="24">
        <f t="shared" si="18"/>
        <v>1687.8</v>
      </c>
      <c r="P238" s="24">
        <v>0</v>
      </c>
    </row>
    <row r="239" spans="1:16" ht="25.5" x14ac:dyDescent="0.2">
      <c r="A239" s="54">
        <v>230</v>
      </c>
      <c r="B239" s="60" t="s">
        <v>348</v>
      </c>
      <c r="C239" s="60" t="s">
        <v>262</v>
      </c>
      <c r="D239" s="88">
        <v>3081</v>
      </c>
      <c r="E239" s="60">
        <v>1000</v>
      </c>
      <c r="F239" s="78">
        <v>0</v>
      </c>
      <c r="G239" s="62">
        <v>250</v>
      </c>
      <c r="H239" s="62">
        <v>0</v>
      </c>
      <c r="I239" s="62">
        <f t="shared" si="16"/>
        <v>4331</v>
      </c>
      <c r="J239" s="21">
        <f t="shared" si="17"/>
        <v>122.43</v>
      </c>
      <c r="K239" s="21">
        <f>(D239+E239)*12%</f>
        <v>489.72</v>
      </c>
      <c r="L239" s="21">
        <v>0</v>
      </c>
      <c r="M239" s="21">
        <v>0</v>
      </c>
      <c r="N239" s="24">
        <f t="shared" si="19"/>
        <v>612.15</v>
      </c>
      <c r="O239" s="24">
        <f t="shared" si="18"/>
        <v>3718.85</v>
      </c>
      <c r="P239" s="24">
        <f>614</f>
        <v>614</v>
      </c>
    </row>
    <row r="240" spans="1:16" ht="25.5" x14ac:dyDescent="0.2">
      <c r="A240" s="54">
        <v>231</v>
      </c>
      <c r="B240" s="70" t="s">
        <v>953</v>
      </c>
      <c r="C240" s="60" t="s">
        <v>257</v>
      </c>
      <c r="D240" s="21">
        <v>2425</v>
      </c>
      <c r="E240" s="60">
        <v>0</v>
      </c>
      <c r="F240" s="78">
        <v>0</v>
      </c>
      <c r="G240" s="62">
        <v>0</v>
      </c>
      <c r="H240" s="62">
        <v>0</v>
      </c>
      <c r="I240" s="62">
        <f t="shared" si="16"/>
        <v>2425</v>
      </c>
      <c r="J240" s="21">
        <f t="shared" si="17"/>
        <v>72.75</v>
      </c>
      <c r="K240" s="21">
        <f>(D240+E240)*11%</f>
        <v>266.75</v>
      </c>
      <c r="L240" s="21">
        <v>0</v>
      </c>
      <c r="M240" s="21">
        <v>0</v>
      </c>
      <c r="N240" s="24">
        <f t="shared" si="19"/>
        <v>339.5</v>
      </c>
      <c r="O240" s="24">
        <f t="shared" si="18"/>
        <v>2085.5</v>
      </c>
      <c r="P240" s="24">
        <v>0</v>
      </c>
    </row>
    <row r="241" spans="1:16" ht="25.5" x14ac:dyDescent="0.2">
      <c r="A241" s="54">
        <v>232</v>
      </c>
      <c r="B241" s="60" t="s">
        <v>325</v>
      </c>
      <c r="C241" s="60" t="s">
        <v>385</v>
      </c>
      <c r="D241" s="60">
        <v>3241</v>
      </c>
      <c r="E241" s="64">
        <v>1000</v>
      </c>
      <c r="F241" s="78">
        <v>0</v>
      </c>
      <c r="G241" s="62">
        <v>250</v>
      </c>
      <c r="H241" s="62">
        <v>0</v>
      </c>
      <c r="I241" s="62">
        <f t="shared" si="16"/>
        <v>4491</v>
      </c>
      <c r="J241" s="21">
        <f t="shared" si="17"/>
        <v>127.23</v>
      </c>
      <c r="K241" s="21">
        <f>(D241+E241)*12%</f>
        <v>508.92</v>
      </c>
      <c r="L241" s="21">
        <v>0</v>
      </c>
      <c r="M241" s="21">
        <v>0</v>
      </c>
      <c r="N241" s="24">
        <f t="shared" si="19"/>
        <v>636.15</v>
      </c>
      <c r="O241" s="24">
        <f t="shared" si="18"/>
        <v>3854.85</v>
      </c>
      <c r="P241" s="24">
        <f>1470+1050</f>
        <v>2520</v>
      </c>
    </row>
    <row r="242" spans="1:16" ht="25.5" x14ac:dyDescent="0.2">
      <c r="A242" s="54">
        <v>233</v>
      </c>
      <c r="B242" s="89" t="s">
        <v>938</v>
      </c>
      <c r="C242" s="60" t="s">
        <v>257</v>
      </c>
      <c r="D242" s="21">
        <v>2425</v>
      </c>
      <c r="E242" s="60">
        <v>0</v>
      </c>
      <c r="F242" s="78">
        <v>0</v>
      </c>
      <c r="G242" s="62">
        <v>0</v>
      </c>
      <c r="H242" s="62">
        <v>0</v>
      </c>
      <c r="I242" s="62">
        <f t="shared" si="16"/>
        <v>2425</v>
      </c>
      <c r="J242" s="21">
        <f t="shared" si="17"/>
        <v>72.75</v>
      </c>
      <c r="K242" s="21">
        <f>(D242+E242)*11%</f>
        <v>266.75</v>
      </c>
      <c r="L242" s="21">
        <v>0</v>
      </c>
      <c r="M242" s="21">
        <v>0</v>
      </c>
      <c r="N242" s="24">
        <f t="shared" si="19"/>
        <v>339.5</v>
      </c>
      <c r="O242" s="24">
        <f t="shared" si="18"/>
        <v>2085.5</v>
      </c>
      <c r="P242" s="24">
        <v>0</v>
      </c>
    </row>
    <row r="243" spans="1:16" ht="25.5" x14ac:dyDescent="0.2">
      <c r="A243" s="54">
        <v>234</v>
      </c>
      <c r="B243" s="60" t="s">
        <v>193</v>
      </c>
      <c r="C243" s="64" t="s">
        <v>90</v>
      </c>
      <c r="D243" s="60">
        <v>1902</v>
      </c>
      <c r="E243" s="64">
        <v>1000</v>
      </c>
      <c r="F243" s="78">
        <v>0</v>
      </c>
      <c r="G243" s="62">
        <v>250</v>
      </c>
      <c r="H243" s="62">
        <v>0</v>
      </c>
      <c r="I243" s="62">
        <f t="shared" si="16"/>
        <v>3152</v>
      </c>
      <c r="J243" s="21">
        <f t="shared" si="17"/>
        <v>87.06</v>
      </c>
      <c r="K243" s="21">
        <f>(D243+E243)*11%</f>
        <v>319.22000000000003</v>
      </c>
      <c r="L243" s="21">
        <v>0</v>
      </c>
      <c r="M243" s="21">
        <v>0</v>
      </c>
      <c r="N243" s="24">
        <f t="shared" si="19"/>
        <v>406.28</v>
      </c>
      <c r="O243" s="24">
        <f t="shared" si="18"/>
        <v>2745.72</v>
      </c>
      <c r="P243" s="24">
        <v>0</v>
      </c>
    </row>
    <row r="244" spans="1:16" ht="25.5" x14ac:dyDescent="0.2">
      <c r="A244" s="54">
        <v>235</v>
      </c>
      <c r="B244" s="60" t="s">
        <v>350</v>
      </c>
      <c r="C244" s="94" t="s">
        <v>381</v>
      </c>
      <c r="D244" s="60">
        <v>1981</v>
      </c>
      <c r="E244" s="64">
        <v>1000</v>
      </c>
      <c r="F244" s="78">
        <v>0</v>
      </c>
      <c r="G244" s="62">
        <v>250</v>
      </c>
      <c r="H244" s="62">
        <v>0</v>
      </c>
      <c r="I244" s="62">
        <f t="shared" si="16"/>
        <v>3231</v>
      </c>
      <c r="J244" s="21">
        <f t="shared" si="17"/>
        <v>89.43</v>
      </c>
      <c r="K244" s="21">
        <f>(D244+E244)*11%</f>
        <v>327.91</v>
      </c>
      <c r="L244" s="21">
        <v>0</v>
      </c>
      <c r="M244" s="21">
        <v>40.06</v>
      </c>
      <c r="N244" s="24">
        <f t="shared" si="19"/>
        <v>457.4</v>
      </c>
      <c r="O244" s="24">
        <f t="shared" si="18"/>
        <v>2773.6</v>
      </c>
      <c r="P244" s="24">
        <v>0</v>
      </c>
    </row>
    <row r="245" spans="1:16" ht="25.5" x14ac:dyDescent="0.2">
      <c r="A245" s="54">
        <v>236</v>
      </c>
      <c r="B245" s="60" t="s">
        <v>44</v>
      </c>
      <c r="C245" s="60" t="s">
        <v>262</v>
      </c>
      <c r="D245" s="21">
        <v>3081</v>
      </c>
      <c r="E245" s="21">
        <v>1000</v>
      </c>
      <c r="F245" s="78">
        <v>0</v>
      </c>
      <c r="G245" s="62">
        <v>250</v>
      </c>
      <c r="H245" s="62">
        <v>0</v>
      </c>
      <c r="I245" s="62">
        <f t="shared" si="16"/>
        <v>4331</v>
      </c>
      <c r="J245" s="21">
        <f t="shared" si="17"/>
        <v>122.43</v>
      </c>
      <c r="K245" s="21">
        <f>(D245+E245)*12%</f>
        <v>489.72</v>
      </c>
      <c r="L245" s="21">
        <v>0</v>
      </c>
      <c r="M245" s="21">
        <v>0</v>
      </c>
      <c r="N245" s="24">
        <f t="shared" si="19"/>
        <v>612.15</v>
      </c>
      <c r="O245" s="24">
        <f t="shared" si="18"/>
        <v>3718.85</v>
      </c>
      <c r="P245" s="24">
        <v>0</v>
      </c>
    </row>
    <row r="246" spans="1:16" ht="25.5" x14ac:dyDescent="0.2">
      <c r="A246" s="54">
        <v>237</v>
      </c>
      <c r="B246" s="117" t="s">
        <v>362</v>
      </c>
      <c r="C246" s="60" t="s">
        <v>259</v>
      </c>
      <c r="D246" s="21">
        <v>1940</v>
      </c>
      <c r="E246" s="21">
        <v>0</v>
      </c>
      <c r="F246" s="21">
        <v>0</v>
      </c>
      <c r="G246" s="21">
        <v>0</v>
      </c>
      <c r="H246" s="62">
        <v>0</v>
      </c>
      <c r="I246" s="62">
        <f t="shared" si="16"/>
        <v>1940</v>
      </c>
      <c r="J246" s="21">
        <f>D246*3%</f>
        <v>58.2</v>
      </c>
      <c r="K246" s="21">
        <v>194</v>
      </c>
      <c r="L246" s="21">
        <v>0</v>
      </c>
      <c r="M246" s="21">
        <v>0</v>
      </c>
      <c r="N246" s="24">
        <f t="shared" si="19"/>
        <v>252.2</v>
      </c>
      <c r="O246" s="24">
        <f t="shared" si="18"/>
        <v>1687.8</v>
      </c>
      <c r="P246" s="24">
        <v>0</v>
      </c>
    </row>
    <row r="247" spans="1:16" ht="25.5" x14ac:dyDescent="0.2">
      <c r="A247" s="54">
        <v>238</v>
      </c>
      <c r="B247" s="60" t="s">
        <v>326</v>
      </c>
      <c r="C247" s="64" t="s">
        <v>383</v>
      </c>
      <c r="D247" s="60">
        <v>2328</v>
      </c>
      <c r="E247" s="60">
        <v>0</v>
      </c>
      <c r="F247" s="78">
        <v>0</v>
      </c>
      <c r="G247" s="62">
        <v>0</v>
      </c>
      <c r="H247" s="62">
        <v>0</v>
      </c>
      <c r="I247" s="62">
        <f t="shared" si="16"/>
        <v>2328</v>
      </c>
      <c r="J247" s="21">
        <f t="shared" ref="J247:J278" si="20">(D247+E247+F247)*3%</f>
        <v>69.84</v>
      </c>
      <c r="K247" s="21">
        <f>(D247+E247)*11%</f>
        <v>256.08</v>
      </c>
      <c r="L247" s="21">
        <v>0</v>
      </c>
      <c r="M247" s="21">
        <v>0</v>
      </c>
      <c r="N247" s="24">
        <f t="shared" si="19"/>
        <v>325.92</v>
      </c>
      <c r="O247" s="24">
        <f t="shared" si="18"/>
        <v>2002.08</v>
      </c>
      <c r="P247" s="24">
        <v>0</v>
      </c>
    </row>
    <row r="248" spans="1:16" ht="25.5" x14ac:dyDescent="0.2">
      <c r="A248" s="54">
        <v>239</v>
      </c>
      <c r="B248" s="70" t="s">
        <v>292</v>
      </c>
      <c r="C248" s="64" t="s">
        <v>125</v>
      </c>
      <c r="D248" s="99">
        <v>6759</v>
      </c>
      <c r="E248" s="64">
        <v>4000</v>
      </c>
      <c r="F248" s="78">
        <v>375</v>
      </c>
      <c r="G248" s="62">
        <v>250</v>
      </c>
      <c r="H248" s="62">
        <v>0</v>
      </c>
      <c r="I248" s="62">
        <f t="shared" si="16"/>
        <v>11384</v>
      </c>
      <c r="J248" s="21">
        <f t="shared" si="20"/>
        <v>334.02</v>
      </c>
      <c r="K248" s="21">
        <f>(D248+E248+F248)*15%</f>
        <v>1670.1</v>
      </c>
      <c r="L248" s="21">
        <v>0</v>
      </c>
      <c r="M248" s="21">
        <v>149.63999999999999</v>
      </c>
      <c r="N248" s="24">
        <f t="shared" si="19"/>
        <v>2153.7600000000002</v>
      </c>
      <c r="O248" s="24">
        <f t="shared" si="18"/>
        <v>9230.24</v>
      </c>
      <c r="P248" s="24">
        <v>0</v>
      </c>
    </row>
    <row r="249" spans="1:16" x14ac:dyDescent="0.2">
      <c r="A249" s="54">
        <v>240</v>
      </c>
      <c r="B249" s="60" t="s">
        <v>327</v>
      </c>
      <c r="C249" s="60" t="s">
        <v>89</v>
      </c>
      <c r="D249" s="60">
        <v>1668</v>
      </c>
      <c r="E249" s="60">
        <v>1000</v>
      </c>
      <c r="F249" s="78">
        <v>0</v>
      </c>
      <c r="G249" s="62">
        <v>250</v>
      </c>
      <c r="H249" s="62">
        <v>0</v>
      </c>
      <c r="I249" s="62">
        <f t="shared" si="16"/>
        <v>2918</v>
      </c>
      <c r="J249" s="21">
        <f t="shared" si="20"/>
        <v>80.040000000000006</v>
      </c>
      <c r="K249" s="21">
        <f>(D249+E249)*11%</f>
        <v>293.48</v>
      </c>
      <c r="L249" s="21">
        <v>0</v>
      </c>
      <c r="M249" s="21">
        <v>0</v>
      </c>
      <c r="N249" s="24">
        <f t="shared" si="19"/>
        <v>373.52</v>
      </c>
      <c r="O249" s="24">
        <f t="shared" si="18"/>
        <v>2544.48</v>
      </c>
      <c r="P249" s="24">
        <v>0</v>
      </c>
    </row>
    <row r="250" spans="1:16" ht="25.5" x14ac:dyDescent="0.2">
      <c r="A250" s="54">
        <v>241</v>
      </c>
      <c r="B250" s="60" t="s">
        <v>328</v>
      </c>
      <c r="C250" s="60" t="s">
        <v>257</v>
      </c>
      <c r="D250" s="88">
        <v>2425</v>
      </c>
      <c r="E250" s="60">
        <v>0</v>
      </c>
      <c r="F250" s="78">
        <v>0</v>
      </c>
      <c r="G250" s="62">
        <v>0</v>
      </c>
      <c r="H250" s="62">
        <v>0</v>
      </c>
      <c r="I250" s="62">
        <f t="shared" si="16"/>
        <v>2425</v>
      </c>
      <c r="J250" s="21">
        <f t="shared" si="20"/>
        <v>72.75</v>
      </c>
      <c r="K250" s="21">
        <f>(D250+E250)*11%</f>
        <v>266.75</v>
      </c>
      <c r="L250" s="21">
        <v>0</v>
      </c>
      <c r="M250" s="21">
        <v>0</v>
      </c>
      <c r="N250" s="24">
        <f t="shared" si="19"/>
        <v>339.5</v>
      </c>
      <c r="O250" s="24">
        <f t="shared" si="18"/>
        <v>2085.5</v>
      </c>
      <c r="P250" s="24">
        <v>0</v>
      </c>
    </row>
    <row r="251" spans="1:16" ht="25.5" x14ac:dyDescent="0.2">
      <c r="A251" s="54">
        <v>242</v>
      </c>
      <c r="B251" s="142" t="s">
        <v>1038</v>
      </c>
      <c r="C251" s="60" t="s">
        <v>259</v>
      </c>
      <c r="D251" s="88">
        <v>1940</v>
      </c>
      <c r="E251" s="60">
        <v>0</v>
      </c>
      <c r="F251" s="78">
        <v>0</v>
      </c>
      <c r="G251" s="62">
        <v>0</v>
      </c>
      <c r="H251" s="62">
        <v>0</v>
      </c>
      <c r="I251" s="62">
        <f t="shared" si="16"/>
        <v>1940</v>
      </c>
      <c r="J251" s="21">
        <f t="shared" si="20"/>
        <v>58.2</v>
      </c>
      <c r="K251" s="21">
        <f>D251*10%</f>
        <v>194</v>
      </c>
      <c r="L251" s="21">
        <v>0</v>
      </c>
      <c r="M251" s="21">
        <v>0</v>
      </c>
      <c r="N251" s="24">
        <f t="shared" si="19"/>
        <v>252.2</v>
      </c>
      <c r="O251" s="24">
        <f t="shared" si="18"/>
        <v>1687.8</v>
      </c>
      <c r="P251" s="24">
        <v>0</v>
      </c>
    </row>
    <row r="252" spans="1:16" ht="25.5" x14ac:dyDescent="0.2">
      <c r="A252" s="54">
        <v>243</v>
      </c>
      <c r="B252" s="60" t="s">
        <v>63</v>
      </c>
      <c r="C252" s="60" t="s">
        <v>884</v>
      </c>
      <c r="D252" s="99">
        <v>1067</v>
      </c>
      <c r="E252" s="60">
        <v>0</v>
      </c>
      <c r="F252" s="78">
        <v>0</v>
      </c>
      <c r="G252" s="62">
        <v>0</v>
      </c>
      <c r="H252" s="62">
        <v>0</v>
      </c>
      <c r="I252" s="62">
        <f t="shared" si="16"/>
        <v>1067</v>
      </c>
      <c r="J252" s="21">
        <f t="shared" si="20"/>
        <v>32.01</v>
      </c>
      <c r="K252" s="21">
        <f>(D252+E252)*10%</f>
        <v>106.7</v>
      </c>
      <c r="L252" s="21">
        <v>0</v>
      </c>
      <c r="M252" s="21">
        <v>0</v>
      </c>
      <c r="N252" s="24">
        <f t="shared" si="19"/>
        <v>138.71</v>
      </c>
      <c r="O252" s="24">
        <f t="shared" si="18"/>
        <v>928.29</v>
      </c>
      <c r="P252" s="24">
        <v>0</v>
      </c>
    </row>
    <row r="253" spans="1:16" x14ac:dyDescent="0.2">
      <c r="A253" s="54">
        <v>244</v>
      </c>
      <c r="B253" s="60" t="s">
        <v>53</v>
      </c>
      <c r="C253" s="60" t="s">
        <v>89</v>
      </c>
      <c r="D253" s="60">
        <v>1668</v>
      </c>
      <c r="E253" s="60">
        <v>1000</v>
      </c>
      <c r="F253" s="78">
        <v>0</v>
      </c>
      <c r="G253" s="62">
        <v>250</v>
      </c>
      <c r="H253" s="62">
        <v>0</v>
      </c>
      <c r="I253" s="62">
        <f t="shared" si="16"/>
        <v>2918</v>
      </c>
      <c r="J253" s="21">
        <f t="shared" si="20"/>
        <v>80.040000000000006</v>
      </c>
      <c r="K253" s="21">
        <f>(D253+E253)*11%</f>
        <v>293.48</v>
      </c>
      <c r="L253" s="21">
        <v>0</v>
      </c>
      <c r="M253" s="21">
        <v>0</v>
      </c>
      <c r="N253" s="24">
        <f t="shared" si="19"/>
        <v>373.52</v>
      </c>
      <c r="O253" s="24">
        <f t="shared" si="18"/>
        <v>2544.48</v>
      </c>
      <c r="P253" s="24">
        <v>0</v>
      </c>
    </row>
    <row r="254" spans="1:16" ht="25.5" x14ac:dyDescent="0.2">
      <c r="A254" s="54">
        <v>245</v>
      </c>
      <c r="B254" s="67" t="s">
        <v>939</v>
      </c>
      <c r="C254" s="60" t="s">
        <v>262</v>
      </c>
      <c r="D254" s="60">
        <v>3081</v>
      </c>
      <c r="E254" s="60">
        <v>1000</v>
      </c>
      <c r="F254" s="78">
        <v>0</v>
      </c>
      <c r="G254" s="62">
        <v>250</v>
      </c>
      <c r="H254" s="62">
        <v>0</v>
      </c>
      <c r="I254" s="62">
        <f t="shared" si="16"/>
        <v>4331</v>
      </c>
      <c r="J254" s="21">
        <f t="shared" si="20"/>
        <v>122.43</v>
      </c>
      <c r="K254" s="21">
        <f>(D254+E254)*12%</f>
        <v>489.72</v>
      </c>
      <c r="L254" s="21">
        <v>0</v>
      </c>
      <c r="M254" s="21">
        <v>0</v>
      </c>
      <c r="N254" s="24">
        <f t="shared" si="19"/>
        <v>612.15</v>
      </c>
      <c r="O254" s="24">
        <f t="shared" si="18"/>
        <v>3718.85</v>
      </c>
      <c r="P254" s="24">
        <v>0</v>
      </c>
    </row>
    <row r="255" spans="1:16" ht="25.5" x14ac:dyDescent="0.2">
      <c r="A255" s="54">
        <v>246</v>
      </c>
      <c r="B255" s="60" t="s">
        <v>278</v>
      </c>
      <c r="C255" s="60" t="s">
        <v>259</v>
      </c>
      <c r="D255" s="88">
        <v>1940</v>
      </c>
      <c r="E255" s="60">
        <v>0</v>
      </c>
      <c r="F255" s="78">
        <v>0</v>
      </c>
      <c r="G255" s="62">
        <v>0</v>
      </c>
      <c r="H255" s="62">
        <v>0</v>
      </c>
      <c r="I255" s="62">
        <f t="shared" si="16"/>
        <v>1940</v>
      </c>
      <c r="J255" s="21">
        <f t="shared" si="20"/>
        <v>58.2</v>
      </c>
      <c r="K255" s="21">
        <f>D255*10%</f>
        <v>194</v>
      </c>
      <c r="L255" s="21">
        <v>0</v>
      </c>
      <c r="M255" s="21">
        <v>0</v>
      </c>
      <c r="N255" s="24">
        <f t="shared" si="19"/>
        <v>252.2</v>
      </c>
      <c r="O255" s="24">
        <f t="shared" si="18"/>
        <v>1687.8</v>
      </c>
      <c r="P255" s="24">
        <v>0</v>
      </c>
    </row>
    <row r="256" spans="1:16" ht="25.5" x14ac:dyDescent="0.2">
      <c r="A256" s="54">
        <v>247</v>
      </c>
      <c r="B256" s="60" t="s">
        <v>279</v>
      </c>
      <c r="C256" s="60" t="s">
        <v>259</v>
      </c>
      <c r="D256" s="88">
        <v>1940</v>
      </c>
      <c r="E256" s="60">
        <v>0</v>
      </c>
      <c r="F256" s="78">
        <v>0</v>
      </c>
      <c r="G256" s="62">
        <v>0</v>
      </c>
      <c r="H256" s="62">
        <v>0</v>
      </c>
      <c r="I256" s="62">
        <f t="shared" si="16"/>
        <v>1940</v>
      </c>
      <c r="J256" s="21">
        <f t="shared" si="20"/>
        <v>58.2</v>
      </c>
      <c r="K256" s="21">
        <f>D256*10%</f>
        <v>194</v>
      </c>
      <c r="L256" s="21">
        <v>0</v>
      </c>
      <c r="M256" s="21">
        <v>0</v>
      </c>
      <c r="N256" s="24">
        <f t="shared" si="19"/>
        <v>252.2</v>
      </c>
      <c r="O256" s="24">
        <f t="shared" si="18"/>
        <v>1687.8</v>
      </c>
      <c r="P256" s="24">
        <v>0</v>
      </c>
    </row>
    <row r="257" spans="1:16" ht="25.5" x14ac:dyDescent="0.2">
      <c r="A257" s="54">
        <v>248</v>
      </c>
      <c r="B257" s="109" t="s">
        <v>280</v>
      </c>
      <c r="C257" s="60" t="s">
        <v>87</v>
      </c>
      <c r="D257" s="60">
        <v>1902</v>
      </c>
      <c r="E257" s="60">
        <v>1000</v>
      </c>
      <c r="F257" s="78">
        <v>0</v>
      </c>
      <c r="G257" s="62">
        <v>250</v>
      </c>
      <c r="H257" s="62">
        <v>0</v>
      </c>
      <c r="I257" s="62">
        <f t="shared" si="16"/>
        <v>3152</v>
      </c>
      <c r="J257" s="21">
        <f t="shared" si="20"/>
        <v>87.06</v>
      </c>
      <c r="K257" s="21">
        <f>2902*11%</f>
        <v>319.22000000000003</v>
      </c>
      <c r="L257" s="21">
        <v>0</v>
      </c>
      <c r="M257" s="21">
        <v>0</v>
      </c>
      <c r="N257" s="24">
        <f t="shared" si="19"/>
        <v>406.28</v>
      </c>
      <c r="O257" s="24">
        <f t="shared" si="18"/>
        <v>2745.72</v>
      </c>
      <c r="P257" s="24">
        <v>0</v>
      </c>
    </row>
    <row r="258" spans="1:16" ht="25.5" x14ac:dyDescent="0.2">
      <c r="A258" s="54">
        <v>249</v>
      </c>
      <c r="B258" s="60" t="s">
        <v>281</v>
      </c>
      <c r="C258" s="60" t="s">
        <v>88</v>
      </c>
      <c r="D258" s="60">
        <v>2920</v>
      </c>
      <c r="E258" s="60">
        <v>1000</v>
      </c>
      <c r="F258" s="78">
        <v>0</v>
      </c>
      <c r="G258" s="62">
        <v>250</v>
      </c>
      <c r="H258" s="62">
        <v>0</v>
      </c>
      <c r="I258" s="62">
        <f t="shared" si="16"/>
        <v>4170</v>
      </c>
      <c r="J258" s="21">
        <f t="shared" si="20"/>
        <v>117.6</v>
      </c>
      <c r="K258" s="21">
        <f>(D258+E258)*11%</f>
        <v>431.2</v>
      </c>
      <c r="L258" s="21">
        <v>0</v>
      </c>
      <c r="M258" s="21">
        <v>0</v>
      </c>
      <c r="N258" s="24">
        <f t="shared" si="19"/>
        <v>548.79999999999995</v>
      </c>
      <c r="O258" s="24">
        <f t="shared" si="18"/>
        <v>3621.2</v>
      </c>
      <c r="P258" s="24">
        <v>0</v>
      </c>
    </row>
    <row r="259" spans="1:16" ht="25.5" x14ac:dyDescent="0.2">
      <c r="A259" s="54">
        <v>250</v>
      </c>
      <c r="B259" s="60" t="s">
        <v>282</v>
      </c>
      <c r="C259" s="60" t="s">
        <v>257</v>
      </c>
      <c r="D259" s="88">
        <v>2425</v>
      </c>
      <c r="E259" s="60">
        <v>0</v>
      </c>
      <c r="F259" s="78">
        <v>0</v>
      </c>
      <c r="G259" s="62">
        <v>0</v>
      </c>
      <c r="H259" s="62">
        <v>0</v>
      </c>
      <c r="I259" s="62">
        <f t="shared" si="16"/>
        <v>2425</v>
      </c>
      <c r="J259" s="21">
        <f t="shared" si="20"/>
        <v>72.75</v>
      </c>
      <c r="K259" s="21">
        <f>2425*11%</f>
        <v>266.75</v>
      </c>
      <c r="L259" s="21">
        <v>0</v>
      </c>
      <c r="M259" s="21">
        <v>0</v>
      </c>
      <c r="N259" s="24">
        <f t="shared" si="19"/>
        <v>339.5</v>
      </c>
      <c r="O259" s="24">
        <f t="shared" si="18"/>
        <v>2085.5</v>
      </c>
      <c r="P259" s="24">
        <v>0</v>
      </c>
    </row>
    <row r="260" spans="1:16" ht="25.5" x14ac:dyDescent="0.2">
      <c r="A260" s="54">
        <v>251</v>
      </c>
      <c r="B260" s="60" t="s">
        <v>195</v>
      </c>
      <c r="C260" s="94" t="s">
        <v>378</v>
      </c>
      <c r="D260" s="78">
        <v>3404</v>
      </c>
      <c r="E260" s="78">
        <v>1000</v>
      </c>
      <c r="F260" s="78">
        <v>375</v>
      </c>
      <c r="G260" s="78">
        <v>250</v>
      </c>
      <c r="H260" s="62">
        <v>0</v>
      </c>
      <c r="I260" s="62">
        <f t="shared" si="16"/>
        <v>5029</v>
      </c>
      <c r="J260" s="21">
        <f t="shared" si="20"/>
        <v>143.37</v>
      </c>
      <c r="K260" s="21">
        <f>(D260+E260+F260)*12%</f>
        <v>573.48</v>
      </c>
      <c r="L260" s="21">
        <v>0</v>
      </c>
      <c r="M260" s="21">
        <v>0</v>
      </c>
      <c r="N260" s="24">
        <f t="shared" si="19"/>
        <v>716.85</v>
      </c>
      <c r="O260" s="24">
        <f t="shared" si="18"/>
        <v>4312.1499999999996</v>
      </c>
      <c r="P260" s="24">
        <v>0</v>
      </c>
    </row>
    <row r="261" spans="1:16" ht="25.5" x14ac:dyDescent="0.2">
      <c r="A261" s="54">
        <v>252</v>
      </c>
      <c r="B261" s="60" t="s">
        <v>434</v>
      </c>
      <c r="C261" s="60" t="s">
        <v>226</v>
      </c>
      <c r="D261" s="60">
        <v>1831</v>
      </c>
      <c r="E261" s="64">
        <v>1000</v>
      </c>
      <c r="F261" s="78">
        <v>0</v>
      </c>
      <c r="G261" s="62">
        <v>250</v>
      </c>
      <c r="H261" s="62">
        <v>0</v>
      </c>
      <c r="I261" s="62">
        <f t="shared" si="16"/>
        <v>3081</v>
      </c>
      <c r="J261" s="21">
        <f t="shared" si="20"/>
        <v>84.93</v>
      </c>
      <c r="K261" s="21">
        <f>(D261+E261)*11%</f>
        <v>311.41000000000003</v>
      </c>
      <c r="L261" s="21">
        <v>0</v>
      </c>
      <c r="M261" s="21">
        <v>0</v>
      </c>
      <c r="N261" s="24">
        <f t="shared" si="19"/>
        <v>396.34</v>
      </c>
      <c r="O261" s="24">
        <f t="shared" si="18"/>
        <v>2684.66</v>
      </c>
      <c r="P261" s="24">
        <v>0</v>
      </c>
    </row>
    <row r="262" spans="1:16" ht="25.5" x14ac:dyDescent="0.2">
      <c r="A262" s="54">
        <v>253</v>
      </c>
      <c r="B262" s="60" t="s">
        <v>156</v>
      </c>
      <c r="C262" s="60" t="s">
        <v>259</v>
      </c>
      <c r="D262" s="60">
        <v>1940</v>
      </c>
      <c r="E262" s="60">
        <v>0</v>
      </c>
      <c r="F262" s="78">
        <v>0</v>
      </c>
      <c r="G262" s="62">
        <v>0</v>
      </c>
      <c r="H262" s="62">
        <v>0</v>
      </c>
      <c r="I262" s="62">
        <f t="shared" si="16"/>
        <v>1940</v>
      </c>
      <c r="J262" s="21">
        <f t="shared" si="20"/>
        <v>58.2</v>
      </c>
      <c r="K262" s="21">
        <f>D262*10%</f>
        <v>194</v>
      </c>
      <c r="L262" s="21">
        <v>0</v>
      </c>
      <c r="M262" s="21">
        <v>0</v>
      </c>
      <c r="N262" s="24">
        <f t="shared" si="19"/>
        <v>252.2</v>
      </c>
      <c r="O262" s="24">
        <f t="shared" si="18"/>
        <v>1687.8</v>
      </c>
      <c r="P262" s="24">
        <v>0</v>
      </c>
    </row>
    <row r="263" spans="1:16" ht="25.5" x14ac:dyDescent="0.2">
      <c r="A263" s="54">
        <v>254</v>
      </c>
      <c r="B263" s="60" t="s">
        <v>136</v>
      </c>
      <c r="C263" s="66" t="s">
        <v>86</v>
      </c>
      <c r="D263" s="60">
        <v>2920</v>
      </c>
      <c r="E263" s="64">
        <v>1000</v>
      </c>
      <c r="F263" s="78">
        <v>0</v>
      </c>
      <c r="G263" s="62">
        <v>250</v>
      </c>
      <c r="H263" s="62">
        <v>0</v>
      </c>
      <c r="I263" s="62">
        <f t="shared" si="16"/>
        <v>4170</v>
      </c>
      <c r="J263" s="21">
        <f t="shared" si="20"/>
        <v>117.6</v>
      </c>
      <c r="K263" s="21">
        <f>(D263+E263)*11%</f>
        <v>431.2</v>
      </c>
      <c r="L263" s="21">
        <v>0</v>
      </c>
      <c r="M263" s="21">
        <v>52.68</v>
      </c>
      <c r="N263" s="24">
        <f t="shared" si="19"/>
        <v>601.48</v>
      </c>
      <c r="O263" s="24">
        <f t="shared" si="18"/>
        <v>3568.52</v>
      </c>
      <c r="P263" s="24">
        <v>0</v>
      </c>
    </row>
    <row r="264" spans="1:16" ht="25.5" x14ac:dyDescent="0.2">
      <c r="A264" s="54">
        <v>255</v>
      </c>
      <c r="B264" s="60" t="s">
        <v>247</v>
      </c>
      <c r="C264" s="60" t="s">
        <v>259</v>
      </c>
      <c r="D264" s="60">
        <v>1940</v>
      </c>
      <c r="E264" s="60">
        <v>0</v>
      </c>
      <c r="F264" s="78">
        <v>0</v>
      </c>
      <c r="G264" s="62">
        <v>0</v>
      </c>
      <c r="H264" s="62">
        <v>0</v>
      </c>
      <c r="I264" s="62">
        <f t="shared" si="16"/>
        <v>1940</v>
      </c>
      <c r="J264" s="21">
        <f t="shared" si="20"/>
        <v>58.2</v>
      </c>
      <c r="K264" s="21">
        <f>D264*10%</f>
        <v>194</v>
      </c>
      <c r="L264" s="21">
        <v>0</v>
      </c>
      <c r="M264" s="21">
        <v>0</v>
      </c>
      <c r="N264" s="24">
        <f t="shared" si="19"/>
        <v>252.2</v>
      </c>
      <c r="O264" s="24">
        <f t="shared" si="18"/>
        <v>1687.8</v>
      </c>
      <c r="P264" s="24">
        <v>0</v>
      </c>
    </row>
    <row r="265" spans="1:16" ht="25.5" x14ac:dyDescent="0.2">
      <c r="A265" s="54">
        <v>256</v>
      </c>
      <c r="B265" s="98" t="s">
        <v>283</v>
      </c>
      <c r="C265" s="64" t="s">
        <v>393</v>
      </c>
      <c r="D265" s="96">
        <v>1824</v>
      </c>
      <c r="E265" s="65">
        <v>1000</v>
      </c>
      <c r="F265" s="78">
        <v>0</v>
      </c>
      <c r="G265" s="62">
        <v>250</v>
      </c>
      <c r="H265" s="62">
        <v>0</v>
      </c>
      <c r="I265" s="62">
        <f t="shared" si="16"/>
        <v>3074</v>
      </c>
      <c r="J265" s="21">
        <f t="shared" si="20"/>
        <v>84.72</v>
      </c>
      <c r="K265" s="21">
        <f>(D265+E265+F265)*11%</f>
        <v>310.64</v>
      </c>
      <c r="L265" s="21">
        <v>0</v>
      </c>
      <c r="M265" s="21">
        <v>0</v>
      </c>
      <c r="N265" s="24">
        <f t="shared" si="19"/>
        <v>395.36</v>
      </c>
      <c r="O265" s="24">
        <f t="shared" si="18"/>
        <v>2678.64</v>
      </c>
      <c r="P265" s="24">
        <v>0</v>
      </c>
    </row>
    <row r="266" spans="1:16" ht="25.5" x14ac:dyDescent="0.2">
      <c r="A266" s="54">
        <v>257</v>
      </c>
      <c r="B266" s="60" t="s">
        <v>137</v>
      </c>
      <c r="C266" s="60" t="s">
        <v>259</v>
      </c>
      <c r="D266" s="60">
        <v>1940</v>
      </c>
      <c r="E266" s="60">
        <v>0</v>
      </c>
      <c r="F266" s="78">
        <v>0</v>
      </c>
      <c r="G266" s="62">
        <v>0</v>
      </c>
      <c r="H266" s="62">
        <v>0</v>
      </c>
      <c r="I266" s="62">
        <f t="shared" si="16"/>
        <v>1940</v>
      </c>
      <c r="J266" s="21">
        <f t="shared" si="20"/>
        <v>58.2</v>
      </c>
      <c r="K266" s="21">
        <f>D266*10%</f>
        <v>194</v>
      </c>
      <c r="L266" s="21">
        <v>0</v>
      </c>
      <c r="M266" s="21">
        <v>0</v>
      </c>
      <c r="N266" s="24">
        <f t="shared" ref="N266:N298" si="21">J266+K266+L266+M266</f>
        <v>252.2</v>
      </c>
      <c r="O266" s="24">
        <f t="shared" si="18"/>
        <v>1687.8</v>
      </c>
      <c r="P266" s="24">
        <v>0</v>
      </c>
    </row>
    <row r="267" spans="1:16" ht="25.5" x14ac:dyDescent="0.2">
      <c r="A267" s="54">
        <v>258</v>
      </c>
      <c r="B267" s="60" t="s">
        <v>79</v>
      </c>
      <c r="C267" s="60" t="s">
        <v>257</v>
      </c>
      <c r="D267" s="88">
        <v>2425</v>
      </c>
      <c r="E267" s="60">
        <v>0</v>
      </c>
      <c r="F267" s="78">
        <v>0</v>
      </c>
      <c r="G267" s="62">
        <v>0</v>
      </c>
      <c r="H267" s="62">
        <v>0</v>
      </c>
      <c r="I267" s="62">
        <f t="shared" si="16"/>
        <v>2425</v>
      </c>
      <c r="J267" s="21">
        <f t="shared" si="20"/>
        <v>72.75</v>
      </c>
      <c r="K267" s="21">
        <f>D267*11%</f>
        <v>266.75</v>
      </c>
      <c r="L267" s="21">
        <v>0</v>
      </c>
      <c r="M267" s="21">
        <v>0</v>
      </c>
      <c r="N267" s="24">
        <f t="shared" si="21"/>
        <v>339.5</v>
      </c>
      <c r="O267" s="24">
        <f t="shared" si="18"/>
        <v>2085.5</v>
      </c>
      <c r="P267" s="24">
        <v>0</v>
      </c>
    </row>
    <row r="268" spans="1:16" ht="25.5" x14ac:dyDescent="0.2">
      <c r="A268" s="54">
        <v>259</v>
      </c>
      <c r="B268" s="70" t="s">
        <v>925</v>
      </c>
      <c r="C268" s="64" t="s">
        <v>381</v>
      </c>
      <c r="D268" s="118">
        <v>1981</v>
      </c>
      <c r="E268" s="60">
        <v>1000</v>
      </c>
      <c r="F268" s="78">
        <v>0</v>
      </c>
      <c r="G268" s="62">
        <v>250</v>
      </c>
      <c r="H268" s="62">
        <v>0</v>
      </c>
      <c r="I268" s="62">
        <f t="shared" si="16"/>
        <v>3231</v>
      </c>
      <c r="J268" s="21">
        <f t="shared" si="20"/>
        <v>89.43</v>
      </c>
      <c r="K268" s="21">
        <f>(D268+E268)*11%</f>
        <v>327.91</v>
      </c>
      <c r="L268" s="21">
        <v>0</v>
      </c>
      <c r="M268" s="21">
        <v>40.06</v>
      </c>
      <c r="N268" s="24">
        <f t="shared" si="21"/>
        <v>457.4</v>
      </c>
      <c r="O268" s="24">
        <f t="shared" si="18"/>
        <v>2773.6</v>
      </c>
      <c r="P268" s="24">
        <v>0</v>
      </c>
    </row>
    <row r="269" spans="1:16" ht="25.5" x14ac:dyDescent="0.2">
      <c r="A269" s="54">
        <v>260</v>
      </c>
      <c r="B269" s="91" t="s">
        <v>33</v>
      </c>
      <c r="C269" s="60" t="s">
        <v>88</v>
      </c>
      <c r="D269" s="78">
        <v>2920</v>
      </c>
      <c r="E269" s="78">
        <v>1000</v>
      </c>
      <c r="F269" s="78">
        <v>0</v>
      </c>
      <c r="G269" s="78">
        <v>250</v>
      </c>
      <c r="H269" s="62">
        <v>0</v>
      </c>
      <c r="I269" s="62">
        <f t="shared" si="16"/>
        <v>4170</v>
      </c>
      <c r="J269" s="21">
        <f t="shared" si="20"/>
        <v>117.6</v>
      </c>
      <c r="K269" s="21">
        <f>(D269+E269)*11%</f>
        <v>431.2</v>
      </c>
      <c r="L269" s="21">
        <v>0</v>
      </c>
      <c r="M269" s="21">
        <v>52.68</v>
      </c>
      <c r="N269" s="24">
        <f t="shared" si="21"/>
        <v>601.48</v>
      </c>
      <c r="O269" s="24">
        <f t="shared" si="18"/>
        <v>3568.52</v>
      </c>
      <c r="P269" s="24">
        <v>0</v>
      </c>
    </row>
    <row r="270" spans="1:16" ht="25.5" x14ac:dyDescent="0.2">
      <c r="A270" s="54">
        <v>261</v>
      </c>
      <c r="B270" s="60" t="s">
        <v>284</v>
      </c>
      <c r="C270" s="60" t="s">
        <v>257</v>
      </c>
      <c r="D270" s="88">
        <v>2425</v>
      </c>
      <c r="E270" s="60">
        <v>0</v>
      </c>
      <c r="F270" s="78">
        <v>0</v>
      </c>
      <c r="G270" s="62">
        <v>0</v>
      </c>
      <c r="H270" s="62">
        <v>0</v>
      </c>
      <c r="I270" s="62">
        <f t="shared" si="16"/>
        <v>2425</v>
      </c>
      <c r="J270" s="21">
        <f t="shared" si="20"/>
        <v>72.75</v>
      </c>
      <c r="K270" s="21">
        <f>D270*11%</f>
        <v>266.75</v>
      </c>
      <c r="L270" s="21">
        <v>0</v>
      </c>
      <c r="M270" s="21">
        <v>0</v>
      </c>
      <c r="N270" s="24">
        <f t="shared" si="21"/>
        <v>339.5</v>
      </c>
      <c r="O270" s="24">
        <f t="shared" si="18"/>
        <v>2085.5</v>
      </c>
      <c r="P270" s="24">
        <v>0</v>
      </c>
    </row>
    <row r="271" spans="1:16" ht="25.5" x14ac:dyDescent="0.2">
      <c r="A271" s="54">
        <v>262</v>
      </c>
      <c r="B271" s="91" t="s">
        <v>352</v>
      </c>
      <c r="C271" s="60" t="s">
        <v>257</v>
      </c>
      <c r="D271" s="78">
        <v>2425</v>
      </c>
      <c r="E271" s="60">
        <v>0</v>
      </c>
      <c r="F271" s="78">
        <v>0</v>
      </c>
      <c r="G271" s="62">
        <v>0</v>
      </c>
      <c r="H271" s="62">
        <v>0</v>
      </c>
      <c r="I271" s="62">
        <f t="shared" ref="I271:I334" si="22">(D271+E271+F271+G271+H271)</f>
        <v>2425</v>
      </c>
      <c r="J271" s="21">
        <f t="shared" si="20"/>
        <v>72.75</v>
      </c>
      <c r="K271" s="21">
        <f>D271*11%</f>
        <v>266.75</v>
      </c>
      <c r="L271" s="21">
        <v>0</v>
      </c>
      <c r="M271" s="21">
        <v>0</v>
      </c>
      <c r="N271" s="24">
        <f t="shared" si="21"/>
        <v>339.5</v>
      </c>
      <c r="O271" s="24">
        <f t="shared" ref="O271:O334" si="23">I271-N271</f>
        <v>2085.5</v>
      </c>
      <c r="P271" s="24">
        <v>0</v>
      </c>
    </row>
    <row r="272" spans="1:16" ht="25.5" x14ac:dyDescent="0.2">
      <c r="A272" s="54">
        <v>263</v>
      </c>
      <c r="B272" s="60" t="s">
        <v>940</v>
      </c>
      <c r="C272" s="60" t="s">
        <v>386</v>
      </c>
      <c r="D272" s="112">
        <v>2234</v>
      </c>
      <c r="E272" s="70">
        <v>1900</v>
      </c>
      <c r="F272" s="78">
        <v>0</v>
      </c>
      <c r="G272" s="21">
        <v>250</v>
      </c>
      <c r="H272" s="78">
        <v>0</v>
      </c>
      <c r="I272" s="62">
        <f t="shared" si="22"/>
        <v>4384</v>
      </c>
      <c r="J272" s="21">
        <f t="shared" si="20"/>
        <v>124.02</v>
      </c>
      <c r="K272" s="21">
        <f>(D272+E272)*12%</f>
        <v>496.08</v>
      </c>
      <c r="L272" s="21">
        <v>0</v>
      </c>
      <c r="M272" s="21">
        <v>55.56</v>
      </c>
      <c r="N272" s="24">
        <f t="shared" si="21"/>
        <v>675.66</v>
      </c>
      <c r="O272" s="24">
        <f t="shared" si="23"/>
        <v>3708.34</v>
      </c>
      <c r="P272" s="24">
        <v>0</v>
      </c>
    </row>
    <row r="273" spans="1:16" ht="25.5" x14ac:dyDescent="0.2">
      <c r="A273" s="54">
        <v>264</v>
      </c>
      <c r="B273" s="60" t="s">
        <v>329</v>
      </c>
      <c r="C273" s="60" t="s">
        <v>259</v>
      </c>
      <c r="D273" s="88">
        <v>1940</v>
      </c>
      <c r="E273" s="60">
        <v>0</v>
      </c>
      <c r="F273" s="78">
        <v>0</v>
      </c>
      <c r="G273" s="62">
        <v>0</v>
      </c>
      <c r="H273" s="62">
        <v>0</v>
      </c>
      <c r="I273" s="62">
        <f t="shared" si="22"/>
        <v>1940</v>
      </c>
      <c r="J273" s="21">
        <f t="shared" si="20"/>
        <v>58.2</v>
      </c>
      <c r="K273" s="21">
        <f>D273*10%</f>
        <v>194</v>
      </c>
      <c r="L273" s="21">
        <v>0</v>
      </c>
      <c r="M273" s="21">
        <v>0</v>
      </c>
      <c r="N273" s="24">
        <f t="shared" si="21"/>
        <v>252.2</v>
      </c>
      <c r="O273" s="24">
        <f t="shared" si="23"/>
        <v>1687.8</v>
      </c>
      <c r="P273" s="24">
        <v>0</v>
      </c>
    </row>
    <row r="274" spans="1:16" ht="25.5" x14ac:dyDescent="0.2">
      <c r="A274" s="54">
        <v>265</v>
      </c>
      <c r="B274" s="60" t="s">
        <v>218</v>
      </c>
      <c r="C274" s="60" t="s">
        <v>262</v>
      </c>
      <c r="D274" s="60">
        <v>3081</v>
      </c>
      <c r="E274" s="64">
        <v>1000</v>
      </c>
      <c r="F274" s="78">
        <v>0</v>
      </c>
      <c r="G274" s="62">
        <v>250</v>
      </c>
      <c r="H274" s="62">
        <v>0</v>
      </c>
      <c r="I274" s="62">
        <f t="shared" si="22"/>
        <v>4331</v>
      </c>
      <c r="J274" s="21">
        <f t="shared" si="20"/>
        <v>122.43</v>
      </c>
      <c r="K274" s="21">
        <f>(D274+E274)*12%</f>
        <v>489.72</v>
      </c>
      <c r="L274" s="21">
        <v>0</v>
      </c>
      <c r="M274" s="21">
        <v>0</v>
      </c>
      <c r="N274" s="24">
        <f t="shared" si="21"/>
        <v>612.15</v>
      </c>
      <c r="O274" s="24">
        <f t="shared" si="23"/>
        <v>3718.85</v>
      </c>
      <c r="P274" s="24">
        <v>0</v>
      </c>
    </row>
    <row r="275" spans="1:16" ht="25.5" x14ac:dyDescent="0.2">
      <c r="A275" s="54">
        <v>266</v>
      </c>
      <c r="B275" s="89" t="s">
        <v>954</v>
      </c>
      <c r="C275" s="60" t="s">
        <v>259</v>
      </c>
      <c r="D275" s="21">
        <v>1940</v>
      </c>
      <c r="E275" s="60">
        <v>0</v>
      </c>
      <c r="F275" s="78">
        <v>0</v>
      </c>
      <c r="G275" s="62">
        <v>0</v>
      </c>
      <c r="H275" s="62">
        <v>0</v>
      </c>
      <c r="I275" s="62">
        <f t="shared" si="22"/>
        <v>1940</v>
      </c>
      <c r="J275" s="21">
        <f t="shared" si="20"/>
        <v>58.2</v>
      </c>
      <c r="K275" s="21">
        <f>(D275+E275)*10%</f>
        <v>194</v>
      </c>
      <c r="L275" s="21">
        <v>0</v>
      </c>
      <c r="M275" s="21">
        <v>0</v>
      </c>
      <c r="N275" s="24">
        <f t="shared" si="21"/>
        <v>252.2</v>
      </c>
      <c r="O275" s="24">
        <f t="shared" si="23"/>
        <v>1687.8</v>
      </c>
      <c r="P275" s="24">
        <v>0</v>
      </c>
    </row>
    <row r="276" spans="1:16" ht="25.5" x14ac:dyDescent="0.2">
      <c r="A276" s="54">
        <v>267</v>
      </c>
      <c r="B276" s="60" t="s">
        <v>845</v>
      </c>
      <c r="C276" s="60" t="s">
        <v>386</v>
      </c>
      <c r="D276" s="60">
        <v>2234</v>
      </c>
      <c r="E276" s="64">
        <v>1000</v>
      </c>
      <c r="F276" s="78">
        <v>0</v>
      </c>
      <c r="G276" s="62">
        <v>250</v>
      </c>
      <c r="H276" s="62">
        <v>0</v>
      </c>
      <c r="I276" s="62">
        <f t="shared" si="22"/>
        <v>3484</v>
      </c>
      <c r="J276" s="21">
        <f t="shared" si="20"/>
        <v>97.02</v>
      </c>
      <c r="K276" s="21">
        <f>(D276+E276)*11%</f>
        <v>355.74</v>
      </c>
      <c r="L276" s="21">
        <v>0</v>
      </c>
      <c r="M276" s="21">
        <v>0</v>
      </c>
      <c r="N276" s="24">
        <f t="shared" si="21"/>
        <v>452.76</v>
      </c>
      <c r="O276" s="24">
        <f t="shared" si="23"/>
        <v>3031.24</v>
      </c>
      <c r="P276" s="24">
        <v>0</v>
      </c>
    </row>
    <row r="277" spans="1:16" ht="25.5" x14ac:dyDescent="0.2">
      <c r="A277" s="54">
        <v>268</v>
      </c>
      <c r="B277" s="60" t="s">
        <v>182</v>
      </c>
      <c r="C277" s="60" t="s">
        <v>257</v>
      </c>
      <c r="D277" s="88">
        <v>2425</v>
      </c>
      <c r="E277" s="60">
        <v>0</v>
      </c>
      <c r="F277" s="78">
        <v>0</v>
      </c>
      <c r="G277" s="62">
        <v>0</v>
      </c>
      <c r="H277" s="62">
        <v>0</v>
      </c>
      <c r="I277" s="62">
        <f t="shared" si="22"/>
        <v>2425</v>
      </c>
      <c r="J277" s="21">
        <f t="shared" si="20"/>
        <v>72.75</v>
      </c>
      <c r="K277" s="21">
        <f>D277*11%</f>
        <v>266.75</v>
      </c>
      <c r="L277" s="21">
        <v>0</v>
      </c>
      <c r="M277" s="21">
        <v>0</v>
      </c>
      <c r="N277" s="24">
        <f t="shared" si="21"/>
        <v>339.5</v>
      </c>
      <c r="O277" s="24">
        <f t="shared" si="23"/>
        <v>2085.5</v>
      </c>
      <c r="P277" s="24">
        <v>0</v>
      </c>
    </row>
    <row r="278" spans="1:16" ht="25.5" x14ac:dyDescent="0.2">
      <c r="A278" s="54">
        <v>269</v>
      </c>
      <c r="B278" s="60" t="s">
        <v>909</v>
      </c>
      <c r="C278" s="60" t="s">
        <v>259</v>
      </c>
      <c r="D278" s="21">
        <v>1940</v>
      </c>
      <c r="E278" s="60">
        <v>0</v>
      </c>
      <c r="F278" s="78">
        <v>0</v>
      </c>
      <c r="G278" s="62">
        <v>0</v>
      </c>
      <c r="H278" s="62">
        <v>0</v>
      </c>
      <c r="I278" s="62">
        <f t="shared" si="22"/>
        <v>1940</v>
      </c>
      <c r="J278" s="21">
        <f t="shared" si="20"/>
        <v>58.2</v>
      </c>
      <c r="K278" s="21">
        <f>(D278+E278)*10%</f>
        <v>194</v>
      </c>
      <c r="L278" s="21">
        <v>0</v>
      </c>
      <c r="M278" s="21">
        <v>0</v>
      </c>
      <c r="N278" s="24">
        <f t="shared" si="21"/>
        <v>252.2</v>
      </c>
      <c r="O278" s="24">
        <f t="shared" si="23"/>
        <v>1687.8</v>
      </c>
      <c r="P278" s="24">
        <v>0</v>
      </c>
    </row>
    <row r="279" spans="1:16" ht="25.5" x14ac:dyDescent="0.2">
      <c r="A279" s="54">
        <v>270</v>
      </c>
      <c r="B279" s="60" t="s">
        <v>68</v>
      </c>
      <c r="C279" s="114" t="s">
        <v>263</v>
      </c>
      <c r="D279" s="60">
        <v>2134</v>
      </c>
      <c r="E279" s="60">
        <v>0</v>
      </c>
      <c r="F279" s="78">
        <v>0</v>
      </c>
      <c r="G279" s="62">
        <v>0</v>
      </c>
      <c r="H279" s="62">
        <v>0</v>
      </c>
      <c r="I279" s="62">
        <f t="shared" si="22"/>
        <v>2134</v>
      </c>
      <c r="J279" s="21">
        <f t="shared" ref="J279:J299" si="24">(D279+E279+F279)*3%</f>
        <v>64.02</v>
      </c>
      <c r="K279" s="21">
        <f>D279*11%</f>
        <v>234.74</v>
      </c>
      <c r="L279" s="21">
        <v>0</v>
      </c>
      <c r="M279" s="21">
        <v>0</v>
      </c>
      <c r="N279" s="24">
        <f t="shared" si="21"/>
        <v>298.76</v>
      </c>
      <c r="O279" s="24">
        <f t="shared" si="23"/>
        <v>1835.24</v>
      </c>
      <c r="P279" s="24">
        <v>0</v>
      </c>
    </row>
    <row r="280" spans="1:16" ht="25.5" x14ac:dyDescent="0.2">
      <c r="A280" s="54">
        <v>271</v>
      </c>
      <c r="B280" s="91" t="s">
        <v>30</v>
      </c>
      <c r="C280" s="66" t="s">
        <v>86</v>
      </c>
      <c r="D280" s="78">
        <v>2920</v>
      </c>
      <c r="E280" s="78">
        <v>1000</v>
      </c>
      <c r="F280" s="78">
        <v>0</v>
      </c>
      <c r="G280" s="78">
        <v>250</v>
      </c>
      <c r="H280" s="62">
        <v>0</v>
      </c>
      <c r="I280" s="62">
        <f t="shared" si="22"/>
        <v>4170</v>
      </c>
      <c r="J280" s="21">
        <f t="shared" si="24"/>
        <v>117.6</v>
      </c>
      <c r="K280" s="21">
        <f>(D280+E280)*11%</f>
        <v>431.2</v>
      </c>
      <c r="L280" s="21">
        <v>0</v>
      </c>
      <c r="M280" s="21">
        <v>52.68</v>
      </c>
      <c r="N280" s="24">
        <f t="shared" si="21"/>
        <v>601.48</v>
      </c>
      <c r="O280" s="24">
        <f t="shared" si="23"/>
        <v>3568.52</v>
      </c>
      <c r="P280" s="24">
        <v>0</v>
      </c>
    </row>
    <row r="281" spans="1:16" ht="25.5" x14ac:dyDescent="0.2">
      <c r="A281" s="54">
        <v>272</v>
      </c>
      <c r="B281" s="89" t="s">
        <v>881</v>
      </c>
      <c r="C281" s="66" t="s">
        <v>86</v>
      </c>
      <c r="D281" s="88">
        <v>2920</v>
      </c>
      <c r="E281" s="60">
        <v>1000</v>
      </c>
      <c r="F281" s="78">
        <v>0</v>
      </c>
      <c r="G281" s="62">
        <v>250</v>
      </c>
      <c r="H281" s="62">
        <v>0</v>
      </c>
      <c r="I281" s="62">
        <f t="shared" si="22"/>
        <v>4170</v>
      </c>
      <c r="J281" s="21">
        <f t="shared" si="24"/>
        <v>117.6</v>
      </c>
      <c r="K281" s="21">
        <f>(D281+E281)*11%</f>
        <v>431.2</v>
      </c>
      <c r="L281" s="21">
        <v>0</v>
      </c>
      <c r="M281" s="21">
        <v>52.68</v>
      </c>
      <c r="N281" s="24">
        <f t="shared" si="21"/>
        <v>601.48</v>
      </c>
      <c r="O281" s="24">
        <f t="shared" si="23"/>
        <v>3568.52</v>
      </c>
      <c r="P281" s="24">
        <v>0</v>
      </c>
    </row>
    <row r="282" spans="1:16" ht="25.5" x14ac:dyDescent="0.2">
      <c r="A282" s="54">
        <v>273</v>
      </c>
      <c r="B282" s="60" t="s">
        <v>71</v>
      </c>
      <c r="C282" s="60" t="s">
        <v>257</v>
      </c>
      <c r="D282" s="88">
        <v>2425</v>
      </c>
      <c r="E282" s="60">
        <v>0</v>
      </c>
      <c r="F282" s="78">
        <v>0</v>
      </c>
      <c r="G282" s="62">
        <v>0</v>
      </c>
      <c r="H282" s="62">
        <v>0</v>
      </c>
      <c r="I282" s="62">
        <f t="shared" si="22"/>
        <v>2425</v>
      </c>
      <c r="J282" s="21">
        <f t="shared" si="24"/>
        <v>72.75</v>
      </c>
      <c r="K282" s="21">
        <f>D282*11%</f>
        <v>266.75</v>
      </c>
      <c r="L282" s="21">
        <v>0</v>
      </c>
      <c r="M282" s="21">
        <v>0</v>
      </c>
      <c r="N282" s="24">
        <f t="shared" si="21"/>
        <v>339.5</v>
      </c>
      <c r="O282" s="24">
        <f t="shared" si="23"/>
        <v>2085.5</v>
      </c>
      <c r="P282" s="24">
        <v>0</v>
      </c>
    </row>
    <row r="283" spans="1:16" ht="25.5" x14ac:dyDescent="0.2">
      <c r="A283" s="54">
        <v>274</v>
      </c>
      <c r="B283" s="21" t="s">
        <v>183</v>
      </c>
      <c r="C283" s="60" t="s">
        <v>221</v>
      </c>
      <c r="D283" s="71">
        <v>3241</v>
      </c>
      <c r="E283" s="60">
        <v>1000</v>
      </c>
      <c r="F283" s="78">
        <v>0</v>
      </c>
      <c r="G283" s="62">
        <v>250</v>
      </c>
      <c r="H283" s="62">
        <v>0</v>
      </c>
      <c r="I283" s="62">
        <f t="shared" si="22"/>
        <v>4491</v>
      </c>
      <c r="J283" s="21">
        <f t="shared" si="24"/>
        <v>127.23</v>
      </c>
      <c r="K283" s="21">
        <f>(D283+E283)*12%</f>
        <v>508.92</v>
      </c>
      <c r="L283" s="21">
        <v>0</v>
      </c>
      <c r="M283" s="21">
        <v>0</v>
      </c>
      <c r="N283" s="24">
        <f t="shared" si="21"/>
        <v>636.15</v>
      </c>
      <c r="O283" s="24">
        <f t="shared" si="23"/>
        <v>3854.85</v>
      </c>
      <c r="P283" s="24">
        <v>0</v>
      </c>
    </row>
    <row r="284" spans="1:16" ht="25.5" x14ac:dyDescent="0.2">
      <c r="A284" s="54">
        <v>275</v>
      </c>
      <c r="B284" s="60" t="s">
        <v>50</v>
      </c>
      <c r="C284" s="60" t="s">
        <v>379</v>
      </c>
      <c r="D284" s="60">
        <v>2760</v>
      </c>
      <c r="E284" s="60">
        <v>1000</v>
      </c>
      <c r="F284" s="78">
        <v>0</v>
      </c>
      <c r="G284" s="62">
        <v>250</v>
      </c>
      <c r="H284" s="62">
        <v>0</v>
      </c>
      <c r="I284" s="62">
        <f t="shared" si="22"/>
        <v>4010</v>
      </c>
      <c r="J284" s="21">
        <f t="shared" si="24"/>
        <v>112.8</v>
      </c>
      <c r="K284" s="21">
        <f>(D284+E284)*11%</f>
        <v>413.6</v>
      </c>
      <c r="L284" s="21">
        <v>0</v>
      </c>
      <c r="M284" s="21">
        <v>0</v>
      </c>
      <c r="N284" s="24">
        <f t="shared" si="21"/>
        <v>526.4</v>
      </c>
      <c r="O284" s="24">
        <f t="shared" si="23"/>
        <v>3483.6</v>
      </c>
      <c r="P284" s="24">
        <v>0</v>
      </c>
    </row>
    <row r="285" spans="1:16" ht="25.5" x14ac:dyDescent="0.2">
      <c r="A285" s="54">
        <v>276</v>
      </c>
      <c r="B285" s="91" t="s">
        <v>37</v>
      </c>
      <c r="C285" s="94" t="s">
        <v>384</v>
      </c>
      <c r="D285" s="78">
        <v>1902</v>
      </c>
      <c r="E285" s="78">
        <v>1000</v>
      </c>
      <c r="F285" s="78">
        <v>0</v>
      </c>
      <c r="G285" s="78">
        <v>250</v>
      </c>
      <c r="H285" s="62">
        <v>0</v>
      </c>
      <c r="I285" s="62">
        <f t="shared" si="22"/>
        <v>3152</v>
      </c>
      <c r="J285" s="21">
        <f t="shared" si="24"/>
        <v>87.06</v>
      </c>
      <c r="K285" s="21">
        <f>(D285+E285)*11%</f>
        <v>319.22000000000003</v>
      </c>
      <c r="L285" s="21">
        <v>0</v>
      </c>
      <c r="M285" s="21">
        <v>0</v>
      </c>
      <c r="N285" s="24">
        <f t="shared" si="21"/>
        <v>406.28</v>
      </c>
      <c r="O285" s="24">
        <f t="shared" si="23"/>
        <v>2745.72</v>
      </c>
      <c r="P285" s="24">
        <v>0</v>
      </c>
    </row>
    <row r="286" spans="1:16" ht="25.5" x14ac:dyDescent="0.2">
      <c r="A286" s="54">
        <v>277</v>
      </c>
      <c r="B286" s="91" t="s">
        <v>38</v>
      </c>
      <c r="C286" s="64" t="s">
        <v>90</v>
      </c>
      <c r="D286" s="78">
        <v>1902</v>
      </c>
      <c r="E286" s="78">
        <v>1000</v>
      </c>
      <c r="F286" s="78">
        <v>0</v>
      </c>
      <c r="G286" s="78">
        <v>250</v>
      </c>
      <c r="H286" s="62">
        <v>0</v>
      </c>
      <c r="I286" s="62">
        <f t="shared" si="22"/>
        <v>3152</v>
      </c>
      <c r="J286" s="21">
        <f t="shared" si="24"/>
        <v>87.06</v>
      </c>
      <c r="K286" s="21">
        <f>(D286+E286)*11%</f>
        <v>319.22000000000003</v>
      </c>
      <c r="L286" s="21">
        <v>0</v>
      </c>
      <c r="M286" s="21">
        <v>0</v>
      </c>
      <c r="N286" s="24">
        <f t="shared" si="21"/>
        <v>406.28</v>
      </c>
      <c r="O286" s="24">
        <f t="shared" si="23"/>
        <v>2745.72</v>
      </c>
      <c r="P286" s="24">
        <v>0</v>
      </c>
    </row>
    <row r="287" spans="1:16" ht="25.5" x14ac:dyDescent="0.2">
      <c r="A287" s="54">
        <v>278</v>
      </c>
      <c r="B287" s="89" t="s">
        <v>955</v>
      </c>
      <c r="C287" s="119" t="s">
        <v>901</v>
      </c>
      <c r="D287" s="78">
        <v>3241</v>
      </c>
      <c r="E287" s="78">
        <v>1000</v>
      </c>
      <c r="F287" s="78">
        <v>0</v>
      </c>
      <c r="G287" s="78">
        <v>250</v>
      </c>
      <c r="H287" s="62">
        <v>0</v>
      </c>
      <c r="I287" s="62">
        <f t="shared" si="22"/>
        <v>4491</v>
      </c>
      <c r="J287" s="21">
        <f t="shared" si="24"/>
        <v>127.23</v>
      </c>
      <c r="K287" s="21">
        <f>(D287+E287)*12%</f>
        <v>508.92</v>
      </c>
      <c r="L287" s="21">
        <v>0</v>
      </c>
      <c r="M287" s="21">
        <v>0</v>
      </c>
      <c r="N287" s="24">
        <f t="shared" si="21"/>
        <v>636.15</v>
      </c>
      <c r="O287" s="24">
        <f t="shared" si="23"/>
        <v>3854.85</v>
      </c>
      <c r="P287" s="24">
        <v>0</v>
      </c>
    </row>
    <row r="288" spans="1:16" ht="25.5" x14ac:dyDescent="0.2">
      <c r="A288" s="54">
        <v>279</v>
      </c>
      <c r="B288" s="66" t="s">
        <v>801</v>
      </c>
      <c r="C288" s="60" t="s">
        <v>259</v>
      </c>
      <c r="D288" s="88">
        <v>1940</v>
      </c>
      <c r="E288" s="60">
        <v>0</v>
      </c>
      <c r="F288" s="78">
        <v>0</v>
      </c>
      <c r="G288" s="62">
        <v>0</v>
      </c>
      <c r="H288" s="62">
        <v>0</v>
      </c>
      <c r="I288" s="62">
        <f t="shared" si="22"/>
        <v>1940</v>
      </c>
      <c r="J288" s="21">
        <f t="shared" si="24"/>
        <v>58.2</v>
      </c>
      <c r="K288" s="21">
        <f>D288*10%</f>
        <v>194</v>
      </c>
      <c r="L288" s="21">
        <v>0</v>
      </c>
      <c r="M288" s="21">
        <v>0</v>
      </c>
      <c r="N288" s="24">
        <f t="shared" si="21"/>
        <v>252.2</v>
      </c>
      <c r="O288" s="24">
        <f t="shared" si="23"/>
        <v>1687.8</v>
      </c>
      <c r="P288" s="24">
        <v>0</v>
      </c>
    </row>
    <row r="289" spans="1:16" ht="25.5" x14ac:dyDescent="0.2">
      <c r="A289" s="54">
        <v>280</v>
      </c>
      <c r="B289" s="60" t="s">
        <v>285</v>
      </c>
      <c r="C289" s="60" t="s">
        <v>88</v>
      </c>
      <c r="D289" s="60">
        <v>2920</v>
      </c>
      <c r="E289" s="60">
        <v>1000</v>
      </c>
      <c r="F289" s="78">
        <v>0</v>
      </c>
      <c r="G289" s="62">
        <v>250</v>
      </c>
      <c r="H289" s="62">
        <v>0</v>
      </c>
      <c r="I289" s="62">
        <f t="shared" si="22"/>
        <v>4170</v>
      </c>
      <c r="J289" s="21">
        <f t="shared" si="24"/>
        <v>117.6</v>
      </c>
      <c r="K289" s="21">
        <f>(D289+E289)*11%</f>
        <v>431.2</v>
      </c>
      <c r="L289" s="21">
        <v>0</v>
      </c>
      <c r="M289" s="21">
        <v>0</v>
      </c>
      <c r="N289" s="24">
        <f t="shared" si="21"/>
        <v>548.79999999999995</v>
      </c>
      <c r="O289" s="24">
        <f t="shared" si="23"/>
        <v>3621.2</v>
      </c>
      <c r="P289" s="24">
        <v>0</v>
      </c>
    </row>
    <row r="290" spans="1:16" ht="25.5" x14ac:dyDescent="0.2">
      <c r="A290" s="54">
        <v>281</v>
      </c>
      <c r="B290" s="60" t="s">
        <v>353</v>
      </c>
      <c r="C290" s="60" t="s">
        <v>257</v>
      </c>
      <c r="D290" s="60">
        <v>2425</v>
      </c>
      <c r="E290" s="60">
        <v>0</v>
      </c>
      <c r="F290" s="78">
        <v>0</v>
      </c>
      <c r="G290" s="62">
        <v>0</v>
      </c>
      <c r="H290" s="62">
        <v>0</v>
      </c>
      <c r="I290" s="62">
        <f t="shared" si="22"/>
        <v>2425</v>
      </c>
      <c r="J290" s="21">
        <f t="shared" si="24"/>
        <v>72.75</v>
      </c>
      <c r="K290" s="21">
        <f>D290*11%</f>
        <v>266.75</v>
      </c>
      <c r="L290" s="21">
        <v>0</v>
      </c>
      <c r="M290" s="21">
        <v>0</v>
      </c>
      <c r="N290" s="24">
        <f t="shared" si="21"/>
        <v>339.5</v>
      </c>
      <c r="O290" s="24">
        <f t="shared" si="23"/>
        <v>2085.5</v>
      </c>
      <c r="P290" s="24">
        <v>0</v>
      </c>
    </row>
    <row r="291" spans="1:16" ht="25.5" x14ac:dyDescent="0.2">
      <c r="A291" s="54">
        <v>282</v>
      </c>
      <c r="B291" s="60" t="s">
        <v>330</v>
      </c>
      <c r="C291" s="60" t="s">
        <v>259</v>
      </c>
      <c r="D291" s="88">
        <v>1940</v>
      </c>
      <c r="E291" s="60">
        <v>0</v>
      </c>
      <c r="F291" s="78">
        <v>0</v>
      </c>
      <c r="G291" s="62">
        <v>0</v>
      </c>
      <c r="H291" s="62">
        <v>0</v>
      </c>
      <c r="I291" s="62">
        <f t="shared" si="22"/>
        <v>1940</v>
      </c>
      <c r="J291" s="21">
        <f t="shared" si="24"/>
        <v>58.2</v>
      </c>
      <c r="K291" s="21">
        <f>D291*10%</f>
        <v>194</v>
      </c>
      <c r="L291" s="21">
        <v>0</v>
      </c>
      <c r="M291" s="21">
        <v>0</v>
      </c>
      <c r="N291" s="24">
        <f t="shared" si="21"/>
        <v>252.2</v>
      </c>
      <c r="O291" s="24">
        <f t="shared" si="23"/>
        <v>1687.8</v>
      </c>
      <c r="P291" s="24">
        <v>0</v>
      </c>
    </row>
    <row r="292" spans="1:16" ht="25.5" x14ac:dyDescent="0.2">
      <c r="A292" s="54">
        <v>283</v>
      </c>
      <c r="B292" s="91" t="s">
        <v>219</v>
      </c>
      <c r="C292" s="60" t="s">
        <v>380</v>
      </c>
      <c r="D292" s="78">
        <v>2760</v>
      </c>
      <c r="E292" s="78">
        <v>1000</v>
      </c>
      <c r="F292" s="78">
        <v>0</v>
      </c>
      <c r="G292" s="78">
        <v>250</v>
      </c>
      <c r="H292" s="62">
        <v>0</v>
      </c>
      <c r="I292" s="62">
        <f t="shared" si="22"/>
        <v>4010</v>
      </c>
      <c r="J292" s="21">
        <f t="shared" si="24"/>
        <v>112.8</v>
      </c>
      <c r="K292" s="21">
        <f>(D292+E292)*11%</f>
        <v>413.6</v>
      </c>
      <c r="L292" s="21">
        <v>0</v>
      </c>
      <c r="M292" s="21">
        <v>0</v>
      </c>
      <c r="N292" s="24">
        <f t="shared" si="21"/>
        <v>526.4</v>
      </c>
      <c r="O292" s="24">
        <f t="shared" si="23"/>
        <v>3483.6</v>
      </c>
      <c r="P292" s="24">
        <v>0</v>
      </c>
    </row>
    <row r="293" spans="1:16" ht="25.5" x14ac:dyDescent="0.2">
      <c r="A293" s="54">
        <v>284</v>
      </c>
      <c r="B293" s="60" t="s">
        <v>70</v>
      </c>
      <c r="C293" s="60" t="s">
        <v>262</v>
      </c>
      <c r="D293" s="60">
        <v>3081</v>
      </c>
      <c r="E293" s="64">
        <v>1000</v>
      </c>
      <c r="F293" s="78">
        <v>0</v>
      </c>
      <c r="G293" s="62">
        <v>250</v>
      </c>
      <c r="H293" s="62">
        <v>0</v>
      </c>
      <c r="I293" s="62">
        <f t="shared" si="22"/>
        <v>4331</v>
      </c>
      <c r="J293" s="21">
        <f t="shared" si="24"/>
        <v>122.43</v>
      </c>
      <c r="K293" s="21">
        <f>(D293+E293)*12%</f>
        <v>489.72</v>
      </c>
      <c r="L293" s="21">
        <v>0</v>
      </c>
      <c r="M293" s="21">
        <v>0</v>
      </c>
      <c r="N293" s="24">
        <f t="shared" si="21"/>
        <v>612.15</v>
      </c>
      <c r="O293" s="24">
        <f t="shared" si="23"/>
        <v>3718.85</v>
      </c>
      <c r="P293" s="24">
        <v>0</v>
      </c>
    </row>
    <row r="294" spans="1:16" ht="30" customHeight="1" x14ac:dyDescent="0.2">
      <c r="A294" s="54">
        <v>285</v>
      </c>
      <c r="B294" s="60" t="s">
        <v>1073</v>
      </c>
      <c r="C294" s="60" t="s">
        <v>84</v>
      </c>
      <c r="D294" s="78">
        <v>2760</v>
      </c>
      <c r="E294" s="78">
        <v>1000</v>
      </c>
      <c r="F294" s="78">
        <v>0</v>
      </c>
      <c r="G294" s="62">
        <v>250</v>
      </c>
      <c r="H294" s="62">
        <v>0</v>
      </c>
      <c r="I294" s="62">
        <f t="shared" si="22"/>
        <v>4010</v>
      </c>
      <c r="J294" s="21">
        <f t="shared" si="24"/>
        <v>112.8</v>
      </c>
      <c r="K294" s="21">
        <f>(D294+E294)*11%</f>
        <v>413.6</v>
      </c>
      <c r="L294" s="21">
        <v>0</v>
      </c>
      <c r="M294" s="21">
        <v>0</v>
      </c>
      <c r="N294" s="24">
        <f t="shared" si="21"/>
        <v>526.4</v>
      </c>
      <c r="O294" s="24">
        <f t="shared" si="23"/>
        <v>3483.6</v>
      </c>
      <c r="P294" s="24">
        <v>0</v>
      </c>
    </row>
    <row r="295" spans="1:16" ht="25.5" x14ac:dyDescent="0.2">
      <c r="A295" s="54">
        <v>286</v>
      </c>
      <c r="B295" s="60" t="s">
        <v>794</v>
      </c>
      <c r="C295" s="60" t="s">
        <v>259</v>
      </c>
      <c r="D295" s="21">
        <v>1940</v>
      </c>
      <c r="E295" s="60">
        <v>0</v>
      </c>
      <c r="F295" s="78">
        <v>0</v>
      </c>
      <c r="G295" s="62">
        <v>0</v>
      </c>
      <c r="H295" s="62">
        <v>0</v>
      </c>
      <c r="I295" s="62">
        <f t="shared" si="22"/>
        <v>1940</v>
      </c>
      <c r="J295" s="21">
        <f t="shared" si="24"/>
        <v>58.2</v>
      </c>
      <c r="K295" s="21">
        <f>(D295+E295)*10%</f>
        <v>194</v>
      </c>
      <c r="L295" s="21">
        <v>0</v>
      </c>
      <c r="M295" s="21">
        <v>0</v>
      </c>
      <c r="N295" s="24">
        <f t="shared" si="21"/>
        <v>252.2</v>
      </c>
      <c r="O295" s="24">
        <f t="shared" si="23"/>
        <v>1687.8</v>
      </c>
      <c r="P295" s="24">
        <v>0</v>
      </c>
    </row>
    <row r="296" spans="1:16" x14ac:dyDescent="0.2">
      <c r="A296" s="54">
        <v>287</v>
      </c>
      <c r="B296" s="70" t="s">
        <v>376</v>
      </c>
      <c r="C296" s="60" t="s">
        <v>89</v>
      </c>
      <c r="D296" s="78">
        <v>1668</v>
      </c>
      <c r="E296" s="78">
        <v>1000</v>
      </c>
      <c r="F296" s="78">
        <v>0</v>
      </c>
      <c r="G296" s="78">
        <v>250</v>
      </c>
      <c r="H296" s="62">
        <v>0</v>
      </c>
      <c r="I296" s="62">
        <f t="shared" si="22"/>
        <v>2918</v>
      </c>
      <c r="J296" s="21">
        <f t="shared" si="24"/>
        <v>80.040000000000006</v>
      </c>
      <c r="K296" s="21">
        <f>(D296+E296)*11%</f>
        <v>293.48</v>
      </c>
      <c r="L296" s="21">
        <v>0</v>
      </c>
      <c r="M296" s="78">
        <v>0</v>
      </c>
      <c r="N296" s="24">
        <f t="shared" si="21"/>
        <v>373.52</v>
      </c>
      <c r="O296" s="24">
        <f t="shared" si="23"/>
        <v>2544.48</v>
      </c>
      <c r="P296" s="24">
        <v>0</v>
      </c>
    </row>
    <row r="297" spans="1:16" ht="25.5" x14ac:dyDescent="0.2">
      <c r="A297" s="54">
        <v>288</v>
      </c>
      <c r="B297" s="60" t="s">
        <v>77</v>
      </c>
      <c r="C297" s="60" t="s">
        <v>259</v>
      </c>
      <c r="D297" s="88">
        <v>1940</v>
      </c>
      <c r="E297" s="60">
        <v>0</v>
      </c>
      <c r="F297" s="78">
        <v>0</v>
      </c>
      <c r="G297" s="62">
        <v>0</v>
      </c>
      <c r="H297" s="62">
        <v>0</v>
      </c>
      <c r="I297" s="62">
        <f t="shared" si="22"/>
        <v>1940</v>
      </c>
      <c r="J297" s="21">
        <f t="shared" si="24"/>
        <v>58.2</v>
      </c>
      <c r="K297" s="21">
        <f>D297*10%</f>
        <v>194</v>
      </c>
      <c r="L297" s="21">
        <v>0</v>
      </c>
      <c r="M297" s="21">
        <v>0</v>
      </c>
      <c r="N297" s="24">
        <f t="shared" si="21"/>
        <v>252.2</v>
      </c>
      <c r="O297" s="24">
        <f t="shared" si="23"/>
        <v>1687.8</v>
      </c>
      <c r="P297" s="24">
        <v>0</v>
      </c>
    </row>
    <row r="298" spans="1:16" ht="25.5" x14ac:dyDescent="0.2">
      <c r="A298" s="54">
        <v>289</v>
      </c>
      <c r="B298" s="60" t="s">
        <v>341</v>
      </c>
      <c r="C298" s="60" t="s">
        <v>257</v>
      </c>
      <c r="D298" s="88">
        <v>2425</v>
      </c>
      <c r="E298" s="60">
        <v>0</v>
      </c>
      <c r="F298" s="78">
        <v>0</v>
      </c>
      <c r="G298" s="62">
        <v>0</v>
      </c>
      <c r="H298" s="62">
        <v>0</v>
      </c>
      <c r="I298" s="62">
        <f t="shared" si="22"/>
        <v>2425</v>
      </c>
      <c r="J298" s="21">
        <f t="shared" si="24"/>
        <v>72.75</v>
      </c>
      <c r="K298" s="21">
        <f>D298*11%</f>
        <v>266.75</v>
      </c>
      <c r="L298" s="21">
        <v>0</v>
      </c>
      <c r="M298" s="21">
        <v>0</v>
      </c>
      <c r="N298" s="24">
        <f t="shared" si="21"/>
        <v>339.5</v>
      </c>
      <c r="O298" s="24">
        <f t="shared" si="23"/>
        <v>2085.5</v>
      </c>
      <c r="P298" s="24">
        <v>0</v>
      </c>
    </row>
    <row r="299" spans="1:16" ht="25.5" x14ac:dyDescent="0.2">
      <c r="A299" s="54">
        <v>290</v>
      </c>
      <c r="B299" s="60" t="s">
        <v>968</v>
      </c>
      <c r="C299" s="60" t="s">
        <v>257</v>
      </c>
      <c r="D299" s="88">
        <v>2425</v>
      </c>
      <c r="E299" s="60">
        <v>0</v>
      </c>
      <c r="F299" s="78">
        <v>0</v>
      </c>
      <c r="G299" s="62">
        <v>0</v>
      </c>
      <c r="H299" s="62">
        <v>0</v>
      </c>
      <c r="I299" s="62">
        <f t="shared" si="22"/>
        <v>2425</v>
      </c>
      <c r="J299" s="21">
        <f t="shared" si="24"/>
        <v>72.75</v>
      </c>
      <c r="K299" s="21">
        <f>D299*11%</f>
        <v>266.75</v>
      </c>
      <c r="L299" s="21">
        <v>0</v>
      </c>
      <c r="M299" s="21">
        <v>0</v>
      </c>
      <c r="N299" s="24">
        <f t="shared" ref="N299:N300" si="25">J299+K299+L299+M299</f>
        <v>339.5</v>
      </c>
      <c r="O299" s="24">
        <f t="shared" si="23"/>
        <v>2085.5</v>
      </c>
      <c r="P299" s="24">
        <v>0</v>
      </c>
    </row>
    <row r="300" spans="1:16" x14ac:dyDescent="0.2">
      <c r="A300" s="54">
        <v>291</v>
      </c>
      <c r="B300" s="60" t="s">
        <v>47</v>
      </c>
      <c r="C300" s="60" t="s">
        <v>46</v>
      </c>
      <c r="D300" s="60">
        <v>1668</v>
      </c>
      <c r="E300" s="60">
        <v>1000</v>
      </c>
      <c r="F300" s="78">
        <v>0</v>
      </c>
      <c r="G300" s="62">
        <v>250</v>
      </c>
      <c r="H300" s="62">
        <v>0</v>
      </c>
      <c r="I300" s="62">
        <f t="shared" si="22"/>
        <v>2918</v>
      </c>
      <c r="J300" s="21">
        <f>(D300+E300)*3%</f>
        <v>80.040000000000006</v>
      </c>
      <c r="K300" s="21">
        <f>(D300+E300)*11%</f>
        <v>293.48</v>
      </c>
      <c r="L300" s="21">
        <v>0</v>
      </c>
      <c r="M300" s="21">
        <v>0</v>
      </c>
      <c r="N300" s="24">
        <f t="shared" si="25"/>
        <v>373.52</v>
      </c>
      <c r="O300" s="24">
        <f t="shared" si="23"/>
        <v>2544.48</v>
      </c>
      <c r="P300" s="24">
        <v>0</v>
      </c>
    </row>
    <row r="301" spans="1:16" ht="25.5" x14ac:dyDescent="0.2">
      <c r="A301" s="54">
        <v>292</v>
      </c>
      <c r="B301" s="89" t="s">
        <v>926</v>
      </c>
      <c r="C301" s="60" t="s">
        <v>257</v>
      </c>
      <c r="D301" s="107">
        <v>2425</v>
      </c>
      <c r="E301" s="60">
        <v>0</v>
      </c>
      <c r="F301" s="78">
        <v>0</v>
      </c>
      <c r="G301" s="62">
        <v>0</v>
      </c>
      <c r="H301" s="62">
        <v>0</v>
      </c>
      <c r="I301" s="62">
        <f t="shared" si="22"/>
        <v>2425</v>
      </c>
      <c r="J301" s="21">
        <f>(D301+E301)*3%</f>
        <v>72.75</v>
      </c>
      <c r="K301" s="21">
        <f>(D301+E301)*11%</f>
        <v>266.75</v>
      </c>
      <c r="L301" s="21">
        <v>0</v>
      </c>
      <c r="M301" s="21">
        <v>0</v>
      </c>
      <c r="N301" s="24">
        <v>0</v>
      </c>
      <c r="O301" s="24">
        <f t="shared" si="23"/>
        <v>2425</v>
      </c>
      <c r="P301" s="24">
        <v>0</v>
      </c>
    </row>
    <row r="302" spans="1:16" ht="25.5" x14ac:dyDescent="0.2">
      <c r="A302" s="54">
        <v>293</v>
      </c>
      <c r="B302" s="89" t="s">
        <v>941</v>
      </c>
      <c r="C302" s="66" t="s">
        <v>86</v>
      </c>
      <c r="D302" s="60">
        <v>2920</v>
      </c>
      <c r="E302" s="60">
        <v>1000</v>
      </c>
      <c r="F302" s="78">
        <v>0</v>
      </c>
      <c r="G302" s="62">
        <v>250</v>
      </c>
      <c r="H302" s="62">
        <v>0</v>
      </c>
      <c r="I302" s="62">
        <f t="shared" si="22"/>
        <v>4170</v>
      </c>
      <c r="J302" s="21">
        <f>(D302+E302)*3%</f>
        <v>117.6</v>
      </c>
      <c r="K302" s="21">
        <f>(D302+E302)*11%</f>
        <v>431.2</v>
      </c>
      <c r="L302" s="21">
        <v>0</v>
      </c>
      <c r="M302" s="21">
        <v>52.68</v>
      </c>
      <c r="N302" s="24">
        <f>J302+K302+L302+M302</f>
        <v>601.48</v>
      </c>
      <c r="O302" s="24">
        <f t="shared" si="23"/>
        <v>3568.52</v>
      </c>
      <c r="P302" s="24">
        <v>0</v>
      </c>
    </row>
    <row r="303" spans="1:16" ht="25.5" x14ac:dyDescent="0.2">
      <c r="A303" s="54">
        <v>294</v>
      </c>
      <c r="B303" s="64" t="s">
        <v>220</v>
      </c>
      <c r="C303" s="64" t="s">
        <v>383</v>
      </c>
      <c r="D303" s="60">
        <v>2328</v>
      </c>
      <c r="E303" s="60">
        <v>0</v>
      </c>
      <c r="F303" s="78">
        <v>0</v>
      </c>
      <c r="G303" s="62">
        <v>0</v>
      </c>
      <c r="H303" s="62">
        <v>0</v>
      </c>
      <c r="I303" s="62">
        <f t="shared" si="22"/>
        <v>2328</v>
      </c>
      <c r="J303" s="21">
        <f t="shared" ref="J303:J333" si="26">(D303+E303+F303)*3%</f>
        <v>69.84</v>
      </c>
      <c r="K303" s="21">
        <f>D303*11%</f>
        <v>256.08</v>
      </c>
      <c r="L303" s="21">
        <v>0</v>
      </c>
      <c r="M303" s="21">
        <v>0</v>
      </c>
      <c r="N303" s="24">
        <f>J303+K303+L303+M303</f>
        <v>325.92</v>
      </c>
      <c r="O303" s="24">
        <f t="shared" si="23"/>
        <v>2002.08</v>
      </c>
      <c r="P303" s="24">
        <v>0</v>
      </c>
    </row>
    <row r="304" spans="1:16" ht="25.5" x14ac:dyDescent="0.2">
      <c r="A304" s="54">
        <v>295</v>
      </c>
      <c r="B304" s="89" t="s">
        <v>956</v>
      </c>
      <c r="C304" s="119" t="s">
        <v>225</v>
      </c>
      <c r="D304" s="60">
        <v>2249</v>
      </c>
      <c r="E304" s="60">
        <v>1000</v>
      </c>
      <c r="F304" s="78">
        <v>0</v>
      </c>
      <c r="G304" s="62">
        <v>250</v>
      </c>
      <c r="H304" s="62">
        <v>0</v>
      </c>
      <c r="I304" s="62">
        <f t="shared" si="22"/>
        <v>3499</v>
      </c>
      <c r="J304" s="21">
        <f t="shared" si="26"/>
        <v>97.47</v>
      </c>
      <c r="K304" s="21">
        <f>D304*11%</f>
        <v>247.39</v>
      </c>
      <c r="L304" s="21">
        <v>0</v>
      </c>
      <c r="M304" s="21">
        <v>0</v>
      </c>
      <c r="N304" s="24">
        <f>J304+K304+L304+M304</f>
        <v>344.86</v>
      </c>
      <c r="O304" s="24">
        <f t="shared" si="23"/>
        <v>3154.14</v>
      </c>
      <c r="P304" s="24">
        <v>0</v>
      </c>
    </row>
    <row r="305" spans="1:16" ht="25.5" x14ac:dyDescent="0.2">
      <c r="A305" s="54">
        <v>296</v>
      </c>
      <c r="B305" s="89" t="s">
        <v>848</v>
      </c>
      <c r="C305" s="60" t="s">
        <v>259</v>
      </c>
      <c r="D305" s="21">
        <v>1940</v>
      </c>
      <c r="E305" s="60">
        <v>0</v>
      </c>
      <c r="F305" s="78">
        <v>0</v>
      </c>
      <c r="G305" s="62">
        <v>0</v>
      </c>
      <c r="H305" s="62">
        <v>0</v>
      </c>
      <c r="I305" s="62">
        <f t="shared" si="22"/>
        <v>1940</v>
      </c>
      <c r="J305" s="21">
        <f t="shared" si="26"/>
        <v>58.2</v>
      </c>
      <c r="K305" s="21">
        <f>D305*10%</f>
        <v>194</v>
      </c>
      <c r="L305" s="21">
        <v>0</v>
      </c>
      <c r="M305" s="21">
        <v>0</v>
      </c>
      <c r="N305" s="24">
        <f>J305+K305+L305+M305</f>
        <v>252.2</v>
      </c>
      <c r="O305" s="24">
        <f t="shared" si="23"/>
        <v>1687.8</v>
      </c>
      <c r="P305" s="24">
        <v>0</v>
      </c>
    </row>
    <row r="306" spans="1:16" ht="25.5" x14ac:dyDescent="0.2">
      <c r="A306" s="54">
        <v>297</v>
      </c>
      <c r="B306" s="89" t="s">
        <v>965</v>
      </c>
      <c r="C306" s="60" t="s">
        <v>942</v>
      </c>
      <c r="D306" s="21">
        <v>2392</v>
      </c>
      <c r="E306" s="60">
        <v>1900</v>
      </c>
      <c r="F306" s="78"/>
      <c r="G306" s="62">
        <v>250</v>
      </c>
      <c r="H306" s="62"/>
      <c r="I306" s="62">
        <f t="shared" si="22"/>
        <v>4542</v>
      </c>
      <c r="J306" s="21">
        <f t="shared" si="26"/>
        <v>128.76</v>
      </c>
      <c r="K306" s="21">
        <f>(D306+E306)*12%</f>
        <v>515.04</v>
      </c>
      <c r="L306" s="21">
        <v>0</v>
      </c>
      <c r="M306" s="21"/>
      <c r="N306" s="24"/>
      <c r="O306" s="24">
        <f t="shared" si="23"/>
        <v>4542</v>
      </c>
      <c r="P306" s="24">
        <v>0</v>
      </c>
    </row>
    <row r="307" spans="1:16" ht="25.5" x14ac:dyDescent="0.2">
      <c r="A307" s="54">
        <v>298</v>
      </c>
      <c r="B307" s="60" t="s">
        <v>331</v>
      </c>
      <c r="C307" s="60" t="s">
        <v>259</v>
      </c>
      <c r="D307" s="88">
        <v>1940</v>
      </c>
      <c r="E307" s="60">
        <v>0</v>
      </c>
      <c r="F307" s="78">
        <v>0</v>
      </c>
      <c r="G307" s="62">
        <v>0</v>
      </c>
      <c r="H307" s="62">
        <v>0</v>
      </c>
      <c r="I307" s="62">
        <f t="shared" si="22"/>
        <v>1940</v>
      </c>
      <c r="J307" s="21">
        <f t="shared" si="26"/>
        <v>58.2</v>
      </c>
      <c r="K307" s="21">
        <f>D307*10%</f>
        <v>194</v>
      </c>
      <c r="L307" s="21">
        <v>0</v>
      </c>
      <c r="M307" s="21">
        <v>0</v>
      </c>
      <c r="N307" s="24">
        <f t="shared" ref="N307:N337" si="27">J307+K307+L307+M307</f>
        <v>252.2</v>
      </c>
      <c r="O307" s="24">
        <f t="shared" si="23"/>
        <v>1687.8</v>
      </c>
      <c r="P307" s="24">
        <v>0</v>
      </c>
    </row>
    <row r="308" spans="1:16" ht="25.5" x14ac:dyDescent="0.2">
      <c r="A308" s="54">
        <v>299</v>
      </c>
      <c r="B308" s="70" t="s">
        <v>910</v>
      </c>
      <c r="C308" s="60" t="s">
        <v>259</v>
      </c>
      <c r="D308" s="21">
        <v>1940</v>
      </c>
      <c r="E308" s="60">
        <v>0</v>
      </c>
      <c r="F308" s="78">
        <v>0</v>
      </c>
      <c r="G308" s="62">
        <v>0</v>
      </c>
      <c r="H308" s="62">
        <v>0</v>
      </c>
      <c r="I308" s="62">
        <f t="shared" si="22"/>
        <v>1940</v>
      </c>
      <c r="J308" s="21">
        <f t="shared" si="26"/>
        <v>58.2</v>
      </c>
      <c r="K308" s="21">
        <f>(D308+E308)*10%</f>
        <v>194</v>
      </c>
      <c r="L308" s="21">
        <v>0</v>
      </c>
      <c r="M308" s="21">
        <v>0</v>
      </c>
      <c r="N308" s="24">
        <f t="shared" si="27"/>
        <v>252.2</v>
      </c>
      <c r="O308" s="24">
        <f t="shared" si="23"/>
        <v>1687.8</v>
      </c>
      <c r="P308" s="24">
        <v>0</v>
      </c>
    </row>
    <row r="309" spans="1:16" ht="25.5" x14ac:dyDescent="0.2">
      <c r="A309" s="54">
        <v>300</v>
      </c>
      <c r="B309" s="60" t="s">
        <v>248</v>
      </c>
      <c r="C309" s="60" t="s">
        <v>226</v>
      </c>
      <c r="D309" s="60">
        <v>1831</v>
      </c>
      <c r="E309" s="60">
        <v>1000</v>
      </c>
      <c r="F309" s="78">
        <v>0</v>
      </c>
      <c r="G309" s="62">
        <v>250</v>
      </c>
      <c r="H309" s="62">
        <v>0</v>
      </c>
      <c r="I309" s="62">
        <f t="shared" si="22"/>
        <v>3081</v>
      </c>
      <c r="J309" s="21">
        <f t="shared" si="26"/>
        <v>84.93</v>
      </c>
      <c r="K309" s="21">
        <f>(D309+E309)*11%</f>
        <v>311.41000000000003</v>
      </c>
      <c r="L309" s="21">
        <v>0</v>
      </c>
      <c r="M309" s="21">
        <v>0</v>
      </c>
      <c r="N309" s="24">
        <f t="shared" si="27"/>
        <v>396.34</v>
      </c>
      <c r="O309" s="24">
        <f t="shared" si="23"/>
        <v>2684.66</v>
      </c>
      <c r="P309" s="24">
        <v>0</v>
      </c>
    </row>
    <row r="310" spans="1:16" ht="25.5" x14ac:dyDescent="0.2">
      <c r="A310" s="54">
        <v>301</v>
      </c>
      <c r="B310" s="89" t="s">
        <v>847</v>
      </c>
      <c r="C310" s="60" t="s">
        <v>386</v>
      </c>
      <c r="D310" s="115">
        <v>2234</v>
      </c>
      <c r="E310" s="60">
        <v>1900</v>
      </c>
      <c r="F310" s="78">
        <v>0</v>
      </c>
      <c r="G310" s="62">
        <v>250</v>
      </c>
      <c r="H310" s="62">
        <v>0</v>
      </c>
      <c r="I310" s="62">
        <f t="shared" si="22"/>
        <v>4384</v>
      </c>
      <c r="J310" s="21">
        <f t="shared" si="26"/>
        <v>124.02</v>
      </c>
      <c r="K310" s="21">
        <f>(D310+E310)*12%</f>
        <v>496.08</v>
      </c>
      <c r="L310" s="21">
        <v>0</v>
      </c>
      <c r="M310" s="21">
        <v>0</v>
      </c>
      <c r="N310" s="24">
        <f t="shared" si="27"/>
        <v>620.1</v>
      </c>
      <c r="O310" s="24">
        <f t="shared" si="23"/>
        <v>3763.9</v>
      </c>
      <c r="P310" s="24">
        <v>0</v>
      </c>
    </row>
    <row r="311" spans="1:16" ht="25.5" x14ac:dyDescent="0.2">
      <c r="A311" s="54">
        <v>302</v>
      </c>
      <c r="B311" s="60" t="s">
        <v>815</v>
      </c>
      <c r="C311" s="60" t="s">
        <v>259</v>
      </c>
      <c r="D311" s="21">
        <v>1940</v>
      </c>
      <c r="E311" s="60">
        <v>0</v>
      </c>
      <c r="F311" s="78">
        <v>0</v>
      </c>
      <c r="G311" s="62">
        <v>0</v>
      </c>
      <c r="H311" s="62">
        <v>0</v>
      </c>
      <c r="I311" s="62">
        <f t="shared" si="22"/>
        <v>1940</v>
      </c>
      <c r="J311" s="21">
        <f t="shared" si="26"/>
        <v>58.2</v>
      </c>
      <c r="K311" s="21">
        <f>(D311+E311)*10%</f>
        <v>194</v>
      </c>
      <c r="L311" s="21">
        <v>0</v>
      </c>
      <c r="M311" s="21">
        <v>0</v>
      </c>
      <c r="N311" s="24">
        <f t="shared" si="27"/>
        <v>252.2</v>
      </c>
      <c r="O311" s="24">
        <f t="shared" si="23"/>
        <v>1687.8</v>
      </c>
      <c r="P311" s="24">
        <v>0</v>
      </c>
    </row>
    <row r="312" spans="1:16" ht="25.5" x14ac:dyDescent="0.2">
      <c r="A312" s="54">
        <v>303</v>
      </c>
      <c r="B312" s="60" t="s">
        <v>342</v>
      </c>
      <c r="C312" s="60" t="s">
        <v>249</v>
      </c>
      <c r="D312" s="60">
        <v>1981</v>
      </c>
      <c r="E312" s="60">
        <v>1000</v>
      </c>
      <c r="F312" s="78">
        <v>0</v>
      </c>
      <c r="G312" s="62">
        <v>250</v>
      </c>
      <c r="H312" s="62">
        <v>0</v>
      </c>
      <c r="I312" s="62">
        <f t="shared" si="22"/>
        <v>3231</v>
      </c>
      <c r="J312" s="21">
        <f t="shared" si="26"/>
        <v>89.43</v>
      </c>
      <c r="K312" s="21">
        <f>(D312+E312)*11%</f>
        <v>327.91</v>
      </c>
      <c r="L312" s="21">
        <v>0</v>
      </c>
      <c r="M312" s="21">
        <v>0</v>
      </c>
      <c r="N312" s="24">
        <f t="shared" si="27"/>
        <v>417.34</v>
      </c>
      <c r="O312" s="24">
        <f t="shared" si="23"/>
        <v>2813.66</v>
      </c>
      <c r="P312" s="24">
        <v>0</v>
      </c>
    </row>
    <row r="313" spans="1:16" ht="25.5" x14ac:dyDescent="0.2">
      <c r="A313" s="54">
        <v>304</v>
      </c>
      <c r="B313" s="91" t="s">
        <v>286</v>
      </c>
      <c r="C313" s="94" t="s">
        <v>85</v>
      </c>
      <c r="D313" s="78">
        <v>5095</v>
      </c>
      <c r="E313" s="78">
        <v>1800</v>
      </c>
      <c r="F313" s="78">
        <v>0</v>
      </c>
      <c r="G313" s="78">
        <v>250</v>
      </c>
      <c r="H313" s="62">
        <v>0</v>
      </c>
      <c r="I313" s="62">
        <f t="shared" si="22"/>
        <v>7145</v>
      </c>
      <c r="J313" s="21">
        <f t="shared" si="26"/>
        <v>206.85</v>
      </c>
      <c r="K313" s="21">
        <f>(D313+E313)*13%</f>
        <v>896.35</v>
      </c>
      <c r="L313" s="21">
        <v>0</v>
      </c>
      <c r="M313" s="21">
        <v>92.67</v>
      </c>
      <c r="N313" s="24">
        <f t="shared" si="27"/>
        <v>1195.8699999999999</v>
      </c>
      <c r="O313" s="24">
        <f t="shared" si="23"/>
        <v>5949.13</v>
      </c>
      <c r="P313" s="24">
        <v>0</v>
      </c>
    </row>
    <row r="314" spans="1:16" ht="25.5" x14ac:dyDescent="0.2">
      <c r="A314" s="54">
        <v>305</v>
      </c>
      <c r="B314" s="60" t="s">
        <v>163</v>
      </c>
      <c r="C314" s="64" t="s">
        <v>383</v>
      </c>
      <c r="D314" s="88">
        <v>2328</v>
      </c>
      <c r="E314" s="60">
        <v>0</v>
      </c>
      <c r="F314" s="78">
        <v>0</v>
      </c>
      <c r="G314" s="62">
        <v>0</v>
      </c>
      <c r="H314" s="62">
        <v>0</v>
      </c>
      <c r="I314" s="62">
        <f t="shared" si="22"/>
        <v>2328</v>
      </c>
      <c r="J314" s="21">
        <f t="shared" si="26"/>
        <v>69.84</v>
      </c>
      <c r="K314" s="21">
        <f>D314*11%</f>
        <v>256.08</v>
      </c>
      <c r="L314" s="21">
        <v>0</v>
      </c>
      <c r="M314" s="21">
        <v>0</v>
      </c>
      <c r="N314" s="24">
        <f t="shared" si="27"/>
        <v>325.92</v>
      </c>
      <c r="O314" s="24">
        <f t="shared" si="23"/>
        <v>2002.08</v>
      </c>
      <c r="P314" s="24">
        <v>0</v>
      </c>
    </row>
    <row r="315" spans="1:16" ht="25.5" x14ac:dyDescent="0.2">
      <c r="A315" s="54">
        <v>306</v>
      </c>
      <c r="B315" s="60" t="s">
        <v>343</v>
      </c>
      <c r="C315" s="60" t="s">
        <v>259</v>
      </c>
      <c r="D315" s="88">
        <v>1940</v>
      </c>
      <c r="E315" s="60">
        <v>0</v>
      </c>
      <c r="F315" s="78">
        <v>0</v>
      </c>
      <c r="G315" s="62">
        <v>0</v>
      </c>
      <c r="H315" s="62">
        <v>0</v>
      </c>
      <c r="I315" s="62">
        <f t="shared" si="22"/>
        <v>1940</v>
      </c>
      <c r="J315" s="21">
        <f t="shared" si="26"/>
        <v>58.2</v>
      </c>
      <c r="K315" s="21">
        <f>D315*10%</f>
        <v>194</v>
      </c>
      <c r="L315" s="21">
        <v>0</v>
      </c>
      <c r="M315" s="21">
        <v>0</v>
      </c>
      <c r="N315" s="24">
        <f t="shared" si="27"/>
        <v>252.2</v>
      </c>
      <c r="O315" s="24">
        <f t="shared" si="23"/>
        <v>1687.8</v>
      </c>
      <c r="P315" s="24">
        <v>0</v>
      </c>
    </row>
    <row r="316" spans="1:16" ht="25.5" x14ac:dyDescent="0.2">
      <c r="A316" s="54">
        <v>307</v>
      </c>
      <c r="B316" s="60" t="s">
        <v>164</v>
      </c>
      <c r="C316" s="60" t="s">
        <v>225</v>
      </c>
      <c r="D316" s="60">
        <v>2249</v>
      </c>
      <c r="E316" s="64">
        <v>1000</v>
      </c>
      <c r="F316" s="78">
        <v>0</v>
      </c>
      <c r="G316" s="62">
        <v>250</v>
      </c>
      <c r="H316" s="62">
        <v>0</v>
      </c>
      <c r="I316" s="62">
        <f t="shared" si="22"/>
        <v>3499</v>
      </c>
      <c r="J316" s="21">
        <f t="shared" si="26"/>
        <v>97.47</v>
      </c>
      <c r="K316" s="21">
        <f>(D316+E316)*11%</f>
        <v>357.39</v>
      </c>
      <c r="L316" s="21">
        <v>0</v>
      </c>
      <c r="M316" s="21">
        <v>0</v>
      </c>
      <c r="N316" s="24">
        <f t="shared" si="27"/>
        <v>454.86</v>
      </c>
      <c r="O316" s="24">
        <f t="shared" si="23"/>
        <v>3044.14</v>
      </c>
      <c r="P316" s="24">
        <v>0</v>
      </c>
    </row>
    <row r="317" spans="1:16" ht="25.5" x14ac:dyDescent="0.2">
      <c r="A317" s="54">
        <v>308</v>
      </c>
      <c r="B317" s="60" t="s">
        <v>344</v>
      </c>
      <c r="C317" s="66" t="s">
        <v>377</v>
      </c>
      <c r="D317" s="60">
        <v>3081</v>
      </c>
      <c r="E317" s="64">
        <v>1000</v>
      </c>
      <c r="F317" s="78">
        <v>0</v>
      </c>
      <c r="G317" s="62">
        <v>250</v>
      </c>
      <c r="H317" s="62">
        <v>0</v>
      </c>
      <c r="I317" s="62">
        <f t="shared" si="22"/>
        <v>4331</v>
      </c>
      <c r="J317" s="21">
        <f t="shared" si="26"/>
        <v>122.43</v>
      </c>
      <c r="K317" s="21">
        <f>(D317+E317)*12%</f>
        <v>489.72</v>
      </c>
      <c r="L317" s="21">
        <v>0</v>
      </c>
      <c r="M317" s="21">
        <v>0</v>
      </c>
      <c r="N317" s="24">
        <f t="shared" si="27"/>
        <v>612.15</v>
      </c>
      <c r="O317" s="24">
        <f t="shared" si="23"/>
        <v>3718.85</v>
      </c>
      <c r="P317" s="24">
        <f>210+181.95</f>
        <v>391.95</v>
      </c>
    </row>
    <row r="318" spans="1:16" ht="25.5" x14ac:dyDescent="0.2">
      <c r="A318" s="54">
        <v>309</v>
      </c>
      <c r="B318" s="60" t="s">
        <v>287</v>
      </c>
      <c r="C318" s="60" t="s">
        <v>165</v>
      </c>
      <c r="D318" s="60">
        <v>3241</v>
      </c>
      <c r="E318" s="64">
        <v>1000</v>
      </c>
      <c r="F318" s="78">
        <v>0</v>
      </c>
      <c r="G318" s="62">
        <v>250</v>
      </c>
      <c r="H318" s="62">
        <v>0</v>
      </c>
      <c r="I318" s="62">
        <f t="shared" si="22"/>
        <v>4491</v>
      </c>
      <c r="J318" s="21">
        <f t="shared" si="26"/>
        <v>127.23</v>
      </c>
      <c r="K318" s="21">
        <f>(D318+E318)*12%</f>
        <v>508.92</v>
      </c>
      <c r="L318" s="21">
        <v>0</v>
      </c>
      <c r="M318" s="21">
        <v>0</v>
      </c>
      <c r="N318" s="24">
        <f t="shared" si="27"/>
        <v>636.15</v>
      </c>
      <c r="O318" s="24">
        <f t="shared" si="23"/>
        <v>3854.85</v>
      </c>
      <c r="P318" s="24">
        <f>1470+1050</f>
        <v>2520</v>
      </c>
    </row>
    <row r="319" spans="1:16" ht="25.5" x14ac:dyDescent="0.2">
      <c r="A319" s="54">
        <v>310</v>
      </c>
      <c r="B319" s="60" t="s">
        <v>166</v>
      </c>
      <c r="C319" s="60" t="s">
        <v>259</v>
      </c>
      <c r="D319" s="60">
        <v>1940</v>
      </c>
      <c r="E319" s="60">
        <v>0</v>
      </c>
      <c r="F319" s="78">
        <v>0</v>
      </c>
      <c r="G319" s="62">
        <v>0</v>
      </c>
      <c r="H319" s="62">
        <v>0</v>
      </c>
      <c r="I319" s="62">
        <f t="shared" si="22"/>
        <v>1940</v>
      </c>
      <c r="J319" s="21">
        <f t="shared" si="26"/>
        <v>58.2</v>
      </c>
      <c r="K319" s="21">
        <f>D319*10%</f>
        <v>194</v>
      </c>
      <c r="L319" s="21">
        <v>0</v>
      </c>
      <c r="M319" s="21">
        <v>0</v>
      </c>
      <c r="N319" s="24">
        <f t="shared" si="27"/>
        <v>252.2</v>
      </c>
      <c r="O319" s="24">
        <f t="shared" si="23"/>
        <v>1687.8</v>
      </c>
      <c r="P319" s="24">
        <v>0</v>
      </c>
    </row>
    <row r="320" spans="1:16" ht="25.5" x14ac:dyDescent="0.2">
      <c r="A320" s="54">
        <v>311</v>
      </c>
      <c r="B320" s="60" t="s">
        <v>288</v>
      </c>
      <c r="C320" s="60" t="s">
        <v>259</v>
      </c>
      <c r="D320" s="60">
        <v>1940</v>
      </c>
      <c r="E320" s="60">
        <v>0</v>
      </c>
      <c r="F320" s="78">
        <v>0</v>
      </c>
      <c r="G320" s="62">
        <v>0</v>
      </c>
      <c r="H320" s="62">
        <v>0</v>
      </c>
      <c r="I320" s="62">
        <f t="shared" si="22"/>
        <v>1940</v>
      </c>
      <c r="J320" s="21">
        <f t="shared" si="26"/>
        <v>58.2</v>
      </c>
      <c r="K320" s="21">
        <f>D320*10%</f>
        <v>194</v>
      </c>
      <c r="L320" s="21">
        <v>0</v>
      </c>
      <c r="M320" s="21">
        <v>0</v>
      </c>
      <c r="N320" s="24">
        <f t="shared" si="27"/>
        <v>252.2</v>
      </c>
      <c r="O320" s="24">
        <f t="shared" si="23"/>
        <v>1687.8</v>
      </c>
      <c r="P320" s="24">
        <v>0</v>
      </c>
    </row>
    <row r="321" spans="1:16" ht="25.5" x14ac:dyDescent="0.2">
      <c r="A321" s="54">
        <v>312</v>
      </c>
      <c r="B321" s="21" t="s">
        <v>780</v>
      </c>
      <c r="C321" s="60" t="s">
        <v>386</v>
      </c>
      <c r="D321" s="120">
        <v>2234</v>
      </c>
      <c r="E321" s="60">
        <v>1900</v>
      </c>
      <c r="F321" s="78">
        <v>0</v>
      </c>
      <c r="G321" s="62">
        <v>250</v>
      </c>
      <c r="H321" s="62">
        <v>0</v>
      </c>
      <c r="I321" s="62">
        <f t="shared" si="22"/>
        <v>4384</v>
      </c>
      <c r="J321" s="21">
        <f t="shared" si="26"/>
        <v>124.02</v>
      </c>
      <c r="K321" s="21">
        <f>(D321+E321)*12%</f>
        <v>496.08</v>
      </c>
      <c r="L321" s="21">
        <v>0</v>
      </c>
      <c r="M321" s="21">
        <v>55.56</v>
      </c>
      <c r="N321" s="24">
        <f t="shared" si="27"/>
        <v>675.66</v>
      </c>
      <c r="O321" s="24">
        <f t="shared" si="23"/>
        <v>3708.34</v>
      </c>
      <c r="P321" s="24">
        <v>0</v>
      </c>
    </row>
    <row r="322" spans="1:16" ht="25.5" x14ac:dyDescent="0.2">
      <c r="A322" s="54">
        <v>313</v>
      </c>
      <c r="B322" s="89" t="s">
        <v>905</v>
      </c>
      <c r="C322" s="67" t="s">
        <v>84</v>
      </c>
      <c r="D322" s="107">
        <v>2760</v>
      </c>
      <c r="E322" s="60">
        <v>1000</v>
      </c>
      <c r="F322" s="78">
        <v>0</v>
      </c>
      <c r="G322" s="62">
        <v>250</v>
      </c>
      <c r="H322" s="62">
        <v>0</v>
      </c>
      <c r="I322" s="62">
        <f t="shared" si="22"/>
        <v>4010</v>
      </c>
      <c r="J322" s="21">
        <f t="shared" si="26"/>
        <v>112.8</v>
      </c>
      <c r="K322" s="21">
        <f>(D322+E322)*11%</f>
        <v>413.6</v>
      </c>
      <c r="L322" s="21">
        <v>0</v>
      </c>
      <c r="M322" s="21">
        <v>0</v>
      </c>
      <c r="N322" s="24">
        <f t="shared" si="27"/>
        <v>526.4</v>
      </c>
      <c r="O322" s="24">
        <f t="shared" si="23"/>
        <v>3483.6</v>
      </c>
      <c r="P322" s="24">
        <v>0</v>
      </c>
    </row>
    <row r="323" spans="1:16" x14ac:dyDescent="0.2">
      <c r="A323" s="54">
        <v>314</v>
      </c>
      <c r="B323" s="60" t="s">
        <v>289</v>
      </c>
      <c r="C323" s="60" t="s">
        <v>89</v>
      </c>
      <c r="D323" s="60">
        <v>1668</v>
      </c>
      <c r="E323" s="60">
        <v>1000</v>
      </c>
      <c r="F323" s="78">
        <v>0</v>
      </c>
      <c r="G323" s="62">
        <v>250</v>
      </c>
      <c r="H323" s="62">
        <v>0</v>
      </c>
      <c r="I323" s="62">
        <f t="shared" si="22"/>
        <v>2918</v>
      </c>
      <c r="J323" s="21">
        <f t="shared" si="26"/>
        <v>80.040000000000006</v>
      </c>
      <c r="K323" s="21">
        <f>(D323+E323)*11%</f>
        <v>293.48</v>
      </c>
      <c r="L323" s="21">
        <v>0</v>
      </c>
      <c r="M323" s="21">
        <v>0</v>
      </c>
      <c r="N323" s="24">
        <f t="shared" si="27"/>
        <v>373.52</v>
      </c>
      <c r="O323" s="24">
        <f t="shared" si="23"/>
        <v>2544.48</v>
      </c>
      <c r="P323" s="24">
        <v>0</v>
      </c>
    </row>
    <row r="324" spans="1:16" x14ac:dyDescent="0.2">
      <c r="A324" s="54">
        <v>315</v>
      </c>
      <c r="B324" s="60" t="s">
        <v>167</v>
      </c>
      <c r="C324" s="60" t="s">
        <v>89</v>
      </c>
      <c r="D324" s="21">
        <v>1668</v>
      </c>
      <c r="E324" s="21">
        <v>1000</v>
      </c>
      <c r="F324" s="78">
        <v>0</v>
      </c>
      <c r="G324" s="62">
        <v>250</v>
      </c>
      <c r="H324" s="62">
        <v>0</v>
      </c>
      <c r="I324" s="62">
        <f t="shared" si="22"/>
        <v>2918</v>
      </c>
      <c r="J324" s="21">
        <f t="shared" si="26"/>
        <v>80.040000000000006</v>
      </c>
      <c r="K324" s="21">
        <f>(D324+E324)*11%</f>
        <v>293.48</v>
      </c>
      <c r="L324" s="21">
        <v>0</v>
      </c>
      <c r="M324" s="21">
        <v>0</v>
      </c>
      <c r="N324" s="24">
        <f t="shared" si="27"/>
        <v>373.52</v>
      </c>
      <c r="O324" s="24">
        <f t="shared" si="23"/>
        <v>2544.48</v>
      </c>
      <c r="P324" s="24">
        <v>0</v>
      </c>
    </row>
    <row r="325" spans="1:16" ht="25.5" x14ac:dyDescent="0.2">
      <c r="A325" s="54">
        <v>316</v>
      </c>
      <c r="B325" s="70" t="s">
        <v>927</v>
      </c>
      <c r="C325" s="116" t="s">
        <v>275</v>
      </c>
      <c r="D325" s="21">
        <v>1358</v>
      </c>
      <c r="E325" s="60">
        <v>0</v>
      </c>
      <c r="F325" s="78">
        <v>0</v>
      </c>
      <c r="G325" s="62">
        <v>0</v>
      </c>
      <c r="H325" s="62">
        <v>0</v>
      </c>
      <c r="I325" s="62">
        <f t="shared" si="22"/>
        <v>1358</v>
      </c>
      <c r="J325" s="21">
        <f t="shared" si="26"/>
        <v>40.74</v>
      </c>
      <c r="K325" s="21">
        <f>(D325+E325)*10%</f>
        <v>135.80000000000001</v>
      </c>
      <c r="L325" s="21">
        <v>0</v>
      </c>
      <c r="M325" s="21">
        <v>0</v>
      </c>
      <c r="N325" s="24">
        <f t="shared" si="27"/>
        <v>176.54</v>
      </c>
      <c r="O325" s="24">
        <f t="shared" si="23"/>
        <v>1181.46</v>
      </c>
      <c r="P325" s="24">
        <v>0</v>
      </c>
    </row>
    <row r="326" spans="1:16" ht="25.5" x14ac:dyDescent="0.2">
      <c r="A326" s="54">
        <v>317</v>
      </c>
      <c r="B326" s="91" t="s">
        <v>250</v>
      </c>
      <c r="C326" s="60" t="s">
        <v>385</v>
      </c>
      <c r="D326" s="78">
        <v>3241</v>
      </c>
      <c r="E326" s="78">
        <v>1000</v>
      </c>
      <c r="F326" s="78">
        <v>0</v>
      </c>
      <c r="G326" s="78">
        <v>250</v>
      </c>
      <c r="H326" s="62">
        <v>0</v>
      </c>
      <c r="I326" s="62">
        <f t="shared" si="22"/>
        <v>4491</v>
      </c>
      <c r="J326" s="21">
        <f t="shared" si="26"/>
        <v>127.23</v>
      </c>
      <c r="K326" s="21">
        <f>(D326+E326)*12%</f>
        <v>508.92</v>
      </c>
      <c r="L326" s="21">
        <v>0</v>
      </c>
      <c r="M326" s="21">
        <v>0</v>
      </c>
      <c r="N326" s="24">
        <f t="shared" si="27"/>
        <v>636.15</v>
      </c>
      <c r="O326" s="24">
        <f t="shared" si="23"/>
        <v>3854.85</v>
      </c>
      <c r="P326" s="24">
        <v>0</v>
      </c>
    </row>
    <row r="327" spans="1:16" ht="25.5" x14ac:dyDescent="0.2">
      <c r="A327" s="54">
        <v>318</v>
      </c>
      <c r="B327" s="60" t="s">
        <v>290</v>
      </c>
      <c r="C327" s="60" t="s">
        <v>84</v>
      </c>
      <c r="D327" s="60">
        <v>2760</v>
      </c>
      <c r="E327" s="60">
        <v>1000</v>
      </c>
      <c r="F327" s="78">
        <v>0</v>
      </c>
      <c r="G327" s="62">
        <v>250</v>
      </c>
      <c r="H327" s="62">
        <v>0</v>
      </c>
      <c r="I327" s="62">
        <f t="shared" si="22"/>
        <v>4010</v>
      </c>
      <c r="J327" s="21">
        <f t="shared" si="26"/>
        <v>112.8</v>
      </c>
      <c r="K327" s="21">
        <f>(D327+E327)*11%</f>
        <v>413.6</v>
      </c>
      <c r="L327" s="21">
        <v>0</v>
      </c>
      <c r="M327" s="21">
        <v>0</v>
      </c>
      <c r="N327" s="24">
        <f t="shared" si="27"/>
        <v>526.4</v>
      </c>
      <c r="O327" s="24">
        <f t="shared" si="23"/>
        <v>3483.6</v>
      </c>
      <c r="P327" s="24">
        <v>0</v>
      </c>
    </row>
    <row r="328" spans="1:16" ht="25.5" x14ac:dyDescent="0.2">
      <c r="A328" s="54">
        <v>319</v>
      </c>
      <c r="B328" s="60" t="s">
        <v>358</v>
      </c>
      <c r="C328" s="60" t="s">
        <v>257</v>
      </c>
      <c r="D328" s="60">
        <v>2425</v>
      </c>
      <c r="E328" s="60">
        <v>0</v>
      </c>
      <c r="F328" s="78">
        <v>0</v>
      </c>
      <c r="G328" s="62">
        <v>0</v>
      </c>
      <c r="H328" s="62">
        <v>0</v>
      </c>
      <c r="I328" s="62">
        <f t="shared" si="22"/>
        <v>2425</v>
      </c>
      <c r="J328" s="21">
        <f t="shared" si="26"/>
        <v>72.75</v>
      </c>
      <c r="K328" s="21">
        <f>D328*11%</f>
        <v>266.75</v>
      </c>
      <c r="L328" s="21">
        <v>0</v>
      </c>
      <c r="M328" s="21">
        <v>0</v>
      </c>
      <c r="N328" s="24">
        <f t="shared" si="27"/>
        <v>339.5</v>
      </c>
      <c r="O328" s="24">
        <f t="shared" si="23"/>
        <v>2085.5</v>
      </c>
      <c r="P328" s="24">
        <v>0</v>
      </c>
    </row>
    <row r="329" spans="1:16" ht="25.5" x14ac:dyDescent="0.2">
      <c r="A329" s="54">
        <v>320</v>
      </c>
      <c r="B329" s="60" t="s">
        <v>795</v>
      </c>
      <c r="C329" s="60" t="s">
        <v>257</v>
      </c>
      <c r="D329" s="21">
        <v>2425</v>
      </c>
      <c r="E329" s="60">
        <v>0</v>
      </c>
      <c r="F329" s="78">
        <v>0</v>
      </c>
      <c r="G329" s="62">
        <v>0</v>
      </c>
      <c r="H329" s="62">
        <v>0</v>
      </c>
      <c r="I329" s="62">
        <f t="shared" si="22"/>
        <v>2425</v>
      </c>
      <c r="J329" s="21">
        <f t="shared" si="26"/>
        <v>72.75</v>
      </c>
      <c r="K329" s="21">
        <f>(D329+E329)*11%</f>
        <v>266.75</v>
      </c>
      <c r="L329" s="21">
        <v>0</v>
      </c>
      <c r="M329" s="21">
        <v>0</v>
      </c>
      <c r="N329" s="24">
        <f t="shared" si="27"/>
        <v>339.5</v>
      </c>
      <c r="O329" s="24">
        <f t="shared" si="23"/>
        <v>2085.5</v>
      </c>
      <c r="P329" s="24">
        <v>0</v>
      </c>
    </row>
    <row r="330" spans="1:16" ht="25.5" x14ac:dyDescent="0.2">
      <c r="A330" s="54">
        <v>321</v>
      </c>
      <c r="B330" s="143" t="s">
        <v>1039</v>
      </c>
      <c r="C330" s="60" t="s">
        <v>257</v>
      </c>
      <c r="D330" s="21">
        <v>2425</v>
      </c>
      <c r="E330" s="60">
        <v>0</v>
      </c>
      <c r="F330" s="78">
        <v>0</v>
      </c>
      <c r="G330" s="62">
        <v>0</v>
      </c>
      <c r="H330" s="62">
        <v>0</v>
      </c>
      <c r="I330" s="62">
        <f t="shared" si="22"/>
        <v>2425</v>
      </c>
      <c r="J330" s="21">
        <f t="shared" si="26"/>
        <v>72.75</v>
      </c>
      <c r="K330" s="21">
        <f>(D330+E330)*11%</f>
        <v>266.75</v>
      </c>
      <c r="L330" s="21">
        <v>0</v>
      </c>
      <c r="M330" s="21">
        <v>0</v>
      </c>
      <c r="N330" s="24">
        <f t="shared" si="27"/>
        <v>339.5</v>
      </c>
      <c r="O330" s="24">
        <f t="shared" si="23"/>
        <v>2085.5</v>
      </c>
      <c r="P330" s="24">
        <v>0</v>
      </c>
    </row>
    <row r="331" spans="1:16" ht="25.5" x14ac:dyDescent="0.2">
      <c r="A331" s="54">
        <v>322</v>
      </c>
      <c r="B331" s="60" t="s">
        <v>168</v>
      </c>
      <c r="C331" s="60" t="s">
        <v>257</v>
      </c>
      <c r="D331" s="60">
        <v>2425</v>
      </c>
      <c r="E331" s="60">
        <v>0</v>
      </c>
      <c r="F331" s="78">
        <v>0</v>
      </c>
      <c r="G331" s="62">
        <v>0</v>
      </c>
      <c r="H331" s="62">
        <v>0</v>
      </c>
      <c r="I331" s="62">
        <f t="shared" si="22"/>
        <v>2425</v>
      </c>
      <c r="J331" s="21">
        <f t="shared" si="26"/>
        <v>72.75</v>
      </c>
      <c r="K331" s="21">
        <f>D331*11%</f>
        <v>266.75</v>
      </c>
      <c r="L331" s="21">
        <v>0</v>
      </c>
      <c r="M331" s="21">
        <v>0</v>
      </c>
      <c r="N331" s="24">
        <f t="shared" si="27"/>
        <v>339.5</v>
      </c>
      <c r="O331" s="24">
        <f t="shared" si="23"/>
        <v>2085.5</v>
      </c>
      <c r="P331" s="24">
        <v>0</v>
      </c>
    </row>
    <row r="332" spans="1:16" ht="25.5" x14ac:dyDescent="0.2">
      <c r="A332" s="54">
        <v>323</v>
      </c>
      <c r="B332" s="60" t="s">
        <v>169</v>
      </c>
      <c r="C332" s="60" t="s">
        <v>257</v>
      </c>
      <c r="D332" s="60">
        <v>2425</v>
      </c>
      <c r="E332" s="60">
        <v>0</v>
      </c>
      <c r="F332" s="78">
        <v>0</v>
      </c>
      <c r="G332" s="62">
        <v>0</v>
      </c>
      <c r="H332" s="62">
        <v>0</v>
      </c>
      <c r="I332" s="62">
        <f t="shared" si="22"/>
        <v>2425</v>
      </c>
      <c r="J332" s="21">
        <f t="shared" si="26"/>
        <v>72.75</v>
      </c>
      <c r="K332" s="21">
        <f>D332*11%</f>
        <v>266.75</v>
      </c>
      <c r="L332" s="21">
        <v>0</v>
      </c>
      <c r="M332" s="21">
        <v>0</v>
      </c>
      <c r="N332" s="24">
        <f t="shared" si="27"/>
        <v>339.5</v>
      </c>
      <c r="O332" s="24">
        <f t="shared" si="23"/>
        <v>2085.5</v>
      </c>
      <c r="P332" s="24">
        <v>0</v>
      </c>
    </row>
    <row r="333" spans="1:16" ht="25.5" x14ac:dyDescent="0.2">
      <c r="A333" s="54">
        <v>324</v>
      </c>
      <c r="B333" s="89" t="s">
        <v>943</v>
      </c>
      <c r="C333" s="94" t="s">
        <v>366</v>
      </c>
      <c r="D333" s="99">
        <v>3241</v>
      </c>
      <c r="E333" s="64">
        <v>1000</v>
      </c>
      <c r="F333" s="78">
        <v>0</v>
      </c>
      <c r="G333" s="62">
        <v>250</v>
      </c>
      <c r="H333" s="62">
        <v>0</v>
      </c>
      <c r="I333" s="62">
        <f t="shared" si="22"/>
        <v>4491</v>
      </c>
      <c r="J333" s="21">
        <f t="shared" si="26"/>
        <v>127.23</v>
      </c>
      <c r="K333" s="21">
        <f>(D333+E333)*12%</f>
        <v>508.92</v>
      </c>
      <c r="L333" s="21">
        <v>0</v>
      </c>
      <c r="M333" s="21">
        <v>0</v>
      </c>
      <c r="N333" s="24">
        <f t="shared" si="27"/>
        <v>636.15</v>
      </c>
      <c r="O333" s="24">
        <f t="shared" si="23"/>
        <v>3854.85</v>
      </c>
      <c r="P333" s="24">
        <v>0</v>
      </c>
    </row>
    <row r="334" spans="1:16" ht="25.5" x14ac:dyDescent="0.2">
      <c r="A334" s="54">
        <v>325</v>
      </c>
      <c r="B334" s="60" t="s">
        <v>359</v>
      </c>
      <c r="C334" s="60" t="s">
        <v>257</v>
      </c>
      <c r="D334" s="60">
        <v>2425</v>
      </c>
      <c r="E334" s="60">
        <v>0</v>
      </c>
      <c r="F334" s="78">
        <v>0</v>
      </c>
      <c r="G334" s="62">
        <v>0</v>
      </c>
      <c r="H334" s="62">
        <v>0</v>
      </c>
      <c r="I334" s="62">
        <f t="shared" si="22"/>
        <v>2425</v>
      </c>
      <c r="J334" s="21">
        <f t="shared" ref="J334:J367" si="28">(D334+E334+F334)*3%</f>
        <v>72.75</v>
      </c>
      <c r="K334" s="21">
        <f>D334*11%</f>
        <v>266.75</v>
      </c>
      <c r="L334" s="21">
        <v>0</v>
      </c>
      <c r="M334" s="21">
        <v>0</v>
      </c>
      <c r="N334" s="24">
        <f t="shared" si="27"/>
        <v>339.5</v>
      </c>
      <c r="O334" s="24">
        <f t="shared" si="23"/>
        <v>2085.5</v>
      </c>
      <c r="P334" s="24">
        <v>0</v>
      </c>
    </row>
    <row r="335" spans="1:16" ht="25.5" x14ac:dyDescent="0.2">
      <c r="A335" s="54">
        <v>326</v>
      </c>
      <c r="B335" s="89" t="s">
        <v>959</v>
      </c>
      <c r="C335" s="60" t="s">
        <v>225</v>
      </c>
      <c r="D335" s="107">
        <v>2249</v>
      </c>
      <c r="E335" s="78">
        <v>1000</v>
      </c>
      <c r="F335" s="78">
        <v>0</v>
      </c>
      <c r="G335" s="78">
        <v>250</v>
      </c>
      <c r="H335" s="62">
        <v>0</v>
      </c>
      <c r="I335" s="62">
        <f t="shared" ref="I335:I367" si="29">(D335+E335+F335+G335+H335)</f>
        <v>3499</v>
      </c>
      <c r="J335" s="21">
        <f t="shared" si="28"/>
        <v>97.47</v>
      </c>
      <c r="K335" s="21">
        <f>(D335+E335)*11%</f>
        <v>357.39</v>
      </c>
      <c r="L335" s="21">
        <v>0</v>
      </c>
      <c r="M335" s="21">
        <v>0</v>
      </c>
      <c r="N335" s="24">
        <f t="shared" si="27"/>
        <v>454.86</v>
      </c>
      <c r="O335" s="24">
        <f t="shared" ref="O335:O367" si="30">I335-N335</f>
        <v>3044.14</v>
      </c>
      <c r="P335" s="24">
        <v>0</v>
      </c>
    </row>
    <row r="336" spans="1:16" ht="25.5" x14ac:dyDescent="0.2">
      <c r="A336" s="54">
        <v>327</v>
      </c>
      <c r="B336" s="91" t="s">
        <v>170</v>
      </c>
      <c r="C336" s="94" t="s">
        <v>388</v>
      </c>
      <c r="D336" s="78">
        <v>5787</v>
      </c>
      <c r="E336" s="78">
        <v>1800</v>
      </c>
      <c r="F336" s="78">
        <v>0</v>
      </c>
      <c r="G336" s="78">
        <v>250</v>
      </c>
      <c r="H336" s="62">
        <v>0</v>
      </c>
      <c r="I336" s="62">
        <f t="shared" si="29"/>
        <v>7837</v>
      </c>
      <c r="J336" s="21">
        <f t="shared" si="28"/>
        <v>227.61</v>
      </c>
      <c r="K336" s="21">
        <f>(D336+E336)*13%</f>
        <v>986.31</v>
      </c>
      <c r="L336" s="21">
        <v>0</v>
      </c>
      <c r="M336" s="21">
        <v>101.97</v>
      </c>
      <c r="N336" s="24">
        <f t="shared" si="27"/>
        <v>1315.89</v>
      </c>
      <c r="O336" s="24">
        <f t="shared" si="30"/>
        <v>6521.11</v>
      </c>
      <c r="P336" s="24">
        <v>0</v>
      </c>
    </row>
    <row r="337" spans="1:16" ht="25.5" x14ac:dyDescent="0.2">
      <c r="A337" s="54">
        <v>328</v>
      </c>
      <c r="B337" s="89" t="s">
        <v>911</v>
      </c>
      <c r="C337" s="60" t="s">
        <v>84</v>
      </c>
      <c r="D337" s="78">
        <v>2760</v>
      </c>
      <c r="E337" s="78">
        <v>1000</v>
      </c>
      <c r="F337" s="78">
        <v>0</v>
      </c>
      <c r="G337" s="78">
        <v>250</v>
      </c>
      <c r="H337" s="62">
        <v>0</v>
      </c>
      <c r="I337" s="62">
        <f t="shared" si="29"/>
        <v>4010</v>
      </c>
      <c r="J337" s="21">
        <f t="shared" si="28"/>
        <v>112.8</v>
      </c>
      <c r="K337" s="21">
        <f>(D337+E337)*11%</f>
        <v>413.6</v>
      </c>
      <c r="L337" s="21">
        <v>0</v>
      </c>
      <c r="M337" s="21">
        <v>50.53</v>
      </c>
      <c r="N337" s="24">
        <f t="shared" si="27"/>
        <v>576.92999999999995</v>
      </c>
      <c r="O337" s="24">
        <f t="shared" si="30"/>
        <v>3433.07</v>
      </c>
      <c r="P337" s="24">
        <v>0</v>
      </c>
    </row>
    <row r="338" spans="1:16" ht="25.5" x14ac:dyDescent="0.2">
      <c r="A338" s="54">
        <v>329</v>
      </c>
      <c r="B338" s="89" t="s">
        <v>960</v>
      </c>
      <c r="C338" s="60" t="s">
        <v>85</v>
      </c>
      <c r="D338" s="78">
        <v>5095</v>
      </c>
      <c r="E338" s="78">
        <v>1800</v>
      </c>
      <c r="F338" s="78"/>
      <c r="G338" s="78">
        <v>250</v>
      </c>
      <c r="H338" s="62"/>
      <c r="I338" s="62">
        <f t="shared" si="29"/>
        <v>7145</v>
      </c>
      <c r="J338" s="21">
        <f t="shared" si="28"/>
        <v>206.85</v>
      </c>
      <c r="K338" s="21">
        <f>(D338+E338)*13%</f>
        <v>896.35</v>
      </c>
      <c r="L338" s="21">
        <v>0</v>
      </c>
      <c r="M338" s="21">
        <v>92.67</v>
      </c>
      <c r="N338" s="24">
        <f t="shared" ref="N338:N367" si="31">J338+K338+L338+M338</f>
        <v>1195.8699999999999</v>
      </c>
      <c r="O338" s="24">
        <f t="shared" si="30"/>
        <v>5949.13</v>
      </c>
      <c r="P338" s="24">
        <v>0</v>
      </c>
    </row>
    <row r="339" spans="1:16" ht="25.5" x14ac:dyDescent="0.2">
      <c r="A339" s="54">
        <v>330</v>
      </c>
      <c r="B339" s="89" t="s">
        <v>846</v>
      </c>
      <c r="C339" s="60" t="s">
        <v>226</v>
      </c>
      <c r="D339" s="115">
        <v>1831</v>
      </c>
      <c r="E339" s="78">
        <v>1000</v>
      </c>
      <c r="F339" s="78">
        <v>0</v>
      </c>
      <c r="G339" s="78">
        <v>250</v>
      </c>
      <c r="H339" s="62">
        <v>0</v>
      </c>
      <c r="I339" s="62">
        <f t="shared" si="29"/>
        <v>3081</v>
      </c>
      <c r="J339" s="21">
        <f t="shared" si="28"/>
        <v>84.93</v>
      </c>
      <c r="K339" s="21">
        <f>(D339+E339)*11%</f>
        <v>311.41000000000003</v>
      </c>
      <c r="L339" s="21">
        <v>0</v>
      </c>
      <c r="M339" s="21">
        <v>0</v>
      </c>
      <c r="N339" s="24">
        <f t="shared" si="31"/>
        <v>396.34</v>
      </c>
      <c r="O339" s="24">
        <f t="shared" si="30"/>
        <v>2684.66</v>
      </c>
      <c r="P339" s="24">
        <v>0</v>
      </c>
    </row>
    <row r="340" spans="1:16" x14ac:dyDescent="0.2">
      <c r="A340" s="54">
        <v>331</v>
      </c>
      <c r="B340" s="60" t="s">
        <v>171</v>
      </c>
      <c r="C340" s="60" t="s">
        <v>89</v>
      </c>
      <c r="D340" s="60">
        <v>1668</v>
      </c>
      <c r="E340" s="60">
        <v>1000</v>
      </c>
      <c r="F340" s="78">
        <v>0</v>
      </c>
      <c r="G340" s="62">
        <v>250</v>
      </c>
      <c r="H340" s="62">
        <v>0</v>
      </c>
      <c r="I340" s="62">
        <f t="shared" si="29"/>
        <v>2918</v>
      </c>
      <c r="J340" s="21">
        <f t="shared" si="28"/>
        <v>80.040000000000006</v>
      </c>
      <c r="K340" s="21">
        <f>(D340+E340)*11%</f>
        <v>293.48</v>
      </c>
      <c r="L340" s="21">
        <v>0</v>
      </c>
      <c r="M340" s="21">
        <v>0</v>
      </c>
      <c r="N340" s="24">
        <f t="shared" si="31"/>
        <v>373.52</v>
      </c>
      <c r="O340" s="24">
        <f t="shared" si="30"/>
        <v>2544.48</v>
      </c>
      <c r="P340" s="24">
        <v>0</v>
      </c>
    </row>
    <row r="341" spans="1:16" ht="25.5" x14ac:dyDescent="0.2">
      <c r="A341" s="54">
        <v>332</v>
      </c>
      <c r="B341" s="70" t="s">
        <v>912</v>
      </c>
      <c r="C341" s="60" t="s">
        <v>257</v>
      </c>
      <c r="D341" s="21">
        <v>2425</v>
      </c>
      <c r="E341" s="60">
        <v>0</v>
      </c>
      <c r="F341" s="78">
        <v>0</v>
      </c>
      <c r="G341" s="62">
        <v>0</v>
      </c>
      <c r="H341" s="62">
        <v>0</v>
      </c>
      <c r="I341" s="62">
        <f t="shared" si="29"/>
        <v>2425</v>
      </c>
      <c r="J341" s="21">
        <f t="shared" si="28"/>
        <v>72.75</v>
      </c>
      <c r="K341" s="21">
        <f>(D341+E341)*11%</f>
        <v>266.75</v>
      </c>
      <c r="L341" s="21">
        <v>0</v>
      </c>
      <c r="M341" s="21">
        <v>0</v>
      </c>
      <c r="N341" s="24">
        <f t="shared" si="31"/>
        <v>339.5</v>
      </c>
      <c r="O341" s="24">
        <f t="shared" si="30"/>
        <v>2085.5</v>
      </c>
      <c r="P341" s="24">
        <v>0</v>
      </c>
    </row>
    <row r="342" spans="1:16" ht="25.5" x14ac:dyDescent="0.2">
      <c r="A342" s="54">
        <v>333</v>
      </c>
      <c r="B342" s="60" t="s">
        <v>172</v>
      </c>
      <c r="C342" s="60" t="s">
        <v>257</v>
      </c>
      <c r="D342" s="88">
        <v>2425</v>
      </c>
      <c r="E342" s="60">
        <v>0</v>
      </c>
      <c r="F342" s="78">
        <v>0</v>
      </c>
      <c r="G342" s="62">
        <v>0</v>
      </c>
      <c r="H342" s="62">
        <v>0</v>
      </c>
      <c r="I342" s="62">
        <f t="shared" si="29"/>
        <v>2425</v>
      </c>
      <c r="J342" s="21">
        <f t="shared" si="28"/>
        <v>72.75</v>
      </c>
      <c r="K342" s="21">
        <f>D342*11%</f>
        <v>266.75</v>
      </c>
      <c r="L342" s="21">
        <v>0</v>
      </c>
      <c r="M342" s="21">
        <v>0</v>
      </c>
      <c r="N342" s="24">
        <f t="shared" si="31"/>
        <v>339.5</v>
      </c>
      <c r="O342" s="24">
        <f t="shared" si="30"/>
        <v>2085.5</v>
      </c>
      <c r="P342" s="24">
        <v>0</v>
      </c>
    </row>
    <row r="343" spans="1:16" ht="25.5" x14ac:dyDescent="0.2">
      <c r="A343" s="54">
        <v>334</v>
      </c>
      <c r="B343" s="89" t="s">
        <v>913</v>
      </c>
      <c r="C343" s="60" t="s">
        <v>257</v>
      </c>
      <c r="D343" s="21">
        <v>2425</v>
      </c>
      <c r="E343" s="78">
        <v>0</v>
      </c>
      <c r="F343" s="78">
        <v>0</v>
      </c>
      <c r="G343" s="78">
        <v>0</v>
      </c>
      <c r="H343" s="62">
        <v>0</v>
      </c>
      <c r="I343" s="62">
        <f t="shared" si="29"/>
        <v>2425</v>
      </c>
      <c r="J343" s="21">
        <f t="shared" si="28"/>
        <v>72.75</v>
      </c>
      <c r="K343" s="21">
        <f>(D343+E343)*11%</f>
        <v>266.75</v>
      </c>
      <c r="L343" s="21">
        <v>0</v>
      </c>
      <c r="M343" s="21">
        <v>0</v>
      </c>
      <c r="N343" s="24">
        <f t="shared" si="31"/>
        <v>339.5</v>
      </c>
      <c r="O343" s="24">
        <f t="shared" si="30"/>
        <v>2085.5</v>
      </c>
      <c r="P343" s="24">
        <v>0</v>
      </c>
    </row>
    <row r="344" spans="1:16" ht="25.5" x14ac:dyDescent="0.2">
      <c r="A344" s="54">
        <v>335</v>
      </c>
      <c r="B344" s="91" t="s">
        <v>173</v>
      </c>
      <c r="C344" s="94" t="s">
        <v>221</v>
      </c>
      <c r="D344" s="78">
        <v>3241</v>
      </c>
      <c r="E344" s="78">
        <v>1000</v>
      </c>
      <c r="F344" s="78">
        <v>0</v>
      </c>
      <c r="G344" s="78">
        <v>250</v>
      </c>
      <c r="H344" s="62">
        <v>0</v>
      </c>
      <c r="I344" s="62">
        <f t="shared" si="29"/>
        <v>4491</v>
      </c>
      <c r="J344" s="21">
        <f t="shared" si="28"/>
        <v>127.23</v>
      </c>
      <c r="K344" s="21">
        <f>(D344+E344)*12%</f>
        <v>508.92</v>
      </c>
      <c r="L344" s="21">
        <v>0</v>
      </c>
      <c r="M344" s="21">
        <v>0</v>
      </c>
      <c r="N344" s="24">
        <f t="shared" si="31"/>
        <v>636.15</v>
      </c>
      <c r="O344" s="24">
        <f t="shared" si="30"/>
        <v>3854.85</v>
      </c>
      <c r="P344" s="24">
        <v>0</v>
      </c>
    </row>
    <row r="345" spans="1:16" ht="25.5" x14ac:dyDescent="0.2">
      <c r="A345" s="54">
        <v>336</v>
      </c>
      <c r="B345" s="70" t="s">
        <v>944</v>
      </c>
      <c r="C345" s="66" t="s">
        <v>377</v>
      </c>
      <c r="D345" s="78">
        <v>3081</v>
      </c>
      <c r="E345" s="78">
        <v>1000</v>
      </c>
      <c r="F345" s="78">
        <v>0</v>
      </c>
      <c r="G345" s="78">
        <v>250</v>
      </c>
      <c r="H345" s="62">
        <v>0</v>
      </c>
      <c r="I345" s="62">
        <f t="shared" si="29"/>
        <v>4331</v>
      </c>
      <c r="J345" s="21">
        <f t="shared" si="28"/>
        <v>122.43</v>
      </c>
      <c r="K345" s="21">
        <f>(D345+E345)*12%</f>
        <v>489.72</v>
      </c>
      <c r="L345" s="21">
        <v>0</v>
      </c>
      <c r="M345" s="21">
        <v>54.85</v>
      </c>
      <c r="N345" s="24">
        <f t="shared" si="31"/>
        <v>667</v>
      </c>
      <c r="O345" s="24">
        <f t="shared" si="30"/>
        <v>3664</v>
      </c>
      <c r="P345" s="24">
        <v>0</v>
      </c>
    </row>
    <row r="346" spans="1:16" ht="25.5" x14ac:dyDescent="0.2">
      <c r="A346" s="54">
        <v>337</v>
      </c>
      <c r="B346" s="60" t="s">
        <v>222</v>
      </c>
      <c r="C346" s="60" t="s">
        <v>259</v>
      </c>
      <c r="D346" s="88">
        <v>1940</v>
      </c>
      <c r="E346" s="60">
        <v>0</v>
      </c>
      <c r="F346" s="78">
        <v>0</v>
      </c>
      <c r="G346" s="62">
        <v>0</v>
      </c>
      <c r="H346" s="62">
        <v>0</v>
      </c>
      <c r="I346" s="62">
        <f t="shared" si="29"/>
        <v>1940</v>
      </c>
      <c r="J346" s="21">
        <f t="shared" si="28"/>
        <v>58.2</v>
      </c>
      <c r="K346" s="21">
        <f>(D346+E346)*10%</f>
        <v>194</v>
      </c>
      <c r="L346" s="21">
        <v>0</v>
      </c>
      <c r="M346" s="21">
        <v>0</v>
      </c>
      <c r="N346" s="24">
        <f t="shared" si="31"/>
        <v>252.2</v>
      </c>
      <c r="O346" s="24">
        <f t="shared" si="30"/>
        <v>1687.8</v>
      </c>
      <c r="P346" s="24">
        <v>0</v>
      </c>
    </row>
    <row r="347" spans="1:16" ht="25.5" x14ac:dyDescent="0.2">
      <c r="A347" s="54">
        <v>338</v>
      </c>
      <c r="B347" s="21" t="s">
        <v>351</v>
      </c>
      <c r="C347" s="60" t="s">
        <v>257</v>
      </c>
      <c r="D347" s="60">
        <v>2425</v>
      </c>
      <c r="E347" s="60">
        <v>0</v>
      </c>
      <c r="F347" s="78">
        <v>0</v>
      </c>
      <c r="G347" s="62">
        <v>0</v>
      </c>
      <c r="H347" s="62">
        <v>0</v>
      </c>
      <c r="I347" s="62">
        <f t="shared" si="29"/>
        <v>2425</v>
      </c>
      <c r="J347" s="21">
        <f t="shared" si="28"/>
        <v>72.75</v>
      </c>
      <c r="K347" s="21">
        <f>D347*11%</f>
        <v>266.75</v>
      </c>
      <c r="L347" s="21">
        <v>0</v>
      </c>
      <c r="M347" s="21">
        <v>0</v>
      </c>
      <c r="N347" s="24">
        <f t="shared" si="31"/>
        <v>339.5</v>
      </c>
      <c r="O347" s="24">
        <f t="shared" si="30"/>
        <v>2085.5</v>
      </c>
      <c r="P347" s="24">
        <v>0</v>
      </c>
    </row>
    <row r="348" spans="1:16" x14ac:dyDescent="0.2">
      <c r="A348" s="54">
        <v>339</v>
      </c>
      <c r="B348" s="91" t="s">
        <v>174</v>
      </c>
      <c r="C348" s="60" t="s">
        <v>89</v>
      </c>
      <c r="D348" s="78">
        <v>1668</v>
      </c>
      <c r="E348" s="78">
        <v>1000</v>
      </c>
      <c r="F348" s="78">
        <v>0</v>
      </c>
      <c r="G348" s="78">
        <v>250</v>
      </c>
      <c r="H348" s="62">
        <v>0</v>
      </c>
      <c r="I348" s="62">
        <f t="shared" si="29"/>
        <v>2918</v>
      </c>
      <c r="J348" s="21">
        <f t="shared" si="28"/>
        <v>80.040000000000006</v>
      </c>
      <c r="K348" s="21">
        <f>(D348+E348)*11%</f>
        <v>293.48</v>
      </c>
      <c r="L348" s="21">
        <v>0</v>
      </c>
      <c r="M348" s="21">
        <v>0</v>
      </c>
      <c r="N348" s="24">
        <f t="shared" si="31"/>
        <v>373.52</v>
      </c>
      <c r="O348" s="24">
        <f t="shared" si="30"/>
        <v>2544.48</v>
      </c>
      <c r="P348" s="24">
        <v>0</v>
      </c>
    </row>
    <row r="349" spans="1:16" ht="25.5" x14ac:dyDescent="0.2">
      <c r="A349" s="54">
        <v>340</v>
      </c>
      <c r="B349" s="60" t="s">
        <v>175</v>
      </c>
      <c r="C349" s="60" t="s">
        <v>366</v>
      </c>
      <c r="D349" s="60">
        <v>3241</v>
      </c>
      <c r="E349" s="64">
        <v>1000</v>
      </c>
      <c r="F349" s="78">
        <v>0</v>
      </c>
      <c r="G349" s="62">
        <v>250</v>
      </c>
      <c r="H349" s="62">
        <v>0</v>
      </c>
      <c r="I349" s="62">
        <f t="shared" si="29"/>
        <v>4491</v>
      </c>
      <c r="J349" s="21">
        <f t="shared" si="28"/>
        <v>127.23</v>
      </c>
      <c r="K349" s="21">
        <f>(D349+E349)*12%</f>
        <v>508.92</v>
      </c>
      <c r="L349" s="21">
        <v>0</v>
      </c>
      <c r="M349" s="21">
        <v>0</v>
      </c>
      <c r="N349" s="24">
        <f t="shared" si="31"/>
        <v>636.15</v>
      </c>
      <c r="O349" s="24">
        <f t="shared" si="30"/>
        <v>3854.85</v>
      </c>
      <c r="P349" s="24">
        <v>0</v>
      </c>
    </row>
    <row r="350" spans="1:16" ht="25.5" x14ac:dyDescent="0.2">
      <c r="A350" s="54">
        <v>341</v>
      </c>
      <c r="B350" s="70" t="s">
        <v>395</v>
      </c>
      <c r="C350" s="60" t="s">
        <v>87</v>
      </c>
      <c r="D350" s="61">
        <v>1902</v>
      </c>
      <c r="E350" s="64">
        <v>1000</v>
      </c>
      <c r="F350" s="78">
        <v>0</v>
      </c>
      <c r="G350" s="62">
        <v>250</v>
      </c>
      <c r="H350" s="62">
        <v>0</v>
      </c>
      <c r="I350" s="62">
        <f t="shared" si="29"/>
        <v>3152</v>
      </c>
      <c r="J350" s="21">
        <f t="shared" si="28"/>
        <v>87.06</v>
      </c>
      <c r="K350" s="21">
        <f>(D350+E350)*11%</f>
        <v>319.22000000000003</v>
      </c>
      <c r="L350" s="21">
        <v>0</v>
      </c>
      <c r="M350" s="21">
        <v>0</v>
      </c>
      <c r="N350" s="24">
        <f t="shared" si="31"/>
        <v>406.28</v>
      </c>
      <c r="O350" s="24">
        <f t="shared" si="30"/>
        <v>2745.72</v>
      </c>
      <c r="P350" s="24">
        <v>0</v>
      </c>
    </row>
    <row r="351" spans="1:16" ht="25.5" x14ac:dyDescent="0.2">
      <c r="A351" s="54">
        <v>342</v>
      </c>
      <c r="B351" s="60" t="s">
        <v>291</v>
      </c>
      <c r="C351" s="60" t="s">
        <v>257</v>
      </c>
      <c r="D351" s="88">
        <v>2425</v>
      </c>
      <c r="E351" s="60">
        <v>0</v>
      </c>
      <c r="F351" s="78">
        <v>0</v>
      </c>
      <c r="G351" s="62">
        <v>0</v>
      </c>
      <c r="H351" s="62">
        <v>0</v>
      </c>
      <c r="I351" s="62">
        <f t="shared" si="29"/>
        <v>2425</v>
      </c>
      <c r="J351" s="21">
        <f t="shared" si="28"/>
        <v>72.75</v>
      </c>
      <c r="K351" s="21">
        <f>D351*11%</f>
        <v>266.75</v>
      </c>
      <c r="L351" s="21">
        <v>0</v>
      </c>
      <c r="M351" s="21">
        <v>0</v>
      </c>
      <c r="N351" s="24">
        <f t="shared" si="31"/>
        <v>339.5</v>
      </c>
      <c r="O351" s="24">
        <f t="shared" si="30"/>
        <v>2085.5</v>
      </c>
      <c r="P351" s="24">
        <v>0</v>
      </c>
    </row>
    <row r="352" spans="1:16" ht="25.5" x14ac:dyDescent="0.2">
      <c r="A352" s="54">
        <v>343</v>
      </c>
      <c r="B352" s="60" t="s">
        <v>188</v>
      </c>
      <c r="C352" s="64" t="s">
        <v>90</v>
      </c>
      <c r="D352" s="60">
        <v>1902</v>
      </c>
      <c r="E352" s="64">
        <v>1000</v>
      </c>
      <c r="F352" s="78">
        <v>0</v>
      </c>
      <c r="G352" s="62">
        <v>250</v>
      </c>
      <c r="H352" s="62">
        <v>0</v>
      </c>
      <c r="I352" s="62">
        <f t="shared" si="29"/>
        <v>3152</v>
      </c>
      <c r="J352" s="21">
        <f t="shared" si="28"/>
        <v>87.06</v>
      </c>
      <c r="K352" s="21">
        <f>(D352+E352)*11%</f>
        <v>319.22000000000003</v>
      </c>
      <c r="L352" s="21">
        <v>0</v>
      </c>
      <c r="M352" s="21">
        <v>0</v>
      </c>
      <c r="N352" s="24">
        <f t="shared" si="31"/>
        <v>406.28</v>
      </c>
      <c r="O352" s="24">
        <f t="shared" si="30"/>
        <v>2745.72</v>
      </c>
      <c r="P352" s="24">
        <f>210+210</f>
        <v>420</v>
      </c>
    </row>
    <row r="353" spans="1:16" ht="25.5" x14ac:dyDescent="0.2">
      <c r="A353" s="54">
        <v>344</v>
      </c>
      <c r="B353" s="89" t="s">
        <v>850</v>
      </c>
      <c r="C353" s="60" t="s">
        <v>259</v>
      </c>
      <c r="D353" s="21">
        <v>1940</v>
      </c>
      <c r="E353" s="64">
        <v>0</v>
      </c>
      <c r="F353" s="78">
        <v>0</v>
      </c>
      <c r="G353" s="62">
        <v>0</v>
      </c>
      <c r="H353" s="62">
        <v>0</v>
      </c>
      <c r="I353" s="62">
        <f t="shared" si="29"/>
        <v>1940</v>
      </c>
      <c r="J353" s="21">
        <f t="shared" si="28"/>
        <v>58.2</v>
      </c>
      <c r="K353" s="21">
        <f>(D353+E353)*10%</f>
        <v>194</v>
      </c>
      <c r="L353" s="21">
        <v>0</v>
      </c>
      <c r="M353" s="21">
        <v>0</v>
      </c>
      <c r="N353" s="24">
        <f t="shared" si="31"/>
        <v>252.2</v>
      </c>
      <c r="O353" s="24">
        <f t="shared" si="30"/>
        <v>1687.8</v>
      </c>
      <c r="P353" s="24">
        <v>0</v>
      </c>
    </row>
    <row r="354" spans="1:16" ht="25.5" x14ac:dyDescent="0.2">
      <c r="A354" s="54">
        <v>345</v>
      </c>
      <c r="B354" s="89" t="s">
        <v>928</v>
      </c>
      <c r="C354" s="60" t="s">
        <v>268</v>
      </c>
      <c r="D354" s="60">
        <v>2037</v>
      </c>
      <c r="E354" s="64">
        <v>0</v>
      </c>
      <c r="F354" s="78">
        <v>0</v>
      </c>
      <c r="G354" s="62">
        <v>0</v>
      </c>
      <c r="H354" s="62">
        <v>0</v>
      </c>
      <c r="I354" s="62">
        <f t="shared" si="29"/>
        <v>2037</v>
      </c>
      <c r="J354" s="21">
        <f t="shared" si="28"/>
        <v>61.11</v>
      </c>
      <c r="K354" s="21">
        <f>(D354+E354)*11%</f>
        <v>224.07</v>
      </c>
      <c r="L354" s="21">
        <v>0</v>
      </c>
      <c r="M354" s="21">
        <v>0</v>
      </c>
      <c r="N354" s="24">
        <f t="shared" si="31"/>
        <v>285.18</v>
      </c>
      <c r="O354" s="24">
        <f t="shared" si="30"/>
        <v>1751.82</v>
      </c>
      <c r="P354" s="24">
        <v>0</v>
      </c>
    </row>
    <row r="355" spans="1:16" ht="25.5" x14ac:dyDescent="0.2">
      <c r="A355" s="54">
        <v>346</v>
      </c>
      <c r="B355" s="60" t="s">
        <v>176</v>
      </c>
      <c r="C355" s="60" t="s">
        <v>257</v>
      </c>
      <c r="D355" s="60">
        <v>2425</v>
      </c>
      <c r="E355" s="60">
        <v>0</v>
      </c>
      <c r="F355" s="78">
        <v>0</v>
      </c>
      <c r="G355" s="62">
        <v>0</v>
      </c>
      <c r="H355" s="62">
        <v>0</v>
      </c>
      <c r="I355" s="62">
        <f t="shared" si="29"/>
        <v>2425</v>
      </c>
      <c r="J355" s="21">
        <f t="shared" si="28"/>
        <v>72.75</v>
      </c>
      <c r="K355" s="21">
        <f>D355*11%</f>
        <v>266.75</v>
      </c>
      <c r="L355" s="21">
        <v>0</v>
      </c>
      <c r="M355" s="21">
        <v>0</v>
      </c>
      <c r="N355" s="24">
        <f t="shared" si="31"/>
        <v>339.5</v>
      </c>
      <c r="O355" s="24">
        <f t="shared" si="30"/>
        <v>2085.5</v>
      </c>
      <c r="P355" s="24">
        <v>0</v>
      </c>
    </row>
    <row r="356" spans="1:16" ht="25.5" x14ac:dyDescent="0.2">
      <c r="A356" s="54">
        <v>347</v>
      </c>
      <c r="B356" s="67" t="s">
        <v>837</v>
      </c>
      <c r="C356" s="67" t="s">
        <v>375</v>
      </c>
      <c r="D356" s="21">
        <v>2920</v>
      </c>
      <c r="E356" s="60">
        <v>1000</v>
      </c>
      <c r="F356" s="78">
        <v>0</v>
      </c>
      <c r="G356" s="62">
        <v>250</v>
      </c>
      <c r="H356" s="62">
        <v>0</v>
      </c>
      <c r="I356" s="62">
        <f t="shared" si="29"/>
        <v>4170</v>
      </c>
      <c r="J356" s="21">
        <f t="shared" si="28"/>
        <v>117.6</v>
      </c>
      <c r="K356" s="21">
        <f>(D356+E356)*11%</f>
        <v>431.2</v>
      </c>
      <c r="L356" s="21">
        <v>0</v>
      </c>
      <c r="M356" s="21">
        <v>52.68</v>
      </c>
      <c r="N356" s="24">
        <f t="shared" si="31"/>
        <v>601.48</v>
      </c>
      <c r="O356" s="24">
        <f t="shared" si="30"/>
        <v>3568.52</v>
      </c>
      <c r="P356" s="24">
        <v>0</v>
      </c>
    </row>
    <row r="357" spans="1:16" ht="25.5" x14ac:dyDescent="0.2">
      <c r="A357" s="54">
        <v>348</v>
      </c>
      <c r="B357" s="21" t="s">
        <v>914</v>
      </c>
      <c r="C357" s="60" t="s">
        <v>885</v>
      </c>
      <c r="D357" s="60">
        <v>6759</v>
      </c>
      <c r="E357" s="60">
        <v>4000</v>
      </c>
      <c r="F357" s="78">
        <v>0</v>
      </c>
      <c r="G357" s="62">
        <v>250</v>
      </c>
      <c r="H357" s="62">
        <v>0</v>
      </c>
      <c r="I357" s="62">
        <f t="shared" si="29"/>
        <v>11009</v>
      </c>
      <c r="J357" s="21">
        <f t="shared" si="28"/>
        <v>322.77</v>
      </c>
      <c r="K357" s="21">
        <f>(D357+E357)*15%</f>
        <v>1613.85</v>
      </c>
      <c r="L357" s="21">
        <v>0</v>
      </c>
      <c r="M357" s="21">
        <v>144.6</v>
      </c>
      <c r="N357" s="24">
        <f t="shared" si="31"/>
        <v>2081.2199999999998</v>
      </c>
      <c r="O357" s="24">
        <f t="shared" si="30"/>
        <v>8927.7800000000007</v>
      </c>
      <c r="P357" s="24">
        <f>160</f>
        <v>160</v>
      </c>
    </row>
    <row r="358" spans="1:16" ht="25.5" x14ac:dyDescent="0.2">
      <c r="A358" s="54">
        <v>349</v>
      </c>
      <c r="B358" s="60" t="s">
        <v>177</v>
      </c>
      <c r="C358" s="60" t="s">
        <v>259</v>
      </c>
      <c r="D358" s="60">
        <v>1940</v>
      </c>
      <c r="E358" s="60">
        <v>0</v>
      </c>
      <c r="F358" s="78">
        <v>0</v>
      </c>
      <c r="G358" s="62">
        <v>0</v>
      </c>
      <c r="H358" s="62">
        <v>0</v>
      </c>
      <c r="I358" s="62">
        <f t="shared" si="29"/>
        <v>1940</v>
      </c>
      <c r="J358" s="21">
        <f t="shared" si="28"/>
        <v>58.2</v>
      </c>
      <c r="K358" s="21">
        <f>D358*10%</f>
        <v>194</v>
      </c>
      <c r="L358" s="21">
        <v>0</v>
      </c>
      <c r="M358" s="21">
        <v>0</v>
      </c>
      <c r="N358" s="24">
        <f t="shared" si="31"/>
        <v>252.2</v>
      </c>
      <c r="O358" s="24">
        <f t="shared" si="30"/>
        <v>1687.8</v>
      </c>
      <c r="P358" s="24">
        <v>0</v>
      </c>
    </row>
    <row r="359" spans="1:16" ht="25.5" x14ac:dyDescent="0.2">
      <c r="A359" s="54">
        <v>350</v>
      </c>
      <c r="B359" s="60" t="s">
        <v>178</v>
      </c>
      <c r="C359" s="60" t="s">
        <v>756</v>
      </c>
      <c r="D359" s="60">
        <v>2920</v>
      </c>
      <c r="E359" s="64">
        <v>1000</v>
      </c>
      <c r="F359" s="78">
        <v>0</v>
      </c>
      <c r="G359" s="62">
        <v>250</v>
      </c>
      <c r="H359" s="62">
        <v>0</v>
      </c>
      <c r="I359" s="62">
        <f t="shared" si="29"/>
        <v>4170</v>
      </c>
      <c r="J359" s="21">
        <f t="shared" si="28"/>
        <v>117.6</v>
      </c>
      <c r="K359" s="21">
        <f>(D359+E359)*11%</f>
        <v>431.2</v>
      </c>
      <c r="L359" s="21">
        <v>0</v>
      </c>
      <c r="M359" s="21">
        <v>52.68</v>
      </c>
      <c r="N359" s="24">
        <f t="shared" si="31"/>
        <v>601.48</v>
      </c>
      <c r="O359" s="24">
        <f t="shared" si="30"/>
        <v>3568.52</v>
      </c>
      <c r="P359" s="24">
        <v>0</v>
      </c>
    </row>
    <row r="360" spans="1:16" ht="25.5" x14ac:dyDescent="0.2">
      <c r="A360" s="54">
        <v>351</v>
      </c>
      <c r="B360" s="60" t="s">
        <v>179</v>
      </c>
      <c r="C360" s="60" t="s">
        <v>257</v>
      </c>
      <c r="D360" s="60">
        <v>2425</v>
      </c>
      <c r="E360" s="60">
        <v>0</v>
      </c>
      <c r="F360" s="78">
        <v>0</v>
      </c>
      <c r="G360" s="62">
        <v>0</v>
      </c>
      <c r="H360" s="62">
        <v>0</v>
      </c>
      <c r="I360" s="62">
        <f t="shared" si="29"/>
        <v>2425</v>
      </c>
      <c r="J360" s="21">
        <f t="shared" si="28"/>
        <v>72.75</v>
      </c>
      <c r="K360" s="21">
        <f>D360*11%</f>
        <v>266.75</v>
      </c>
      <c r="L360" s="21">
        <v>0</v>
      </c>
      <c r="M360" s="21">
        <v>0</v>
      </c>
      <c r="N360" s="24">
        <f t="shared" si="31"/>
        <v>339.5</v>
      </c>
      <c r="O360" s="24">
        <f t="shared" si="30"/>
        <v>2085.5</v>
      </c>
      <c r="P360" s="24">
        <v>0</v>
      </c>
    </row>
    <row r="361" spans="1:16" ht="25.5" x14ac:dyDescent="0.2">
      <c r="A361" s="54">
        <v>352</v>
      </c>
      <c r="B361" s="89" t="s">
        <v>946</v>
      </c>
      <c r="C361" s="60" t="s">
        <v>226</v>
      </c>
      <c r="D361" s="115">
        <v>1831</v>
      </c>
      <c r="E361" s="60">
        <v>1000</v>
      </c>
      <c r="F361" s="78">
        <v>0</v>
      </c>
      <c r="G361" s="62">
        <v>250</v>
      </c>
      <c r="H361" s="62">
        <v>0</v>
      </c>
      <c r="I361" s="62">
        <f t="shared" si="29"/>
        <v>3081</v>
      </c>
      <c r="J361" s="21">
        <f t="shared" si="28"/>
        <v>84.93</v>
      </c>
      <c r="K361" s="21">
        <f>(D361+E361)*11%</f>
        <v>311.41000000000003</v>
      </c>
      <c r="L361" s="21">
        <v>0</v>
      </c>
      <c r="M361" s="21">
        <v>0</v>
      </c>
      <c r="N361" s="24">
        <f t="shared" si="31"/>
        <v>396.34</v>
      </c>
      <c r="O361" s="24">
        <f t="shared" si="30"/>
        <v>2684.66</v>
      </c>
      <c r="P361" s="24">
        <v>0</v>
      </c>
    </row>
    <row r="362" spans="1:16" ht="25.5" x14ac:dyDescent="0.2">
      <c r="A362" s="54">
        <v>353</v>
      </c>
      <c r="B362" s="89" t="s">
        <v>945</v>
      </c>
      <c r="C362" s="66" t="s">
        <v>86</v>
      </c>
      <c r="D362" s="60">
        <v>2920</v>
      </c>
      <c r="E362" s="60">
        <v>1000</v>
      </c>
      <c r="F362" s="78">
        <v>0</v>
      </c>
      <c r="G362" s="62">
        <v>250</v>
      </c>
      <c r="H362" s="62">
        <v>0</v>
      </c>
      <c r="I362" s="62">
        <f t="shared" si="29"/>
        <v>4170</v>
      </c>
      <c r="J362" s="21">
        <f t="shared" si="28"/>
        <v>117.6</v>
      </c>
      <c r="K362" s="21">
        <f>D362*11%</f>
        <v>321.2</v>
      </c>
      <c r="L362" s="21">
        <v>0</v>
      </c>
      <c r="M362" s="21">
        <v>0</v>
      </c>
      <c r="N362" s="24">
        <f t="shared" si="31"/>
        <v>438.8</v>
      </c>
      <c r="O362" s="24">
        <f t="shared" si="30"/>
        <v>3731.2</v>
      </c>
      <c r="P362" s="24">
        <v>0</v>
      </c>
    </row>
    <row r="363" spans="1:16" ht="25.5" x14ac:dyDescent="0.2">
      <c r="A363" s="54">
        <v>354</v>
      </c>
      <c r="B363" s="109" t="s">
        <v>332</v>
      </c>
      <c r="C363" s="60" t="s">
        <v>257</v>
      </c>
      <c r="D363" s="88">
        <v>2425</v>
      </c>
      <c r="E363" s="60">
        <v>0</v>
      </c>
      <c r="F363" s="78">
        <v>0</v>
      </c>
      <c r="G363" s="62">
        <v>0</v>
      </c>
      <c r="H363" s="62">
        <v>0</v>
      </c>
      <c r="I363" s="62">
        <f t="shared" si="29"/>
        <v>2425</v>
      </c>
      <c r="J363" s="21">
        <f t="shared" si="28"/>
        <v>72.75</v>
      </c>
      <c r="K363" s="21">
        <f>D363*11%</f>
        <v>266.75</v>
      </c>
      <c r="L363" s="21">
        <v>0</v>
      </c>
      <c r="M363" s="21">
        <v>0</v>
      </c>
      <c r="N363" s="24">
        <f t="shared" si="31"/>
        <v>339.5</v>
      </c>
      <c r="O363" s="24">
        <f t="shared" si="30"/>
        <v>2085.5</v>
      </c>
      <c r="P363" s="24">
        <v>0</v>
      </c>
    </row>
    <row r="364" spans="1:16" ht="25.5" x14ac:dyDescent="0.2">
      <c r="A364" s="54">
        <v>355</v>
      </c>
      <c r="B364" s="89" t="s">
        <v>854</v>
      </c>
      <c r="C364" s="60" t="s">
        <v>262</v>
      </c>
      <c r="D364" s="115">
        <v>3081</v>
      </c>
      <c r="E364" s="60">
        <v>1000</v>
      </c>
      <c r="F364" s="78">
        <v>0</v>
      </c>
      <c r="G364" s="62">
        <v>250</v>
      </c>
      <c r="H364" s="62">
        <v>0</v>
      </c>
      <c r="I364" s="62">
        <f t="shared" si="29"/>
        <v>4331</v>
      </c>
      <c r="J364" s="21">
        <f t="shared" si="28"/>
        <v>122.43</v>
      </c>
      <c r="K364" s="21">
        <f>(D364+E364)*12%</f>
        <v>489.72</v>
      </c>
      <c r="L364" s="21">
        <v>0</v>
      </c>
      <c r="M364" s="21">
        <v>0</v>
      </c>
      <c r="N364" s="24">
        <f t="shared" si="31"/>
        <v>612.15</v>
      </c>
      <c r="O364" s="24">
        <f t="shared" si="30"/>
        <v>3718.85</v>
      </c>
      <c r="P364" s="24">
        <v>0</v>
      </c>
    </row>
    <row r="365" spans="1:16" ht="25.5" x14ac:dyDescent="0.2">
      <c r="A365" s="54">
        <v>356</v>
      </c>
      <c r="B365" s="60" t="s">
        <v>180</v>
      </c>
      <c r="C365" s="64" t="s">
        <v>767</v>
      </c>
      <c r="D365" s="64">
        <v>5095</v>
      </c>
      <c r="E365" s="64">
        <v>1800</v>
      </c>
      <c r="F365" s="78">
        <v>0</v>
      </c>
      <c r="G365" s="97">
        <v>250</v>
      </c>
      <c r="H365" s="62">
        <v>0</v>
      </c>
      <c r="I365" s="62">
        <f t="shared" si="29"/>
        <v>7145</v>
      </c>
      <c r="J365" s="21">
        <f t="shared" si="28"/>
        <v>206.85</v>
      </c>
      <c r="K365" s="98">
        <f>(D365+E365)*13%</f>
        <v>896.35</v>
      </c>
      <c r="L365" s="21">
        <v>0</v>
      </c>
      <c r="M365" s="21">
        <v>92.67</v>
      </c>
      <c r="N365" s="24">
        <f t="shared" si="31"/>
        <v>1195.8699999999999</v>
      </c>
      <c r="O365" s="24">
        <f t="shared" si="30"/>
        <v>5949.13</v>
      </c>
      <c r="P365" s="24">
        <v>0</v>
      </c>
    </row>
    <row r="366" spans="1:16" ht="25.5" x14ac:dyDescent="0.2">
      <c r="A366" s="54">
        <v>357</v>
      </c>
      <c r="B366" s="21" t="s">
        <v>368</v>
      </c>
      <c r="C366" s="60" t="s">
        <v>88</v>
      </c>
      <c r="D366" s="64">
        <v>2920</v>
      </c>
      <c r="E366" s="64">
        <v>1000</v>
      </c>
      <c r="F366" s="78">
        <v>0</v>
      </c>
      <c r="G366" s="97">
        <v>250</v>
      </c>
      <c r="H366" s="62">
        <v>0</v>
      </c>
      <c r="I366" s="62">
        <f t="shared" si="29"/>
        <v>4170</v>
      </c>
      <c r="J366" s="21">
        <f t="shared" si="28"/>
        <v>117.6</v>
      </c>
      <c r="K366" s="21">
        <f>(D366+E366)*11%</f>
        <v>431.2</v>
      </c>
      <c r="L366" s="21">
        <v>0</v>
      </c>
      <c r="M366" s="21">
        <v>0</v>
      </c>
      <c r="N366" s="24">
        <f t="shared" si="31"/>
        <v>548.79999999999995</v>
      </c>
      <c r="O366" s="24">
        <f t="shared" si="30"/>
        <v>3621.2</v>
      </c>
      <c r="P366" s="24">
        <v>0</v>
      </c>
    </row>
    <row r="367" spans="1:16" ht="25.5" x14ac:dyDescent="0.2">
      <c r="A367" s="54">
        <v>358</v>
      </c>
      <c r="B367" s="60" t="s">
        <v>345</v>
      </c>
      <c r="C367" s="60" t="s">
        <v>257</v>
      </c>
      <c r="D367" s="88">
        <v>2425</v>
      </c>
      <c r="E367" s="60">
        <v>0</v>
      </c>
      <c r="F367" s="78">
        <v>0</v>
      </c>
      <c r="G367" s="62">
        <v>0</v>
      </c>
      <c r="H367" s="62">
        <v>0</v>
      </c>
      <c r="I367" s="62">
        <f t="shared" si="29"/>
        <v>2425</v>
      </c>
      <c r="J367" s="21">
        <f t="shared" si="28"/>
        <v>72.75</v>
      </c>
      <c r="K367" s="21">
        <f>D367*11%</f>
        <v>266.75</v>
      </c>
      <c r="L367" s="21">
        <v>0</v>
      </c>
      <c r="M367" s="21">
        <v>0</v>
      </c>
      <c r="N367" s="24">
        <f t="shared" si="31"/>
        <v>339.5</v>
      </c>
      <c r="O367" s="24">
        <f t="shared" si="30"/>
        <v>2085.5</v>
      </c>
      <c r="P367" s="24">
        <v>0</v>
      </c>
    </row>
    <row r="368" spans="1:16" ht="13.5" thickBot="1" x14ac:dyDescent="0.25">
      <c r="A368" s="171" t="s">
        <v>363</v>
      </c>
      <c r="B368" s="172"/>
      <c r="C368" s="172"/>
      <c r="D368" s="40">
        <f t="shared" ref="D368:P368" si="32">SUM(D10:D367)</f>
        <v>933650</v>
      </c>
      <c r="E368" s="40">
        <f t="shared" si="32"/>
        <v>245800</v>
      </c>
      <c r="F368" s="40">
        <f t="shared" si="32"/>
        <v>2250</v>
      </c>
      <c r="G368" s="40">
        <f t="shared" si="32"/>
        <v>48750</v>
      </c>
      <c r="H368" s="40">
        <f t="shared" si="32"/>
        <v>2200</v>
      </c>
      <c r="I368" s="40">
        <f t="shared" si="32"/>
        <v>1232650</v>
      </c>
      <c r="J368" s="40">
        <f t="shared" si="32"/>
        <v>35451</v>
      </c>
      <c r="K368" s="40">
        <f t="shared" si="32"/>
        <v>135476.85999999999</v>
      </c>
      <c r="L368" s="40">
        <f t="shared" si="32"/>
        <v>806.18</v>
      </c>
      <c r="M368" s="40">
        <f t="shared" si="32"/>
        <v>4902.3100000000004</v>
      </c>
      <c r="N368" s="40">
        <f t="shared" si="32"/>
        <v>175313.55</v>
      </c>
      <c r="O368" s="40">
        <f t="shared" si="32"/>
        <v>1057336.45</v>
      </c>
      <c r="P368" s="40">
        <f t="shared" si="32"/>
        <v>16258.95</v>
      </c>
    </row>
  </sheetData>
  <protectedRanges>
    <protectedRange sqref="D186" name="Rango4_5_1_1_1_1_1_1_8_2"/>
  </protectedRanges>
  <sortState ref="A1:P1034">
    <sortCondition ref="B1"/>
  </sortState>
  <mergeCells count="16">
    <mergeCell ref="A368:C368"/>
    <mergeCell ref="A1:X1"/>
    <mergeCell ref="A2:X2"/>
    <mergeCell ref="A3:X3"/>
    <mergeCell ref="A4:X4"/>
    <mergeCell ref="A5:X5"/>
    <mergeCell ref="A6:X6"/>
    <mergeCell ref="A7:X7"/>
    <mergeCell ref="A8:A9"/>
    <mergeCell ref="B8:B9"/>
    <mergeCell ref="C8:C9"/>
    <mergeCell ref="D8:D9"/>
    <mergeCell ref="E8:I8"/>
    <mergeCell ref="J8:N8"/>
    <mergeCell ref="O8:O9"/>
    <mergeCell ref="P8:P9"/>
  </mergeCells>
  <printOptions horizontalCentered="1"/>
  <pageMargins left="1.3385826771653544" right="0.74803149606299213" top="1.1811023622047245" bottom="0.98425196850393704" header="0.78740157480314965" footer="0"/>
  <pageSetup paperSize="5" scale="45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zoomScale="96" zoomScaleNormal="96" workbookViewId="0">
      <selection activeCell="B11" sqref="B11"/>
    </sheetView>
  </sheetViews>
  <sheetFormatPr baseColWidth="10" defaultColWidth="11.5703125" defaultRowHeight="12.75" x14ac:dyDescent="0.2"/>
  <cols>
    <col min="1" max="1" width="8.42578125" customWidth="1"/>
    <col min="2" max="2" width="38.7109375" customWidth="1"/>
    <col min="3" max="3" width="32.5703125" customWidth="1"/>
    <col min="4" max="5" width="17.85546875" customWidth="1"/>
    <col min="6" max="6" width="17.5703125" customWidth="1"/>
    <col min="7" max="7" width="18.85546875" customWidth="1"/>
    <col min="8" max="8" width="16" customWidth="1"/>
    <col min="9" max="9" width="11.5703125" customWidth="1"/>
    <col min="11" max="12" width="0" hidden="1" customWidth="1"/>
    <col min="14" max="20" width="0" hidden="1" customWidth="1"/>
  </cols>
  <sheetData>
    <row r="1" spans="1:8" ht="19.5" x14ac:dyDescent="0.3">
      <c r="A1" s="179" t="s">
        <v>1</v>
      </c>
      <c r="B1" s="179"/>
      <c r="C1" s="179"/>
      <c r="D1" s="179"/>
      <c r="E1" s="179"/>
      <c r="F1" s="179"/>
      <c r="G1" s="179"/>
      <c r="H1" s="179"/>
    </row>
    <row r="2" spans="1:8" ht="19.5" x14ac:dyDescent="0.3">
      <c r="A2" s="180" t="s">
        <v>0</v>
      </c>
      <c r="B2" s="180"/>
      <c r="C2" s="180"/>
      <c r="D2" s="180"/>
      <c r="E2" s="180"/>
      <c r="F2" s="180"/>
      <c r="G2" s="180"/>
      <c r="H2" s="180"/>
    </row>
    <row r="3" spans="1:8" x14ac:dyDescent="0.2">
      <c r="A3" s="181" t="s">
        <v>26</v>
      </c>
      <c r="B3" s="181"/>
      <c r="C3" s="181"/>
      <c r="D3" s="181"/>
      <c r="E3" s="181"/>
      <c r="F3" s="181"/>
      <c r="G3" s="181"/>
      <c r="H3" s="181"/>
    </row>
    <row r="4" spans="1:8" x14ac:dyDescent="0.2">
      <c r="A4" s="181" t="s">
        <v>9</v>
      </c>
      <c r="B4" s="181"/>
      <c r="C4" s="181"/>
      <c r="D4" s="181"/>
      <c r="E4" s="181"/>
      <c r="F4" s="181"/>
      <c r="G4" s="181"/>
      <c r="H4" s="181"/>
    </row>
    <row r="5" spans="1:8" x14ac:dyDescent="0.2">
      <c r="A5" s="181" t="s">
        <v>6</v>
      </c>
      <c r="B5" s="181"/>
      <c r="C5" s="181"/>
      <c r="D5" s="181"/>
      <c r="E5" s="181"/>
      <c r="F5" s="181"/>
      <c r="G5" s="181"/>
      <c r="H5" s="181"/>
    </row>
    <row r="6" spans="1:8" ht="13.5" thickBot="1" x14ac:dyDescent="0.25">
      <c r="A6" s="182" t="str">
        <f>'RENGLON 011'!A7:W7</f>
        <v>31 DE MARZO DE 2019</v>
      </c>
      <c r="B6" s="182"/>
      <c r="C6" s="182"/>
      <c r="D6" s="182"/>
      <c r="E6" s="182"/>
      <c r="F6" s="182"/>
      <c r="G6" s="182"/>
      <c r="H6" s="182"/>
    </row>
    <row r="7" spans="1:8" ht="31.5" customHeight="1" x14ac:dyDescent="0.2">
      <c r="A7" s="37" t="s">
        <v>7</v>
      </c>
      <c r="B7" s="36" t="s">
        <v>11</v>
      </c>
      <c r="C7" s="36" t="s">
        <v>777</v>
      </c>
      <c r="D7" s="36" t="s">
        <v>781</v>
      </c>
      <c r="E7" s="39" t="s">
        <v>758</v>
      </c>
      <c r="F7" s="36" t="s">
        <v>22</v>
      </c>
      <c r="G7" s="36" t="s">
        <v>8</v>
      </c>
      <c r="H7" s="35" t="s">
        <v>759</v>
      </c>
    </row>
    <row r="8" spans="1:8" ht="31.5" customHeight="1" x14ac:dyDescent="0.2">
      <c r="A8" s="156">
        <v>1</v>
      </c>
      <c r="B8" s="155" t="s">
        <v>1076</v>
      </c>
      <c r="C8" s="20" t="s">
        <v>364</v>
      </c>
      <c r="D8" s="144">
        <v>10800</v>
      </c>
      <c r="E8" s="145">
        <v>0</v>
      </c>
      <c r="F8" s="145">
        <v>0</v>
      </c>
      <c r="G8" s="144">
        <f t="shared" ref="G8" si="0">D8</f>
        <v>10800</v>
      </c>
      <c r="H8" s="146">
        <v>0</v>
      </c>
    </row>
    <row r="9" spans="1:8" ht="31.5" customHeight="1" x14ac:dyDescent="0.2">
      <c r="A9" s="44">
        <v>2</v>
      </c>
      <c r="B9" s="67" t="s">
        <v>871</v>
      </c>
      <c r="C9" s="20" t="s">
        <v>364</v>
      </c>
      <c r="D9" s="144">
        <v>3500</v>
      </c>
      <c r="E9" s="145">
        <v>0</v>
      </c>
      <c r="F9" s="145">
        <v>0</v>
      </c>
      <c r="G9" s="144">
        <f t="shared" ref="G9:G44" si="1">D9</f>
        <v>3500</v>
      </c>
      <c r="H9" s="146">
        <v>0</v>
      </c>
    </row>
    <row r="10" spans="1:8" ht="31.5" customHeight="1" x14ac:dyDescent="0.2">
      <c r="A10" s="156">
        <v>3</v>
      </c>
      <c r="B10" s="104" t="s">
        <v>1021</v>
      </c>
      <c r="C10" s="20" t="s">
        <v>364</v>
      </c>
      <c r="D10" s="144">
        <v>10000</v>
      </c>
      <c r="E10" s="145">
        <v>0</v>
      </c>
      <c r="F10" s="145">
        <v>0</v>
      </c>
      <c r="G10" s="144">
        <f t="shared" si="1"/>
        <v>10000</v>
      </c>
      <c r="H10" s="146">
        <v>0</v>
      </c>
    </row>
    <row r="11" spans="1:8" ht="31.5" customHeight="1" x14ac:dyDescent="0.2">
      <c r="A11" s="44">
        <v>4</v>
      </c>
      <c r="B11" s="17" t="s">
        <v>1057</v>
      </c>
      <c r="C11" s="20" t="s">
        <v>364</v>
      </c>
      <c r="D11" s="144">
        <v>15000</v>
      </c>
      <c r="E11" s="145">
        <v>0</v>
      </c>
      <c r="F11" s="145">
        <v>0</v>
      </c>
      <c r="G11" s="144">
        <f t="shared" si="1"/>
        <v>15000</v>
      </c>
      <c r="H11" s="146">
        <v>0</v>
      </c>
    </row>
    <row r="12" spans="1:8" ht="31.5" customHeight="1" x14ac:dyDescent="0.2">
      <c r="A12" s="156">
        <v>5</v>
      </c>
      <c r="B12" s="66" t="s">
        <v>841</v>
      </c>
      <c r="C12" s="20" t="s">
        <v>364</v>
      </c>
      <c r="D12" s="144">
        <v>24000</v>
      </c>
      <c r="E12" s="145">
        <v>0</v>
      </c>
      <c r="F12" s="145">
        <v>0</v>
      </c>
      <c r="G12" s="144">
        <f t="shared" si="1"/>
        <v>24000</v>
      </c>
      <c r="H12" s="146">
        <v>0</v>
      </c>
    </row>
    <row r="13" spans="1:8" ht="31.5" customHeight="1" x14ac:dyDescent="0.2">
      <c r="A13" s="44">
        <v>6</v>
      </c>
      <c r="B13" s="66" t="s">
        <v>1029</v>
      </c>
      <c r="C13" s="20" t="s">
        <v>364</v>
      </c>
      <c r="D13" s="144">
        <v>18000</v>
      </c>
      <c r="E13" s="145">
        <v>0</v>
      </c>
      <c r="F13" s="145">
        <v>0</v>
      </c>
      <c r="G13" s="144">
        <f t="shared" si="1"/>
        <v>18000</v>
      </c>
      <c r="H13" s="146">
        <v>0</v>
      </c>
    </row>
    <row r="14" spans="1:8" ht="31.5" customHeight="1" x14ac:dyDescent="0.2">
      <c r="A14" s="156">
        <v>7</v>
      </c>
      <c r="B14" s="104" t="s">
        <v>875</v>
      </c>
      <c r="C14" s="17" t="s">
        <v>364</v>
      </c>
      <c r="D14" s="144">
        <v>15000</v>
      </c>
      <c r="E14" s="145">
        <v>0</v>
      </c>
      <c r="F14" s="145">
        <v>0</v>
      </c>
      <c r="G14" s="144">
        <f t="shared" si="1"/>
        <v>15000</v>
      </c>
      <c r="H14" s="146">
        <v>0</v>
      </c>
    </row>
    <row r="15" spans="1:8" ht="31.5" customHeight="1" x14ac:dyDescent="0.2">
      <c r="A15" s="44">
        <v>8</v>
      </c>
      <c r="B15" s="67" t="s">
        <v>876</v>
      </c>
      <c r="C15" s="17" t="s">
        <v>364</v>
      </c>
      <c r="D15" s="144">
        <v>8800</v>
      </c>
      <c r="E15" s="145">
        <v>0</v>
      </c>
      <c r="F15" s="145">
        <v>0</v>
      </c>
      <c r="G15" s="144">
        <f t="shared" si="1"/>
        <v>8800</v>
      </c>
      <c r="H15" s="146">
        <v>0</v>
      </c>
    </row>
    <row r="16" spans="1:8" ht="31.5" customHeight="1" x14ac:dyDescent="0.2">
      <c r="A16" s="156">
        <v>9</v>
      </c>
      <c r="B16" s="66" t="s">
        <v>825</v>
      </c>
      <c r="C16" s="17" t="s">
        <v>364</v>
      </c>
      <c r="D16" s="144">
        <v>10000</v>
      </c>
      <c r="E16" s="145">
        <v>0</v>
      </c>
      <c r="F16" s="145">
        <v>0</v>
      </c>
      <c r="G16" s="144">
        <f t="shared" si="1"/>
        <v>10000</v>
      </c>
      <c r="H16" s="146">
        <v>0</v>
      </c>
    </row>
    <row r="17" spans="1:8" ht="31.5" customHeight="1" x14ac:dyDescent="0.2">
      <c r="A17" s="44">
        <v>10</v>
      </c>
      <c r="B17" s="136" t="s">
        <v>1049</v>
      </c>
      <c r="C17" s="17" t="s">
        <v>364</v>
      </c>
      <c r="D17" s="144">
        <v>12000</v>
      </c>
      <c r="E17" s="145">
        <v>0</v>
      </c>
      <c r="F17" s="145">
        <v>0</v>
      </c>
      <c r="G17" s="144">
        <f t="shared" si="1"/>
        <v>12000</v>
      </c>
      <c r="H17" s="146">
        <v>0</v>
      </c>
    </row>
    <row r="18" spans="1:8" ht="31.5" customHeight="1" x14ac:dyDescent="0.2">
      <c r="A18" s="156">
        <v>11</v>
      </c>
      <c r="B18" s="89" t="s">
        <v>1034</v>
      </c>
      <c r="C18" s="17" t="s">
        <v>364</v>
      </c>
      <c r="D18" s="144">
        <v>10000</v>
      </c>
      <c r="E18" s="145">
        <v>0</v>
      </c>
      <c r="F18" s="145">
        <v>0</v>
      </c>
      <c r="G18" s="144">
        <f t="shared" si="1"/>
        <v>10000</v>
      </c>
      <c r="H18" s="146">
        <v>0</v>
      </c>
    </row>
    <row r="19" spans="1:8" ht="31.5" customHeight="1" x14ac:dyDescent="0.2">
      <c r="A19" s="44">
        <v>12</v>
      </c>
      <c r="B19" s="17" t="s">
        <v>1048</v>
      </c>
      <c r="C19" s="17" t="s">
        <v>364</v>
      </c>
      <c r="D19" s="144">
        <v>10880</v>
      </c>
      <c r="E19" s="145">
        <v>0</v>
      </c>
      <c r="F19" s="145">
        <v>0</v>
      </c>
      <c r="G19" s="144">
        <f t="shared" si="1"/>
        <v>10880</v>
      </c>
      <c r="H19" s="146">
        <v>0</v>
      </c>
    </row>
    <row r="20" spans="1:8" ht="31.5" customHeight="1" x14ac:dyDescent="0.2">
      <c r="A20" s="156">
        <v>13</v>
      </c>
      <c r="B20" s="66" t="s">
        <v>860</v>
      </c>
      <c r="C20" s="17" t="s">
        <v>364</v>
      </c>
      <c r="D20" s="144">
        <v>8000</v>
      </c>
      <c r="E20" s="145">
        <v>0</v>
      </c>
      <c r="F20" s="145">
        <v>0</v>
      </c>
      <c r="G20" s="144">
        <f t="shared" si="1"/>
        <v>8000</v>
      </c>
      <c r="H20" s="146">
        <v>0</v>
      </c>
    </row>
    <row r="21" spans="1:8" ht="31.5" customHeight="1" x14ac:dyDescent="0.2">
      <c r="A21" s="44">
        <v>14</v>
      </c>
      <c r="B21" s="77" t="s">
        <v>827</v>
      </c>
      <c r="C21" s="17" t="s">
        <v>364</v>
      </c>
      <c r="D21" s="144">
        <v>8000</v>
      </c>
      <c r="E21" s="145">
        <v>0</v>
      </c>
      <c r="F21" s="145">
        <v>0</v>
      </c>
      <c r="G21" s="144">
        <f t="shared" si="1"/>
        <v>8000</v>
      </c>
      <c r="H21" s="146">
        <v>0</v>
      </c>
    </row>
    <row r="22" spans="1:8" ht="31.5" customHeight="1" x14ac:dyDescent="0.2">
      <c r="A22" s="156">
        <v>15</v>
      </c>
      <c r="B22" s="77" t="s">
        <v>832</v>
      </c>
      <c r="C22" s="17" t="s">
        <v>364</v>
      </c>
      <c r="D22" s="144">
        <v>8000</v>
      </c>
      <c r="E22" s="145">
        <v>0</v>
      </c>
      <c r="F22" s="145">
        <v>0</v>
      </c>
      <c r="G22" s="144">
        <f t="shared" si="1"/>
        <v>8000</v>
      </c>
      <c r="H22" s="146">
        <v>0</v>
      </c>
    </row>
    <row r="23" spans="1:8" ht="31.5" customHeight="1" x14ac:dyDescent="0.2">
      <c r="A23" s="44">
        <v>16</v>
      </c>
      <c r="B23" s="17" t="s">
        <v>1055</v>
      </c>
      <c r="C23" s="17" t="s">
        <v>364</v>
      </c>
      <c r="D23" s="144">
        <v>8000</v>
      </c>
      <c r="E23" s="145">
        <v>0</v>
      </c>
      <c r="F23" s="145">
        <v>0</v>
      </c>
      <c r="G23" s="144">
        <f t="shared" si="1"/>
        <v>8000</v>
      </c>
      <c r="H23" s="146">
        <v>0</v>
      </c>
    </row>
    <row r="24" spans="1:8" ht="31.5" customHeight="1" x14ac:dyDescent="0.2">
      <c r="A24" s="156">
        <v>17</v>
      </c>
      <c r="B24" s="66" t="s">
        <v>1024</v>
      </c>
      <c r="C24" s="17" t="s">
        <v>364</v>
      </c>
      <c r="D24" s="138">
        <v>15000</v>
      </c>
      <c r="E24" s="145">
        <v>0</v>
      </c>
      <c r="F24" s="145">
        <v>0</v>
      </c>
      <c r="G24" s="144">
        <f t="shared" si="1"/>
        <v>15000</v>
      </c>
      <c r="H24" s="146">
        <v>0</v>
      </c>
    </row>
    <row r="25" spans="1:8" ht="31.5" customHeight="1" x14ac:dyDescent="0.2">
      <c r="A25" s="44">
        <v>18</v>
      </c>
      <c r="B25" s="136" t="s">
        <v>1068</v>
      </c>
      <c r="C25" s="17" t="s">
        <v>364</v>
      </c>
      <c r="D25" s="138">
        <v>8000</v>
      </c>
      <c r="E25" s="145">
        <v>0</v>
      </c>
      <c r="F25" s="145">
        <v>0</v>
      </c>
      <c r="G25" s="144">
        <f>D25</f>
        <v>8000</v>
      </c>
      <c r="H25" s="146">
        <v>0</v>
      </c>
    </row>
    <row r="26" spans="1:8" ht="31.5" customHeight="1" x14ac:dyDescent="0.2">
      <c r="A26" s="156">
        <v>19</v>
      </c>
      <c r="B26" s="66" t="s">
        <v>1030</v>
      </c>
      <c r="C26" s="17" t="s">
        <v>364</v>
      </c>
      <c r="D26" s="138">
        <v>15000</v>
      </c>
      <c r="E26" s="145">
        <v>0</v>
      </c>
      <c r="F26" s="145">
        <v>0</v>
      </c>
      <c r="G26" s="144">
        <f t="shared" si="1"/>
        <v>15000</v>
      </c>
      <c r="H26" s="146">
        <v>0</v>
      </c>
    </row>
    <row r="27" spans="1:8" ht="31.5" customHeight="1" x14ac:dyDescent="0.2">
      <c r="A27" s="44">
        <v>20</v>
      </c>
      <c r="B27" s="66" t="s">
        <v>397</v>
      </c>
      <c r="C27" s="20" t="s">
        <v>364</v>
      </c>
      <c r="D27" s="144">
        <v>7800</v>
      </c>
      <c r="E27" s="145">
        <v>0</v>
      </c>
      <c r="F27" s="145">
        <v>0</v>
      </c>
      <c r="G27" s="144">
        <f t="shared" si="1"/>
        <v>7800</v>
      </c>
      <c r="H27" s="146">
        <v>0</v>
      </c>
    </row>
    <row r="28" spans="1:8" ht="31.5" customHeight="1" x14ac:dyDescent="0.2">
      <c r="A28" s="156">
        <v>21</v>
      </c>
      <c r="B28" s="66" t="s">
        <v>158</v>
      </c>
      <c r="C28" s="20" t="s">
        <v>364</v>
      </c>
      <c r="D28" s="147">
        <v>7000</v>
      </c>
      <c r="E28" s="145">
        <v>0</v>
      </c>
      <c r="F28" s="145">
        <v>0</v>
      </c>
      <c r="G28" s="144">
        <f t="shared" si="1"/>
        <v>7000</v>
      </c>
      <c r="H28" s="146">
        <v>0</v>
      </c>
    </row>
    <row r="29" spans="1:8" ht="31.5" customHeight="1" x14ac:dyDescent="0.2">
      <c r="A29" s="44">
        <v>22</v>
      </c>
      <c r="B29" s="77" t="s">
        <v>877</v>
      </c>
      <c r="C29" s="20" t="s">
        <v>364</v>
      </c>
      <c r="D29" s="147">
        <v>8000</v>
      </c>
      <c r="E29" s="145">
        <v>0</v>
      </c>
      <c r="F29" s="145">
        <v>0</v>
      </c>
      <c r="G29" s="144">
        <f t="shared" si="1"/>
        <v>8000</v>
      </c>
      <c r="H29" s="146">
        <v>0</v>
      </c>
    </row>
    <row r="30" spans="1:8" ht="31.5" customHeight="1" x14ac:dyDescent="0.2">
      <c r="A30" s="156">
        <v>23</v>
      </c>
      <c r="B30" s="17" t="s">
        <v>1045</v>
      </c>
      <c r="C30" s="20" t="s">
        <v>364</v>
      </c>
      <c r="D30" s="147">
        <v>12000</v>
      </c>
      <c r="E30" s="145">
        <v>0</v>
      </c>
      <c r="F30" s="145">
        <v>0</v>
      </c>
      <c r="G30" s="144">
        <f t="shared" si="1"/>
        <v>12000</v>
      </c>
      <c r="H30" s="146">
        <v>0</v>
      </c>
    </row>
    <row r="31" spans="1:8" ht="31.5" customHeight="1" x14ac:dyDescent="0.2">
      <c r="A31" s="44">
        <v>24</v>
      </c>
      <c r="B31" s="67" t="s">
        <v>1033</v>
      </c>
      <c r="C31" s="20" t="s">
        <v>364</v>
      </c>
      <c r="D31" s="147">
        <v>20000</v>
      </c>
      <c r="E31" s="145">
        <v>0</v>
      </c>
      <c r="F31" s="145">
        <v>0</v>
      </c>
      <c r="G31" s="144">
        <f t="shared" si="1"/>
        <v>20000</v>
      </c>
      <c r="H31" s="146">
        <v>0</v>
      </c>
    </row>
    <row r="32" spans="1:8" ht="31.5" customHeight="1" x14ac:dyDescent="0.2">
      <c r="A32" s="156">
        <v>25</v>
      </c>
      <c r="B32" s="89" t="s">
        <v>858</v>
      </c>
      <c r="C32" s="20" t="s">
        <v>364</v>
      </c>
      <c r="D32" s="144">
        <v>6000</v>
      </c>
      <c r="E32" s="145">
        <v>0</v>
      </c>
      <c r="F32" s="145">
        <v>0</v>
      </c>
      <c r="G32" s="144">
        <f t="shared" si="1"/>
        <v>6000</v>
      </c>
      <c r="H32" s="146">
        <v>0</v>
      </c>
    </row>
    <row r="33" spans="1:9" ht="31.5" customHeight="1" x14ac:dyDescent="0.2">
      <c r="A33" s="44">
        <v>26</v>
      </c>
      <c r="B33" s="66" t="s">
        <v>834</v>
      </c>
      <c r="C33" s="17" t="s">
        <v>364</v>
      </c>
      <c r="D33" s="144">
        <v>18000</v>
      </c>
      <c r="E33" s="145">
        <v>0</v>
      </c>
      <c r="F33" s="145">
        <v>0</v>
      </c>
      <c r="G33" s="144">
        <f t="shared" si="1"/>
        <v>18000</v>
      </c>
      <c r="H33" s="146">
        <v>0</v>
      </c>
    </row>
    <row r="34" spans="1:9" ht="31.5" customHeight="1" x14ac:dyDescent="0.2">
      <c r="A34" s="156">
        <v>27</v>
      </c>
      <c r="B34" s="17" t="s">
        <v>1053</v>
      </c>
      <c r="C34" s="17" t="s">
        <v>364</v>
      </c>
      <c r="D34" s="144">
        <v>6500</v>
      </c>
      <c r="E34" s="145">
        <v>0</v>
      </c>
      <c r="F34" s="145">
        <v>0</v>
      </c>
      <c r="G34" s="144">
        <f t="shared" si="1"/>
        <v>6500</v>
      </c>
      <c r="H34" s="146">
        <v>0</v>
      </c>
    </row>
    <row r="35" spans="1:9" ht="31.5" customHeight="1" x14ac:dyDescent="0.2">
      <c r="A35" s="44">
        <v>28</v>
      </c>
      <c r="B35" s="89" t="s">
        <v>856</v>
      </c>
      <c r="C35" s="17" t="s">
        <v>364</v>
      </c>
      <c r="D35" s="144">
        <v>17000</v>
      </c>
      <c r="E35" s="145">
        <v>0</v>
      </c>
      <c r="F35" s="145">
        <v>0</v>
      </c>
      <c r="G35" s="144">
        <f t="shared" si="1"/>
        <v>17000</v>
      </c>
      <c r="H35" s="146">
        <v>0</v>
      </c>
    </row>
    <row r="36" spans="1:9" ht="31.5" customHeight="1" x14ac:dyDescent="0.2">
      <c r="A36" s="156">
        <v>29</v>
      </c>
      <c r="B36" s="66" t="s">
        <v>796</v>
      </c>
      <c r="C36" s="17" t="s">
        <v>748</v>
      </c>
      <c r="D36" s="144">
        <v>6000</v>
      </c>
      <c r="E36" s="145">
        <v>0</v>
      </c>
      <c r="F36" s="145">
        <v>0</v>
      </c>
      <c r="G36" s="144">
        <f t="shared" si="1"/>
        <v>6000</v>
      </c>
      <c r="H36" s="146">
        <v>0</v>
      </c>
    </row>
    <row r="37" spans="1:9" ht="31.5" customHeight="1" x14ac:dyDescent="0.2">
      <c r="A37" s="44">
        <v>30</v>
      </c>
      <c r="B37" s="66" t="s">
        <v>872</v>
      </c>
      <c r="C37" s="17" t="s">
        <v>748</v>
      </c>
      <c r="D37" s="144">
        <v>5000</v>
      </c>
      <c r="E37" s="145">
        <v>0</v>
      </c>
      <c r="F37" s="145">
        <v>0</v>
      </c>
      <c r="G37" s="144">
        <f t="shared" si="1"/>
        <v>5000</v>
      </c>
      <c r="H37" s="146">
        <v>0</v>
      </c>
    </row>
    <row r="38" spans="1:9" ht="31.5" customHeight="1" x14ac:dyDescent="0.2">
      <c r="A38" s="156">
        <v>31</v>
      </c>
      <c r="B38" s="66" t="s">
        <v>896</v>
      </c>
      <c r="C38" s="17" t="s">
        <v>748</v>
      </c>
      <c r="D38" s="144">
        <v>4000</v>
      </c>
      <c r="E38" s="145">
        <v>0</v>
      </c>
      <c r="F38" s="145">
        <v>0</v>
      </c>
      <c r="G38" s="144">
        <f t="shared" si="1"/>
        <v>4000</v>
      </c>
      <c r="H38" s="146">
        <v>0</v>
      </c>
    </row>
    <row r="39" spans="1:9" ht="31.5" customHeight="1" x14ac:dyDescent="0.2">
      <c r="A39" s="44">
        <v>32</v>
      </c>
      <c r="B39" s="122" t="s">
        <v>112</v>
      </c>
      <c r="C39" s="17" t="s">
        <v>748</v>
      </c>
      <c r="D39" s="144">
        <v>5500</v>
      </c>
      <c r="E39" s="145">
        <v>0</v>
      </c>
      <c r="F39" s="145">
        <v>0</v>
      </c>
      <c r="G39" s="144">
        <f t="shared" si="1"/>
        <v>5500</v>
      </c>
      <c r="H39" s="146">
        <v>0</v>
      </c>
    </row>
    <row r="40" spans="1:9" ht="31.5" customHeight="1" x14ac:dyDescent="0.2">
      <c r="A40" s="156">
        <v>33</v>
      </c>
      <c r="B40" s="67" t="s">
        <v>768</v>
      </c>
      <c r="C40" s="17" t="s">
        <v>748</v>
      </c>
      <c r="D40" s="144">
        <v>4000</v>
      </c>
      <c r="E40" s="145">
        <v>0</v>
      </c>
      <c r="F40" s="145">
        <v>0</v>
      </c>
      <c r="G40" s="144">
        <f t="shared" si="1"/>
        <v>4000</v>
      </c>
      <c r="H40" s="146">
        <v>0</v>
      </c>
    </row>
    <row r="41" spans="1:9" ht="31.5" customHeight="1" x14ac:dyDescent="0.2">
      <c r="A41" s="44">
        <v>34</v>
      </c>
      <c r="B41" s="66" t="s">
        <v>870</v>
      </c>
      <c r="C41" s="17" t="s">
        <v>748</v>
      </c>
      <c r="D41" s="144">
        <v>4000</v>
      </c>
      <c r="E41" s="145">
        <v>0</v>
      </c>
      <c r="F41" s="145">
        <v>0</v>
      </c>
      <c r="G41" s="144">
        <f t="shared" si="1"/>
        <v>4000</v>
      </c>
      <c r="H41" s="146">
        <v>0</v>
      </c>
    </row>
    <row r="42" spans="1:9" ht="31.5" customHeight="1" x14ac:dyDescent="0.2">
      <c r="A42" s="156">
        <v>35</v>
      </c>
      <c r="B42" s="67" t="s">
        <v>853</v>
      </c>
      <c r="C42" s="17" t="s">
        <v>748</v>
      </c>
      <c r="D42" s="144">
        <v>6000</v>
      </c>
      <c r="E42" s="145">
        <v>0</v>
      </c>
      <c r="F42" s="145">
        <v>0</v>
      </c>
      <c r="G42" s="144">
        <f t="shared" si="1"/>
        <v>6000</v>
      </c>
      <c r="H42" s="146">
        <f>2292.5+175+210+627</f>
        <v>3304.5</v>
      </c>
    </row>
    <row r="43" spans="1:9" ht="31.5" customHeight="1" x14ac:dyDescent="0.2">
      <c r="A43" s="44">
        <v>36</v>
      </c>
      <c r="B43" s="66" t="s">
        <v>98</v>
      </c>
      <c r="C43" s="17" t="s">
        <v>748</v>
      </c>
      <c r="D43" s="144">
        <v>6000</v>
      </c>
      <c r="E43" s="145">
        <v>0</v>
      </c>
      <c r="F43" s="145">
        <v>0</v>
      </c>
      <c r="G43" s="144">
        <f t="shared" si="1"/>
        <v>6000</v>
      </c>
      <c r="H43" s="146">
        <f>9285.25</f>
        <v>9285.25</v>
      </c>
    </row>
    <row r="44" spans="1:9" ht="31.5" customHeight="1" x14ac:dyDescent="0.2">
      <c r="A44" s="156">
        <v>37</v>
      </c>
      <c r="B44" s="66" t="s">
        <v>889</v>
      </c>
      <c r="C44" s="17" t="s">
        <v>748</v>
      </c>
      <c r="D44" s="144">
        <v>5000</v>
      </c>
      <c r="E44" s="145">
        <v>0</v>
      </c>
      <c r="F44" s="145">
        <v>0</v>
      </c>
      <c r="G44" s="144">
        <f t="shared" si="1"/>
        <v>5000</v>
      </c>
      <c r="H44" s="146">
        <v>0</v>
      </c>
    </row>
    <row r="45" spans="1:9" ht="31.5" customHeight="1" x14ac:dyDescent="0.2">
      <c r="A45" s="44">
        <v>38</v>
      </c>
      <c r="B45" s="66" t="s">
        <v>874</v>
      </c>
      <c r="C45" s="17" t="s">
        <v>748</v>
      </c>
      <c r="D45" s="144">
        <v>5500</v>
      </c>
      <c r="E45" s="145">
        <v>0</v>
      </c>
      <c r="F45" s="145">
        <v>0</v>
      </c>
      <c r="G45" s="144">
        <f t="shared" ref="G45:G64" si="2">D45</f>
        <v>5500</v>
      </c>
      <c r="H45" s="146">
        <v>0</v>
      </c>
    </row>
    <row r="46" spans="1:9" ht="31.5" customHeight="1" x14ac:dyDescent="0.2">
      <c r="A46" s="156">
        <v>39</v>
      </c>
      <c r="B46" s="66" t="s">
        <v>1020</v>
      </c>
      <c r="C46" s="17" t="s">
        <v>818</v>
      </c>
      <c r="D46" s="144">
        <v>5000</v>
      </c>
      <c r="E46" s="145">
        <v>0</v>
      </c>
      <c r="F46" s="145">
        <v>0</v>
      </c>
      <c r="G46" s="144">
        <f t="shared" si="2"/>
        <v>5000</v>
      </c>
      <c r="H46" s="146">
        <v>0</v>
      </c>
    </row>
    <row r="47" spans="1:9" ht="31.5" customHeight="1" x14ac:dyDescent="0.2">
      <c r="A47" s="44">
        <v>40</v>
      </c>
      <c r="B47" s="77" t="s">
        <v>829</v>
      </c>
      <c r="C47" s="17" t="s">
        <v>748</v>
      </c>
      <c r="D47" s="144">
        <v>10000</v>
      </c>
      <c r="E47" s="145">
        <v>0</v>
      </c>
      <c r="F47" s="145">
        <v>0</v>
      </c>
      <c r="G47" s="144">
        <f t="shared" si="2"/>
        <v>10000</v>
      </c>
      <c r="H47" s="146">
        <v>0</v>
      </c>
      <c r="I47" s="31"/>
    </row>
    <row r="48" spans="1:9" ht="31.5" customHeight="1" x14ac:dyDescent="0.2">
      <c r="A48" s="156">
        <v>41</v>
      </c>
      <c r="B48" s="67" t="s">
        <v>93</v>
      </c>
      <c r="C48" s="17" t="s">
        <v>748</v>
      </c>
      <c r="D48" s="148">
        <v>6000</v>
      </c>
      <c r="E48" s="145">
        <v>0</v>
      </c>
      <c r="F48" s="145">
        <v>0</v>
      </c>
      <c r="G48" s="144">
        <f t="shared" si="2"/>
        <v>6000</v>
      </c>
      <c r="H48" s="146">
        <v>0</v>
      </c>
    </row>
    <row r="49" spans="1:9" ht="31.5" customHeight="1" x14ac:dyDescent="0.2">
      <c r="A49" s="44">
        <v>42</v>
      </c>
      <c r="B49" s="66" t="s">
        <v>873</v>
      </c>
      <c r="C49" s="17" t="s">
        <v>748</v>
      </c>
      <c r="D49" s="148">
        <v>10000</v>
      </c>
      <c r="E49" s="145">
        <v>0</v>
      </c>
      <c r="F49" s="145">
        <v>0</v>
      </c>
      <c r="G49" s="144">
        <f t="shared" si="2"/>
        <v>10000</v>
      </c>
      <c r="H49" s="146">
        <v>0</v>
      </c>
    </row>
    <row r="50" spans="1:9" ht="31.5" customHeight="1" x14ac:dyDescent="0.2">
      <c r="A50" s="156">
        <v>43</v>
      </c>
      <c r="B50" s="17" t="s">
        <v>1047</v>
      </c>
      <c r="C50" s="17" t="s">
        <v>748</v>
      </c>
      <c r="D50" s="148">
        <v>8000</v>
      </c>
      <c r="E50" s="145">
        <v>0</v>
      </c>
      <c r="F50" s="145">
        <v>0</v>
      </c>
      <c r="G50" s="144">
        <f t="shared" si="2"/>
        <v>8000</v>
      </c>
      <c r="H50" s="146">
        <f>208+623+210</f>
        <v>1041</v>
      </c>
    </row>
    <row r="51" spans="1:9" ht="31.5" customHeight="1" x14ac:dyDescent="0.2">
      <c r="A51" s="44">
        <v>44</v>
      </c>
      <c r="B51" s="66" t="s">
        <v>879</v>
      </c>
      <c r="C51" s="17" t="s">
        <v>748</v>
      </c>
      <c r="D51" s="148">
        <v>15400</v>
      </c>
      <c r="E51" s="145">
        <v>0</v>
      </c>
      <c r="F51" s="145">
        <v>0</v>
      </c>
      <c r="G51" s="144">
        <f t="shared" si="2"/>
        <v>15400</v>
      </c>
      <c r="H51" s="146">
        <v>0</v>
      </c>
    </row>
    <row r="52" spans="1:9" ht="31.5" customHeight="1" x14ac:dyDescent="0.2">
      <c r="A52" s="156">
        <v>45</v>
      </c>
      <c r="B52" s="67" t="s">
        <v>769</v>
      </c>
      <c r="C52" s="17" t="s">
        <v>748</v>
      </c>
      <c r="D52" s="144">
        <v>4000</v>
      </c>
      <c r="E52" s="145">
        <v>0</v>
      </c>
      <c r="F52" s="145">
        <v>0</v>
      </c>
      <c r="G52" s="144">
        <f t="shared" si="2"/>
        <v>4000</v>
      </c>
      <c r="H52" s="146">
        <v>0</v>
      </c>
      <c r="I52" s="33"/>
    </row>
    <row r="53" spans="1:9" ht="31.5" customHeight="1" x14ac:dyDescent="0.2">
      <c r="A53" s="44">
        <v>46</v>
      </c>
      <c r="B53" s="66" t="s">
        <v>906</v>
      </c>
      <c r="C53" s="22" t="s">
        <v>748</v>
      </c>
      <c r="D53" s="144">
        <v>5700</v>
      </c>
      <c r="E53" s="145">
        <v>0</v>
      </c>
      <c r="F53" s="145">
        <v>0</v>
      </c>
      <c r="G53" s="144">
        <f t="shared" si="2"/>
        <v>5700</v>
      </c>
      <c r="H53" s="146">
        <f>210</f>
        <v>210</v>
      </c>
    </row>
    <row r="54" spans="1:9" ht="31.5" customHeight="1" x14ac:dyDescent="0.2">
      <c r="A54" s="156">
        <v>47</v>
      </c>
      <c r="B54" s="66" t="s">
        <v>1023</v>
      </c>
      <c r="C54" s="22" t="s">
        <v>818</v>
      </c>
      <c r="D54" s="144">
        <v>5000</v>
      </c>
      <c r="E54" s="145">
        <v>0</v>
      </c>
      <c r="F54" s="145">
        <v>0</v>
      </c>
      <c r="G54" s="144">
        <f t="shared" si="2"/>
        <v>5000</v>
      </c>
      <c r="H54" s="146">
        <v>0</v>
      </c>
    </row>
    <row r="55" spans="1:9" ht="31.5" customHeight="1" x14ac:dyDescent="0.2">
      <c r="A55" s="44">
        <v>48</v>
      </c>
      <c r="B55" s="66" t="s">
        <v>902</v>
      </c>
      <c r="C55" s="22" t="s">
        <v>818</v>
      </c>
      <c r="D55" s="144">
        <v>4500</v>
      </c>
      <c r="E55" s="145">
        <v>0</v>
      </c>
      <c r="F55" s="145">
        <v>0</v>
      </c>
      <c r="G55" s="144">
        <f t="shared" si="2"/>
        <v>4500</v>
      </c>
      <c r="H55" s="146">
        <v>0</v>
      </c>
    </row>
    <row r="56" spans="1:9" ht="31.5" customHeight="1" x14ac:dyDescent="0.2">
      <c r="A56" s="156">
        <v>49</v>
      </c>
      <c r="B56" s="66" t="s">
        <v>807</v>
      </c>
      <c r="C56" s="17" t="s">
        <v>748</v>
      </c>
      <c r="D56" s="144">
        <v>8000</v>
      </c>
      <c r="E56" s="145">
        <v>0</v>
      </c>
      <c r="F56" s="145">
        <v>0</v>
      </c>
      <c r="G56" s="144">
        <f t="shared" si="2"/>
        <v>8000</v>
      </c>
      <c r="H56" s="146">
        <f>194.3+492.45</f>
        <v>686.75</v>
      </c>
    </row>
    <row r="57" spans="1:9" ht="31.5" customHeight="1" x14ac:dyDescent="0.2">
      <c r="A57" s="44">
        <v>50</v>
      </c>
      <c r="B57" s="77" t="s">
        <v>831</v>
      </c>
      <c r="C57" s="17" t="s">
        <v>748</v>
      </c>
      <c r="D57" s="144">
        <v>10000</v>
      </c>
      <c r="E57" s="145">
        <v>0</v>
      </c>
      <c r="F57" s="145">
        <v>0</v>
      </c>
      <c r="G57" s="144">
        <f t="shared" si="2"/>
        <v>10000</v>
      </c>
      <c r="H57" s="146">
        <v>0</v>
      </c>
    </row>
    <row r="58" spans="1:9" ht="31.5" customHeight="1" x14ac:dyDescent="0.2">
      <c r="A58" s="156">
        <v>51</v>
      </c>
      <c r="B58" s="17" t="s">
        <v>1050</v>
      </c>
      <c r="C58" s="17" t="s">
        <v>748</v>
      </c>
      <c r="D58" s="144">
        <v>5000</v>
      </c>
      <c r="E58" s="145">
        <v>0</v>
      </c>
      <c r="F58" s="145">
        <v>0</v>
      </c>
      <c r="G58" s="144">
        <f t="shared" si="2"/>
        <v>5000</v>
      </c>
      <c r="H58" s="146">
        <v>0</v>
      </c>
    </row>
    <row r="59" spans="1:9" ht="31.5" customHeight="1" x14ac:dyDescent="0.2">
      <c r="A59" s="44">
        <v>52</v>
      </c>
      <c r="B59" s="67" t="s">
        <v>786</v>
      </c>
      <c r="C59" s="17" t="s">
        <v>748</v>
      </c>
      <c r="D59" s="144">
        <v>4000</v>
      </c>
      <c r="E59" s="145">
        <v>0</v>
      </c>
      <c r="F59" s="145">
        <v>0</v>
      </c>
      <c r="G59" s="144">
        <f t="shared" si="2"/>
        <v>4000</v>
      </c>
      <c r="H59" s="146">
        <v>0</v>
      </c>
    </row>
    <row r="60" spans="1:9" ht="31.5" customHeight="1" x14ac:dyDescent="0.2">
      <c r="A60" s="156">
        <v>53</v>
      </c>
      <c r="B60" s="66" t="s">
        <v>839</v>
      </c>
      <c r="C60" s="17" t="s">
        <v>748</v>
      </c>
      <c r="D60" s="144">
        <v>10000</v>
      </c>
      <c r="E60" s="145">
        <v>0</v>
      </c>
      <c r="F60" s="145">
        <v>0</v>
      </c>
      <c r="G60" s="144">
        <f t="shared" si="2"/>
        <v>10000</v>
      </c>
      <c r="H60" s="146">
        <v>0</v>
      </c>
    </row>
    <row r="61" spans="1:9" ht="31.5" customHeight="1" x14ac:dyDescent="0.2">
      <c r="A61" s="44">
        <v>54</v>
      </c>
      <c r="B61" s="66" t="s">
        <v>824</v>
      </c>
      <c r="C61" s="17" t="s">
        <v>818</v>
      </c>
      <c r="D61" s="144">
        <v>10000</v>
      </c>
      <c r="E61" s="145">
        <v>0</v>
      </c>
      <c r="F61" s="145">
        <v>0</v>
      </c>
      <c r="G61" s="144">
        <f t="shared" si="2"/>
        <v>10000</v>
      </c>
      <c r="H61" s="146">
        <v>0</v>
      </c>
    </row>
    <row r="62" spans="1:9" ht="31.5" customHeight="1" x14ac:dyDescent="0.2">
      <c r="A62" s="156">
        <v>55</v>
      </c>
      <c r="B62" s="104" t="s">
        <v>1022</v>
      </c>
      <c r="C62" s="17" t="s">
        <v>818</v>
      </c>
      <c r="D62" s="144">
        <v>8000</v>
      </c>
      <c r="E62" s="145">
        <v>0</v>
      </c>
      <c r="F62" s="145">
        <v>0</v>
      </c>
      <c r="G62" s="144">
        <f t="shared" si="2"/>
        <v>8000</v>
      </c>
      <c r="H62" s="146">
        <v>0</v>
      </c>
    </row>
    <row r="63" spans="1:9" ht="31.5" customHeight="1" x14ac:dyDescent="0.2">
      <c r="A63" s="44">
        <v>56</v>
      </c>
      <c r="B63" s="77" t="s">
        <v>826</v>
      </c>
      <c r="C63" s="17" t="s">
        <v>748</v>
      </c>
      <c r="D63" s="144">
        <v>6500</v>
      </c>
      <c r="E63" s="145">
        <v>0</v>
      </c>
      <c r="F63" s="145">
        <v>0</v>
      </c>
      <c r="G63" s="144">
        <f t="shared" si="2"/>
        <v>6500</v>
      </c>
      <c r="H63" s="146">
        <v>0</v>
      </c>
    </row>
    <row r="64" spans="1:9" ht="31.5" customHeight="1" x14ac:dyDescent="0.2">
      <c r="A64" s="156">
        <v>57</v>
      </c>
      <c r="B64" s="136" t="s">
        <v>1066</v>
      </c>
      <c r="C64" s="17" t="s">
        <v>748</v>
      </c>
      <c r="D64" s="144">
        <v>6500</v>
      </c>
      <c r="E64" s="145">
        <v>0</v>
      </c>
      <c r="F64" s="145">
        <v>0</v>
      </c>
      <c r="G64" s="144">
        <f t="shared" si="2"/>
        <v>6500</v>
      </c>
      <c r="H64" s="146">
        <v>0</v>
      </c>
    </row>
    <row r="65" spans="1:8" ht="31.5" customHeight="1" x14ac:dyDescent="0.2">
      <c r="A65" s="44">
        <v>58</v>
      </c>
      <c r="B65" s="66" t="s">
        <v>898</v>
      </c>
      <c r="C65" s="17" t="s">
        <v>748</v>
      </c>
      <c r="D65" s="144">
        <v>8000</v>
      </c>
      <c r="E65" s="145">
        <v>0</v>
      </c>
      <c r="F65" s="145">
        <v>0</v>
      </c>
      <c r="G65" s="144">
        <f t="shared" ref="G65:G98" si="3">D65</f>
        <v>8000</v>
      </c>
      <c r="H65" s="146">
        <v>0</v>
      </c>
    </row>
    <row r="66" spans="1:8" ht="31.5" customHeight="1" x14ac:dyDescent="0.2">
      <c r="A66" s="156">
        <v>59</v>
      </c>
      <c r="B66" s="66" t="s">
        <v>840</v>
      </c>
      <c r="C66" s="17" t="s">
        <v>748</v>
      </c>
      <c r="D66" s="144">
        <v>8000</v>
      </c>
      <c r="E66" s="145">
        <v>0</v>
      </c>
      <c r="F66" s="145">
        <v>0</v>
      </c>
      <c r="G66" s="144">
        <f t="shared" si="3"/>
        <v>8000</v>
      </c>
      <c r="H66" s="146">
        <v>0</v>
      </c>
    </row>
    <row r="67" spans="1:8" ht="31.5" customHeight="1" x14ac:dyDescent="0.2">
      <c r="A67" s="44">
        <v>60</v>
      </c>
      <c r="B67" s="77" t="s">
        <v>830</v>
      </c>
      <c r="C67" s="17" t="s">
        <v>748</v>
      </c>
      <c r="D67" s="144">
        <v>6500</v>
      </c>
      <c r="E67" s="145">
        <v>0</v>
      </c>
      <c r="F67" s="145">
        <v>0</v>
      </c>
      <c r="G67" s="144">
        <f t="shared" si="3"/>
        <v>6500</v>
      </c>
      <c r="H67" s="146">
        <v>0</v>
      </c>
    </row>
    <row r="68" spans="1:8" ht="31.5" customHeight="1" x14ac:dyDescent="0.2">
      <c r="A68" s="156">
        <v>61</v>
      </c>
      <c r="B68" s="66" t="s">
        <v>811</v>
      </c>
      <c r="C68" s="17" t="s">
        <v>748</v>
      </c>
      <c r="D68" s="144">
        <v>8000</v>
      </c>
      <c r="E68" s="145">
        <v>0</v>
      </c>
      <c r="F68" s="145">
        <v>0</v>
      </c>
      <c r="G68" s="144">
        <f t="shared" si="3"/>
        <v>8000</v>
      </c>
      <c r="H68" s="146">
        <v>0</v>
      </c>
    </row>
    <row r="69" spans="1:8" ht="31.5" customHeight="1" x14ac:dyDescent="0.2">
      <c r="A69" s="44">
        <v>62</v>
      </c>
      <c r="B69" s="66" t="s">
        <v>833</v>
      </c>
      <c r="C69" s="17" t="s">
        <v>748</v>
      </c>
      <c r="D69" s="144">
        <v>4000</v>
      </c>
      <c r="E69" s="145">
        <v>0</v>
      </c>
      <c r="F69" s="145">
        <v>0</v>
      </c>
      <c r="G69" s="144">
        <f t="shared" si="3"/>
        <v>4000</v>
      </c>
      <c r="H69" s="146">
        <v>0</v>
      </c>
    </row>
    <row r="70" spans="1:8" ht="31.5" customHeight="1" x14ac:dyDescent="0.2">
      <c r="A70" s="156">
        <v>63</v>
      </c>
      <c r="B70" s="67" t="s">
        <v>775</v>
      </c>
      <c r="C70" s="17" t="s">
        <v>748</v>
      </c>
      <c r="D70" s="144">
        <v>6000</v>
      </c>
      <c r="E70" s="145">
        <v>0</v>
      </c>
      <c r="F70" s="145">
        <v>0</v>
      </c>
      <c r="G70" s="144">
        <f t="shared" si="3"/>
        <v>6000</v>
      </c>
      <c r="H70" s="146">
        <v>0</v>
      </c>
    </row>
    <row r="71" spans="1:8" ht="31.5" customHeight="1" x14ac:dyDescent="0.2">
      <c r="A71" s="44">
        <v>64</v>
      </c>
      <c r="B71" s="66" t="s">
        <v>888</v>
      </c>
      <c r="C71" s="17" t="s">
        <v>748</v>
      </c>
      <c r="D71" s="144">
        <v>12000</v>
      </c>
      <c r="E71" s="145">
        <v>0</v>
      </c>
      <c r="F71" s="145">
        <v>0</v>
      </c>
      <c r="G71" s="144">
        <f t="shared" si="3"/>
        <v>12000</v>
      </c>
      <c r="H71" s="146">
        <v>0</v>
      </c>
    </row>
    <row r="72" spans="1:8" ht="31.5" customHeight="1" x14ac:dyDescent="0.2">
      <c r="A72" s="156">
        <v>65</v>
      </c>
      <c r="B72" s="17" t="s">
        <v>1056</v>
      </c>
      <c r="C72" s="17" t="s">
        <v>748</v>
      </c>
      <c r="D72" s="144">
        <v>5000</v>
      </c>
      <c r="E72" s="145">
        <v>0</v>
      </c>
      <c r="F72" s="145">
        <v>0</v>
      </c>
      <c r="G72" s="144">
        <f t="shared" si="3"/>
        <v>5000</v>
      </c>
      <c r="H72" s="146">
        <v>0</v>
      </c>
    </row>
    <row r="73" spans="1:8" ht="31.5" customHeight="1" x14ac:dyDescent="0.2">
      <c r="A73" s="44">
        <v>66</v>
      </c>
      <c r="B73" s="67" t="s">
        <v>100</v>
      </c>
      <c r="C73" s="17" t="s">
        <v>748</v>
      </c>
      <c r="D73" s="149">
        <v>5000</v>
      </c>
      <c r="E73" s="145">
        <v>0</v>
      </c>
      <c r="F73" s="145">
        <v>0</v>
      </c>
      <c r="G73" s="144">
        <f t="shared" si="3"/>
        <v>5000</v>
      </c>
      <c r="H73" s="146">
        <v>0</v>
      </c>
    </row>
    <row r="74" spans="1:8" ht="31.5" customHeight="1" x14ac:dyDescent="0.2">
      <c r="A74" s="156">
        <v>67</v>
      </c>
      <c r="B74" s="77" t="s">
        <v>828</v>
      </c>
      <c r="C74" s="17" t="s">
        <v>748</v>
      </c>
      <c r="D74" s="144">
        <v>5000</v>
      </c>
      <c r="E74" s="145">
        <v>0</v>
      </c>
      <c r="F74" s="145">
        <v>0</v>
      </c>
      <c r="G74" s="144">
        <f t="shared" si="3"/>
        <v>5000</v>
      </c>
      <c r="H74" s="146">
        <v>0</v>
      </c>
    </row>
    <row r="75" spans="1:8" ht="31.5" customHeight="1" x14ac:dyDescent="0.2">
      <c r="A75" s="44">
        <v>68</v>
      </c>
      <c r="B75" s="17" t="s">
        <v>1054</v>
      </c>
      <c r="C75" s="17" t="s">
        <v>748</v>
      </c>
      <c r="D75" s="144">
        <v>4000</v>
      </c>
      <c r="E75" s="145">
        <v>0</v>
      </c>
      <c r="F75" s="145">
        <v>0</v>
      </c>
      <c r="G75" s="144">
        <f t="shared" si="3"/>
        <v>4000</v>
      </c>
      <c r="H75" s="146">
        <v>0</v>
      </c>
    </row>
    <row r="76" spans="1:8" ht="31.5" customHeight="1" x14ac:dyDescent="0.2">
      <c r="A76" s="156">
        <v>69</v>
      </c>
      <c r="B76" s="66" t="s">
        <v>869</v>
      </c>
      <c r="C76" s="17" t="s">
        <v>748</v>
      </c>
      <c r="D76" s="144">
        <v>8000</v>
      </c>
      <c r="E76" s="145">
        <v>0</v>
      </c>
      <c r="F76" s="145">
        <v>0</v>
      </c>
      <c r="G76" s="144">
        <f t="shared" si="3"/>
        <v>8000</v>
      </c>
      <c r="H76" s="146">
        <v>0</v>
      </c>
    </row>
    <row r="77" spans="1:8" ht="31.5" customHeight="1" x14ac:dyDescent="0.2">
      <c r="A77" s="44">
        <v>70</v>
      </c>
      <c r="B77" s="66" t="s">
        <v>891</v>
      </c>
      <c r="C77" s="17" t="s">
        <v>748</v>
      </c>
      <c r="D77" s="144">
        <v>5000</v>
      </c>
      <c r="E77" s="145">
        <v>0</v>
      </c>
      <c r="F77" s="145">
        <v>0</v>
      </c>
      <c r="G77" s="144">
        <f t="shared" si="3"/>
        <v>5000</v>
      </c>
      <c r="H77" s="146">
        <v>0</v>
      </c>
    </row>
    <row r="78" spans="1:8" ht="31.5" customHeight="1" x14ac:dyDescent="0.2">
      <c r="A78" s="156">
        <v>71</v>
      </c>
      <c r="B78" s="136" t="s">
        <v>1069</v>
      </c>
      <c r="C78" s="17" t="s">
        <v>748</v>
      </c>
      <c r="D78" s="144">
        <v>5000</v>
      </c>
      <c r="E78" s="145">
        <v>0</v>
      </c>
      <c r="F78" s="145">
        <v>0</v>
      </c>
      <c r="G78" s="144">
        <f t="shared" si="3"/>
        <v>5000</v>
      </c>
      <c r="H78" s="146">
        <v>0</v>
      </c>
    </row>
    <row r="79" spans="1:8" ht="31.5" customHeight="1" x14ac:dyDescent="0.2">
      <c r="A79" s="44">
        <v>72</v>
      </c>
      <c r="B79" s="66" t="s">
        <v>808</v>
      </c>
      <c r="C79" s="17" t="s">
        <v>748</v>
      </c>
      <c r="D79" s="144">
        <v>6500</v>
      </c>
      <c r="E79" s="145">
        <v>0</v>
      </c>
      <c r="F79" s="145">
        <v>0</v>
      </c>
      <c r="G79" s="144">
        <f t="shared" si="3"/>
        <v>6500</v>
      </c>
      <c r="H79" s="146">
        <v>0</v>
      </c>
    </row>
    <row r="80" spans="1:8" ht="31.5" customHeight="1" x14ac:dyDescent="0.2">
      <c r="A80" s="156">
        <v>73</v>
      </c>
      <c r="B80" s="122" t="s">
        <v>131</v>
      </c>
      <c r="C80" s="17" t="s">
        <v>748</v>
      </c>
      <c r="D80" s="144">
        <v>8600</v>
      </c>
      <c r="E80" s="145">
        <v>0</v>
      </c>
      <c r="F80" s="145">
        <v>0</v>
      </c>
      <c r="G80" s="144">
        <f t="shared" si="3"/>
        <v>8600</v>
      </c>
      <c r="H80" s="146">
        <v>0</v>
      </c>
    </row>
    <row r="81" spans="1:8" ht="31.5" customHeight="1" x14ac:dyDescent="0.2">
      <c r="A81" s="44">
        <v>74</v>
      </c>
      <c r="B81" s="67" t="s">
        <v>1035</v>
      </c>
      <c r="C81" s="17" t="s">
        <v>748</v>
      </c>
      <c r="D81" s="144">
        <v>4000</v>
      </c>
      <c r="E81" s="145">
        <v>0</v>
      </c>
      <c r="F81" s="145">
        <v>0</v>
      </c>
      <c r="G81" s="144">
        <f t="shared" si="3"/>
        <v>4000</v>
      </c>
      <c r="H81" s="146">
        <v>0</v>
      </c>
    </row>
    <row r="82" spans="1:8" ht="31.5" customHeight="1" x14ac:dyDescent="0.2">
      <c r="A82" s="156">
        <v>75</v>
      </c>
      <c r="B82" s="67" t="s">
        <v>776</v>
      </c>
      <c r="C82" s="17" t="s">
        <v>748</v>
      </c>
      <c r="D82" s="144">
        <v>4000</v>
      </c>
      <c r="E82" s="145">
        <v>0</v>
      </c>
      <c r="F82" s="145">
        <v>0</v>
      </c>
      <c r="G82" s="144">
        <f t="shared" si="3"/>
        <v>4000</v>
      </c>
      <c r="H82" s="146">
        <v>0</v>
      </c>
    </row>
    <row r="83" spans="1:8" ht="31.5" customHeight="1" x14ac:dyDescent="0.2">
      <c r="A83" s="44">
        <v>76</v>
      </c>
      <c r="B83" s="66" t="s">
        <v>809</v>
      </c>
      <c r="C83" s="17" t="s">
        <v>748</v>
      </c>
      <c r="D83" s="144">
        <v>7000</v>
      </c>
      <c r="E83" s="145">
        <v>0</v>
      </c>
      <c r="F83" s="145">
        <v>0</v>
      </c>
      <c r="G83" s="144">
        <f t="shared" si="3"/>
        <v>7000</v>
      </c>
      <c r="H83" s="146">
        <f>203+361</f>
        <v>564</v>
      </c>
    </row>
    <row r="84" spans="1:8" ht="31.5" customHeight="1" x14ac:dyDescent="0.2">
      <c r="A84" s="156">
        <v>77</v>
      </c>
      <c r="B84" s="66" t="s">
        <v>882</v>
      </c>
      <c r="C84" s="17" t="s">
        <v>748</v>
      </c>
      <c r="D84" s="144">
        <v>5000</v>
      </c>
      <c r="E84" s="145">
        <v>0</v>
      </c>
      <c r="F84" s="145">
        <v>0</v>
      </c>
      <c r="G84" s="144">
        <f t="shared" si="3"/>
        <v>5000</v>
      </c>
      <c r="H84" s="146">
        <f>630+1050+210+1050</f>
        <v>2940</v>
      </c>
    </row>
    <row r="85" spans="1:8" ht="31.5" customHeight="1" x14ac:dyDescent="0.2">
      <c r="A85" s="44">
        <v>78</v>
      </c>
      <c r="B85" s="66" t="s">
        <v>894</v>
      </c>
      <c r="C85" s="17" t="s">
        <v>748</v>
      </c>
      <c r="D85" s="144">
        <v>4500</v>
      </c>
      <c r="E85" s="145">
        <v>0</v>
      </c>
      <c r="F85" s="145">
        <v>0</v>
      </c>
      <c r="G85" s="144">
        <f t="shared" si="3"/>
        <v>4500</v>
      </c>
      <c r="H85" s="146">
        <v>0</v>
      </c>
    </row>
    <row r="86" spans="1:8" ht="31.5" customHeight="1" x14ac:dyDescent="0.2">
      <c r="A86" s="156">
        <v>79</v>
      </c>
      <c r="B86" s="77" t="s">
        <v>1019</v>
      </c>
      <c r="C86" s="17" t="s">
        <v>818</v>
      </c>
      <c r="D86" s="144">
        <v>5000</v>
      </c>
      <c r="E86" s="145">
        <v>0</v>
      </c>
      <c r="F86" s="145">
        <v>0</v>
      </c>
      <c r="G86" s="144">
        <f t="shared" si="3"/>
        <v>5000</v>
      </c>
      <c r="H86" s="146">
        <f>1091+630+1461</f>
        <v>3182</v>
      </c>
    </row>
    <row r="87" spans="1:8" ht="31.5" customHeight="1" x14ac:dyDescent="0.2">
      <c r="A87" s="44">
        <v>80</v>
      </c>
      <c r="B87" s="67" t="s">
        <v>810</v>
      </c>
      <c r="C87" s="17" t="s">
        <v>748</v>
      </c>
      <c r="D87" s="144">
        <v>4000</v>
      </c>
      <c r="E87" s="145">
        <v>0</v>
      </c>
      <c r="F87" s="145">
        <v>0</v>
      </c>
      <c r="G87" s="144">
        <f t="shared" si="3"/>
        <v>4000</v>
      </c>
      <c r="H87" s="146">
        <v>0</v>
      </c>
    </row>
    <row r="88" spans="1:8" ht="31.5" customHeight="1" x14ac:dyDescent="0.2">
      <c r="A88" s="156">
        <v>81</v>
      </c>
      <c r="B88" s="122" t="s">
        <v>97</v>
      </c>
      <c r="C88" s="17" t="s">
        <v>748</v>
      </c>
      <c r="D88" s="144">
        <v>12000</v>
      </c>
      <c r="E88" s="145">
        <v>0</v>
      </c>
      <c r="F88" s="145">
        <v>0</v>
      </c>
      <c r="G88" s="144">
        <f t="shared" si="3"/>
        <v>12000</v>
      </c>
      <c r="H88" s="146">
        <v>0</v>
      </c>
    </row>
    <row r="89" spans="1:8" ht="31.5" customHeight="1" x14ac:dyDescent="0.2">
      <c r="A89" s="44">
        <v>82</v>
      </c>
      <c r="B89" s="67" t="s">
        <v>897</v>
      </c>
      <c r="C89" s="17" t="s">
        <v>748</v>
      </c>
      <c r="D89" s="144">
        <v>4000</v>
      </c>
      <c r="E89" s="145">
        <v>0</v>
      </c>
      <c r="F89" s="145">
        <v>0</v>
      </c>
      <c r="G89" s="144">
        <f t="shared" si="3"/>
        <v>4000</v>
      </c>
      <c r="H89" s="146">
        <v>0</v>
      </c>
    </row>
    <row r="90" spans="1:8" ht="31.5" customHeight="1" x14ac:dyDescent="0.2">
      <c r="A90" s="156">
        <v>83</v>
      </c>
      <c r="B90" s="122" t="s">
        <v>96</v>
      </c>
      <c r="C90" s="17" t="s">
        <v>748</v>
      </c>
      <c r="D90" s="144">
        <v>5500</v>
      </c>
      <c r="E90" s="145">
        <v>0</v>
      </c>
      <c r="F90" s="145">
        <v>0</v>
      </c>
      <c r="G90" s="144">
        <f t="shared" si="3"/>
        <v>5500</v>
      </c>
      <c r="H90" s="146">
        <v>0</v>
      </c>
    </row>
    <row r="91" spans="1:8" ht="31.5" customHeight="1" x14ac:dyDescent="0.2">
      <c r="A91" s="44">
        <v>84</v>
      </c>
      <c r="B91" s="17" t="s">
        <v>1052</v>
      </c>
      <c r="C91" s="17" t="s">
        <v>748</v>
      </c>
      <c r="D91" s="144">
        <v>7000</v>
      </c>
      <c r="E91" s="145">
        <v>0</v>
      </c>
      <c r="F91" s="145">
        <v>0</v>
      </c>
      <c r="G91" s="144">
        <f t="shared" si="3"/>
        <v>7000</v>
      </c>
      <c r="H91" s="146">
        <v>0</v>
      </c>
    </row>
    <row r="92" spans="1:8" ht="31.5" customHeight="1" x14ac:dyDescent="0.2">
      <c r="A92" s="156">
        <v>85</v>
      </c>
      <c r="B92" s="66" t="s">
        <v>820</v>
      </c>
      <c r="C92" s="17" t="s">
        <v>748</v>
      </c>
      <c r="D92" s="144">
        <v>6000</v>
      </c>
      <c r="E92" s="145">
        <v>0</v>
      </c>
      <c r="F92" s="145">
        <v>0</v>
      </c>
      <c r="G92" s="144">
        <f t="shared" si="3"/>
        <v>6000</v>
      </c>
      <c r="H92" s="146">
        <v>0</v>
      </c>
    </row>
    <row r="93" spans="1:8" ht="31.5" customHeight="1" x14ac:dyDescent="0.2">
      <c r="A93" s="44">
        <v>86</v>
      </c>
      <c r="B93" s="66" t="s">
        <v>814</v>
      </c>
      <c r="C93" s="17" t="s">
        <v>748</v>
      </c>
      <c r="D93" s="144">
        <v>12000</v>
      </c>
      <c r="E93" s="145">
        <v>0</v>
      </c>
      <c r="F93" s="145">
        <v>0</v>
      </c>
      <c r="G93" s="144">
        <f t="shared" si="3"/>
        <v>12000</v>
      </c>
      <c r="H93" s="146">
        <f>871</f>
        <v>871</v>
      </c>
    </row>
    <row r="94" spans="1:8" ht="31.5" customHeight="1" x14ac:dyDescent="0.2">
      <c r="A94" s="156">
        <v>87</v>
      </c>
      <c r="B94" s="77" t="s">
        <v>863</v>
      </c>
      <c r="C94" s="17" t="s">
        <v>748</v>
      </c>
      <c r="D94" s="144">
        <v>3500</v>
      </c>
      <c r="E94" s="145">
        <v>0</v>
      </c>
      <c r="F94" s="145">
        <v>0</v>
      </c>
      <c r="G94" s="144">
        <f t="shared" si="3"/>
        <v>3500</v>
      </c>
      <c r="H94" s="146">
        <v>0</v>
      </c>
    </row>
    <row r="95" spans="1:8" ht="31.5" customHeight="1" x14ac:dyDescent="0.2">
      <c r="A95" s="44">
        <v>88</v>
      </c>
      <c r="B95" s="66" t="s">
        <v>895</v>
      </c>
      <c r="C95" s="17" t="s">
        <v>748</v>
      </c>
      <c r="D95" s="144">
        <v>4500</v>
      </c>
      <c r="E95" s="145">
        <v>0</v>
      </c>
      <c r="F95" s="145">
        <v>0</v>
      </c>
      <c r="G95" s="144">
        <f t="shared" si="3"/>
        <v>4500</v>
      </c>
      <c r="H95" s="146">
        <v>0</v>
      </c>
    </row>
    <row r="96" spans="1:8" ht="31.5" customHeight="1" x14ac:dyDescent="0.2">
      <c r="A96" s="156">
        <v>89</v>
      </c>
      <c r="B96" s="17" t="s">
        <v>1051</v>
      </c>
      <c r="C96" s="17" t="s">
        <v>748</v>
      </c>
      <c r="D96" s="144">
        <v>5000</v>
      </c>
      <c r="E96" s="145">
        <v>0</v>
      </c>
      <c r="F96" s="145">
        <v>0</v>
      </c>
      <c r="G96" s="144">
        <f t="shared" si="3"/>
        <v>5000</v>
      </c>
      <c r="H96" s="146">
        <v>0</v>
      </c>
    </row>
    <row r="97" spans="1:8" ht="31.5" customHeight="1" x14ac:dyDescent="0.2">
      <c r="A97" s="44">
        <v>90</v>
      </c>
      <c r="B97" s="66" t="s">
        <v>838</v>
      </c>
      <c r="C97" s="17" t="s">
        <v>748</v>
      </c>
      <c r="D97" s="144">
        <v>4000</v>
      </c>
      <c r="E97" s="145">
        <v>0</v>
      </c>
      <c r="F97" s="145">
        <v>0</v>
      </c>
      <c r="G97" s="144">
        <f t="shared" si="3"/>
        <v>4000</v>
      </c>
      <c r="H97" s="146">
        <v>0</v>
      </c>
    </row>
    <row r="98" spans="1:8" ht="31.5" customHeight="1" x14ac:dyDescent="0.2">
      <c r="A98" s="156">
        <v>91</v>
      </c>
      <c r="B98" s="122" t="s">
        <v>99</v>
      </c>
      <c r="C98" s="17" t="s">
        <v>748</v>
      </c>
      <c r="D98" s="144">
        <v>7000</v>
      </c>
      <c r="E98" s="145">
        <v>0</v>
      </c>
      <c r="F98" s="145">
        <v>0</v>
      </c>
      <c r="G98" s="144">
        <f t="shared" si="3"/>
        <v>7000</v>
      </c>
      <c r="H98" s="146">
        <v>0</v>
      </c>
    </row>
    <row r="99" spans="1:8" ht="31.5" customHeight="1" x14ac:dyDescent="0.2">
      <c r="A99" s="44">
        <v>92</v>
      </c>
      <c r="B99" s="136" t="s">
        <v>1067</v>
      </c>
      <c r="C99" s="17" t="s">
        <v>748</v>
      </c>
      <c r="D99" s="144">
        <v>4000</v>
      </c>
      <c r="E99" s="145">
        <v>0</v>
      </c>
      <c r="F99" s="145">
        <v>0</v>
      </c>
      <c r="G99" s="144">
        <f>D99</f>
        <v>4000</v>
      </c>
      <c r="H99" s="146">
        <v>0</v>
      </c>
    </row>
    <row r="100" spans="1:8" ht="31.5" customHeight="1" x14ac:dyDescent="0.2">
      <c r="A100" s="156">
        <v>93</v>
      </c>
      <c r="B100" s="67" t="s">
        <v>778</v>
      </c>
      <c r="C100" s="17" t="s">
        <v>748</v>
      </c>
      <c r="D100" s="144">
        <v>8000</v>
      </c>
      <c r="E100" s="145">
        <v>0</v>
      </c>
      <c r="F100" s="145">
        <v>0</v>
      </c>
      <c r="G100" s="144">
        <f t="shared" ref="G100:G114" si="4">D100</f>
        <v>8000</v>
      </c>
      <c r="H100" s="146">
        <v>0</v>
      </c>
    </row>
    <row r="101" spans="1:8" ht="31.5" customHeight="1" x14ac:dyDescent="0.2">
      <c r="A101" s="44">
        <v>94</v>
      </c>
      <c r="B101" s="122" t="s">
        <v>159</v>
      </c>
      <c r="C101" s="17" t="s">
        <v>748</v>
      </c>
      <c r="D101" s="144">
        <v>6000</v>
      </c>
      <c r="E101" s="145">
        <v>0</v>
      </c>
      <c r="F101" s="145">
        <v>0</v>
      </c>
      <c r="G101" s="144">
        <f t="shared" si="4"/>
        <v>6000</v>
      </c>
      <c r="H101" s="146">
        <f>138+210+620+616</f>
        <v>1584</v>
      </c>
    </row>
    <row r="102" spans="1:8" ht="31.5" customHeight="1" x14ac:dyDescent="0.2">
      <c r="A102" s="156">
        <v>95</v>
      </c>
      <c r="B102" s="89" t="s">
        <v>857</v>
      </c>
      <c r="C102" s="17" t="s">
        <v>748</v>
      </c>
      <c r="D102" s="144">
        <v>6000</v>
      </c>
      <c r="E102" s="145">
        <v>0</v>
      </c>
      <c r="F102" s="145">
        <v>0</v>
      </c>
      <c r="G102" s="144">
        <f t="shared" si="4"/>
        <v>6000</v>
      </c>
      <c r="H102" s="146">
        <v>0</v>
      </c>
    </row>
    <row r="103" spans="1:8" ht="31.5" customHeight="1" x14ac:dyDescent="0.2">
      <c r="A103" s="44">
        <v>96</v>
      </c>
      <c r="B103" s="66" t="s">
        <v>94</v>
      </c>
      <c r="C103" s="17" t="s">
        <v>748</v>
      </c>
      <c r="D103" s="147">
        <v>5500</v>
      </c>
      <c r="E103" s="145">
        <v>0</v>
      </c>
      <c r="F103" s="145">
        <v>0</v>
      </c>
      <c r="G103" s="144">
        <f t="shared" si="4"/>
        <v>5500</v>
      </c>
      <c r="H103" s="146">
        <v>0</v>
      </c>
    </row>
    <row r="104" spans="1:8" ht="31.5" customHeight="1" x14ac:dyDescent="0.2">
      <c r="A104" s="156">
        <v>97</v>
      </c>
      <c r="B104" s="66" t="s">
        <v>861</v>
      </c>
      <c r="C104" s="17" t="s">
        <v>748</v>
      </c>
      <c r="D104" s="147">
        <v>3000</v>
      </c>
      <c r="E104" s="145">
        <v>0</v>
      </c>
      <c r="F104" s="145">
        <v>0</v>
      </c>
      <c r="G104" s="144">
        <f t="shared" si="4"/>
        <v>3000</v>
      </c>
      <c r="H104" s="146">
        <v>0</v>
      </c>
    </row>
    <row r="105" spans="1:8" ht="31.5" customHeight="1" x14ac:dyDescent="0.2">
      <c r="A105" s="44">
        <v>98</v>
      </c>
      <c r="B105" s="77" t="s">
        <v>862</v>
      </c>
      <c r="C105" s="17" t="s">
        <v>748</v>
      </c>
      <c r="D105" s="147">
        <v>8000</v>
      </c>
      <c r="E105" s="145">
        <v>0</v>
      </c>
      <c r="F105" s="145">
        <v>0</v>
      </c>
      <c r="G105" s="144">
        <f t="shared" si="4"/>
        <v>8000</v>
      </c>
      <c r="H105" s="146">
        <v>0</v>
      </c>
    </row>
    <row r="106" spans="1:8" ht="31.5" customHeight="1" x14ac:dyDescent="0.2">
      <c r="A106" s="156">
        <v>99</v>
      </c>
      <c r="B106" s="66" t="s">
        <v>813</v>
      </c>
      <c r="C106" s="17" t="s">
        <v>748</v>
      </c>
      <c r="D106" s="144">
        <v>4000</v>
      </c>
      <c r="E106" s="145">
        <v>0</v>
      </c>
      <c r="F106" s="145">
        <v>0</v>
      </c>
      <c r="G106" s="144">
        <f t="shared" si="4"/>
        <v>4000</v>
      </c>
      <c r="H106" s="146">
        <v>0</v>
      </c>
    </row>
    <row r="107" spans="1:8" ht="31.5" customHeight="1" x14ac:dyDescent="0.2">
      <c r="A107" s="44">
        <v>100</v>
      </c>
      <c r="B107" s="66" t="s">
        <v>890</v>
      </c>
      <c r="C107" s="17" t="s">
        <v>748</v>
      </c>
      <c r="D107" s="144">
        <v>4000</v>
      </c>
      <c r="E107" s="145">
        <v>0</v>
      </c>
      <c r="F107" s="145">
        <v>0</v>
      </c>
      <c r="G107" s="144">
        <f t="shared" si="4"/>
        <v>4000</v>
      </c>
      <c r="H107" s="146">
        <v>0</v>
      </c>
    </row>
    <row r="108" spans="1:8" ht="31.5" customHeight="1" x14ac:dyDescent="0.2">
      <c r="A108" s="156">
        <v>101</v>
      </c>
      <c r="B108" s="67" t="s">
        <v>1036</v>
      </c>
      <c r="C108" s="17" t="s">
        <v>748</v>
      </c>
      <c r="D108" s="144">
        <v>8000</v>
      </c>
      <c r="E108" s="145">
        <v>0</v>
      </c>
      <c r="F108" s="145">
        <v>0</v>
      </c>
      <c r="G108" s="144">
        <f t="shared" si="4"/>
        <v>8000</v>
      </c>
      <c r="H108" s="146">
        <v>0</v>
      </c>
    </row>
    <row r="109" spans="1:8" ht="31.5" customHeight="1" x14ac:dyDescent="0.2">
      <c r="A109" s="44">
        <v>102</v>
      </c>
      <c r="B109" s="66" t="s">
        <v>893</v>
      </c>
      <c r="C109" s="17" t="s">
        <v>748</v>
      </c>
      <c r="D109" s="144">
        <v>10000</v>
      </c>
      <c r="E109" s="145">
        <v>0</v>
      </c>
      <c r="F109" s="145">
        <v>0</v>
      </c>
      <c r="G109" s="144">
        <f t="shared" si="4"/>
        <v>10000</v>
      </c>
      <c r="H109" s="146">
        <v>0</v>
      </c>
    </row>
    <row r="110" spans="1:8" ht="31.5" customHeight="1" x14ac:dyDescent="0.2">
      <c r="A110" s="156">
        <v>103</v>
      </c>
      <c r="B110" s="66" t="s">
        <v>812</v>
      </c>
      <c r="C110" s="17" t="s">
        <v>748</v>
      </c>
      <c r="D110" s="144">
        <v>4000</v>
      </c>
      <c r="E110" s="145">
        <v>0</v>
      </c>
      <c r="F110" s="145">
        <v>0</v>
      </c>
      <c r="G110" s="144">
        <f t="shared" si="4"/>
        <v>4000</v>
      </c>
      <c r="H110" s="146">
        <v>0</v>
      </c>
    </row>
    <row r="111" spans="1:8" ht="31.5" customHeight="1" x14ac:dyDescent="0.2">
      <c r="A111" s="44">
        <v>104</v>
      </c>
      <c r="B111" s="20" t="s">
        <v>878</v>
      </c>
      <c r="C111" s="17" t="s">
        <v>748</v>
      </c>
      <c r="D111" s="144">
        <v>5500</v>
      </c>
      <c r="E111" s="145">
        <v>0</v>
      </c>
      <c r="F111" s="145">
        <v>0</v>
      </c>
      <c r="G111" s="144">
        <f t="shared" si="4"/>
        <v>5500</v>
      </c>
      <c r="H111" s="146">
        <v>0</v>
      </c>
    </row>
    <row r="112" spans="1:8" ht="31.5" customHeight="1" x14ac:dyDescent="0.2">
      <c r="A112" s="156">
        <v>105</v>
      </c>
      <c r="B112" s="66" t="s">
        <v>771</v>
      </c>
      <c r="C112" s="17" t="s">
        <v>748</v>
      </c>
      <c r="D112" s="144">
        <v>3800</v>
      </c>
      <c r="E112" s="145">
        <v>0</v>
      </c>
      <c r="F112" s="145">
        <v>0</v>
      </c>
      <c r="G112" s="144">
        <f t="shared" si="4"/>
        <v>3800</v>
      </c>
      <c r="H112" s="146">
        <v>0</v>
      </c>
    </row>
    <row r="113" spans="1:8" ht="31.5" customHeight="1" x14ac:dyDescent="0.2">
      <c r="A113" s="44">
        <v>106</v>
      </c>
      <c r="B113" s="66" t="s">
        <v>95</v>
      </c>
      <c r="C113" s="17" t="s">
        <v>748</v>
      </c>
      <c r="D113" s="144">
        <v>5500</v>
      </c>
      <c r="E113" s="145">
        <v>0</v>
      </c>
      <c r="F113" s="145">
        <v>0</v>
      </c>
      <c r="G113" s="144">
        <f t="shared" si="4"/>
        <v>5500</v>
      </c>
      <c r="H113" s="146">
        <v>0</v>
      </c>
    </row>
    <row r="114" spans="1:8" ht="31.5" customHeight="1" thickBot="1" x14ac:dyDescent="0.25">
      <c r="A114" s="156">
        <v>107</v>
      </c>
      <c r="B114" s="123" t="s">
        <v>779</v>
      </c>
      <c r="C114" s="45" t="s">
        <v>748</v>
      </c>
      <c r="D114" s="150">
        <v>6500</v>
      </c>
      <c r="E114" s="151">
        <v>0</v>
      </c>
      <c r="F114" s="151">
        <v>0</v>
      </c>
      <c r="G114" s="150">
        <f t="shared" si="4"/>
        <v>6500</v>
      </c>
      <c r="H114" s="146">
        <v>0</v>
      </c>
    </row>
    <row r="115" spans="1:8" x14ac:dyDescent="0.2">
      <c r="A115" s="176" t="s">
        <v>363</v>
      </c>
      <c r="B115" s="177"/>
      <c r="C115" s="178"/>
      <c r="D115" s="41">
        <f>SUM(D9:D114)</f>
        <v>802480</v>
      </c>
      <c r="E115" s="42">
        <f>SUM(E9:E114)</f>
        <v>0</v>
      </c>
      <c r="F115" s="42">
        <f>SUM(F9:F114)</f>
        <v>0</v>
      </c>
      <c r="G115" s="43">
        <f>SUM(G9:G114)</f>
        <v>802480</v>
      </c>
      <c r="H115" s="41">
        <f>SUM(H9:H114)</f>
        <v>23668.5</v>
      </c>
    </row>
    <row r="116" spans="1:8" x14ac:dyDescent="0.2">
      <c r="A116" s="154"/>
    </row>
    <row r="162" spans="7:7" x14ac:dyDescent="0.2">
      <c r="G162" s="4"/>
    </row>
  </sheetData>
  <protectedRanges>
    <protectedRange sqref="D93:D96" name="Rango4_5_1_1_1_1_1_1_8"/>
  </protectedRanges>
  <mergeCells count="7">
    <mergeCell ref="A115:C115"/>
    <mergeCell ref="A1:H1"/>
    <mergeCell ref="A2:H2"/>
    <mergeCell ref="A3:H3"/>
    <mergeCell ref="A4:H4"/>
    <mergeCell ref="A5:H5"/>
    <mergeCell ref="A6:H6"/>
  </mergeCells>
  <printOptions verticalCentered="1"/>
  <pageMargins left="2.0472440944881889" right="0.78740157480314965" top="0.82677165354330717" bottom="0.78740157480314965" header="0.78740157480314965" footer="0.51181102362204722"/>
  <pageSetup paperSize="5" scale="7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0"/>
  <sheetViews>
    <sheetView zoomScaleNormal="100" workbookViewId="0">
      <selection activeCell="B11" sqref="B11"/>
    </sheetView>
  </sheetViews>
  <sheetFormatPr baseColWidth="10" defaultColWidth="11.5703125" defaultRowHeight="12.75" x14ac:dyDescent="0.2"/>
  <cols>
    <col min="1" max="1" width="8.42578125" style="1" customWidth="1"/>
    <col min="2" max="2" width="28.42578125" style="1" customWidth="1"/>
    <col min="3" max="3" width="22.85546875" customWidth="1"/>
    <col min="4" max="4" width="10.28515625" customWidth="1"/>
    <col min="5" max="6" width="11" customWidth="1"/>
    <col min="7" max="7" width="11.85546875" customWidth="1"/>
    <col min="8" max="9" width="12.85546875" customWidth="1"/>
    <col min="10" max="10" width="12" customWidth="1"/>
    <col min="11" max="12" width="11.42578125" hidden="1" customWidth="1"/>
    <col min="13" max="13" width="14.42578125" customWidth="1"/>
    <col min="14" max="14" width="12.5703125" customWidth="1"/>
    <col min="15" max="15" width="11" customWidth="1"/>
    <col min="16" max="16" width="14.85546875" customWidth="1"/>
    <col min="17" max="19" width="11.5703125" customWidth="1"/>
    <col min="20" max="20" width="13.7109375" customWidth="1"/>
    <col min="21" max="21" width="11.5703125" customWidth="1"/>
    <col min="22" max="22" width="13.5703125" customWidth="1"/>
  </cols>
  <sheetData>
    <row r="2" spans="1:23" ht="19.5" x14ac:dyDescent="0.3">
      <c r="A2" s="180" t="s">
        <v>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23" ht="19.5" x14ac:dyDescent="0.3">
      <c r="A3" s="180" t="s">
        <v>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23" x14ac:dyDescent="0.2">
      <c r="A4" s="181" t="s">
        <v>293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23" x14ac:dyDescent="0.2">
      <c r="A5" s="181" t="s">
        <v>10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23" x14ac:dyDescent="0.2">
      <c r="A6" s="181" t="s">
        <v>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23" ht="13.5" thickBot="1" x14ac:dyDescent="0.25">
      <c r="A7" s="182" t="s">
        <v>1058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1:23" ht="13.5" hidden="1" thickBo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23" x14ac:dyDescent="0.2">
      <c r="A9" s="187" t="s">
        <v>7</v>
      </c>
      <c r="B9" s="189" t="s">
        <v>798</v>
      </c>
      <c r="C9" s="191" t="s">
        <v>799</v>
      </c>
      <c r="D9" s="192" t="s">
        <v>797</v>
      </c>
      <c r="E9" s="192" t="s">
        <v>3</v>
      </c>
      <c r="F9" s="192"/>
      <c r="G9" s="192"/>
      <c r="H9" s="192"/>
      <c r="I9" s="192"/>
      <c r="J9" s="192"/>
      <c r="K9" s="192" t="s">
        <v>22</v>
      </c>
      <c r="L9" s="192"/>
      <c r="M9" s="192"/>
      <c r="N9" s="192" t="s">
        <v>255</v>
      </c>
      <c r="O9" s="185" t="s">
        <v>747</v>
      </c>
    </row>
    <row r="10" spans="1:23" ht="25.5" x14ac:dyDescent="0.2">
      <c r="A10" s="188"/>
      <c r="B10" s="190"/>
      <c r="C10" s="174"/>
      <c r="D10" s="173"/>
      <c r="E10" s="38" t="s">
        <v>17</v>
      </c>
      <c r="F10" s="18" t="s">
        <v>1070</v>
      </c>
      <c r="G10" s="38" t="s">
        <v>16</v>
      </c>
      <c r="H10" s="38" t="s">
        <v>772</v>
      </c>
      <c r="I10" s="38" t="s">
        <v>757</v>
      </c>
      <c r="J10" s="38" t="s">
        <v>8</v>
      </c>
      <c r="K10" s="38" t="s">
        <v>18</v>
      </c>
      <c r="L10" s="38" t="s">
        <v>734</v>
      </c>
      <c r="M10" s="38" t="s">
        <v>394</v>
      </c>
      <c r="N10" s="173"/>
      <c r="O10" s="186"/>
    </row>
    <row r="11" spans="1:23" ht="27" customHeight="1" x14ac:dyDescent="0.2">
      <c r="A11" s="128">
        <v>1</v>
      </c>
      <c r="B11" s="13" t="s">
        <v>157</v>
      </c>
      <c r="C11" s="13" t="s">
        <v>140</v>
      </c>
      <c r="D11" s="27">
        <v>74.63</v>
      </c>
      <c r="E11" s="27">
        <v>250</v>
      </c>
      <c r="F11" s="32">
        <v>31</v>
      </c>
      <c r="G11" s="27">
        <v>0</v>
      </c>
      <c r="H11" s="27">
        <v>504</v>
      </c>
      <c r="I11" s="27">
        <v>0</v>
      </c>
      <c r="J11" s="16">
        <f>(D11*F11)+E11+G11+H11</f>
        <v>3067.53</v>
      </c>
      <c r="K11" s="16">
        <f t="shared" ref="K11:K19" si="0">(D11*F11+G11+H11)*4.83%</f>
        <v>136.09</v>
      </c>
      <c r="L11" s="16">
        <v>0</v>
      </c>
      <c r="M11" s="16">
        <f t="shared" ref="M11:M45" si="1">K11+L11</f>
        <v>136.09</v>
      </c>
      <c r="N11" s="16">
        <f>J11-M11</f>
        <v>2931.44</v>
      </c>
      <c r="O11" s="48">
        <v>0</v>
      </c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">
      <c r="A12" s="128">
        <v>2</v>
      </c>
      <c r="B12" s="13" t="s">
        <v>409</v>
      </c>
      <c r="C12" s="13" t="s">
        <v>138</v>
      </c>
      <c r="D12" s="27">
        <v>75.64</v>
      </c>
      <c r="E12" s="27">
        <v>250</v>
      </c>
      <c r="F12" s="32">
        <v>31</v>
      </c>
      <c r="G12" s="27">
        <f>50</f>
        <v>50</v>
      </c>
      <c r="H12" s="27">
        <f>500</f>
        <v>500</v>
      </c>
      <c r="I12" s="27">
        <v>0</v>
      </c>
      <c r="J12" s="16">
        <f t="shared" ref="J12:J77" si="2">(D12*F12)+E12+G12+H12</f>
        <v>3144.84</v>
      </c>
      <c r="K12" s="16">
        <f t="shared" si="0"/>
        <v>139.82</v>
      </c>
      <c r="L12" s="16">
        <v>318.43</v>
      </c>
      <c r="M12" s="16">
        <f t="shared" si="1"/>
        <v>458.25</v>
      </c>
      <c r="N12" s="16">
        <f t="shared" ref="N12:N43" si="3">J12-M12</f>
        <v>2686.59</v>
      </c>
      <c r="O12" s="48">
        <v>0</v>
      </c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">
      <c r="A13" s="128">
        <v>3</v>
      </c>
      <c r="B13" s="13" t="s">
        <v>418</v>
      </c>
      <c r="C13" s="13" t="s">
        <v>145</v>
      </c>
      <c r="D13" s="27">
        <v>72.540000000000006</v>
      </c>
      <c r="E13" s="27">
        <v>250</v>
      </c>
      <c r="F13" s="32">
        <v>31</v>
      </c>
      <c r="G13" s="27">
        <v>50</v>
      </c>
      <c r="H13" s="27">
        <v>517</v>
      </c>
      <c r="I13" s="27">
        <v>0</v>
      </c>
      <c r="J13" s="16">
        <f t="shared" si="2"/>
        <v>3065.74</v>
      </c>
      <c r="K13" s="16">
        <f t="shared" si="0"/>
        <v>136</v>
      </c>
      <c r="L13" s="16">
        <v>0</v>
      </c>
      <c r="M13" s="16">
        <f t="shared" si="1"/>
        <v>136</v>
      </c>
      <c r="N13" s="16">
        <f t="shared" si="3"/>
        <v>2929.74</v>
      </c>
      <c r="O13" s="48">
        <v>0</v>
      </c>
      <c r="P13" s="3"/>
      <c r="Q13" s="3"/>
      <c r="R13" s="3"/>
      <c r="S13" s="3"/>
      <c r="T13" s="3"/>
      <c r="U13" s="3"/>
      <c r="V13" s="3"/>
      <c r="W13" s="3"/>
    </row>
    <row r="14" spans="1:23" ht="27" customHeight="1" x14ac:dyDescent="0.2">
      <c r="A14" s="128">
        <v>4</v>
      </c>
      <c r="B14" s="25" t="s">
        <v>805</v>
      </c>
      <c r="C14" s="28" t="s">
        <v>24</v>
      </c>
      <c r="D14" s="27">
        <v>71.400000000000006</v>
      </c>
      <c r="E14" s="27">
        <v>250</v>
      </c>
      <c r="F14" s="32">
        <v>31</v>
      </c>
      <c r="G14" s="27">
        <v>0</v>
      </c>
      <c r="H14" s="27">
        <v>601</v>
      </c>
      <c r="I14" s="27">
        <v>0</v>
      </c>
      <c r="J14" s="16">
        <f t="shared" si="2"/>
        <v>3064.4</v>
      </c>
      <c r="K14" s="16">
        <f t="shared" si="0"/>
        <v>135.94</v>
      </c>
      <c r="L14" s="16">
        <v>0</v>
      </c>
      <c r="M14" s="16">
        <f t="shared" si="1"/>
        <v>135.94</v>
      </c>
      <c r="N14" s="16">
        <f t="shared" si="3"/>
        <v>2928.46</v>
      </c>
      <c r="O14" s="48">
        <v>0</v>
      </c>
      <c r="P14" s="3"/>
      <c r="Q14" s="3"/>
      <c r="R14" s="3"/>
      <c r="S14" s="3"/>
      <c r="T14" s="3"/>
      <c r="U14" s="3"/>
      <c r="V14" s="3"/>
      <c r="W14" s="3"/>
    </row>
    <row r="15" spans="1:23" ht="27" customHeight="1" x14ac:dyDescent="0.2">
      <c r="A15" s="128">
        <v>5</v>
      </c>
      <c r="B15" s="14" t="s">
        <v>410</v>
      </c>
      <c r="C15" s="13" t="s">
        <v>140</v>
      </c>
      <c r="D15" s="27">
        <v>74.63</v>
      </c>
      <c r="E15" s="27">
        <v>250</v>
      </c>
      <c r="F15" s="32">
        <v>31</v>
      </c>
      <c r="G15" s="27">
        <v>0</v>
      </c>
      <c r="H15" s="27">
        <f>504</f>
        <v>504</v>
      </c>
      <c r="I15" s="27">
        <v>0</v>
      </c>
      <c r="J15" s="16">
        <f t="shared" si="2"/>
        <v>3067.53</v>
      </c>
      <c r="K15" s="16">
        <f t="shared" si="0"/>
        <v>136.09</v>
      </c>
      <c r="L15" s="16">
        <v>0</v>
      </c>
      <c r="M15" s="16">
        <f t="shared" si="1"/>
        <v>136.09</v>
      </c>
      <c r="N15" s="16">
        <f t="shared" si="3"/>
        <v>2931.44</v>
      </c>
      <c r="O15" s="48">
        <v>0</v>
      </c>
      <c r="P15" s="3"/>
      <c r="Q15" s="3"/>
      <c r="R15" s="3"/>
      <c r="S15" s="3"/>
      <c r="T15" s="3"/>
      <c r="U15" s="3"/>
      <c r="V15" s="3"/>
      <c r="W15" s="3"/>
    </row>
    <row r="16" spans="1:23" ht="27" customHeight="1" x14ac:dyDescent="0.2">
      <c r="A16" s="128">
        <v>6</v>
      </c>
      <c r="B16" s="13" t="s">
        <v>398</v>
      </c>
      <c r="C16" s="13" t="s">
        <v>24</v>
      </c>
      <c r="D16" s="27">
        <v>71.400000000000006</v>
      </c>
      <c r="E16" s="27">
        <v>250</v>
      </c>
      <c r="F16" s="32">
        <v>31</v>
      </c>
      <c r="G16" s="27">
        <f>50</f>
        <v>50</v>
      </c>
      <c r="H16" s="27">
        <v>551</v>
      </c>
      <c r="I16" s="27">
        <v>0</v>
      </c>
      <c r="J16" s="16">
        <f t="shared" si="2"/>
        <v>3064.4</v>
      </c>
      <c r="K16" s="16">
        <f t="shared" si="0"/>
        <v>135.94</v>
      </c>
      <c r="L16" s="16">
        <v>0</v>
      </c>
      <c r="M16" s="16">
        <f t="shared" si="1"/>
        <v>135.94</v>
      </c>
      <c r="N16" s="16">
        <f t="shared" si="3"/>
        <v>2928.46</v>
      </c>
      <c r="O16" s="48">
        <v>0</v>
      </c>
      <c r="P16" s="3"/>
      <c r="Q16" s="3"/>
      <c r="R16" s="3"/>
      <c r="S16" s="3"/>
      <c r="T16" s="3"/>
      <c r="U16" s="3"/>
      <c r="V16" s="3"/>
      <c r="W16" s="3"/>
    </row>
    <row r="17" spans="1:23" ht="27" customHeight="1" x14ac:dyDescent="0.2">
      <c r="A17" s="128">
        <v>7</v>
      </c>
      <c r="B17" s="13" t="s">
        <v>107</v>
      </c>
      <c r="C17" s="13" t="s">
        <v>138</v>
      </c>
      <c r="D17" s="27">
        <v>75.64</v>
      </c>
      <c r="E17" s="27">
        <v>250</v>
      </c>
      <c r="F17" s="32">
        <v>31</v>
      </c>
      <c r="G17" s="27">
        <f>35</f>
        <v>35</v>
      </c>
      <c r="H17" s="27">
        <f>500</f>
        <v>500</v>
      </c>
      <c r="I17" s="27">
        <v>0</v>
      </c>
      <c r="J17" s="16">
        <f t="shared" si="2"/>
        <v>3129.84</v>
      </c>
      <c r="K17" s="16">
        <f t="shared" si="0"/>
        <v>139.1</v>
      </c>
      <c r="L17" s="16">
        <v>316.77999999999997</v>
      </c>
      <c r="M17" s="16">
        <f t="shared" si="1"/>
        <v>455.88</v>
      </c>
      <c r="N17" s="16">
        <f t="shared" si="3"/>
        <v>2673.96</v>
      </c>
      <c r="O17" s="48">
        <v>0</v>
      </c>
      <c r="P17" s="3"/>
      <c r="Q17" s="3"/>
      <c r="R17" s="3"/>
      <c r="S17" s="3"/>
      <c r="T17" s="3"/>
      <c r="U17" s="3"/>
      <c r="V17" s="3"/>
      <c r="W17" s="3"/>
    </row>
    <row r="18" spans="1:23" ht="27" customHeight="1" x14ac:dyDescent="0.2">
      <c r="A18" s="128">
        <v>8</v>
      </c>
      <c r="B18" s="30" t="s">
        <v>880</v>
      </c>
      <c r="C18" s="13" t="s">
        <v>24</v>
      </c>
      <c r="D18" s="27">
        <v>71.400000000000006</v>
      </c>
      <c r="E18" s="27">
        <v>250</v>
      </c>
      <c r="F18" s="32">
        <v>31</v>
      </c>
      <c r="G18" s="27">
        <v>0</v>
      </c>
      <c r="H18" s="27">
        <v>500</v>
      </c>
      <c r="I18" s="27">
        <v>0</v>
      </c>
      <c r="J18" s="16">
        <f t="shared" si="2"/>
        <v>2963.4</v>
      </c>
      <c r="K18" s="16">
        <f>(D18*F18+G18+H18)*4.83%</f>
        <v>131.06</v>
      </c>
      <c r="L18" s="16">
        <v>316.77999999999997</v>
      </c>
      <c r="M18" s="16">
        <f>K18+L18</f>
        <v>447.84</v>
      </c>
      <c r="N18" s="16">
        <f t="shared" si="3"/>
        <v>2515.56</v>
      </c>
      <c r="O18" s="48">
        <v>0</v>
      </c>
      <c r="P18" s="3"/>
      <c r="Q18" s="3"/>
      <c r="R18" s="3"/>
      <c r="S18" s="3"/>
      <c r="T18" s="3"/>
      <c r="U18" s="3"/>
      <c r="V18" s="3"/>
      <c r="W18" s="3"/>
    </row>
    <row r="19" spans="1:23" ht="27" customHeight="1" x14ac:dyDescent="0.2">
      <c r="A19" s="128">
        <v>9</v>
      </c>
      <c r="B19" s="13" t="s">
        <v>109</v>
      </c>
      <c r="C19" s="13" t="s">
        <v>24</v>
      </c>
      <c r="D19" s="27">
        <v>71.400000000000006</v>
      </c>
      <c r="E19" s="27">
        <v>250</v>
      </c>
      <c r="F19" s="32">
        <v>31</v>
      </c>
      <c r="G19" s="27">
        <v>50</v>
      </c>
      <c r="H19" s="27">
        <v>551</v>
      </c>
      <c r="I19" s="27">
        <v>0</v>
      </c>
      <c r="J19" s="16">
        <f t="shared" si="2"/>
        <v>3064.4</v>
      </c>
      <c r="K19" s="16">
        <f t="shared" si="0"/>
        <v>135.94</v>
      </c>
      <c r="L19" s="16">
        <v>0</v>
      </c>
      <c r="M19" s="16">
        <f t="shared" si="1"/>
        <v>135.94</v>
      </c>
      <c r="N19" s="16">
        <f t="shared" si="3"/>
        <v>2928.46</v>
      </c>
      <c r="O19" s="48">
        <v>0</v>
      </c>
      <c r="P19" s="3"/>
      <c r="Q19" s="3"/>
      <c r="R19" s="3"/>
      <c r="S19" s="3"/>
      <c r="T19" s="3"/>
      <c r="U19" s="3"/>
      <c r="V19" s="3"/>
      <c r="W19" s="3"/>
    </row>
    <row r="20" spans="1:23" ht="27" customHeight="1" x14ac:dyDescent="0.2">
      <c r="A20" s="128">
        <v>10</v>
      </c>
      <c r="B20" s="25" t="s">
        <v>802</v>
      </c>
      <c r="C20" s="13" t="s">
        <v>24</v>
      </c>
      <c r="D20" s="27">
        <v>71.400000000000006</v>
      </c>
      <c r="E20" s="27">
        <v>250</v>
      </c>
      <c r="F20" s="32">
        <v>31</v>
      </c>
      <c r="G20" s="27">
        <v>0</v>
      </c>
      <c r="H20" s="27">
        <v>601</v>
      </c>
      <c r="I20" s="27">
        <v>0</v>
      </c>
      <c r="J20" s="16">
        <f t="shared" si="2"/>
        <v>3064.4</v>
      </c>
      <c r="K20" s="16">
        <f>(D20*F20)*4.83%</f>
        <v>106.91</v>
      </c>
      <c r="L20" s="16">
        <v>0</v>
      </c>
      <c r="M20" s="16">
        <f t="shared" si="1"/>
        <v>106.91</v>
      </c>
      <c r="N20" s="16">
        <f t="shared" si="3"/>
        <v>2957.49</v>
      </c>
      <c r="O20" s="48">
        <v>0</v>
      </c>
      <c r="P20" s="3"/>
      <c r="Q20" s="3"/>
      <c r="R20" s="3"/>
      <c r="S20" s="3"/>
      <c r="T20" s="3"/>
      <c r="U20" s="3"/>
      <c r="V20" s="3"/>
      <c r="W20" s="3"/>
    </row>
    <row r="21" spans="1:23" ht="27" customHeight="1" x14ac:dyDescent="0.2">
      <c r="A21" s="128">
        <v>11</v>
      </c>
      <c r="B21" s="13" t="s">
        <v>404</v>
      </c>
      <c r="C21" s="13" t="s">
        <v>25</v>
      </c>
      <c r="D21" s="27">
        <v>72.540000000000006</v>
      </c>
      <c r="E21" s="27">
        <v>250</v>
      </c>
      <c r="F21" s="32">
        <v>31</v>
      </c>
      <c r="G21" s="27">
        <f>35</f>
        <v>35</v>
      </c>
      <c r="H21" s="27">
        <v>532</v>
      </c>
      <c r="I21" s="27">
        <v>0</v>
      </c>
      <c r="J21" s="16">
        <f t="shared" si="2"/>
        <v>3065.74</v>
      </c>
      <c r="K21" s="16">
        <f t="shared" ref="K21:K64" si="4">(D21*F21+G21+H21)*4.83%</f>
        <v>136</v>
      </c>
      <c r="L21" s="16">
        <v>0</v>
      </c>
      <c r="M21" s="16">
        <f t="shared" si="1"/>
        <v>136</v>
      </c>
      <c r="N21" s="16">
        <f t="shared" si="3"/>
        <v>2929.74</v>
      </c>
      <c r="O21" s="48">
        <v>0</v>
      </c>
      <c r="P21" s="3"/>
      <c r="Q21" s="3"/>
      <c r="R21" s="3"/>
      <c r="S21" s="3"/>
      <c r="T21" s="3"/>
      <c r="U21" s="3"/>
      <c r="V21" s="3"/>
      <c r="W21" s="3"/>
    </row>
    <row r="22" spans="1:23" ht="27" customHeight="1" x14ac:dyDescent="0.2">
      <c r="A22" s="128">
        <v>12</v>
      </c>
      <c r="B22" s="13" t="s">
        <v>419</v>
      </c>
      <c r="C22" s="13" t="s">
        <v>138</v>
      </c>
      <c r="D22" s="27">
        <v>75.64</v>
      </c>
      <c r="E22" s="27">
        <v>250</v>
      </c>
      <c r="F22" s="32">
        <v>31</v>
      </c>
      <c r="G22" s="27">
        <f>35</f>
        <v>35</v>
      </c>
      <c r="H22" s="27">
        <f>500</f>
        <v>500</v>
      </c>
      <c r="I22" s="27">
        <v>0</v>
      </c>
      <c r="J22" s="16">
        <f t="shared" si="2"/>
        <v>3129.84</v>
      </c>
      <c r="K22" s="16">
        <f t="shared" si="4"/>
        <v>139.1</v>
      </c>
      <c r="L22" s="16">
        <v>316.77999999999997</v>
      </c>
      <c r="M22" s="16">
        <f t="shared" si="1"/>
        <v>455.88</v>
      </c>
      <c r="N22" s="16">
        <f t="shared" si="3"/>
        <v>2673.96</v>
      </c>
      <c r="O22" s="48">
        <v>0</v>
      </c>
      <c r="P22" s="3"/>
      <c r="Q22" s="3"/>
      <c r="R22" s="3"/>
      <c r="S22" s="3"/>
      <c r="T22" s="3"/>
      <c r="U22" s="3"/>
      <c r="V22" s="3"/>
      <c r="W22" s="3"/>
    </row>
    <row r="23" spans="1:23" ht="27" customHeight="1" x14ac:dyDescent="0.2">
      <c r="A23" s="128">
        <v>13</v>
      </c>
      <c r="B23" s="26" t="s">
        <v>864</v>
      </c>
      <c r="C23" s="30" t="s">
        <v>865</v>
      </c>
      <c r="D23" s="27">
        <v>78.25</v>
      </c>
      <c r="E23" s="27">
        <v>250</v>
      </c>
      <c r="F23" s="32">
        <v>31</v>
      </c>
      <c r="G23" s="27">
        <v>0</v>
      </c>
      <c r="H23" s="27">
        <v>0</v>
      </c>
      <c r="I23" s="27">
        <v>0</v>
      </c>
      <c r="J23" s="16">
        <f t="shared" si="2"/>
        <v>2675.75</v>
      </c>
      <c r="K23" s="16">
        <f t="shared" si="4"/>
        <v>117.16</v>
      </c>
      <c r="L23" s="16">
        <v>0</v>
      </c>
      <c r="M23" s="16">
        <f t="shared" si="1"/>
        <v>117.16</v>
      </c>
      <c r="N23" s="16">
        <f t="shared" si="3"/>
        <v>2558.59</v>
      </c>
      <c r="O23" s="48">
        <v>0</v>
      </c>
      <c r="P23" s="3"/>
      <c r="Q23" s="3"/>
      <c r="R23" s="3"/>
      <c r="S23" s="3"/>
      <c r="T23" s="3"/>
      <c r="U23" s="3"/>
      <c r="V23" s="3"/>
      <c r="W23" s="3"/>
    </row>
    <row r="24" spans="1:23" ht="27" customHeight="1" x14ac:dyDescent="0.2">
      <c r="A24" s="128">
        <v>14</v>
      </c>
      <c r="B24" s="12" t="s">
        <v>192</v>
      </c>
      <c r="C24" s="13" t="s">
        <v>140</v>
      </c>
      <c r="D24" s="27">
        <v>74.63</v>
      </c>
      <c r="E24" s="27">
        <v>250</v>
      </c>
      <c r="F24" s="32">
        <v>31</v>
      </c>
      <c r="G24" s="27">
        <v>0</v>
      </c>
      <c r="H24" s="27">
        <v>504</v>
      </c>
      <c r="I24" s="27">
        <v>0</v>
      </c>
      <c r="J24" s="16">
        <f t="shared" si="2"/>
        <v>3067.53</v>
      </c>
      <c r="K24" s="16">
        <f t="shared" si="4"/>
        <v>136.09</v>
      </c>
      <c r="L24" s="16">
        <f>(J24-E24)*11%</f>
        <v>309.93</v>
      </c>
      <c r="M24" s="16">
        <f t="shared" si="1"/>
        <v>446.02</v>
      </c>
      <c r="N24" s="16">
        <f t="shared" si="3"/>
        <v>2621.51</v>
      </c>
      <c r="O24" s="48">
        <v>0</v>
      </c>
      <c r="P24" s="3"/>
      <c r="Q24" s="3"/>
      <c r="R24" s="3"/>
      <c r="S24" s="3"/>
      <c r="T24" s="3"/>
      <c r="U24" s="3"/>
      <c r="V24" s="3"/>
      <c r="W24" s="3"/>
    </row>
    <row r="25" spans="1:23" ht="27" customHeight="1" x14ac:dyDescent="0.2">
      <c r="A25" s="128">
        <v>15</v>
      </c>
      <c r="B25" s="13" t="s">
        <v>431</v>
      </c>
      <c r="C25" s="13" t="s">
        <v>138</v>
      </c>
      <c r="D25" s="27">
        <v>75.64</v>
      </c>
      <c r="E25" s="27">
        <v>250</v>
      </c>
      <c r="F25" s="32">
        <v>31</v>
      </c>
      <c r="G25" s="27">
        <f>35</f>
        <v>35</v>
      </c>
      <c r="H25" s="27">
        <f>500</f>
        <v>500</v>
      </c>
      <c r="I25" s="27">
        <v>0</v>
      </c>
      <c r="J25" s="16">
        <f t="shared" si="2"/>
        <v>3129.84</v>
      </c>
      <c r="K25" s="16">
        <f t="shared" si="4"/>
        <v>139.1</v>
      </c>
      <c r="L25" s="16">
        <v>316.77999999999997</v>
      </c>
      <c r="M25" s="16">
        <f t="shared" si="1"/>
        <v>455.88</v>
      </c>
      <c r="N25" s="16">
        <f t="shared" si="3"/>
        <v>2673.96</v>
      </c>
      <c r="O25" s="48">
        <v>0</v>
      </c>
      <c r="P25" s="3"/>
      <c r="Q25" s="3"/>
      <c r="R25" s="3"/>
      <c r="S25" s="3"/>
      <c r="T25" s="3"/>
      <c r="U25" s="3"/>
      <c r="V25" s="3"/>
      <c r="W25" s="3"/>
    </row>
    <row r="26" spans="1:23" ht="27" customHeight="1" x14ac:dyDescent="0.2">
      <c r="A26" s="128">
        <v>16</v>
      </c>
      <c r="B26" s="13" t="s">
        <v>104</v>
      </c>
      <c r="C26" s="13" t="s">
        <v>139</v>
      </c>
      <c r="D26" s="27">
        <v>74.63</v>
      </c>
      <c r="E26" s="27">
        <v>250</v>
      </c>
      <c r="F26" s="32">
        <v>31</v>
      </c>
      <c r="G26" s="27">
        <v>50</v>
      </c>
      <c r="H26" s="27">
        <f>500</f>
        <v>500</v>
      </c>
      <c r="I26" s="27">
        <v>0</v>
      </c>
      <c r="J26" s="16">
        <f t="shared" si="2"/>
        <v>3113.53</v>
      </c>
      <c r="K26" s="16">
        <f t="shared" si="4"/>
        <v>138.31</v>
      </c>
      <c r="L26" s="16">
        <v>0</v>
      </c>
      <c r="M26" s="16">
        <f t="shared" si="1"/>
        <v>138.31</v>
      </c>
      <c r="N26" s="16">
        <f t="shared" si="3"/>
        <v>2975.22</v>
      </c>
      <c r="O26" s="48">
        <v>0</v>
      </c>
      <c r="P26" s="3"/>
      <c r="Q26" s="3"/>
      <c r="R26" s="3"/>
      <c r="S26" s="3"/>
      <c r="T26" s="3"/>
      <c r="U26" s="3"/>
      <c r="V26" s="3"/>
      <c r="W26" s="3"/>
    </row>
    <row r="27" spans="1:23" ht="27" customHeight="1" x14ac:dyDescent="0.2">
      <c r="A27" s="128">
        <v>17</v>
      </c>
      <c r="B27" s="12" t="s">
        <v>420</v>
      </c>
      <c r="C27" s="12" t="s">
        <v>187</v>
      </c>
      <c r="D27" s="27">
        <v>76.59</v>
      </c>
      <c r="E27" s="27">
        <v>250</v>
      </c>
      <c r="F27" s="32">
        <v>31</v>
      </c>
      <c r="G27" s="27">
        <v>0</v>
      </c>
      <c r="H27" s="27">
        <f>500</f>
        <v>500</v>
      </c>
      <c r="I27" s="27">
        <v>0</v>
      </c>
      <c r="J27" s="16">
        <f t="shared" si="2"/>
        <v>3124.29</v>
      </c>
      <c r="K27" s="16">
        <f t="shared" si="4"/>
        <v>138.83000000000001</v>
      </c>
      <c r="L27" s="16">
        <v>0</v>
      </c>
      <c r="M27" s="16">
        <f t="shared" si="1"/>
        <v>138.83000000000001</v>
      </c>
      <c r="N27" s="16">
        <f t="shared" si="3"/>
        <v>2985.46</v>
      </c>
      <c r="O27" s="48">
        <v>0</v>
      </c>
      <c r="P27" s="3"/>
      <c r="Q27" s="3"/>
      <c r="R27" s="3"/>
      <c r="S27" s="3"/>
      <c r="T27" s="3"/>
      <c r="U27" s="3"/>
      <c r="V27" s="3"/>
      <c r="W27" s="3"/>
    </row>
    <row r="28" spans="1:23" ht="27" customHeight="1" x14ac:dyDescent="0.2">
      <c r="A28" s="128">
        <v>18</v>
      </c>
      <c r="B28" s="13" t="s">
        <v>108</v>
      </c>
      <c r="C28" s="13" t="s">
        <v>143</v>
      </c>
      <c r="D28" s="27">
        <v>74.63</v>
      </c>
      <c r="E28" s="27">
        <v>250</v>
      </c>
      <c r="F28" s="32">
        <v>31</v>
      </c>
      <c r="G28" s="27">
        <v>50</v>
      </c>
      <c r="H28" s="27">
        <f>500</f>
        <v>500</v>
      </c>
      <c r="I28" s="27">
        <v>0</v>
      </c>
      <c r="J28" s="16">
        <f t="shared" si="2"/>
        <v>3113.53</v>
      </c>
      <c r="K28" s="16">
        <f t="shared" si="4"/>
        <v>138.31</v>
      </c>
      <c r="L28" s="16">
        <v>0</v>
      </c>
      <c r="M28" s="16">
        <f t="shared" si="1"/>
        <v>138.31</v>
      </c>
      <c r="N28" s="16">
        <f t="shared" si="3"/>
        <v>2975.22</v>
      </c>
      <c r="O28" s="48">
        <v>0</v>
      </c>
      <c r="P28" s="3"/>
      <c r="Q28" s="3"/>
      <c r="R28" s="3"/>
      <c r="S28" s="3"/>
      <c r="T28" s="3"/>
      <c r="U28" s="3"/>
      <c r="V28" s="3"/>
      <c r="W28" s="3"/>
    </row>
    <row r="29" spans="1:23" ht="27" customHeight="1" x14ac:dyDescent="0.2">
      <c r="A29" s="128">
        <v>19</v>
      </c>
      <c r="B29" s="13" t="s">
        <v>105</v>
      </c>
      <c r="C29" s="13" t="s">
        <v>138</v>
      </c>
      <c r="D29" s="27">
        <v>75.64</v>
      </c>
      <c r="E29" s="27">
        <v>250</v>
      </c>
      <c r="F29" s="32">
        <v>31</v>
      </c>
      <c r="G29" s="27">
        <v>35</v>
      </c>
      <c r="H29" s="27">
        <f>500</f>
        <v>500</v>
      </c>
      <c r="I29" s="27">
        <v>0</v>
      </c>
      <c r="J29" s="16">
        <f t="shared" si="2"/>
        <v>3129.84</v>
      </c>
      <c r="K29" s="16">
        <f t="shared" si="4"/>
        <v>139.1</v>
      </c>
      <c r="L29" s="16">
        <v>0</v>
      </c>
      <c r="M29" s="16">
        <f t="shared" si="1"/>
        <v>139.1</v>
      </c>
      <c r="N29" s="16">
        <f t="shared" si="3"/>
        <v>2990.74</v>
      </c>
      <c r="O29" s="48">
        <v>0</v>
      </c>
      <c r="P29" s="3"/>
      <c r="Q29" s="3"/>
      <c r="R29" s="3"/>
      <c r="S29" s="3"/>
      <c r="T29" s="3"/>
      <c r="U29" s="3"/>
      <c r="V29" s="3"/>
      <c r="W29" s="3"/>
    </row>
    <row r="30" spans="1:23" ht="27" customHeight="1" x14ac:dyDescent="0.2">
      <c r="A30" s="128">
        <v>20</v>
      </c>
      <c r="B30" s="13" t="s">
        <v>411</v>
      </c>
      <c r="C30" s="13" t="s">
        <v>24</v>
      </c>
      <c r="D30" s="27">
        <v>71.400000000000006</v>
      </c>
      <c r="E30" s="27">
        <v>250</v>
      </c>
      <c r="F30" s="32">
        <v>31</v>
      </c>
      <c r="G30" s="27">
        <v>75</v>
      </c>
      <c r="H30" s="27">
        <v>525</v>
      </c>
      <c r="I30" s="27">
        <v>0</v>
      </c>
      <c r="J30" s="16">
        <f t="shared" si="2"/>
        <v>3063.4</v>
      </c>
      <c r="K30" s="16">
        <f t="shared" si="4"/>
        <v>135.88999999999999</v>
      </c>
      <c r="L30" s="16">
        <v>0</v>
      </c>
      <c r="M30" s="16">
        <f t="shared" si="1"/>
        <v>135.88999999999999</v>
      </c>
      <c r="N30" s="16">
        <f t="shared" si="3"/>
        <v>2927.51</v>
      </c>
      <c r="O30" s="48">
        <v>0</v>
      </c>
      <c r="P30" s="3"/>
      <c r="Q30" s="3"/>
      <c r="R30" s="3"/>
      <c r="S30" s="3"/>
      <c r="T30" s="3"/>
      <c r="U30" s="3"/>
      <c r="V30" s="3"/>
      <c r="W30" s="3"/>
    </row>
    <row r="31" spans="1:23" ht="27" customHeight="1" x14ac:dyDescent="0.2">
      <c r="A31" s="128">
        <v>21</v>
      </c>
      <c r="B31" s="13" t="s">
        <v>399</v>
      </c>
      <c r="C31" s="13" t="s">
        <v>25</v>
      </c>
      <c r="D31" s="27">
        <v>72.540000000000006</v>
      </c>
      <c r="E31" s="27">
        <v>250</v>
      </c>
      <c r="F31" s="32">
        <v>31</v>
      </c>
      <c r="G31" s="27">
        <v>0</v>
      </c>
      <c r="H31" s="27">
        <v>567</v>
      </c>
      <c r="I31" s="27">
        <v>0</v>
      </c>
      <c r="J31" s="16">
        <f t="shared" si="2"/>
        <v>3065.74</v>
      </c>
      <c r="K31" s="16">
        <f t="shared" si="4"/>
        <v>136</v>
      </c>
      <c r="L31" s="16">
        <v>0</v>
      </c>
      <c r="M31" s="16">
        <f t="shared" si="1"/>
        <v>136</v>
      </c>
      <c r="N31" s="16">
        <f t="shared" si="3"/>
        <v>2929.74</v>
      </c>
      <c r="O31" s="48">
        <v>0</v>
      </c>
      <c r="P31" s="3"/>
      <c r="Q31" s="3"/>
      <c r="R31" s="3"/>
      <c r="S31" s="3"/>
      <c r="T31" s="3"/>
      <c r="U31" s="3"/>
      <c r="V31" s="3"/>
      <c r="W31" s="3"/>
    </row>
    <row r="32" spans="1:23" ht="27" customHeight="1" x14ac:dyDescent="0.2">
      <c r="A32" s="128">
        <v>22</v>
      </c>
      <c r="B32" s="13" t="s">
        <v>421</v>
      </c>
      <c r="C32" s="13" t="s">
        <v>25</v>
      </c>
      <c r="D32" s="27">
        <v>72.540000000000006</v>
      </c>
      <c r="E32" s="27">
        <v>250</v>
      </c>
      <c r="F32" s="32">
        <v>31</v>
      </c>
      <c r="G32" s="27">
        <f>35</f>
        <v>35</v>
      </c>
      <c r="H32" s="27">
        <v>532</v>
      </c>
      <c r="I32" s="27">
        <v>0</v>
      </c>
      <c r="J32" s="16">
        <f t="shared" si="2"/>
        <v>3065.74</v>
      </c>
      <c r="K32" s="16">
        <f t="shared" si="4"/>
        <v>136</v>
      </c>
      <c r="L32" s="16">
        <v>0</v>
      </c>
      <c r="M32" s="16">
        <f t="shared" si="1"/>
        <v>136</v>
      </c>
      <c r="N32" s="16">
        <f t="shared" si="3"/>
        <v>2929.74</v>
      </c>
      <c r="O32" s="48">
        <v>0</v>
      </c>
      <c r="P32" s="3"/>
      <c r="Q32" s="3"/>
      <c r="R32" s="3"/>
      <c r="S32" s="3"/>
      <c r="T32" s="3"/>
      <c r="U32" s="3"/>
      <c r="V32" s="3"/>
      <c r="W32" s="3"/>
    </row>
    <row r="33" spans="1:23" ht="27" customHeight="1" x14ac:dyDescent="0.2">
      <c r="A33" s="128">
        <v>23</v>
      </c>
      <c r="B33" s="13" t="s">
        <v>405</v>
      </c>
      <c r="C33" s="13" t="s">
        <v>147</v>
      </c>
      <c r="D33" s="27">
        <v>71.400000000000006</v>
      </c>
      <c r="E33" s="27">
        <v>250</v>
      </c>
      <c r="F33" s="32">
        <v>31</v>
      </c>
      <c r="G33" s="27">
        <v>0</v>
      </c>
      <c r="H33" s="27">
        <v>601</v>
      </c>
      <c r="I33" s="27">
        <v>0</v>
      </c>
      <c r="J33" s="16">
        <f t="shared" si="2"/>
        <v>3064.4</v>
      </c>
      <c r="K33" s="16">
        <f t="shared" si="4"/>
        <v>135.94</v>
      </c>
      <c r="L33" s="16">
        <v>0</v>
      </c>
      <c r="M33" s="16">
        <f t="shared" si="1"/>
        <v>135.94</v>
      </c>
      <c r="N33" s="16">
        <f t="shared" si="3"/>
        <v>2928.46</v>
      </c>
      <c r="O33" s="48">
        <v>0</v>
      </c>
      <c r="P33" s="3"/>
      <c r="Q33" s="3"/>
      <c r="R33" s="3"/>
      <c r="S33" s="3"/>
      <c r="T33" s="3"/>
      <c r="U33" s="3"/>
      <c r="V33" s="3"/>
      <c r="W33" s="3"/>
    </row>
    <row r="34" spans="1:23" ht="27" customHeight="1" x14ac:dyDescent="0.2">
      <c r="A34" s="128">
        <v>24</v>
      </c>
      <c r="B34" s="26" t="s">
        <v>866</v>
      </c>
      <c r="C34" s="30" t="s">
        <v>24</v>
      </c>
      <c r="D34" s="27">
        <v>71.400000000000006</v>
      </c>
      <c r="E34" s="27">
        <v>250</v>
      </c>
      <c r="F34" s="32">
        <v>31</v>
      </c>
      <c r="G34" s="27">
        <v>0</v>
      </c>
      <c r="H34" s="27">
        <v>0</v>
      </c>
      <c r="I34" s="27">
        <v>0</v>
      </c>
      <c r="J34" s="16">
        <f t="shared" si="2"/>
        <v>2463.4</v>
      </c>
      <c r="K34" s="16">
        <f t="shared" si="4"/>
        <v>106.91</v>
      </c>
      <c r="L34" s="16">
        <v>0</v>
      </c>
      <c r="M34" s="16">
        <f t="shared" si="1"/>
        <v>106.91</v>
      </c>
      <c r="N34" s="16">
        <f t="shared" si="3"/>
        <v>2356.4899999999998</v>
      </c>
      <c r="O34" s="48">
        <v>0</v>
      </c>
      <c r="P34" s="3"/>
      <c r="Q34" s="3"/>
      <c r="R34" s="3"/>
      <c r="S34" s="3"/>
      <c r="T34" s="3"/>
      <c r="U34" s="3"/>
      <c r="V34" s="3"/>
      <c r="W34" s="3"/>
    </row>
    <row r="35" spans="1:23" ht="27" customHeight="1" x14ac:dyDescent="0.2">
      <c r="A35" s="128">
        <v>25</v>
      </c>
      <c r="B35" s="13" t="s">
        <v>422</v>
      </c>
      <c r="C35" s="13" t="s">
        <v>140</v>
      </c>
      <c r="D35" s="27">
        <v>74.63</v>
      </c>
      <c r="E35" s="27">
        <v>250</v>
      </c>
      <c r="F35" s="32">
        <v>31</v>
      </c>
      <c r="G35" s="27">
        <v>0</v>
      </c>
      <c r="H35" s="27">
        <v>504</v>
      </c>
      <c r="I35" s="27">
        <v>0</v>
      </c>
      <c r="J35" s="16">
        <f t="shared" si="2"/>
        <v>3067.53</v>
      </c>
      <c r="K35" s="16">
        <f t="shared" si="4"/>
        <v>136.09</v>
      </c>
      <c r="L35" s="16">
        <v>0</v>
      </c>
      <c r="M35" s="16">
        <f t="shared" si="1"/>
        <v>136.09</v>
      </c>
      <c r="N35" s="16">
        <f t="shared" si="3"/>
        <v>2931.44</v>
      </c>
      <c r="O35" s="48">
        <v>0</v>
      </c>
      <c r="P35" s="3"/>
      <c r="Q35" s="3"/>
      <c r="R35" s="3"/>
      <c r="S35" s="3"/>
      <c r="T35" s="3"/>
      <c r="U35" s="3"/>
      <c r="V35" s="3"/>
      <c r="W35" s="3"/>
    </row>
    <row r="36" spans="1:23" ht="27" customHeight="1" x14ac:dyDescent="0.2">
      <c r="A36" s="128">
        <v>26</v>
      </c>
      <c r="B36" s="13" t="s">
        <v>113</v>
      </c>
      <c r="C36" s="13" t="s">
        <v>145</v>
      </c>
      <c r="D36" s="27">
        <v>72.540000000000006</v>
      </c>
      <c r="E36" s="27">
        <v>250</v>
      </c>
      <c r="F36" s="32">
        <v>31</v>
      </c>
      <c r="G36" s="27">
        <f>35</f>
        <v>35</v>
      </c>
      <c r="H36" s="27">
        <v>532</v>
      </c>
      <c r="I36" s="27">
        <v>0</v>
      </c>
      <c r="J36" s="16">
        <f t="shared" si="2"/>
        <v>3065.74</v>
      </c>
      <c r="K36" s="16">
        <f t="shared" si="4"/>
        <v>136</v>
      </c>
      <c r="L36" s="16">
        <v>306.20999999999998</v>
      </c>
      <c r="M36" s="16">
        <f t="shared" si="1"/>
        <v>442.21</v>
      </c>
      <c r="N36" s="16">
        <f t="shared" si="3"/>
        <v>2623.53</v>
      </c>
      <c r="O36" s="48">
        <v>0</v>
      </c>
      <c r="P36" s="3"/>
      <c r="Q36" s="3"/>
      <c r="R36" s="3"/>
      <c r="S36" s="3"/>
      <c r="T36" s="3"/>
      <c r="U36" s="3"/>
      <c r="V36" s="3"/>
      <c r="W36" s="3"/>
    </row>
    <row r="37" spans="1:23" ht="27" customHeight="1" x14ac:dyDescent="0.2">
      <c r="A37" s="128">
        <v>27</v>
      </c>
      <c r="B37" s="13" t="s">
        <v>406</v>
      </c>
      <c r="C37" s="13" t="s">
        <v>138</v>
      </c>
      <c r="D37" s="27">
        <v>75.64</v>
      </c>
      <c r="E37" s="27">
        <v>250</v>
      </c>
      <c r="F37" s="32">
        <v>31</v>
      </c>
      <c r="G37" s="27">
        <v>50</v>
      </c>
      <c r="H37" s="27">
        <f>500</f>
        <v>500</v>
      </c>
      <c r="I37" s="27">
        <v>0</v>
      </c>
      <c r="J37" s="16">
        <f t="shared" si="2"/>
        <v>3144.84</v>
      </c>
      <c r="K37" s="16">
        <f t="shared" si="4"/>
        <v>139.82</v>
      </c>
      <c r="L37" s="16">
        <v>318.43</v>
      </c>
      <c r="M37" s="16">
        <f t="shared" si="1"/>
        <v>458.25</v>
      </c>
      <c r="N37" s="16">
        <f t="shared" si="3"/>
        <v>2686.59</v>
      </c>
      <c r="O37" s="48">
        <v>0</v>
      </c>
      <c r="P37" s="3"/>
      <c r="Q37" s="3"/>
      <c r="R37" s="3"/>
      <c r="S37" s="3"/>
      <c r="T37" s="3"/>
      <c r="U37" s="3"/>
      <c r="V37" s="3"/>
      <c r="W37" s="3"/>
    </row>
    <row r="38" spans="1:23" ht="27" customHeight="1" x14ac:dyDescent="0.2">
      <c r="A38" s="128">
        <v>28</v>
      </c>
      <c r="B38" s="13" t="s">
        <v>56</v>
      </c>
      <c r="C38" s="13" t="s">
        <v>140</v>
      </c>
      <c r="D38" s="27">
        <v>74.63</v>
      </c>
      <c r="E38" s="27">
        <v>250</v>
      </c>
      <c r="F38" s="32">
        <v>31</v>
      </c>
      <c r="G38" s="27">
        <v>50</v>
      </c>
      <c r="H38" s="27">
        <f>500</f>
        <v>500</v>
      </c>
      <c r="I38" s="27">
        <v>0</v>
      </c>
      <c r="J38" s="16">
        <f t="shared" si="2"/>
        <v>3113.53</v>
      </c>
      <c r="K38" s="16">
        <f t="shared" si="4"/>
        <v>138.31</v>
      </c>
      <c r="L38" s="16">
        <v>0</v>
      </c>
      <c r="M38" s="16">
        <f t="shared" si="1"/>
        <v>138.31</v>
      </c>
      <c r="N38" s="16">
        <f t="shared" si="3"/>
        <v>2975.22</v>
      </c>
      <c r="O38" s="48">
        <v>0</v>
      </c>
      <c r="P38" s="3"/>
      <c r="Q38" s="3"/>
      <c r="R38" s="3"/>
      <c r="S38" s="3"/>
      <c r="T38" s="3"/>
      <c r="U38" s="3"/>
      <c r="V38" s="3"/>
      <c r="W38" s="3"/>
    </row>
    <row r="39" spans="1:23" ht="27" customHeight="1" x14ac:dyDescent="0.2">
      <c r="A39" s="128">
        <v>29</v>
      </c>
      <c r="B39" s="13" t="s">
        <v>116</v>
      </c>
      <c r="C39" s="12" t="s">
        <v>187</v>
      </c>
      <c r="D39" s="27">
        <v>76.59</v>
      </c>
      <c r="E39" s="27">
        <v>250</v>
      </c>
      <c r="F39" s="32">
        <v>31</v>
      </c>
      <c r="G39" s="27">
        <v>0</v>
      </c>
      <c r="H39" s="27">
        <f>500</f>
        <v>500</v>
      </c>
      <c r="I39" s="27">
        <v>0</v>
      </c>
      <c r="J39" s="16">
        <f t="shared" si="2"/>
        <v>3124.29</v>
      </c>
      <c r="K39" s="16">
        <f t="shared" si="4"/>
        <v>138.83000000000001</v>
      </c>
      <c r="L39" s="16">
        <v>0</v>
      </c>
      <c r="M39" s="16">
        <f t="shared" si="1"/>
        <v>138.83000000000001</v>
      </c>
      <c r="N39" s="16">
        <f t="shared" si="3"/>
        <v>2985.46</v>
      </c>
      <c r="O39" s="48">
        <v>0</v>
      </c>
      <c r="P39" s="3"/>
      <c r="Q39" s="3"/>
      <c r="R39" s="3"/>
      <c r="S39" s="3"/>
      <c r="T39" s="3"/>
      <c r="U39" s="3"/>
      <c r="V39" s="3"/>
      <c r="W39" s="3"/>
    </row>
    <row r="40" spans="1:23" ht="27" customHeight="1" x14ac:dyDescent="0.2">
      <c r="A40" s="128">
        <v>30</v>
      </c>
      <c r="B40" s="152" t="s">
        <v>1071</v>
      </c>
      <c r="C40" s="12" t="s">
        <v>24</v>
      </c>
      <c r="D40" s="27">
        <v>71.400000000000006</v>
      </c>
      <c r="E40" s="27">
        <v>250</v>
      </c>
      <c r="F40" s="32">
        <v>31</v>
      </c>
      <c r="G40" s="27">
        <v>0</v>
      </c>
      <c r="H40" s="27">
        <v>0</v>
      </c>
      <c r="I40" s="27">
        <v>0</v>
      </c>
      <c r="J40" s="16">
        <f t="shared" si="2"/>
        <v>2463.4</v>
      </c>
      <c r="K40" s="16">
        <f t="shared" si="4"/>
        <v>106.91</v>
      </c>
      <c r="L40" s="16">
        <v>0</v>
      </c>
      <c r="M40" s="16">
        <f t="shared" si="1"/>
        <v>106.91</v>
      </c>
      <c r="N40" s="16">
        <f t="shared" si="3"/>
        <v>2356.4899999999998</v>
      </c>
      <c r="O40" s="48">
        <v>0</v>
      </c>
      <c r="P40" s="3"/>
      <c r="Q40" s="3"/>
      <c r="R40" s="3"/>
      <c r="S40" s="3"/>
      <c r="T40" s="3"/>
      <c r="U40" s="3"/>
      <c r="V40" s="3"/>
      <c r="W40" s="3"/>
    </row>
    <row r="41" spans="1:23" ht="27" customHeight="1" x14ac:dyDescent="0.2">
      <c r="A41" s="128">
        <v>31</v>
      </c>
      <c r="B41" s="12" t="s">
        <v>191</v>
      </c>
      <c r="C41" s="12" t="s">
        <v>25</v>
      </c>
      <c r="D41" s="27">
        <v>72.540000000000006</v>
      </c>
      <c r="E41" s="27">
        <v>250</v>
      </c>
      <c r="F41" s="32">
        <v>31</v>
      </c>
      <c r="G41" s="27">
        <v>0</v>
      </c>
      <c r="H41" s="27">
        <v>567</v>
      </c>
      <c r="I41" s="27">
        <v>0</v>
      </c>
      <c r="J41" s="16">
        <f t="shared" si="2"/>
        <v>3065.74</v>
      </c>
      <c r="K41" s="16">
        <f t="shared" si="4"/>
        <v>136</v>
      </c>
      <c r="L41" s="16">
        <v>0</v>
      </c>
      <c r="M41" s="16">
        <f t="shared" si="1"/>
        <v>136</v>
      </c>
      <c r="N41" s="16">
        <f t="shared" si="3"/>
        <v>2929.74</v>
      </c>
      <c r="O41" s="48">
        <v>0</v>
      </c>
      <c r="P41" s="3"/>
      <c r="Q41" s="3"/>
      <c r="R41" s="3"/>
      <c r="S41" s="3"/>
      <c r="T41" s="3"/>
      <c r="U41" s="3"/>
      <c r="V41" s="3"/>
      <c r="W41" s="3"/>
    </row>
    <row r="42" spans="1:23" ht="27" customHeight="1" x14ac:dyDescent="0.2">
      <c r="A42" s="128">
        <v>32</v>
      </c>
      <c r="B42" s="15" t="s">
        <v>407</v>
      </c>
      <c r="C42" s="13" t="s">
        <v>138</v>
      </c>
      <c r="D42" s="27">
        <v>75.64</v>
      </c>
      <c r="E42" s="27">
        <v>250</v>
      </c>
      <c r="F42" s="32">
        <v>31</v>
      </c>
      <c r="G42" s="27">
        <v>0</v>
      </c>
      <c r="H42" s="27">
        <f>500</f>
        <v>500</v>
      </c>
      <c r="I42" s="27">
        <v>0</v>
      </c>
      <c r="J42" s="16">
        <f t="shared" si="2"/>
        <v>3094.84</v>
      </c>
      <c r="K42" s="16">
        <f t="shared" si="4"/>
        <v>137.41</v>
      </c>
      <c r="L42" s="16">
        <v>0</v>
      </c>
      <c r="M42" s="16">
        <f t="shared" si="1"/>
        <v>137.41</v>
      </c>
      <c r="N42" s="16">
        <f t="shared" si="3"/>
        <v>2957.43</v>
      </c>
      <c r="O42" s="48">
        <v>0</v>
      </c>
      <c r="P42" s="3"/>
      <c r="Q42" s="3"/>
      <c r="R42" s="3"/>
      <c r="S42" s="3"/>
      <c r="T42" s="3"/>
      <c r="U42" s="3"/>
      <c r="V42" s="3"/>
      <c r="W42" s="3"/>
    </row>
    <row r="43" spans="1:23" ht="27" customHeight="1" x14ac:dyDescent="0.2">
      <c r="A43" s="128">
        <v>33</v>
      </c>
      <c r="B43" s="13" t="s">
        <v>115</v>
      </c>
      <c r="C43" s="13" t="s">
        <v>24</v>
      </c>
      <c r="D43" s="27">
        <v>71.400000000000006</v>
      </c>
      <c r="E43" s="27">
        <v>250</v>
      </c>
      <c r="F43" s="32">
        <v>31</v>
      </c>
      <c r="G43" s="27">
        <v>35</v>
      </c>
      <c r="H43" s="27">
        <v>566</v>
      </c>
      <c r="I43" s="27">
        <v>0</v>
      </c>
      <c r="J43" s="16">
        <f t="shared" si="2"/>
        <v>3064.4</v>
      </c>
      <c r="K43" s="16">
        <f t="shared" si="4"/>
        <v>135.94</v>
      </c>
      <c r="L43" s="16">
        <v>0</v>
      </c>
      <c r="M43" s="16">
        <f t="shared" si="1"/>
        <v>135.94</v>
      </c>
      <c r="N43" s="16">
        <f t="shared" si="3"/>
        <v>2928.46</v>
      </c>
      <c r="O43" s="48">
        <v>0</v>
      </c>
      <c r="P43" s="3"/>
      <c r="Q43" s="3"/>
      <c r="R43" s="3"/>
      <c r="S43" s="3"/>
      <c r="T43" s="3"/>
      <c r="U43" s="3"/>
      <c r="V43" s="3"/>
      <c r="W43" s="3"/>
    </row>
    <row r="44" spans="1:23" ht="27" customHeight="1" x14ac:dyDescent="0.2">
      <c r="A44" s="128">
        <v>34</v>
      </c>
      <c r="B44" s="13" t="s">
        <v>126</v>
      </c>
      <c r="C44" s="13" t="s">
        <v>142</v>
      </c>
      <c r="D44" s="27">
        <v>73.59</v>
      </c>
      <c r="E44" s="27">
        <v>250</v>
      </c>
      <c r="F44" s="32">
        <v>31</v>
      </c>
      <c r="G44" s="27">
        <v>50</v>
      </c>
      <c r="H44" s="27">
        <f>500</f>
        <v>500</v>
      </c>
      <c r="I44" s="27">
        <v>0</v>
      </c>
      <c r="J44" s="16">
        <f t="shared" si="2"/>
        <v>3081.29</v>
      </c>
      <c r="K44" s="16">
        <f t="shared" si="4"/>
        <v>136.75</v>
      </c>
      <c r="L44" s="16">
        <v>0</v>
      </c>
      <c r="M44" s="16">
        <f t="shared" si="1"/>
        <v>136.75</v>
      </c>
      <c r="N44" s="16">
        <f t="shared" ref="N44:N76" si="5">J44-M44</f>
        <v>2944.54</v>
      </c>
      <c r="O44" s="48">
        <v>0</v>
      </c>
      <c r="P44" s="3"/>
      <c r="Q44" s="3"/>
      <c r="R44" s="3"/>
      <c r="S44" s="3"/>
      <c r="T44" s="3"/>
      <c r="U44" s="3"/>
      <c r="V44" s="3"/>
      <c r="W44" s="3"/>
    </row>
    <row r="45" spans="1:23" ht="27" customHeight="1" x14ac:dyDescent="0.2">
      <c r="A45" s="128">
        <v>35</v>
      </c>
      <c r="B45" s="12" t="s">
        <v>374</v>
      </c>
      <c r="C45" s="13" t="s">
        <v>145</v>
      </c>
      <c r="D45" s="27">
        <v>72.540000000000006</v>
      </c>
      <c r="E45" s="27">
        <v>250</v>
      </c>
      <c r="F45" s="32">
        <v>31</v>
      </c>
      <c r="G45" s="27">
        <v>0</v>
      </c>
      <c r="H45" s="27">
        <v>567</v>
      </c>
      <c r="I45" s="27">
        <v>0</v>
      </c>
      <c r="J45" s="16">
        <f t="shared" si="2"/>
        <v>3065.74</v>
      </c>
      <c r="K45" s="16">
        <f t="shared" si="4"/>
        <v>136</v>
      </c>
      <c r="L45" s="16">
        <f>(J45-E45)*11%</f>
        <v>309.73</v>
      </c>
      <c r="M45" s="16">
        <f t="shared" si="1"/>
        <v>445.73</v>
      </c>
      <c r="N45" s="16">
        <f t="shared" si="5"/>
        <v>2620.0100000000002</v>
      </c>
      <c r="O45" s="48">
        <v>0</v>
      </c>
      <c r="P45" s="3"/>
      <c r="Q45" s="3"/>
      <c r="R45" s="3"/>
      <c r="S45" s="3"/>
      <c r="T45" s="3"/>
      <c r="U45" s="3"/>
      <c r="V45" s="3"/>
      <c r="W45" s="3"/>
    </row>
    <row r="46" spans="1:23" ht="27" customHeight="1" x14ac:dyDescent="0.2">
      <c r="A46" s="128">
        <v>36</v>
      </c>
      <c r="B46" s="15" t="s">
        <v>413</v>
      </c>
      <c r="C46" s="13" t="s">
        <v>140</v>
      </c>
      <c r="D46" s="27">
        <v>74.63</v>
      </c>
      <c r="E46" s="27">
        <v>250</v>
      </c>
      <c r="F46" s="32">
        <v>31</v>
      </c>
      <c r="G46" s="27">
        <v>50</v>
      </c>
      <c r="H46" s="27">
        <f>500</f>
        <v>500</v>
      </c>
      <c r="I46" s="27">
        <v>0</v>
      </c>
      <c r="J46" s="16">
        <f t="shared" si="2"/>
        <v>3113.53</v>
      </c>
      <c r="K46" s="16">
        <f t="shared" si="4"/>
        <v>138.31</v>
      </c>
      <c r="L46" s="16">
        <v>0</v>
      </c>
      <c r="M46" s="16">
        <f t="shared" ref="M46:M78" si="6">K46+L46</f>
        <v>138.31</v>
      </c>
      <c r="N46" s="16">
        <f t="shared" si="5"/>
        <v>2975.22</v>
      </c>
      <c r="O46" s="48">
        <v>0</v>
      </c>
      <c r="P46" s="3"/>
      <c r="Q46" s="3"/>
      <c r="R46" s="3"/>
      <c r="S46" s="3"/>
      <c r="T46" s="3"/>
      <c r="U46" s="3"/>
      <c r="V46" s="3"/>
      <c r="W46" s="3"/>
    </row>
    <row r="47" spans="1:23" ht="27" customHeight="1" x14ac:dyDescent="0.2">
      <c r="A47" s="128">
        <v>37</v>
      </c>
      <c r="B47" s="13" t="s">
        <v>400</v>
      </c>
      <c r="C47" s="13" t="s">
        <v>141</v>
      </c>
      <c r="D47" s="27">
        <v>72.540000000000006</v>
      </c>
      <c r="E47" s="27">
        <v>250</v>
      </c>
      <c r="F47" s="32">
        <v>31</v>
      </c>
      <c r="G47" s="27">
        <v>50</v>
      </c>
      <c r="H47" s="27">
        <v>517</v>
      </c>
      <c r="I47" s="27">
        <v>0</v>
      </c>
      <c r="J47" s="16">
        <f t="shared" si="2"/>
        <v>3065.74</v>
      </c>
      <c r="K47" s="16">
        <f t="shared" si="4"/>
        <v>136</v>
      </c>
      <c r="L47" s="16">
        <v>306.20999999999998</v>
      </c>
      <c r="M47" s="16">
        <f t="shared" si="6"/>
        <v>442.21</v>
      </c>
      <c r="N47" s="16">
        <f t="shared" si="5"/>
        <v>2623.53</v>
      </c>
      <c r="O47" s="48">
        <v>0</v>
      </c>
      <c r="P47" s="3"/>
      <c r="Q47" s="3"/>
      <c r="R47" s="3"/>
      <c r="S47" s="3"/>
      <c r="T47" s="3"/>
      <c r="U47" s="3"/>
      <c r="V47" s="3"/>
      <c r="W47" s="3"/>
    </row>
    <row r="48" spans="1:23" ht="27" customHeight="1" x14ac:dyDescent="0.2">
      <c r="A48" s="128">
        <v>38</v>
      </c>
      <c r="B48" s="13" t="s">
        <v>423</v>
      </c>
      <c r="C48" s="13" t="s">
        <v>138</v>
      </c>
      <c r="D48" s="27">
        <v>75.64</v>
      </c>
      <c r="E48" s="27">
        <v>250</v>
      </c>
      <c r="F48" s="32">
        <v>31</v>
      </c>
      <c r="G48" s="27">
        <v>0</v>
      </c>
      <c r="H48" s="27">
        <f>500</f>
        <v>500</v>
      </c>
      <c r="I48" s="27">
        <v>0</v>
      </c>
      <c r="J48" s="16">
        <f t="shared" si="2"/>
        <v>3094.84</v>
      </c>
      <c r="K48" s="16">
        <f t="shared" si="4"/>
        <v>137.41</v>
      </c>
      <c r="L48" s="16">
        <v>0</v>
      </c>
      <c r="M48" s="16">
        <f t="shared" si="6"/>
        <v>137.41</v>
      </c>
      <c r="N48" s="16">
        <f t="shared" si="5"/>
        <v>2957.43</v>
      </c>
      <c r="O48" s="48">
        <v>0</v>
      </c>
      <c r="P48" s="3"/>
      <c r="Q48" s="3"/>
      <c r="R48" s="3"/>
      <c r="S48" s="3"/>
      <c r="T48" s="3"/>
      <c r="U48" s="3"/>
      <c r="V48" s="3"/>
      <c r="W48" s="3"/>
    </row>
    <row r="49" spans="1:23" ht="27" customHeight="1" x14ac:dyDescent="0.2">
      <c r="A49" s="128">
        <v>39</v>
      </c>
      <c r="B49" s="13" t="s">
        <v>424</v>
      </c>
      <c r="C49" s="13" t="s">
        <v>774</v>
      </c>
      <c r="D49" s="27">
        <v>75.64</v>
      </c>
      <c r="E49" s="27">
        <v>250</v>
      </c>
      <c r="F49" s="32">
        <v>31</v>
      </c>
      <c r="G49" s="27">
        <f>35</f>
        <v>35</v>
      </c>
      <c r="H49" s="27">
        <f>500</f>
        <v>500</v>
      </c>
      <c r="I49" s="27">
        <v>0</v>
      </c>
      <c r="J49" s="16">
        <f t="shared" si="2"/>
        <v>3129.84</v>
      </c>
      <c r="K49" s="16">
        <f t="shared" si="4"/>
        <v>139.1</v>
      </c>
      <c r="L49" s="16">
        <v>316.77999999999997</v>
      </c>
      <c r="M49" s="16">
        <f t="shared" si="6"/>
        <v>455.88</v>
      </c>
      <c r="N49" s="16">
        <f t="shared" si="5"/>
        <v>2673.96</v>
      </c>
      <c r="O49" s="48">
        <v>0</v>
      </c>
      <c r="P49" s="3"/>
      <c r="Q49" s="3"/>
      <c r="R49" s="3"/>
      <c r="S49" s="3"/>
      <c r="T49" s="3"/>
      <c r="U49" s="3"/>
      <c r="V49" s="3"/>
      <c r="W49" s="3"/>
    </row>
    <row r="50" spans="1:23" ht="27" customHeight="1" x14ac:dyDescent="0.2">
      <c r="A50" s="128">
        <v>40</v>
      </c>
      <c r="B50" s="12" t="s">
        <v>373</v>
      </c>
      <c r="C50" s="12" t="s">
        <v>25</v>
      </c>
      <c r="D50" s="27">
        <v>72.540000000000006</v>
      </c>
      <c r="E50" s="27">
        <v>250</v>
      </c>
      <c r="F50" s="32">
        <v>31</v>
      </c>
      <c r="G50" s="27">
        <v>0</v>
      </c>
      <c r="H50" s="27">
        <v>567</v>
      </c>
      <c r="I50" s="27">
        <v>0</v>
      </c>
      <c r="J50" s="16">
        <f t="shared" si="2"/>
        <v>3065.74</v>
      </c>
      <c r="K50" s="16">
        <f t="shared" si="4"/>
        <v>136</v>
      </c>
      <c r="L50" s="16">
        <v>0</v>
      </c>
      <c r="M50" s="16">
        <f t="shared" si="6"/>
        <v>136</v>
      </c>
      <c r="N50" s="16">
        <f t="shared" si="5"/>
        <v>2929.74</v>
      </c>
      <c r="O50" s="48">
        <v>0</v>
      </c>
      <c r="P50" s="3"/>
      <c r="Q50" s="3"/>
      <c r="R50" s="3"/>
      <c r="S50" s="3"/>
      <c r="T50" s="3"/>
      <c r="U50" s="3"/>
      <c r="V50" s="3"/>
      <c r="W50" s="3"/>
    </row>
    <row r="51" spans="1:23" ht="27" customHeight="1" x14ac:dyDescent="0.2">
      <c r="A51" s="128">
        <v>41</v>
      </c>
      <c r="B51" s="15" t="s">
        <v>425</v>
      </c>
      <c r="C51" s="13" t="s">
        <v>138</v>
      </c>
      <c r="D51" s="27">
        <v>75.64</v>
      </c>
      <c r="E51" s="27">
        <v>250</v>
      </c>
      <c r="F51" s="32">
        <v>31</v>
      </c>
      <c r="G51" s="27">
        <v>0</v>
      </c>
      <c r="H51" s="27">
        <f>500</f>
        <v>500</v>
      </c>
      <c r="I51" s="27">
        <v>0</v>
      </c>
      <c r="J51" s="16">
        <f t="shared" si="2"/>
        <v>3094.84</v>
      </c>
      <c r="K51" s="16">
        <f t="shared" si="4"/>
        <v>137.41</v>
      </c>
      <c r="L51" s="16">
        <v>0</v>
      </c>
      <c r="M51" s="16">
        <f t="shared" si="6"/>
        <v>137.41</v>
      </c>
      <c r="N51" s="16">
        <f t="shared" si="5"/>
        <v>2957.43</v>
      </c>
      <c r="O51" s="48">
        <v>0</v>
      </c>
      <c r="P51" s="3"/>
      <c r="Q51" s="3"/>
      <c r="R51" s="3"/>
      <c r="S51" s="3"/>
      <c r="T51" s="3"/>
      <c r="U51" s="3"/>
      <c r="V51" s="3"/>
      <c r="W51" s="3"/>
    </row>
    <row r="52" spans="1:23" ht="27" customHeight="1" x14ac:dyDescent="0.2">
      <c r="A52" s="128">
        <v>42</v>
      </c>
      <c r="B52" s="13" t="s">
        <v>426</v>
      </c>
      <c r="C52" s="13" t="s">
        <v>25</v>
      </c>
      <c r="D52" s="27">
        <v>72.540000000000006</v>
      </c>
      <c r="E52" s="27">
        <v>250</v>
      </c>
      <c r="F52" s="32">
        <v>31</v>
      </c>
      <c r="G52" s="27">
        <f>35</f>
        <v>35</v>
      </c>
      <c r="H52" s="27">
        <v>532</v>
      </c>
      <c r="I52" s="27">
        <v>0</v>
      </c>
      <c r="J52" s="16">
        <f t="shared" si="2"/>
        <v>3065.74</v>
      </c>
      <c r="K52" s="16">
        <f t="shared" si="4"/>
        <v>136</v>
      </c>
      <c r="L52" s="16">
        <v>0</v>
      </c>
      <c r="M52" s="16">
        <f t="shared" si="6"/>
        <v>136</v>
      </c>
      <c r="N52" s="16">
        <f t="shared" si="5"/>
        <v>2929.74</v>
      </c>
      <c r="O52" s="48">
        <v>0</v>
      </c>
      <c r="P52" s="3"/>
      <c r="Q52" s="3"/>
      <c r="R52" s="3"/>
      <c r="S52" s="3"/>
      <c r="T52" s="3"/>
      <c r="U52" s="3"/>
      <c r="V52" s="3"/>
      <c r="W52" s="3"/>
    </row>
    <row r="53" spans="1:23" ht="27" customHeight="1" x14ac:dyDescent="0.2">
      <c r="A53" s="128">
        <v>43</v>
      </c>
      <c r="B53" s="13" t="s">
        <v>1072</v>
      </c>
      <c r="C53" s="13" t="s">
        <v>185</v>
      </c>
      <c r="D53" s="27">
        <v>78.25</v>
      </c>
      <c r="E53" s="27">
        <v>250</v>
      </c>
      <c r="F53" s="32">
        <v>31</v>
      </c>
      <c r="G53" s="27">
        <v>0</v>
      </c>
      <c r="H53" s="27">
        <v>0</v>
      </c>
      <c r="I53" s="27">
        <v>0</v>
      </c>
      <c r="J53" s="16">
        <f t="shared" si="2"/>
        <v>2675.75</v>
      </c>
      <c r="K53" s="16">
        <f t="shared" ref="K53" si="7">(D53*F53+G53+H53)*4.83%</f>
        <v>117.16</v>
      </c>
      <c r="L53" s="16">
        <v>0</v>
      </c>
      <c r="M53" s="16">
        <f t="shared" ref="M53" si="8">K53+L53</f>
        <v>117.16</v>
      </c>
      <c r="N53" s="16">
        <f t="shared" ref="N53" si="9">J53-M53</f>
        <v>2558.59</v>
      </c>
      <c r="O53" s="48">
        <v>0</v>
      </c>
      <c r="P53" s="3"/>
      <c r="Q53" s="3"/>
      <c r="R53" s="3"/>
      <c r="S53" s="3"/>
      <c r="T53" s="3"/>
      <c r="U53" s="3"/>
      <c r="V53" s="3"/>
      <c r="W53" s="3"/>
    </row>
    <row r="54" spans="1:23" ht="27" customHeight="1" x14ac:dyDescent="0.2">
      <c r="A54" s="128">
        <v>44</v>
      </c>
      <c r="B54" s="12" t="s">
        <v>186</v>
      </c>
      <c r="C54" s="13" t="s">
        <v>140</v>
      </c>
      <c r="D54" s="27">
        <v>74.63</v>
      </c>
      <c r="E54" s="27">
        <v>250</v>
      </c>
      <c r="F54" s="32">
        <v>31</v>
      </c>
      <c r="G54" s="27">
        <v>0</v>
      </c>
      <c r="H54" s="27">
        <v>504</v>
      </c>
      <c r="I54" s="27">
        <v>0</v>
      </c>
      <c r="J54" s="16">
        <f t="shared" si="2"/>
        <v>3067.53</v>
      </c>
      <c r="K54" s="16">
        <f t="shared" si="4"/>
        <v>136.09</v>
      </c>
      <c r="L54" s="16">
        <v>0</v>
      </c>
      <c r="M54" s="16">
        <f t="shared" si="6"/>
        <v>136.09</v>
      </c>
      <c r="N54" s="16">
        <f t="shared" si="5"/>
        <v>2931.44</v>
      </c>
      <c r="O54" s="48">
        <v>0</v>
      </c>
      <c r="P54" s="3"/>
      <c r="Q54" s="3"/>
      <c r="R54" s="3"/>
      <c r="S54" s="3"/>
      <c r="T54" s="3"/>
      <c r="U54" s="3"/>
      <c r="V54" s="3"/>
      <c r="W54" s="3"/>
    </row>
    <row r="55" spans="1:23" ht="27" customHeight="1" x14ac:dyDescent="0.2">
      <c r="A55" s="128">
        <v>45</v>
      </c>
      <c r="B55" s="13" t="s">
        <v>57</v>
      </c>
      <c r="C55" s="13" t="s">
        <v>58</v>
      </c>
      <c r="D55" s="27">
        <v>72.540000000000006</v>
      </c>
      <c r="E55" s="27">
        <v>250</v>
      </c>
      <c r="F55" s="32">
        <v>31</v>
      </c>
      <c r="G55" s="27">
        <v>0</v>
      </c>
      <c r="H55" s="27">
        <v>567</v>
      </c>
      <c r="I55" s="27">
        <v>0</v>
      </c>
      <c r="J55" s="16">
        <f t="shared" si="2"/>
        <v>3065.74</v>
      </c>
      <c r="K55" s="16">
        <f t="shared" si="4"/>
        <v>136</v>
      </c>
      <c r="L55" s="16">
        <v>0</v>
      </c>
      <c r="M55" s="16">
        <f t="shared" si="6"/>
        <v>136</v>
      </c>
      <c r="N55" s="16">
        <f t="shared" si="5"/>
        <v>2929.74</v>
      </c>
      <c r="O55" s="48">
        <v>0</v>
      </c>
      <c r="P55" s="3"/>
      <c r="Q55" s="3"/>
      <c r="R55" s="3"/>
      <c r="S55" s="3"/>
      <c r="T55" s="3"/>
      <c r="U55" s="3"/>
      <c r="V55" s="3"/>
      <c r="W55" s="3"/>
    </row>
    <row r="56" spans="1:23" ht="27" customHeight="1" x14ac:dyDescent="0.2">
      <c r="A56" s="128">
        <v>46</v>
      </c>
      <c r="B56" s="26" t="s">
        <v>867</v>
      </c>
      <c r="C56" s="30" t="s">
        <v>773</v>
      </c>
      <c r="D56" s="27">
        <v>78.25</v>
      </c>
      <c r="E56" s="27">
        <v>250</v>
      </c>
      <c r="F56" s="32">
        <v>31</v>
      </c>
      <c r="G56" s="27">
        <v>0</v>
      </c>
      <c r="H56" s="27">
        <v>0</v>
      </c>
      <c r="I56" s="27">
        <v>0</v>
      </c>
      <c r="J56" s="16">
        <f t="shared" si="2"/>
        <v>2675.75</v>
      </c>
      <c r="K56" s="16">
        <f t="shared" si="4"/>
        <v>117.16</v>
      </c>
      <c r="L56" s="16">
        <v>0</v>
      </c>
      <c r="M56" s="16">
        <f t="shared" si="6"/>
        <v>117.16</v>
      </c>
      <c r="N56" s="16">
        <f t="shared" si="5"/>
        <v>2558.59</v>
      </c>
      <c r="O56" s="48">
        <v>0</v>
      </c>
      <c r="P56" s="3"/>
      <c r="Q56" s="3"/>
      <c r="R56" s="3"/>
      <c r="S56" s="3"/>
      <c r="T56" s="3"/>
      <c r="U56" s="3"/>
      <c r="V56" s="3"/>
      <c r="W56" s="3"/>
    </row>
    <row r="57" spans="1:23" ht="27" customHeight="1" x14ac:dyDescent="0.2">
      <c r="A57" s="128">
        <v>47</v>
      </c>
      <c r="B57" s="15" t="s">
        <v>102</v>
      </c>
      <c r="C57" s="13" t="s">
        <v>140</v>
      </c>
      <c r="D57" s="27">
        <v>74.63</v>
      </c>
      <c r="E57" s="27">
        <v>250</v>
      </c>
      <c r="F57" s="32">
        <v>31</v>
      </c>
      <c r="G57" s="27">
        <v>0</v>
      </c>
      <c r="H57" s="27">
        <v>504</v>
      </c>
      <c r="I57" s="27">
        <v>0</v>
      </c>
      <c r="J57" s="16">
        <f t="shared" si="2"/>
        <v>3067.53</v>
      </c>
      <c r="K57" s="16">
        <f t="shared" si="4"/>
        <v>136.09</v>
      </c>
      <c r="L57" s="16">
        <v>0</v>
      </c>
      <c r="M57" s="16">
        <f t="shared" si="6"/>
        <v>136.09</v>
      </c>
      <c r="N57" s="16">
        <f t="shared" si="5"/>
        <v>2931.44</v>
      </c>
      <c r="O57" s="48">
        <v>0</v>
      </c>
      <c r="P57" s="3"/>
      <c r="Q57" s="3"/>
      <c r="R57" s="3"/>
      <c r="S57" s="3"/>
      <c r="T57" s="3"/>
      <c r="U57" s="3"/>
      <c r="V57" s="3"/>
      <c r="W57" s="3"/>
    </row>
    <row r="58" spans="1:23" ht="27" customHeight="1" x14ac:dyDescent="0.2">
      <c r="A58" s="128">
        <v>48</v>
      </c>
      <c r="B58" s="13" t="s">
        <v>427</v>
      </c>
      <c r="C58" s="13" t="s">
        <v>138</v>
      </c>
      <c r="D58" s="27">
        <v>75.64</v>
      </c>
      <c r="E58" s="27">
        <v>250</v>
      </c>
      <c r="F58" s="32">
        <v>31</v>
      </c>
      <c r="G58" s="27">
        <f>35</f>
        <v>35</v>
      </c>
      <c r="H58" s="27">
        <f>500</f>
        <v>500</v>
      </c>
      <c r="I58" s="27">
        <v>0</v>
      </c>
      <c r="J58" s="16">
        <f t="shared" si="2"/>
        <v>3129.84</v>
      </c>
      <c r="K58" s="16">
        <f t="shared" si="4"/>
        <v>139.1</v>
      </c>
      <c r="L58" s="16">
        <v>316.77999999999997</v>
      </c>
      <c r="M58" s="16">
        <f t="shared" si="6"/>
        <v>455.88</v>
      </c>
      <c r="N58" s="16">
        <f t="shared" si="5"/>
        <v>2673.96</v>
      </c>
      <c r="O58" s="48">
        <v>0</v>
      </c>
      <c r="P58" s="3"/>
      <c r="Q58" s="3"/>
      <c r="R58" s="3"/>
      <c r="S58" s="3"/>
      <c r="T58" s="3"/>
      <c r="U58" s="3"/>
      <c r="V58" s="3"/>
      <c r="W58" s="3"/>
    </row>
    <row r="59" spans="1:23" ht="27" customHeight="1" x14ac:dyDescent="0.2">
      <c r="A59" s="128">
        <v>49</v>
      </c>
      <c r="B59" s="12" t="s">
        <v>414</v>
      </c>
      <c r="C59" s="13" t="s">
        <v>138</v>
      </c>
      <c r="D59" s="27">
        <v>75.64</v>
      </c>
      <c r="E59" s="27">
        <v>250</v>
      </c>
      <c r="F59" s="32">
        <v>31</v>
      </c>
      <c r="G59" s="27">
        <v>0</v>
      </c>
      <c r="H59" s="27">
        <f>500</f>
        <v>500</v>
      </c>
      <c r="I59" s="27">
        <v>0</v>
      </c>
      <c r="J59" s="16">
        <f t="shared" si="2"/>
        <v>3094.84</v>
      </c>
      <c r="K59" s="16">
        <f t="shared" si="4"/>
        <v>137.41</v>
      </c>
      <c r="L59" s="16">
        <v>0</v>
      </c>
      <c r="M59" s="16">
        <f t="shared" si="6"/>
        <v>137.41</v>
      </c>
      <c r="N59" s="16">
        <f t="shared" si="5"/>
        <v>2957.43</v>
      </c>
      <c r="O59" s="48">
        <v>0</v>
      </c>
      <c r="P59" s="3"/>
      <c r="Q59" s="3"/>
      <c r="R59" s="3"/>
      <c r="S59" s="3"/>
      <c r="T59" s="3"/>
      <c r="U59" s="3"/>
      <c r="V59" s="3"/>
      <c r="W59" s="3"/>
    </row>
    <row r="60" spans="1:23" ht="27" customHeight="1" x14ac:dyDescent="0.2">
      <c r="A60" s="128">
        <v>50</v>
      </c>
      <c r="B60" s="13" t="s">
        <v>401</v>
      </c>
      <c r="C60" s="13" t="s">
        <v>146</v>
      </c>
      <c r="D60" s="27">
        <v>75.64</v>
      </c>
      <c r="E60" s="27">
        <v>250</v>
      </c>
      <c r="F60" s="32">
        <v>31</v>
      </c>
      <c r="G60" s="27">
        <v>0</v>
      </c>
      <c r="H60" s="27">
        <f>500</f>
        <v>500</v>
      </c>
      <c r="I60" s="27">
        <v>0</v>
      </c>
      <c r="J60" s="16">
        <f t="shared" si="2"/>
        <v>3094.84</v>
      </c>
      <c r="K60" s="16">
        <f t="shared" si="4"/>
        <v>137.41</v>
      </c>
      <c r="L60" s="16">
        <v>0</v>
      </c>
      <c r="M60" s="16">
        <f t="shared" si="6"/>
        <v>137.41</v>
      </c>
      <c r="N60" s="16">
        <f t="shared" si="5"/>
        <v>2957.43</v>
      </c>
      <c r="O60" s="48">
        <v>0</v>
      </c>
      <c r="P60" s="3"/>
      <c r="Q60" s="3"/>
      <c r="R60" s="3"/>
      <c r="S60" s="3"/>
      <c r="T60" s="3"/>
      <c r="U60" s="3"/>
      <c r="V60" s="3"/>
      <c r="W60" s="3"/>
    </row>
    <row r="61" spans="1:23" ht="27" customHeight="1" x14ac:dyDescent="0.2">
      <c r="A61" s="128">
        <v>51</v>
      </c>
      <c r="B61" s="25" t="s">
        <v>804</v>
      </c>
      <c r="C61" s="12" t="s">
        <v>24</v>
      </c>
      <c r="D61" s="27">
        <v>71.400000000000006</v>
      </c>
      <c r="E61" s="27">
        <v>250</v>
      </c>
      <c r="F61" s="32">
        <v>31</v>
      </c>
      <c r="G61" s="27">
        <v>0</v>
      </c>
      <c r="H61" s="27">
        <v>601</v>
      </c>
      <c r="I61" s="27">
        <v>0</v>
      </c>
      <c r="J61" s="16">
        <f t="shared" si="2"/>
        <v>3064.4</v>
      </c>
      <c r="K61" s="16">
        <f t="shared" si="4"/>
        <v>135.94</v>
      </c>
      <c r="L61" s="16">
        <v>0</v>
      </c>
      <c r="M61" s="16">
        <f t="shared" si="6"/>
        <v>135.94</v>
      </c>
      <c r="N61" s="16">
        <f t="shared" si="5"/>
        <v>2928.46</v>
      </c>
      <c r="O61" s="48">
        <v>0</v>
      </c>
      <c r="P61" s="3"/>
      <c r="Q61" s="3"/>
      <c r="R61" s="3"/>
      <c r="S61" s="3"/>
      <c r="T61" s="3"/>
      <c r="U61" s="3"/>
      <c r="V61" s="3"/>
      <c r="W61" s="3"/>
    </row>
    <row r="62" spans="1:23" ht="27" customHeight="1" x14ac:dyDescent="0.2">
      <c r="A62" s="128">
        <v>52</v>
      </c>
      <c r="B62" s="13" t="s">
        <v>415</v>
      </c>
      <c r="C62" s="12" t="s">
        <v>773</v>
      </c>
      <c r="D62" s="27">
        <v>78.25</v>
      </c>
      <c r="E62" s="27">
        <v>250</v>
      </c>
      <c r="F62" s="32">
        <v>31</v>
      </c>
      <c r="G62" s="27">
        <v>50</v>
      </c>
      <c r="H62" s="27">
        <f>500</f>
        <v>500</v>
      </c>
      <c r="I62" s="27">
        <v>0</v>
      </c>
      <c r="J62" s="16">
        <f t="shared" si="2"/>
        <v>3225.75</v>
      </c>
      <c r="K62" s="16">
        <f t="shared" si="4"/>
        <v>143.72999999999999</v>
      </c>
      <c r="L62" s="16">
        <v>0</v>
      </c>
      <c r="M62" s="16">
        <f t="shared" si="6"/>
        <v>143.72999999999999</v>
      </c>
      <c r="N62" s="16">
        <f t="shared" si="5"/>
        <v>3082.02</v>
      </c>
      <c r="O62" s="48">
        <v>0</v>
      </c>
      <c r="P62" s="3"/>
      <c r="Q62" s="3"/>
      <c r="R62" s="3"/>
      <c r="S62" s="3"/>
      <c r="T62" s="3"/>
      <c r="U62" s="3"/>
      <c r="V62" s="3"/>
      <c r="W62" s="3"/>
    </row>
    <row r="63" spans="1:23" ht="27" customHeight="1" x14ac:dyDescent="0.2">
      <c r="A63" s="128">
        <v>53</v>
      </c>
      <c r="B63" s="25" t="s">
        <v>803</v>
      </c>
      <c r="C63" s="12" t="s">
        <v>24</v>
      </c>
      <c r="D63" s="27">
        <v>71.400000000000006</v>
      </c>
      <c r="E63" s="27">
        <v>250</v>
      </c>
      <c r="F63" s="32">
        <v>31</v>
      </c>
      <c r="G63" s="27">
        <v>0</v>
      </c>
      <c r="H63" s="27">
        <v>601</v>
      </c>
      <c r="I63" s="27">
        <v>0</v>
      </c>
      <c r="J63" s="16">
        <f t="shared" si="2"/>
        <v>3064.4</v>
      </c>
      <c r="K63" s="16">
        <f t="shared" si="4"/>
        <v>135.94</v>
      </c>
      <c r="L63" s="16">
        <v>0</v>
      </c>
      <c r="M63" s="16">
        <f t="shared" si="6"/>
        <v>135.94</v>
      </c>
      <c r="N63" s="16">
        <f t="shared" si="5"/>
        <v>2928.46</v>
      </c>
      <c r="O63" s="48">
        <v>0</v>
      </c>
      <c r="P63" s="3"/>
      <c r="Q63" s="3"/>
      <c r="R63" s="3"/>
      <c r="S63" s="3"/>
      <c r="T63" s="3"/>
      <c r="U63" s="3"/>
      <c r="V63" s="3"/>
      <c r="W63" s="3"/>
    </row>
    <row r="64" spans="1:23" ht="27" customHeight="1" x14ac:dyDescent="0.2">
      <c r="A64" s="128">
        <v>54</v>
      </c>
      <c r="B64" s="13" t="s">
        <v>416</v>
      </c>
      <c r="C64" s="13" t="s">
        <v>25</v>
      </c>
      <c r="D64" s="27">
        <v>72.540000000000006</v>
      </c>
      <c r="E64" s="27">
        <v>250</v>
      </c>
      <c r="F64" s="32">
        <v>31</v>
      </c>
      <c r="G64" s="27">
        <v>0</v>
      </c>
      <c r="H64" s="27">
        <v>567</v>
      </c>
      <c r="I64" s="27">
        <v>0</v>
      </c>
      <c r="J64" s="16">
        <f t="shared" si="2"/>
        <v>3065.74</v>
      </c>
      <c r="K64" s="16">
        <f t="shared" si="4"/>
        <v>136</v>
      </c>
      <c r="L64" s="16">
        <v>0</v>
      </c>
      <c r="M64" s="16">
        <f t="shared" si="6"/>
        <v>136</v>
      </c>
      <c r="N64" s="16">
        <f t="shared" si="5"/>
        <v>2929.74</v>
      </c>
      <c r="O64" s="48">
        <v>0</v>
      </c>
      <c r="P64" s="3"/>
      <c r="Q64" s="3"/>
      <c r="R64" s="3"/>
      <c r="S64" s="3"/>
      <c r="T64" s="3"/>
      <c r="U64" s="3"/>
      <c r="V64" s="3"/>
      <c r="W64" s="3"/>
    </row>
    <row r="65" spans="1:23" ht="27" customHeight="1" x14ac:dyDescent="0.2">
      <c r="A65" s="128">
        <v>55</v>
      </c>
      <c r="B65" s="16" t="s">
        <v>800</v>
      </c>
      <c r="C65" s="12" t="s">
        <v>24</v>
      </c>
      <c r="D65" s="121">
        <v>71.400000000000006</v>
      </c>
      <c r="E65" s="27">
        <v>250</v>
      </c>
      <c r="F65" s="32">
        <v>31</v>
      </c>
      <c r="G65" s="27">
        <v>0</v>
      </c>
      <c r="H65" s="27">
        <v>601</v>
      </c>
      <c r="I65" s="27">
        <v>0</v>
      </c>
      <c r="J65" s="16">
        <f t="shared" si="2"/>
        <v>3064.4</v>
      </c>
      <c r="K65" s="16">
        <v>131.06</v>
      </c>
      <c r="L65" s="16"/>
      <c r="M65" s="16">
        <f t="shared" si="6"/>
        <v>131.06</v>
      </c>
      <c r="N65" s="16">
        <f t="shared" si="5"/>
        <v>2933.34</v>
      </c>
      <c r="O65" s="48">
        <v>0</v>
      </c>
      <c r="P65" s="3"/>
      <c r="Q65" s="3"/>
      <c r="R65" s="3"/>
      <c r="S65" s="3"/>
      <c r="T65" s="3"/>
      <c r="U65" s="3"/>
      <c r="V65" s="3"/>
      <c r="W65" s="3"/>
    </row>
    <row r="66" spans="1:23" ht="27" customHeight="1" x14ac:dyDescent="0.2">
      <c r="A66" s="128">
        <v>56</v>
      </c>
      <c r="B66" s="12" t="s">
        <v>194</v>
      </c>
      <c r="C66" s="12" t="s">
        <v>185</v>
      </c>
      <c r="D66" s="27">
        <v>78.25</v>
      </c>
      <c r="E66" s="27">
        <v>250</v>
      </c>
      <c r="F66" s="32">
        <v>31</v>
      </c>
      <c r="G66" s="27">
        <v>0</v>
      </c>
      <c r="H66" s="27">
        <f>500</f>
        <v>500</v>
      </c>
      <c r="I66" s="27">
        <v>0</v>
      </c>
      <c r="J66" s="16">
        <f t="shared" si="2"/>
        <v>3175.75</v>
      </c>
      <c r="K66" s="16">
        <f t="shared" ref="K66:K88" si="10">(D66*F66+G66+H66)*4.83%</f>
        <v>141.31</v>
      </c>
      <c r="L66" s="16">
        <f>(J66-E66)*11%</f>
        <v>321.83</v>
      </c>
      <c r="M66" s="16">
        <f t="shared" si="6"/>
        <v>463.14</v>
      </c>
      <c r="N66" s="16">
        <f t="shared" si="5"/>
        <v>2712.61</v>
      </c>
      <c r="O66" s="48">
        <v>0</v>
      </c>
      <c r="P66" s="3"/>
      <c r="Q66" s="3"/>
      <c r="R66" s="3"/>
      <c r="S66" s="3"/>
      <c r="T66" s="3"/>
      <c r="U66" s="3"/>
      <c r="V66" s="3"/>
      <c r="W66" s="3"/>
    </row>
    <row r="67" spans="1:23" ht="27" customHeight="1" x14ac:dyDescent="0.2">
      <c r="A67" s="128">
        <v>57</v>
      </c>
      <c r="B67" s="13" t="s">
        <v>106</v>
      </c>
      <c r="C67" s="13" t="s">
        <v>138</v>
      </c>
      <c r="D67" s="27">
        <v>75.64</v>
      </c>
      <c r="E67" s="27">
        <v>250</v>
      </c>
      <c r="F67" s="32">
        <v>31</v>
      </c>
      <c r="G67" s="27">
        <v>75</v>
      </c>
      <c r="H67" s="27">
        <f>500</f>
        <v>500</v>
      </c>
      <c r="I67" s="27">
        <v>0</v>
      </c>
      <c r="J67" s="16">
        <f t="shared" si="2"/>
        <v>3169.84</v>
      </c>
      <c r="K67" s="16">
        <f t="shared" si="10"/>
        <v>141.03</v>
      </c>
      <c r="L67" s="16">
        <v>0</v>
      </c>
      <c r="M67" s="16">
        <f t="shared" si="6"/>
        <v>141.03</v>
      </c>
      <c r="N67" s="16">
        <f t="shared" si="5"/>
        <v>3028.81</v>
      </c>
      <c r="O67" s="48">
        <v>0</v>
      </c>
      <c r="P67" s="3"/>
      <c r="Q67" s="3"/>
      <c r="R67" s="3"/>
      <c r="S67" s="3"/>
      <c r="T67" s="3"/>
      <c r="U67" s="3"/>
      <c r="V67" s="3"/>
      <c r="W67" s="3"/>
    </row>
    <row r="68" spans="1:23" ht="27" customHeight="1" x14ac:dyDescent="0.2">
      <c r="A68" s="128">
        <v>58</v>
      </c>
      <c r="B68" s="13" t="s">
        <v>433</v>
      </c>
      <c r="C68" s="13" t="s">
        <v>138</v>
      </c>
      <c r="D68" s="27">
        <v>75.64</v>
      </c>
      <c r="E68" s="27">
        <v>250</v>
      </c>
      <c r="F68" s="32">
        <v>31</v>
      </c>
      <c r="G68" s="27">
        <v>0</v>
      </c>
      <c r="H68" s="27">
        <f>500</f>
        <v>500</v>
      </c>
      <c r="I68" s="27">
        <v>0</v>
      </c>
      <c r="J68" s="16">
        <f t="shared" si="2"/>
        <v>3094.84</v>
      </c>
      <c r="K68" s="16">
        <f t="shared" si="10"/>
        <v>137.41</v>
      </c>
      <c r="L68" s="16">
        <v>0</v>
      </c>
      <c r="M68" s="16">
        <f t="shared" si="6"/>
        <v>137.41</v>
      </c>
      <c r="N68" s="16">
        <f t="shared" si="5"/>
        <v>2957.43</v>
      </c>
      <c r="O68" s="48">
        <v>0</v>
      </c>
      <c r="P68" s="3"/>
      <c r="Q68" s="3"/>
      <c r="R68" s="3"/>
      <c r="S68" s="3"/>
      <c r="T68" s="3"/>
      <c r="U68" s="3"/>
      <c r="V68" s="3"/>
      <c r="W68" s="3"/>
    </row>
    <row r="69" spans="1:23" ht="27" customHeight="1" x14ac:dyDescent="0.2">
      <c r="A69" s="128">
        <v>59</v>
      </c>
      <c r="B69" s="13" t="s">
        <v>127</v>
      </c>
      <c r="C69" s="13" t="s">
        <v>138</v>
      </c>
      <c r="D69" s="27">
        <v>75.64</v>
      </c>
      <c r="E69" s="27">
        <v>250</v>
      </c>
      <c r="F69" s="32">
        <v>31</v>
      </c>
      <c r="G69" s="27">
        <v>0</v>
      </c>
      <c r="H69" s="27">
        <f>500</f>
        <v>500</v>
      </c>
      <c r="I69" s="27">
        <v>0</v>
      </c>
      <c r="J69" s="16">
        <f t="shared" si="2"/>
        <v>3094.84</v>
      </c>
      <c r="K69" s="16">
        <f t="shared" si="10"/>
        <v>137.41</v>
      </c>
      <c r="L69" s="16">
        <v>0</v>
      </c>
      <c r="M69" s="16">
        <f t="shared" si="6"/>
        <v>137.41</v>
      </c>
      <c r="N69" s="16">
        <f t="shared" si="5"/>
        <v>2957.43</v>
      </c>
      <c r="O69" s="48">
        <v>0</v>
      </c>
      <c r="P69" s="3"/>
      <c r="Q69" s="3"/>
      <c r="R69" s="3"/>
      <c r="S69" s="3"/>
      <c r="T69" s="3"/>
      <c r="U69" s="3"/>
      <c r="V69" s="3"/>
      <c r="W69" s="3"/>
    </row>
    <row r="70" spans="1:23" ht="27" customHeight="1" x14ac:dyDescent="0.2">
      <c r="A70" s="128">
        <v>60</v>
      </c>
      <c r="B70" s="13" t="s">
        <v>408</v>
      </c>
      <c r="C70" s="13" t="s">
        <v>24</v>
      </c>
      <c r="D70" s="27">
        <v>71.400000000000006</v>
      </c>
      <c r="E70" s="27">
        <v>250</v>
      </c>
      <c r="F70" s="32">
        <v>31</v>
      </c>
      <c r="G70" s="27">
        <v>50</v>
      </c>
      <c r="H70" s="27">
        <v>551</v>
      </c>
      <c r="I70" s="27">
        <v>0</v>
      </c>
      <c r="J70" s="16">
        <f t="shared" si="2"/>
        <v>3064.4</v>
      </c>
      <c r="K70" s="16">
        <f t="shared" si="10"/>
        <v>135.94</v>
      </c>
      <c r="L70" s="16">
        <v>303.97000000000003</v>
      </c>
      <c r="M70" s="16">
        <f t="shared" si="6"/>
        <v>439.91</v>
      </c>
      <c r="N70" s="16">
        <f t="shared" si="5"/>
        <v>2624.49</v>
      </c>
      <c r="O70" s="48">
        <v>0</v>
      </c>
      <c r="P70" s="3"/>
      <c r="Q70" s="3"/>
      <c r="R70" s="3"/>
      <c r="S70" s="3"/>
      <c r="T70" s="3"/>
      <c r="U70" s="3"/>
      <c r="V70" s="3"/>
      <c r="W70" s="3"/>
    </row>
    <row r="71" spans="1:23" ht="27" customHeight="1" x14ac:dyDescent="0.2">
      <c r="A71" s="128">
        <v>61</v>
      </c>
      <c r="B71" s="13" t="s">
        <v>402</v>
      </c>
      <c r="C71" s="13" t="s">
        <v>25</v>
      </c>
      <c r="D71" s="27">
        <v>72.540000000000006</v>
      </c>
      <c r="E71" s="27">
        <v>250</v>
      </c>
      <c r="F71" s="32">
        <v>31</v>
      </c>
      <c r="G71" s="27">
        <v>50</v>
      </c>
      <c r="H71" s="27">
        <v>517</v>
      </c>
      <c r="I71" s="27">
        <v>0</v>
      </c>
      <c r="J71" s="16">
        <f t="shared" si="2"/>
        <v>3065.74</v>
      </c>
      <c r="K71" s="16">
        <f t="shared" si="10"/>
        <v>136</v>
      </c>
      <c r="L71" s="16">
        <v>0</v>
      </c>
      <c r="M71" s="16">
        <f t="shared" si="6"/>
        <v>136</v>
      </c>
      <c r="N71" s="16">
        <f t="shared" si="5"/>
        <v>2929.74</v>
      </c>
      <c r="O71" s="48">
        <v>0</v>
      </c>
      <c r="P71" s="3"/>
      <c r="Q71" s="3"/>
      <c r="R71" s="3"/>
      <c r="S71" s="3"/>
      <c r="T71" s="3"/>
      <c r="U71" s="3"/>
      <c r="V71" s="3"/>
      <c r="W71" s="3"/>
    </row>
    <row r="72" spans="1:23" ht="27" customHeight="1" x14ac:dyDescent="0.2">
      <c r="A72" s="128">
        <v>62</v>
      </c>
      <c r="B72" s="13" t="s">
        <v>110</v>
      </c>
      <c r="C72" s="13" t="s">
        <v>144</v>
      </c>
      <c r="D72" s="27">
        <v>73.59</v>
      </c>
      <c r="E72" s="27">
        <v>250</v>
      </c>
      <c r="F72" s="32">
        <v>31</v>
      </c>
      <c r="G72" s="27">
        <v>50</v>
      </c>
      <c r="H72" s="27">
        <f>500</f>
        <v>500</v>
      </c>
      <c r="I72" s="27">
        <v>0</v>
      </c>
      <c r="J72" s="16">
        <f t="shared" si="2"/>
        <v>3081.29</v>
      </c>
      <c r="K72" s="16">
        <f t="shared" si="10"/>
        <v>136.75</v>
      </c>
      <c r="L72" s="16">
        <v>0</v>
      </c>
      <c r="M72" s="16">
        <f t="shared" si="6"/>
        <v>136.75</v>
      </c>
      <c r="N72" s="16">
        <f t="shared" si="5"/>
        <v>2944.54</v>
      </c>
      <c r="O72" s="48">
        <v>0</v>
      </c>
      <c r="P72" s="3"/>
      <c r="Q72" s="3"/>
      <c r="R72" s="3"/>
      <c r="S72" s="3"/>
      <c r="T72" s="3"/>
      <c r="U72" s="3"/>
      <c r="V72" s="3"/>
      <c r="W72" s="3"/>
    </row>
    <row r="73" spans="1:23" ht="27" customHeight="1" x14ac:dyDescent="0.2">
      <c r="A73" s="128">
        <v>63</v>
      </c>
      <c r="B73" s="13" t="s">
        <v>428</v>
      </c>
      <c r="C73" s="13" t="s">
        <v>24</v>
      </c>
      <c r="D73" s="27">
        <v>71.400000000000006</v>
      </c>
      <c r="E73" s="27">
        <v>250</v>
      </c>
      <c r="F73" s="32">
        <v>31</v>
      </c>
      <c r="G73" s="27">
        <v>50</v>
      </c>
      <c r="H73" s="27">
        <v>551</v>
      </c>
      <c r="I73" s="27">
        <v>0</v>
      </c>
      <c r="J73" s="16">
        <f t="shared" si="2"/>
        <v>3064.4</v>
      </c>
      <c r="K73" s="16">
        <f t="shared" si="10"/>
        <v>135.94</v>
      </c>
      <c r="L73" s="16">
        <v>303.97000000000003</v>
      </c>
      <c r="M73" s="16">
        <f t="shared" si="6"/>
        <v>439.91</v>
      </c>
      <c r="N73" s="16">
        <f t="shared" si="5"/>
        <v>2624.49</v>
      </c>
      <c r="O73" s="48">
        <v>0</v>
      </c>
      <c r="P73" s="3"/>
      <c r="Q73" s="3"/>
      <c r="R73" s="3"/>
      <c r="S73" s="3"/>
      <c r="T73" s="3"/>
      <c r="U73" s="3"/>
      <c r="V73" s="3"/>
      <c r="W73" s="3"/>
    </row>
    <row r="74" spans="1:23" ht="27" customHeight="1" x14ac:dyDescent="0.2">
      <c r="A74" s="128">
        <v>64</v>
      </c>
      <c r="B74" s="13" t="s">
        <v>128</v>
      </c>
      <c r="C74" s="13" t="s">
        <v>24</v>
      </c>
      <c r="D74" s="27">
        <v>71.400000000000006</v>
      </c>
      <c r="E74" s="27">
        <v>250</v>
      </c>
      <c r="F74" s="32">
        <v>31</v>
      </c>
      <c r="G74" s="27">
        <v>0</v>
      </c>
      <c r="H74" s="27">
        <v>601</v>
      </c>
      <c r="I74" s="27">
        <v>0</v>
      </c>
      <c r="J74" s="16">
        <f t="shared" si="2"/>
        <v>3064.4</v>
      </c>
      <c r="K74" s="16">
        <f t="shared" si="10"/>
        <v>135.94</v>
      </c>
      <c r="L74" s="16">
        <v>0</v>
      </c>
      <c r="M74" s="16">
        <f t="shared" si="6"/>
        <v>135.94</v>
      </c>
      <c r="N74" s="16">
        <f t="shared" si="5"/>
        <v>2928.46</v>
      </c>
      <c r="O74" s="48">
        <v>0</v>
      </c>
      <c r="P74" s="3"/>
      <c r="Q74" s="3"/>
      <c r="R74" s="3"/>
      <c r="S74" s="3"/>
      <c r="T74" s="3"/>
      <c r="U74" s="3"/>
      <c r="V74" s="3"/>
      <c r="W74" s="3"/>
    </row>
    <row r="75" spans="1:23" ht="27" customHeight="1" x14ac:dyDescent="0.2">
      <c r="A75" s="128">
        <v>65</v>
      </c>
      <c r="B75" s="13" t="s">
        <v>429</v>
      </c>
      <c r="C75" s="13" t="s">
        <v>24</v>
      </c>
      <c r="D75" s="27">
        <v>71.400000000000006</v>
      </c>
      <c r="E75" s="27">
        <v>250</v>
      </c>
      <c r="F75" s="32">
        <v>31</v>
      </c>
      <c r="G75" s="27">
        <v>75</v>
      </c>
      <c r="H75" s="27">
        <v>526</v>
      </c>
      <c r="I75" s="27">
        <v>0</v>
      </c>
      <c r="J75" s="16">
        <f t="shared" si="2"/>
        <v>3064.4</v>
      </c>
      <c r="K75" s="16">
        <f t="shared" si="10"/>
        <v>135.94</v>
      </c>
      <c r="L75" s="16">
        <v>303.97000000000003</v>
      </c>
      <c r="M75" s="16">
        <f t="shared" si="6"/>
        <v>439.91</v>
      </c>
      <c r="N75" s="16">
        <f t="shared" si="5"/>
        <v>2624.49</v>
      </c>
      <c r="O75" s="48">
        <v>0</v>
      </c>
      <c r="P75" s="3"/>
      <c r="Q75" s="3"/>
      <c r="R75" s="3"/>
      <c r="S75" s="3"/>
      <c r="T75" s="3"/>
      <c r="U75" s="3"/>
      <c r="V75" s="3"/>
      <c r="W75" s="3"/>
    </row>
    <row r="76" spans="1:23" ht="27" customHeight="1" x14ac:dyDescent="0.2">
      <c r="A76" s="128">
        <v>66</v>
      </c>
      <c r="B76" s="12" t="s">
        <v>367</v>
      </c>
      <c r="C76" s="12" t="s">
        <v>25</v>
      </c>
      <c r="D76" s="27">
        <v>72.540000000000006</v>
      </c>
      <c r="E76" s="27">
        <v>250</v>
      </c>
      <c r="F76" s="32">
        <v>31</v>
      </c>
      <c r="G76" s="29"/>
      <c r="H76" s="27">
        <v>567</v>
      </c>
      <c r="I76" s="27">
        <v>0</v>
      </c>
      <c r="J76" s="16">
        <f t="shared" si="2"/>
        <v>3065.74</v>
      </c>
      <c r="K76" s="16">
        <f t="shared" si="10"/>
        <v>136</v>
      </c>
      <c r="L76" s="16">
        <v>0</v>
      </c>
      <c r="M76" s="16">
        <f t="shared" si="6"/>
        <v>136</v>
      </c>
      <c r="N76" s="16">
        <f t="shared" si="5"/>
        <v>2929.74</v>
      </c>
      <c r="O76" s="48">
        <v>0</v>
      </c>
      <c r="P76" s="3"/>
      <c r="Q76" s="3"/>
      <c r="R76" s="3"/>
      <c r="S76" s="3"/>
      <c r="T76" s="3"/>
      <c r="U76" s="3"/>
      <c r="V76" s="3"/>
      <c r="W76" s="3"/>
    </row>
    <row r="77" spans="1:23" ht="27" customHeight="1" x14ac:dyDescent="0.2">
      <c r="A77" s="128">
        <v>67</v>
      </c>
      <c r="B77" s="15" t="s">
        <v>101</v>
      </c>
      <c r="C77" s="13" t="s">
        <v>140</v>
      </c>
      <c r="D77" s="27">
        <v>74.63</v>
      </c>
      <c r="E77" s="27">
        <v>250</v>
      </c>
      <c r="F77" s="32">
        <v>31</v>
      </c>
      <c r="G77" s="27">
        <v>0</v>
      </c>
      <c r="H77" s="27">
        <v>504</v>
      </c>
      <c r="I77" s="27">
        <v>0</v>
      </c>
      <c r="J77" s="16">
        <f t="shared" si="2"/>
        <v>3067.53</v>
      </c>
      <c r="K77" s="16">
        <f t="shared" si="10"/>
        <v>136.09</v>
      </c>
      <c r="L77" s="16">
        <v>0</v>
      </c>
      <c r="M77" s="16">
        <f t="shared" si="6"/>
        <v>136.09</v>
      </c>
      <c r="N77" s="16">
        <f t="shared" ref="N77:N88" si="11">J77-M77</f>
        <v>2931.44</v>
      </c>
      <c r="O77" s="48">
        <v>0</v>
      </c>
      <c r="P77" s="3"/>
      <c r="Q77" s="3"/>
      <c r="R77" s="3"/>
      <c r="S77" s="3"/>
      <c r="T77" s="3"/>
      <c r="U77" s="3"/>
      <c r="V77" s="3"/>
      <c r="W77" s="3"/>
    </row>
    <row r="78" spans="1:23" ht="27" customHeight="1" x14ac:dyDescent="0.2">
      <c r="A78" s="128">
        <v>68</v>
      </c>
      <c r="B78" s="13" t="s">
        <v>432</v>
      </c>
      <c r="C78" s="13" t="s">
        <v>145</v>
      </c>
      <c r="D78" s="27">
        <v>72.540000000000006</v>
      </c>
      <c r="E78" s="27">
        <v>250</v>
      </c>
      <c r="F78" s="32">
        <v>31</v>
      </c>
      <c r="G78" s="27">
        <v>0</v>
      </c>
      <c r="H78" s="27">
        <v>567</v>
      </c>
      <c r="I78" s="27">
        <v>0</v>
      </c>
      <c r="J78" s="16">
        <f t="shared" ref="J78:J88" si="12">(D78*F78)+E78+G78+H78</f>
        <v>3065.74</v>
      </c>
      <c r="K78" s="16">
        <f t="shared" si="10"/>
        <v>136</v>
      </c>
      <c r="L78" s="16">
        <v>0</v>
      </c>
      <c r="M78" s="16">
        <f t="shared" si="6"/>
        <v>136</v>
      </c>
      <c r="N78" s="16">
        <f t="shared" si="11"/>
        <v>2929.74</v>
      </c>
      <c r="O78" s="48">
        <v>0</v>
      </c>
      <c r="P78" s="3"/>
      <c r="Q78" s="3"/>
      <c r="R78" s="3"/>
      <c r="S78" s="3"/>
      <c r="T78" s="3"/>
      <c r="U78" s="3"/>
      <c r="V78" s="3"/>
      <c r="W78" s="3"/>
    </row>
    <row r="79" spans="1:23" ht="27" customHeight="1" x14ac:dyDescent="0.2">
      <c r="A79" s="128">
        <v>69</v>
      </c>
      <c r="B79" s="12" t="s">
        <v>372</v>
      </c>
      <c r="C79" s="12" t="s">
        <v>145</v>
      </c>
      <c r="D79" s="27">
        <v>72.540000000000006</v>
      </c>
      <c r="E79" s="27">
        <v>250</v>
      </c>
      <c r="F79" s="32">
        <v>31</v>
      </c>
      <c r="G79" s="27">
        <v>0</v>
      </c>
      <c r="H79" s="27">
        <v>567</v>
      </c>
      <c r="I79" s="27">
        <v>0</v>
      </c>
      <c r="J79" s="16">
        <f t="shared" si="12"/>
        <v>3065.74</v>
      </c>
      <c r="K79" s="16">
        <f t="shared" si="10"/>
        <v>136</v>
      </c>
      <c r="L79" s="16">
        <f>(J79-E79)*11%</f>
        <v>309.73</v>
      </c>
      <c r="M79" s="16">
        <f t="shared" ref="M79:M88" si="13">K79+L79</f>
        <v>445.73</v>
      </c>
      <c r="N79" s="16">
        <f t="shared" si="11"/>
        <v>2620.0100000000002</v>
      </c>
      <c r="O79" s="48">
        <v>0</v>
      </c>
      <c r="P79" s="3"/>
      <c r="Q79" s="3"/>
      <c r="R79" s="3"/>
      <c r="S79" s="3"/>
      <c r="T79" s="3"/>
      <c r="U79" s="3"/>
      <c r="V79" s="3"/>
      <c r="W79" s="3"/>
    </row>
    <row r="80" spans="1:23" ht="27" customHeight="1" x14ac:dyDescent="0.2">
      <c r="A80" s="128">
        <v>70</v>
      </c>
      <c r="B80" s="13" t="s">
        <v>103</v>
      </c>
      <c r="C80" s="13" t="s">
        <v>138</v>
      </c>
      <c r="D80" s="27">
        <v>75.64</v>
      </c>
      <c r="E80" s="27">
        <v>250</v>
      </c>
      <c r="F80" s="32">
        <v>31</v>
      </c>
      <c r="G80" s="27">
        <v>0</v>
      </c>
      <c r="H80" s="27">
        <f>500</f>
        <v>500</v>
      </c>
      <c r="I80" s="27">
        <v>0</v>
      </c>
      <c r="J80" s="16">
        <f t="shared" si="12"/>
        <v>3094.84</v>
      </c>
      <c r="K80" s="16">
        <f t="shared" si="10"/>
        <v>137.41</v>
      </c>
      <c r="L80" s="16">
        <v>0</v>
      </c>
      <c r="M80" s="16">
        <f t="shared" si="13"/>
        <v>137.41</v>
      </c>
      <c r="N80" s="16">
        <f t="shared" si="11"/>
        <v>2957.43</v>
      </c>
      <c r="O80" s="48">
        <v>0</v>
      </c>
      <c r="P80" s="3"/>
      <c r="Q80" s="3"/>
      <c r="R80" s="3"/>
      <c r="S80" s="3"/>
      <c r="T80" s="3"/>
      <c r="U80" s="3"/>
      <c r="V80" s="3"/>
      <c r="W80" s="3"/>
    </row>
    <row r="81" spans="1:23" ht="27" customHeight="1" x14ac:dyDescent="0.2">
      <c r="A81" s="128">
        <v>71</v>
      </c>
      <c r="B81" s="13" t="s">
        <v>55</v>
      </c>
      <c r="C81" s="13" t="s">
        <v>140</v>
      </c>
      <c r="D81" s="27">
        <v>74.63</v>
      </c>
      <c r="E81" s="27">
        <v>250</v>
      </c>
      <c r="F81" s="32">
        <v>31</v>
      </c>
      <c r="G81" s="27">
        <v>50</v>
      </c>
      <c r="H81" s="27">
        <v>500</v>
      </c>
      <c r="I81" s="27">
        <v>0</v>
      </c>
      <c r="J81" s="16">
        <f t="shared" si="12"/>
        <v>3113.53</v>
      </c>
      <c r="K81" s="16">
        <f t="shared" si="10"/>
        <v>138.31</v>
      </c>
      <c r="L81" s="16">
        <v>0</v>
      </c>
      <c r="M81" s="16">
        <f t="shared" si="13"/>
        <v>138.31</v>
      </c>
      <c r="N81" s="16">
        <f t="shared" si="11"/>
        <v>2975.22</v>
      </c>
      <c r="O81" s="48">
        <v>0</v>
      </c>
      <c r="P81" s="3"/>
      <c r="Q81" s="3"/>
      <c r="R81" s="3"/>
      <c r="S81" s="3"/>
      <c r="T81" s="3"/>
      <c r="U81" s="3"/>
      <c r="V81" s="3"/>
      <c r="W81" s="3"/>
    </row>
    <row r="82" spans="1:23" ht="27" customHeight="1" x14ac:dyDescent="0.2">
      <c r="A82" s="128">
        <v>72</v>
      </c>
      <c r="B82" s="13" t="s">
        <v>114</v>
      </c>
      <c r="C82" s="13" t="s">
        <v>138</v>
      </c>
      <c r="D82" s="27">
        <v>75.64</v>
      </c>
      <c r="E82" s="27">
        <v>250</v>
      </c>
      <c r="F82" s="32">
        <v>31</v>
      </c>
      <c r="G82" s="27">
        <v>50</v>
      </c>
      <c r="H82" s="27">
        <f>500</f>
        <v>500</v>
      </c>
      <c r="I82" s="27">
        <v>0</v>
      </c>
      <c r="J82" s="16">
        <f t="shared" si="12"/>
        <v>3144.84</v>
      </c>
      <c r="K82" s="16">
        <f t="shared" si="10"/>
        <v>139.82</v>
      </c>
      <c r="L82" s="16">
        <v>0</v>
      </c>
      <c r="M82" s="16">
        <f t="shared" si="13"/>
        <v>139.82</v>
      </c>
      <c r="N82" s="16">
        <f t="shared" si="11"/>
        <v>3005.02</v>
      </c>
      <c r="O82" s="48">
        <v>0</v>
      </c>
      <c r="P82" s="3"/>
      <c r="Q82" s="3"/>
      <c r="R82" s="3"/>
      <c r="S82" s="3"/>
      <c r="T82" s="3"/>
      <c r="U82" s="3"/>
      <c r="V82" s="3"/>
      <c r="W82" s="3"/>
    </row>
    <row r="83" spans="1:23" ht="27" customHeight="1" x14ac:dyDescent="0.2">
      <c r="A83" s="128">
        <v>73</v>
      </c>
      <c r="B83" s="15" t="s">
        <v>190</v>
      </c>
      <c r="C83" s="13" t="s">
        <v>138</v>
      </c>
      <c r="D83" s="27">
        <v>75.64</v>
      </c>
      <c r="E83" s="27">
        <v>250</v>
      </c>
      <c r="F83" s="32">
        <v>31</v>
      </c>
      <c r="G83" s="27">
        <v>0</v>
      </c>
      <c r="H83" s="27">
        <f>500</f>
        <v>500</v>
      </c>
      <c r="I83" s="27">
        <v>0</v>
      </c>
      <c r="J83" s="16">
        <f t="shared" si="12"/>
        <v>3094.84</v>
      </c>
      <c r="K83" s="16">
        <f t="shared" si="10"/>
        <v>137.41</v>
      </c>
      <c r="L83" s="16">
        <v>0</v>
      </c>
      <c r="M83" s="16">
        <f t="shared" si="13"/>
        <v>137.41</v>
      </c>
      <c r="N83" s="16">
        <f t="shared" si="11"/>
        <v>2957.43</v>
      </c>
      <c r="O83" s="48">
        <v>0</v>
      </c>
      <c r="P83" s="3"/>
      <c r="Q83" s="3"/>
      <c r="R83" s="3"/>
      <c r="S83" s="3"/>
      <c r="T83" s="3"/>
      <c r="U83" s="3"/>
      <c r="V83" s="3"/>
      <c r="W83" s="3"/>
    </row>
    <row r="84" spans="1:23" ht="27" customHeight="1" x14ac:dyDescent="0.2">
      <c r="A84" s="128">
        <v>74</v>
      </c>
      <c r="B84" s="13" t="s">
        <v>430</v>
      </c>
      <c r="C84" s="13" t="s">
        <v>139</v>
      </c>
      <c r="D84" s="27">
        <v>74.63</v>
      </c>
      <c r="E84" s="27">
        <v>250</v>
      </c>
      <c r="F84" s="32">
        <v>31</v>
      </c>
      <c r="G84" s="27">
        <v>0</v>
      </c>
      <c r="H84" s="27">
        <v>504</v>
      </c>
      <c r="I84" s="27">
        <v>0</v>
      </c>
      <c r="J84" s="16">
        <f t="shared" si="12"/>
        <v>3067.53</v>
      </c>
      <c r="K84" s="16">
        <f t="shared" si="10"/>
        <v>136.09</v>
      </c>
      <c r="L84" s="16">
        <v>0</v>
      </c>
      <c r="M84" s="16">
        <f t="shared" si="13"/>
        <v>136.09</v>
      </c>
      <c r="N84" s="16">
        <f t="shared" si="11"/>
        <v>2931.44</v>
      </c>
      <c r="O84" s="48">
        <v>0</v>
      </c>
      <c r="P84" s="3"/>
      <c r="Q84" s="3"/>
      <c r="R84" s="3"/>
      <c r="S84" s="3"/>
      <c r="T84" s="3"/>
      <c r="U84" s="3"/>
      <c r="V84" s="3"/>
      <c r="W84" s="3"/>
    </row>
    <row r="85" spans="1:23" ht="27" customHeight="1" x14ac:dyDescent="0.2">
      <c r="A85" s="128">
        <v>75</v>
      </c>
      <c r="B85" s="13" t="s">
        <v>129</v>
      </c>
      <c r="C85" s="13" t="s">
        <v>24</v>
      </c>
      <c r="D85" s="27">
        <v>71.400000000000006</v>
      </c>
      <c r="E85" s="27">
        <v>250</v>
      </c>
      <c r="F85" s="32">
        <v>31</v>
      </c>
      <c r="G85" s="27">
        <v>0</v>
      </c>
      <c r="H85" s="27">
        <v>601</v>
      </c>
      <c r="I85" s="27">
        <v>0</v>
      </c>
      <c r="J85" s="16">
        <f t="shared" si="12"/>
        <v>3064.4</v>
      </c>
      <c r="K85" s="16">
        <f t="shared" si="10"/>
        <v>135.94</v>
      </c>
      <c r="L85" s="16">
        <v>0</v>
      </c>
      <c r="M85" s="16">
        <f t="shared" si="13"/>
        <v>135.94</v>
      </c>
      <c r="N85" s="16">
        <f t="shared" si="11"/>
        <v>2928.46</v>
      </c>
      <c r="O85" s="48">
        <v>0</v>
      </c>
      <c r="P85" s="3"/>
      <c r="Q85" s="3"/>
      <c r="R85" s="3"/>
      <c r="S85" s="3"/>
      <c r="T85" s="3"/>
      <c r="U85" s="3"/>
      <c r="V85" s="3"/>
      <c r="W85" s="3"/>
    </row>
    <row r="86" spans="1:23" ht="27" customHeight="1" x14ac:dyDescent="0.2">
      <c r="A86" s="128">
        <v>76</v>
      </c>
      <c r="B86" s="13" t="s">
        <v>417</v>
      </c>
      <c r="C86" s="13" t="s">
        <v>138</v>
      </c>
      <c r="D86" s="27">
        <v>75.64</v>
      </c>
      <c r="E86" s="27">
        <v>250</v>
      </c>
      <c r="F86" s="32">
        <v>31</v>
      </c>
      <c r="G86" s="27">
        <f>35</f>
        <v>35</v>
      </c>
      <c r="H86" s="27">
        <f>500</f>
        <v>500</v>
      </c>
      <c r="I86" s="27">
        <v>0</v>
      </c>
      <c r="J86" s="16">
        <f t="shared" si="12"/>
        <v>3129.84</v>
      </c>
      <c r="K86" s="16">
        <f t="shared" si="10"/>
        <v>139.1</v>
      </c>
      <c r="L86" s="16">
        <v>0</v>
      </c>
      <c r="M86" s="16">
        <f t="shared" si="13"/>
        <v>139.1</v>
      </c>
      <c r="N86" s="16">
        <f t="shared" si="11"/>
        <v>2990.74</v>
      </c>
      <c r="O86" s="48">
        <v>0</v>
      </c>
      <c r="P86" s="3"/>
      <c r="Q86" s="3"/>
      <c r="R86" s="3"/>
      <c r="S86" s="3"/>
      <c r="T86" s="3"/>
      <c r="U86" s="3"/>
      <c r="V86" s="3"/>
      <c r="W86" s="3"/>
    </row>
    <row r="87" spans="1:23" ht="27" customHeight="1" x14ac:dyDescent="0.2">
      <c r="A87" s="128">
        <v>77</v>
      </c>
      <c r="B87" s="25" t="s">
        <v>822</v>
      </c>
      <c r="C87" s="30" t="s">
        <v>835</v>
      </c>
      <c r="D87" s="27">
        <v>78.25</v>
      </c>
      <c r="E87" s="27">
        <v>250</v>
      </c>
      <c r="F87" s="32">
        <v>31</v>
      </c>
      <c r="G87" s="27">
        <v>0</v>
      </c>
      <c r="H87" s="27">
        <v>395</v>
      </c>
      <c r="I87" s="27">
        <v>0</v>
      </c>
      <c r="J87" s="16">
        <f t="shared" si="12"/>
        <v>3070.75</v>
      </c>
      <c r="K87" s="16">
        <f t="shared" si="10"/>
        <v>136.24</v>
      </c>
      <c r="L87" s="16">
        <v>0</v>
      </c>
      <c r="M87" s="16">
        <f t="shared" si="13"/>
        <v>136.24</v>
      </c>
      <c r="N87" s="16">
        <f t="shared" si="11"/>
        <v>2934.51</v>
      </c>
      <c r="O87" s="48">
        <f>210+1470+1050+1050</f>
        <v>3780</v>
      </c>
      <c r="P87" s="3"/>
      <c r="Q87" s="3"/>
      <c r="R87" s="3"/>
      <c r="S87" s="3"/>
      <c r="T87" s="3"/>
      <c r="U87" s="3"/>
      <c r="V87" s="3"/>
      <c r="W87" s="3"/>
    </row>
    <row r="88" spans="1:23" ht="27" customHeight="1" thickBot="1" x14ac:dyDescent="0.25">
      <c r="A88" s="128">
        <v>78</v>
      </c>
      <c r="B88" s="49" t="s">
        <v>403</v>
      </c>
      <c r="C88" s="50" t="s">
        <v>140</v>
      </c>
      <c r="D88" s="51">
        <v>74.63</v>
      </c>
      <c r="E88" s="51">
        <v>250</v>
      </c>
      <c r="F88" s="32">
        <v>31</v>
      </c>
      <c r="G88" s="51">
        <v>0</v>
      </c>
      <c r="H88" s="51">
        <f>504</f>
        <v>504</v>
      </c>
      <c r="I88" s="51">
        <v>0</v>
      </c>
      <c r="J88" s="16">
        <f t="shared" si="12"/>
        <v>3067.53</v>
      </c>
      <c r="K88" s="52">
        <f t="shared" si="10"/>
        <v>136.09</v>
      </c>
      <c r="L88" s="52">
        <v>0</v>
      </c>
      <c r="M88" s="52">
        <f t="shared" si="13"/>
        <v>136.09</v>
      </c>
      <c r="N88" s="52">
        <f t="shared" si="11"/>
        <v>2931.44</v>
      </c>
      <c r="O88" s="53">
        <v>0</v>
      </c>
      <c r="P88" s="3"/>
      <c r="Q88" s="3"/>
      <c r="R88" s="3"/>
      <c r="S88" s="3"/>
      <c r="T88" s="3"/>
      <c r="U88" s="3"/>
      <c r="V88" s="3"/>
      <c r="W88" s="3"/>
    </row>
    <row r="89" spans="1:23" ht="13.5" thickBot="1" x14ac:dyDescent="0.25">
      <c r="A89" s="183" t="s">
        <v>363</v>
      </c>
      <c r="B89" s="184"/>
      <c r="C89" s="184"/>
      <c r="D89" s="184"/>
      <c r="E89" s="55"/>
      <c r="F89" s="56"/>
      <c r="G89" s="46">
        <f t="shared" ref="G89:N89" si="14">SUM(G11:G88)</f>
        <v>1545</v>
      </c>
      <c r="H89" s="46">
        <f t="shared" si="14"/>
        <v>38342</v>
      </c>
      <c r="I89" s="46">
        <f t="shared" si="14"/>
        <v>0</v>
      </c>
      <c r="J89" s="46">
        <f t="shared" si="14"/>
        <v>238359.92</v>
      </c>
      <c r="K89" s="46">
        <f t="shared" si="14"/>
        <v>10537.18</v>
      </c>
      <c r="L89" s="46">
        <f t="shared" si="14"/>
        <v>5313.09</v>
      </c>
      <c r="M89" s="46">
        <f t="shared" si="14"/>
        <v>15850.27</v>
      </c>
      <c r="N89" s="46">
        <f t="shared" si="14"/>
        <v>222509.65</v>
      </c>
      <c r="O89" s="47">
        <f>SUM(O11:O88)</f>
        <v>3780</v>
      </c>
      <c r="P89" s="3"/>
      <c r="Q89" s="3"/>
      <c r="R89" s="3"/>
      <c r="S89" s="3"/>
      <c r="T89" s="3"/>
      <c r="U89" s="3"/>
      <c r="V89" s="3"/>
      <c r="W89" s="3"/>
    </row>
    <row r="90" spans="1:23" x14ac:dyDescent="0.2">
      <c r="A9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">
      <c r="A9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">
      <c r="A9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2">
      <c r="A9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">
      <c r="A9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">
      <c r="A9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2">
      <c r="A9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">
      <c r="A9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">
      <c r="A9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">
      <c r="A9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">
      <c r="A10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">
      <c r="A10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2">
      <c r="A10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">
      <c r="A10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2">
      <c r="A10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2">
      <c r="A10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">
      <c r="A10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">
      <c r="A10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">
      <c r="A10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">
      <c r="A109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2">
      <c r="A11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2">
      <c r="A11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2">
      <c r="A11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2">
      <c r="A11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2">
      <c r="A11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2">
      <c r="A11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2">
      <c r="A11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">
      <c r="A11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">
      <c r="A11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2">
      <c r="A11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2">
      <c r="A12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2">
      <c r="A12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2">
      <c r="A12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2">
      <c r="A12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2">
      <c r="A12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2">
      <c r="A12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">
      <c r="A12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">
      <c r="A12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2">
      <c r="A12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2">
      <c r="A12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2">
      <c r="A13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2">
      <c r="A131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2">
      <c r="A13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2">
      <c r="A13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2">
      <c r="A13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">
      <c r="A13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">
      <c r="A13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2">
      <c r="A13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">
      <c r="A13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">
      <c r="A13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2">
      <c r="A14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2">
      <c r="A14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2">
      <c r="A14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2">
      <c r="A14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">
      <c r="A14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">
      <c r="A14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">
      <c r="A14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2">
      <c r="A14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2">
      <c r="A14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">
      <c r="A14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">
      <c r="A15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">
      <c r="A15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">
      <c r="A15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">
      <c r="A15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">
      <c r="A15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">
      <c r="A15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">
      <c r="A15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">
      <c r="A15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">
      <c r="A15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">
      <c r="A15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">
      <c r="A16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2">
      <c r="A16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2">
      <c r="A1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2">
      <c r="A16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">
      <c r="A16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">
      <c r="A16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2">
      <c r="A16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2">
      <c r="A16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2">
      <c r="A16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2">
      <c r="A16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2">
      <c r="A17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2">
      <c r="A17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2">
      <c r="A17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">
      <c r="A17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">
      <c r="A17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x14ac:dyDescent="0.2">
      <c r="A17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x14ac:dyDescent="0.2">
      <c r="A17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2">
      <c r="A17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2">
      <c r="A17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2">
      <c r="A17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2">
      <c r="A18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2">
      <c r="A18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">
      <c r="A18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">
      <c r="A18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2">
      <c r="A18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2">
      <c r="A185"/>
      <c r="W185" s="3"/>
    </row>
    <row r="186" spans="1:23" x14ac:dyDescent="0.2">
      <c r="A186"/>
      <c r="W186" s="3"/>
    </row>
    <row r="187" spans="1:23" x14ac:dyDescent="0.2">
      <c r="A187"/>
      <c r="W187" s="3"/>
    </row>
    <row r="188" spans="1:23" x14ac:dyDescent="0.2">
      <c r="A188"/>
      <c r="W188" s="3"/>
    </row>
    <row r="189" spans="1:23" x14ac:dyDescent="0.2">
      <c r="A189"/>
      <c r="W189" s="3"/>
    </row>
    <row r="190" spans="1:23" x14ac:dyDescent="0.2">
      <c r="A190"/>
      <c r="W190" s="3"/>
    </row>
    <row r="191" spans="1:23" x14ac:dyDescent="0.2">
      <c r="A191"/>
      <c r="W191" s="3"/>
    </row>
    <row r="192" spans="1:23" x14ac:dyDescent="0.2">
      <c r="A192"/>
      <c r="W192" s="3"/>
    </row>
    <row r="193" spans="1:23" x14ac:dyDescent="0.2">
      <c r="A193"/>
      <c r="W193" s="3"/>
    </row>
    <row r="194" spans="1:23" x14ac:dyDescent="0.2">
      <c r="A194"/>
      <c r="W194" s="3"/>
    </row>
    <row r="195" spans="1:23" x14ac:dyDescent="0.2">
      <c r="A195"/>
      <c r="W195" s="3"/>
    </row>
    <row r="196" spans="1:23" x14ac:dyDescent="0.2">
      <c r="A196"/>
      <c r="W196" s="3"/>
    </row>
    <row r="197" spans="1:23" x14ac:dyDescent="0.2">
      <c r="A197"/>
      <c r="W197" s="3"/>
    </row>
    <row r="198" spans="1:23" x14ac:dyDescent="0.2">
      <c r="A198"/>
      <c r="W198" s="3"/>
    </row>
    <row r="199" spans="1:23" x14ac:dyDescent="0.2">
      <c r="A199"/>
      <c r="W199" s="3"/>
    </row>
    <row r="200" spans="1:23" x14ac:dyDescent="0.2">
      <c r="A200"/>
      <c r="W200" s="3"/>
    </row>
    <row r="201" spans="1:23" x14ac:dyDescent="0.2">
      <c r="A201"/>
      <c r="W201" s="3"/>
    </row>
    <row r="202" spans="1:23" x14ac:dyDescent="0.2">
      <c r="A202"/>
      <c r="W202" s="3"/>
    </row>
    <row r="203" spans="1:23" x14ac:dyDescent="0.2">
      <c r="A203"/>
      <c r="W203" s="3"/>
    </row>
    <row r="204" spans="1:23" x14ac:dyDescent="0.2">
      <c r="A204"/>
      <c r="W204" s="3"/>
    </row>
    <row r="205" spans="1:23" x14ac:dyDescent="0.2">
      <c r="A205"/>
      <c r="W205" s="3"/>
    </row>
    <row r="206" spans="1:23" x14ac:dyDescent="0.2">
      <c r="A206"/>
      <c r="W206" s="3"/>
    </row>
    <row r="207" spans="1:23" x14ac:dyDescent="0.2">
      <c r="A207"/>
      <c r="W207" s="3"/>
    </row>
    <row r="208" spans="1:23" x14ac:dyDescent="0.2">
      <c r="A208"/>
      <c r="W208" s="3"/>
    </row>
    <row r="209" spans="1:23" x14ac:dyDescent="0.2">
      <c r="A209"/>
      <c r="W209" s="3"/>
    </row>
    <row r="210" spans="1:23" x14ac:dyDescent="0.2">
      <c r="A210"/>
      <c r="W210" s="3"/>
    </row>
    <row r="211" spans="1:23" x14ac:dyDescent="0.2">
      <c r="A211"/>
      <c r="W211" s="3"/>
    </row>
    <row r="212" spans="1:23" x14ac:dyDescent="0.2">
      <c r="A212"/>
      <c r="W212" s="3"/>
    </row>
    <row r="213" spans="1:23" x14ac:dyDescent="0.2">
      <c r="A213"/>
      <c r="W213" s="3"/>
    </row>
    <row r="214" spans="1:23" x14ac:dyDescent="0.2">
      <c r="A214"/>
      <c r="W214" s="3"/>
    </row>
    <row r="215" spans="1:23" x14ac:dyDescent="0.2">
      <c r="A215"/>
      <c r="W215" s="3"/>
    </row>
    <row r="216" spans="1:23" x14ac:dyDescent="0.2">
      <c r="A216"/>
      <c r="W216" s="3"/>
    </row>
    <row r="217" spans="1:23" x14ac:dyDescent="0.2">
      <c r="A217"/>
      <c r="W217" s="3"/>
    </row>
    <row r="218" spans="1:23" x14ac:dyDescent="0.2">
      <c r="A218"/>
      <c r="W218" s="3"/>
    </row>
    <row r="219" spans="1:23" x14ac:dyDescent="0.2">
      <c r="A219"/>
      <c r="W219" s="3"/>
    </row>
    <row r="220" spans="1:23" x14ac:dyDescent="0.2">
      <c r="A220"/>
      <c r="W220" s="3"/>
    </row>
  </sheetData>
  <mergeCells count="15">
    <mergeCell ref="A2:O2"/>
    <mergeCell ref="A3:O3"/>
    <mergeCell ref="A4:O4"/>
    <mergeCell ref="A5:O5"/>
    <mergeCell ref="A6:O6"/>
    <mergeCell ref="A7:O7"/>
    <mergeCell ref="D9:D10"/>
    <mergeCell ref="E9:J9"/>
    <mergeCell ref="K9:M9"/>
    <mergeCell ref="N9:N10"/>
    <mergeCell ref="A89:D89"/>
    <mergeCell ref="O9:O10"/>
    <mergeCell ref="A9:A10"/>
    <mergeCell ref="B9:B10"/>
    <mergeCell ref="C9:C10"/>
  </mergeCells>
  <pageMargins left="0.70866141732283472" right="0.70866141732283472" top="1.299212598425197" bottom="0.74803149606299213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C20" sqref="C20"/>
    </sheetView>
  </sheetViews>
  <sheetFormatPr baseColWidth="10" defaultRowHeight="12.75" x14ac:dyDescent="0.2"/>
  <cols>
    <col min="2" max="2" width="35.7109375" customWidth="1"/>
    <col min="3" max="3" width="39.140625" customWidth="1"/>
    <col min="4" max="4" width="29.85546875" customWidth="1"/>
    <col min="5" max="5" width="23.5703125" customWidth="1"/>
  </cols>
  <sheetData>
    <row r="2" spans="1:5" x14ac:dyDescent="0.2">
      <c r="A2" s="193" t="s">
        <v>1077</v>
      </c>
      <c r="B2" s="193"/>
      <c r="C2" s="193"/>
      <c r="D2" s="193"/>
      <c r="E2" s="193"/>
    </row>
    <row r="3" spans="1:5" x14ac:dyDescent="0.2">
      <c r="A3" s="181" t="s">
        <v>1078</v>
      </c>
      <c r="B3" s="181"/>
      <c r="C3" s="181"/>
      <c r="D3" s="181"/>
      <c r="E3" s="181"/>
    </row>
    <row r="4" spans="1:5" x14ac:dyDescent="0.2">
      <c r="A4" s="181" t="s">
        <v>1079</v>
      </c>
      <c r="B4" s="181"/>
      <c r="C4" s="181"/>
      <c r="D4" s="181"/>
      <c r="E4" s="181"/>
    </row>
    <row r="5" spans="1:5" x14ac:dyDescent="0.2">
      <c r="A5" s="153"/>
      <c r="B5" s="181" t="s">
        <v>1080</v>
      </c>
      <c r="C5" s="181"/>
      <c r="D5" s="181"/>
      <c r="E5" s="181"/>
    </row>
    <row r="6" spans="1:5" x14ac:dyDescent="0.2">
      <c r="A6" s="153"/>
      <c r="B6" s="181" t="s">
        <v>1081</v>
      </c>
      <c r="C6" s="181"/>
      <c r="D6" s="181"/>
      <c r="E6" s="181"/>
    </row>
    <row r="7" spans="1:5" x14ac:dyDescent="0.2">
      <c r="A7" s="194" t="s">
        <v>1082</v>
      </c>
      <c r="B7" s="194"/>
      <c r="C7" s="194"/>
      <c r="D7" s="194"/>
      <c r="E7" s="194"/>
    </row>
    <row r="8" spans="1:5" ht="13.5" thickBot="1" x14ac:dyDescent="0.25"/>
    <row r="9" spans="1:5" ht="13.5" thickBot="1" x14ac:dyDescent="0.25">
      <c r="A9" s="195" t="s">
        <v>7</v>
      </c>
      <c r="B9" s="196" t="s">
        <v>11</v>
      </c>
      <c r="C9" s="196" t="s">
        <v>1083</v>
      </c>
      <c r="D9" s="197" t="s">
        <v>12</v>
      </c>
      <c r="E9" s="198" t="s">
        <v>1084</v>
      </c>
    </row>
    <row r="10" spans="1:5" x14ac:dyDescent="0.2">
      <c r="A10" s="199"/>
      <c r="B10" s="200"/>
      <c r="C10" s="201"/>
      <c r="D10" s="202"/>
      <c r="E10" s="203"/>
    </row>
    <row r="11" spans="1:5" x14ac:dyDescent="0.2">
      <c r="A11" s="204">
        <v>1</v>
      </c>
      <c r="B11" s="205" t="s">
        <v>1085</v>
      </c>
      <c r="C11" s="206" t="s">
        <v>1086</v>
      </c>
      <c r="D11" s="212" t="s">
        <v>364</v>
      </c>
      <c r="E11" s="207">
        <v>15000</v>
      </c>
    </row>
    <row r="12" spans="1:5" ht="15" x14ac:dyDescent="0.2">
      <c r="A12" s="208">
        <v>2</v>
      </c>
      <c r="B12" s="209" t="s">
        <v>1087</v>
      </c>
      <c r="C12" s="209" t="s">
        <v>1088</v>
      </c>
      <c r="D12" s="210" t="s">
        <v>818</v>
      </c>
      <c r="E12" s="211">
        <v>3780</v>
      </c>
    </row>
    <row r="13" spans="1:5" ht="15" x14ac:dyDescent="0.2">
      <c r="A13" s="208">
        <v>3</v>
      </c>
      <c r="B13" s="209" t="s">
        <v>1089</v>
      </c>
      <c r="C13" s="209" t="s">
        <v>1088</v>
      </c>
      <c r="D13" s="210" t="s">
        <v>818</v>
      </c>
      <c r="E13" s="211">
        <v>2745</v>
      </c>
    </row>
    <row r="14" spans="1:5" ht="15" x14ac:dyDescent="0.2">
      <c r="A14" s="208">
        <v>4</v>
      </c>
      <c r="B14" s="209" t="s">
        <v>1090</v>
      </c>
      <c r="C14" s="209" t="s">
        <v>1088</v>
      </c>
      <c r="D14" s="210" t="s">
        <v>818</v>
      </c>
      <c r="E14" s="211">
        <v>13200</v>
      </c>
    </row>
  </sheetData>
  <mergeCells count="11">
    <mergeCell ref="A9:A10"/>
    <mergeCell ref="B9:B10"/>
    <mergeCell ref="C9:C10"/>
    <mergeCell ref="D9:D10"/>
    <mergeCell ref="E9:E10"/>
    <mergeCell ref="A2:E2"/>
    <mergeCell ref="A3:E3"/>
    <mergeCell ref="A4:E4"/>
    <mergeCell ref="B5:E5"/>
    <mergeCell ref="B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  </vt:lpstr>
      <vt:lpstr>RENGLON 031 </vt:lpstr>
      <vt:lpstr>SUBGRUPO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ANA PAOLA</dc:creator>
  <cp:lastModifiedBy>amperez</cp:lastModifiedBy>
  <cp:lastPrinted>2019-04-05T18:29:32Z</cp:lastPrinted>
  <dcterms:created xsi:type="dcterms:W3CDTF">2013-11-29T23:12:09Z</dcterms:created>
  <dcterms:modified xsi:type="dcterms:W3CDTF">2019-04-10T20:55:05Z</dcterms:modified>
</cp:coreProperties>
</file>