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rog julio" sheetId="1" r:id="rId1"/>
  </sheets>
  <definedNames>
    <definedName name="_xlnm.Print_Area" localSheetId="0">'Reprog julio'!$A$1:$R$416</definedName>
    <definedName name="_xlnm.Print_Titles" localSheetId="0">'Reprog julio'!$10:$11</definedName>
  </definedNames>
  <calcPr fullCalcOnLoad="1"/>
</workbook>
</file>

<file path=xl/sharedStrings.xml><?xml version="1.0" encoding="utf-8"?>
<sst xmlns="http://schemas.openxmlformats.org/spreadsheetml/2006/main" count="389" uniqueCount="144">
  <si>
    <t>Salario Diario</t>
  </si>
  <si>
    <t xml:space="preserve"> Total Anual</t>
  </si>
  <si>
    <t>puestos</t>
  </si>
  <si>
    <t>DIRECCION Y COORDINACION</t>
  </si>
  <si>
    <t>INVESTIGACION, CATALOGACION Y REGISTRO</t>
  </si>
  <si>
    <t>MINISTERIO DE CULTURA Y DEPORTES</t>
  </si>
  <si>
    <t>Jornales al Año</t>
  </si>
  <si>
    <t>Conserje</t>
  </si>
  <si>
    <t>Pendiente de Programar</t>
  </si>
  <si>
    <t>Mensajero II</t>
  </si>
  <si>
    <t>Auxiliar Misceláneo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</si>
  <si>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</si>
  <si>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</si>
  <si>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</si>
  <si>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</si>
  <si>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</si>
  <si>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</si>
  <si>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</si>
  <si>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</si>
  <si>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</si>
  <si>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</si>
  <si>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</si>
  <si>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</si>
  <si>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</t>
  </si>
  <si>
    <t>UNIDAD DE ADMINISTRACION FINANCIERA</t>
  </si>
  <si>
    <t>DIRECCION:  Dirección General del Patrimonio Cultural y Natural</t>
  </si>
  <si>
    <t>TOTAL</t>
  </si>
  <si>
    <t>SERVICIOS DE ADMINISTRACION DE PARQUES, SITIOS</t>
  </si>
  <si>
    <t>SERVICIOS DE ADMINISTRACION DE MUSEOS</t>
  </si>
  <si>
    <t>SERVICIOS DE ADMINISTRACION DEL PATRIMONIO</t>
  </si>
  <si>
    <t>BIBLIOGRAFICO Y DOCUMENTAL</t>
  </si>
  <si>
    <t>ACTIVIDAD</t>
  </si>
  <si>
    <t>ADMINISTRACION DEL PARQUE NACIONAL TIKAL</t>
  </si>
  <si>
    <t>SERVICIOS DE CONSERVACION Y RESTAURACION DE</t>
  </si>
  <si>
    <t>SERVICIOS DE CONSERVACION Y RESCATE DE SITIOS</t>
  </si>
  <si>
    <t>ARQUEOLOGICOS PREHISPANICOS</t>
  </si>
  <si>
    <t>BIENES CULTURALES MUEBLES E INMUEBLES</t>
  </si>
  <si>
    <t>Hemeroteca Nacional</t>
  </si>
  <si>
    <t>Biblioteca Nacional de Guatemala</t>
  </si>
  <si>
    <t>Departamento de Conservación y Restauración de Bienes</t>
  </si>
  <si>
    <t>Inmuebles Culturales</t>
  </si>
  <si>
    <t>Centro de Restauración de Bienes Muebles</t>
  </si>
  <si>
    <t>Museo Nacional de Historia</t>
  </si>
  <si>
    <t>Museo Nacional de Arqueología y Etnología</t>
  </si>
  <si>
    <t>Museo Nacional de Historia Natural</t>
  </si>
  <si>
    <t>Museo Nacional de Arte Moderno</t>
  </si>
  <si>
    <t>Palacio Nacional de la Cultura</t>
  </si>
  <si>
    <t>Parque Yaxhá-Nakum-Naranjo</t>
  </si>
  <si>
    <t>Parque Arqueológico Takalik Abaj</t>
  </si>
  <si>
    <t>Sitio Arqueológico Kaminal Juyú</t>
  </si>
  <si>
    <t>Departamento de Monumentos Prehispánicos y Coloniales</t>
  </si>
  <si>
    <t>Sitio Arqueológico Mixco Viejo</t>
  </si>
  <si>
    <t>Sitio Arqueológico Iximché</t>
  </si>
  <si>
    <t>Sitio Arqueológico Zaculeu</t>
  </si>
  <si>
    <t>Sitio Arqueológico Gumarkaaj</t>
  </si>
  <si>
    <t>Parque Arqueológico Quiriguá</t>
  </si>
  <si>
    <t>Peón Vigilante IV</t>
  </si>
  <si>
    <t>Peón Vigilante V</t>
  </si>
  <si>
    <t>Piloto I de Vehículos Livianos</t>
  </si>
  <si>
    <t>Albañil I</t>
  </si>
  <si>
    <t>Bodeguero IV</t>
  </si>
  <si>
    <t>Auxiliar de Bodega</t>
  </si>
  <si>
    <t>Auxiliar de Topografía III</t>
  </si>
  <si>
    <t>Bodeguero II</t>
  </si>
  <si>
    <t>Caporal</t>
  </si>
  <si>
    <t>Conductor de Vehículos Livianos</t>
  </si>
  <si>
    <t>Maestro de Obras</t>
  </si>
  <si>
    <t>Peón</t>
  </si>
  <si>
    <t>Peón Vigilante II</t>
  </si>
  <si>
    <t>Peón Vivandera</t>
  </si>
  <si>
    <t>Perforador de Suelos</t>
  </si>
  <si>
    <t>Albañil II</t>
  </si>
  <si>
    <t>Albañil III</t>
  </si>
  <si>
    <t>Peón Vigilante I</t>
  </si>
  <si>
    <t>Carpintero I</t>
  </si>
  <si>
    <t>Bodeguero I</t>
  </si>
  <si>
    <t>Auxiliar de Albañilería</t>
  </si>
  <si>
    <t>Jardinero I</t>
  </si>
  <si>
    <t>Jardinero II</t>
  </si>
  <si>
    <t>Lavandera II</t>
  </si>
  <si>
    <t>Carpintero II</t>
  </si>
  <si>
    <t>Pintor I</t>
  </si>
  <si>
    <t>Pendiente de Prograrmar</t>
  </si>
  <si>
    <t>Museo de Arte Colonial</t>
  </si>
  <si>
    <t>Museo del Libro Antiguo</t>
  </si>
  <si>
    <t>Museo Regional del Sureste de Peten</t>
  </si>
  <si>
    <t>Museo Regional de Arqueología La Democracia</t>
  </si>
  <si>
    <t>Museo Regional Mundo Maya</t>
  </si>
  <si>
    <t>Encuadernador</t>
  </si>
  <si>
    <t>Auxiliar de Mecánica</t>
  </si>
  <si>
    <t>Cocinero</t>
  </si>
  <si>
    <t>Auxiliar de Carpintería</t>
  </si>
  <si>
    <t>Auxiliar de Eléctricidad</t>
  </si>
  <si>
    <t>Electricista III</t>
  </si>
  <si>
    <t>Auxilar Misceláneo</t>
  </si>
  <si>
    <t>Embalador</t>
  </si>
  <si>
    <t>Operador de Equipo</t>
  </si>
  <si>
    <t>Sitios Arqueológicos Prehispánicos de Petén</t>
  </si>
  <si>
    <t>FUENTE 31</t>
  </si>
  <si>
    <t>FUENTE 29</t>
  </si>
  <si>
    <t>FUENTE 11</t>
  </si>
  <si>
    <t>Departamento de Registro y Bienes Culturales</t>
  </si>
  <si>
    <t>Departamento de Atlas Arqueológico de Guatemala</t>
  </si>
  <si>
    <t>ARQUEOLOGICOS Y ZONAS DE RESCATE CULT Y NATURAL</t>
  </si>
  <si>
    <t>Sitio Arqueológico El Ceibal</t>
  </si>
  <si>
    <t>Sitio Arqueológico El Mirador</t>
  </si>
  <si>
    <t>Museo Regional de Chichicastenango</t>
  </si>
  <si>
    <t>Museo Regional de Santiago Sacatepéquez</t>
  </si>
  <si>
    <t>EJERCICIO FISCAL 2017</t>
  </si>
  <si>
    <t>2017-1113-0015-103-12-00-000-001-000-031-0101-11-0000-0000</t>
  </si>
  <si>
    <t>2017-1113-0015-103-12-00-000-002-000-031-0101-11-0000-0000</t>
  </si>
  <si>
    <t>2017-1113-0015-103-12-00-000-002-000-031-1708-11-0000-0000</t>
  </si>
  <si>
    <t>2017-1113-0015-103-12-00-000-003-000-031-1109-11-0000-0000</t>
  </si>
  <si>
    <t>2017-1113-0015-103-12-00-000-003-000-031-1701-11-0000-0000</t>
  </si>
  <si>
    <t>2017-1113-0015-103-12-00-000-003-000-031-1704-11-0000-0000</t>
  </si>
  <si>
    <t>2017-1113-0015-103-12-00-000-003-000-031-1710-11-0000-0000</t>
  </si>
  <si>
    <t>2017-1113-0015-103-12-00-000-004-000-031-0101-11-0000-0000</t>
  </si>
  <si>
    <t>2017-1113-0015-103-12-00-000-004-000-031-0301-11-0000-0000</t>
  </si>
  <si>
    <t>2017-1113-0015-103-12-00-000-004-000-031-0306-11-0000-0000</t>
  </si>
  <si>
    <t>2017-1113-0015-103-12-00-000-004-000-031-0503-11-0000-0000</t>
  </si>
  <si>
    <t>2017-1113-0015-103-12-00-000-004-000-031-1401-11-0000-0000</t>
  </si>
  <si>
    <t>2017-1113-0015-103-12-00-000-004-000-031-1701-11-0000-0000</t>
  </si>
  <si>
    <t>2017-1113-0015-103-12-00-000-004-000-031-1708-11-0000-0000</t>
  </si>
  <si>
    <t>2017-1113-0015-103-12-00-000-006-000-031-0101-11-0000-0000</t>
  </si>
  <si>
    <t>2017-1113-0015-103-12-00-000-008-000-031-0101-11-0000-0000</t>
  </si>
  <si>
    <t>2017-1113-0015-103-12-00-000-009-000-031-1701-11-0000-0000</t>
  </si>
  <si>
    <t>2017-1113-0015-103-12-00-000-003-000-031-0101-29-0101-0005</t>
  </si>
  <si>
    <t>2017-1113-0015-103-12-00-000-003-000-031-0403-29-0101-0005</t>
  </si>
  <si>
    <t>2017-1113-0015-103-12-00-000-003-000-031-0406-29-0101-0005</t>
  </si>
  <si>
    <t>2017-1113-0015-103-12-00-000-003-000-031-1301-29-0101-0005</t>
  </si>
  <si>
    <t>2017-1113-0015-103-12-00-000-003-000-031-1401-29-0101-0005</t>
  </si>
  <si>
    <t>2017-1113-0015-103-12-00-000-003-000-031-1701-29-0101-0005</t>
  </si>
  <si>
    <t>2017-1113-0015-103-12-00-000-003-000-031-1805-31-0000-0000</t>
  </si>
  <si>
    <t>2017-1113-0015-103-12-00-000-004-000-031-0301-31-0000-0000</t>
  </si>
  <si>
    <t>2017-1113-0015-103-12-00-000-007-000-031-1701-31-0000-0000</t>
  </si>
  <si>
    <t>Coordinación Unidades de Apoyo</t>
  </si>
  <si>
    <t>Centro Cultural Real Palacio de los Capitanes Generales</t>
  </si>
  <si>
    <t>Pendiente de programar</t>
  </si>
  <si>
    <t>Albañil V</t>
  </si>
  <si>
    <t>Carpintero V</t>
  </si>
  <si>
    <t>Tallerista</t>
  </si>
  <si>
    <t>Fontanero III</t>
  </si>
  <si>
    <t xml:space="preserve">REPROGRAMACION DE PUESTOS  RENGLON  031 "JORNALES" </t>
  </si>
  <si>
    <t>Piloto II de Vehículos Pesados</t>
  </si>
</sst>
</file>

<file path=xl/styles.xml><?xml version="1.0" encoding="utf-8"?>
<styleSheet xmlns="http://schemas.openxmlformats.org/spreadsheetml/2006/main">
  <numFmts count="12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.00"/>
    <numFmt numFmtId="165" formatCode="#,##0.00_ ;[Red]\-#,##0.00\ "/>
    <numFmt numFmtId="166" formatCode="#,##0_ ;\-#,##0\ "/>
    <numFmt numFmtId="167" formatCode="dd/mm/yy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color indexed="10"/>
      <name val="Arial"/>
      <family val="2"/>
    </font>
    <font>
      <b/>
      <u val="single"/>
      <sz val="9"/>
      <color indexed="12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3" fillId="35" borderId="0" xfId="0" applyFont="1" applyFill="1" applyAlignment="1">
      <alignment horizontal="center"/>
    </xf>
    <xf numFmtId="0" fontId="3" fillId="35" borderId="0" xfId="0" applyFont="1" applyFill="1" applyAlignment="1">
      <alignment/>
    </xf>
    <xf numFmtId="165" fontId="3" fillId="35" borderId="0" xfId="0" applyNumberFormat="1" applyFont="1" applyFill="1" applyAlignment="1">
      <alignment horizontal="left"/>
    </xf>
    <xf numFmtId="0" fontId="4" fillId="35" borderId="0" xfId="0" applyFont="1" applyFill="1" applyAlignment="1">
      <alignment horizontal="center"/>
    </xf>
    <xf numFmtId="0" fontId="3" fillId="35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65" fontId="3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left"/>
    </xf>
    <xf numFmtId="0" fontId="3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3" fontId="4" fillId="36" borderId="13" xfId="0" applyNumberFormat="1" applyFont="1" applyFill="1" applyBorder="1" applyAlignment="1">
      <alignment horizontal="center"/>
    </xf>
    <xf numFmtId="4" fontId="4" fillId="36" borderId="13" xfId="0" applyNumberFormat="1" applyFont="1" applyFill="1" applyBorder="1" applyAlignment="1">
      <alignment/>
    </xf>
    <xf numFmtId="4" fontId="3" fillId="34" borderId="13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4" fontId="3" fillId="0" borderId="12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1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 horizontal="left"/>
    </xf>
    <xf numFmtId="0" fontId="3" fillId="0" borderId="18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 horizontal="right"/>
    </xf>
    <xf numFmtId="43" fontId="3" fillId="0" borderId="12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/>
    </xf>
    <xf numFmtId="43" fontId="3" fillId="0" borderId="12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3" fontId="4" fillId="0" borderId="12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43" fontId="4" fillId="0" borderId="12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/>
    </xf>
    <xf numFmtId="43" fontId="3" fillId="0" borderId="20" xfId="0" applyNumberFormat="1" applyFont="1" applyFill="1" applyBorder="1" applyAlignment="1">
      <alignment horizontal="right"/>
    </xf>
    <xf numFmtId="165" fontId="3" fillId="0" borderId="21" xfId="0" applyNumberFormat="1" applyFont="1" applyFill="1" applyBorder="1" applyAlignment="1">
      <alignment horizontal="left"/>
    </xf>
    <xf numFmtId="4" fontId="3" fillId="0" borderId="20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left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43" fontId="4" fillId="0" borderId="18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37" fontId="4" fillId="0" borderId="12" xfId="0" applyNumberFormat="1" applyFont="1" applyFill="1" applyBorder="1" applyAlignment="1">
      <alignment horizontal="center"/>
    </xf>
    <xf numFmtId="166" fontId="4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1" fontId="9" fillId="0" borderId="12" xfId="0" applyNumberFormat="1" applyFont="1" applyFill="1" applyBorder="1" applyAlignment="1">
      <alignment horizontal="center"/>
    </xf>
    <xf numFmtId="4" fontId="9" fillId="0" borderId="12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3" fillId="0" borderId="20" xfId="0" applyFont="1" applyFill="1" applyBorder="1" applyAlignment="1">
      <alignment/>
    </xf>
    <xf numFmtId="165" fontId="6" fillId="0" borderId="21" xfId="0" applyNumberFormat="1" applyFont="1" applyFill="1" applyBorder="1" applyAlignment="1">
      <alignment horizontal="left"/>
    </xf>
    <xf numFmtId="4" fontId="4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center"/>
    </xf>
    <xf numFmtId="0" fontId="3" fillId="37" borderId="0" xfId="0" applyFont="1" applyFill="1" applyAlignment="1">
      <alignment/>
    </xf>
    <xf numFmtId="165" fontId="3" fillId="37" borderId="0" xfId="0" applyNumberFormat="1" applyFont="1" applyFill="1" applyAlignment="1">
      <alignment horizontal="left"/>
    </xf>
    <xf numFmtId="43" fontId="3" fillId="0" borderId="20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 horizontal="left"/>
    </xf>
    <xf numFmtId="0" fontId="3" fillId="0" borderId="23" xfId="0" applyFont="1" applyFill="1" applyBorder="1" applyAlignment="1">
      <alignment/>
    </xf>
    <xf numFmtId="165" fontId="3" fillId="0" borderId="23" xfId="0" applyNumberFormat="1" applyFont="1" applyFill="1" applyBorder="1" applyAlignment="1">
      <alignment horizontal="left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164" fontId="3" fillId="0" borderId="23" xfId="0" applyNumberFormat="1" applyFont="1" applyFill="1" applyBorder="1" applyAlignment="1">
      <alignment/>
    </xf>
    <xf numFmtId="43" fontId="3" fillId="0" borderId="23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 horizontal="right"/>
    </xf>
    <xf numFmtId="43" fontId="3" fillId="0" borderId="16" xfId="0" applyNumberFormat="1" applyFont="1" applyFill="1" applyBorder="1" applyAlignment="1">
      <alignment/>
    </xf>
    <xf numFmtId="165" fontId="6" fillId="38" borderId="0" xfId="0" applyNumberFormat="1" applyFont="1" applyFill="1" applyBorder="1" applyAlignment="1">
      <alignment horizontal="left"/>
    </xf>
    <xf numFmtId="165" fontId="3" fillId="38" borderId="0" xfId="0" applyNumberFormat="1" applyFont="1" applyFill="1" applyBorder="1" applyAlignment="1">
      <alignment horizontal="left"/>
    </xf>
    <xf numFmtId="43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43" fontId="2" fillId="0" borderId="12" xfId="0" applyNumberFormat="1" applyFont="1" applyFill="1" applyBorder="1" applyAlignment="1">
      <alignment horizontal="center" vertical="center" wrapText="1"/>
    </xf>
    <xf numFmtId="43" fontId="3" fillId="0" borderId="12" xfId="0" applyNumberFormat="1" applyFont="1" applyFill="1" applyBorder="1" applyAlignment="1">
      <alignment/>
    </xf>
    <xf numFmtId="43" fontId="8" fillId="0" borderId="12" xfId="0" applyNumberFormat="1" applyFont="1" applyFill="1" applyBorder="1" applyAlignment="1">
      <alignment/>
    </xf>
    <xf numFmtId="44" fontId="3" fillId="0" borderId="12" xfId="49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3" fontId="4" fillId="39" borderId="10" xfId="0" applyNumberFormat="1" applyFont="1" applyFill="1" applyBorder="1" applyAlignment="1">
      <alignment vertical="center" wrapText="1"/>
    </xf>
    <xf numFmtId="43" fontId="4" fillId="39" borderId="11" xfId="0" applyNumberFormat="1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7"/>
  <sheetViews>
    <sheetView showGridLines="0" tabSelected="1" zoomScale="90" zoomScaleNormal="90" zoomScaleSheetLayoutView="73" zoomScalePageLayoutView="0" workbookViewId="0" topLeftCell="A1">
      <selection activeCell="C8" sqref="C8"/>
    </sheetView>
  </sheetViews>
  <sheetFormatPr defaultColWidth="11.421875" defaultRowHeight="12.75"/>
  <cols>
    <col min="1" max="1" width="63.140625" style="13" customWidth="1"/>
    <col min="2" max="2" width="9.7109375" style="9" customWidth="1"/>
    <col min="3" max="3" width="10.140625" style="9" customWidth="1"/>
    <col min="4" max="4" width="8.7109375" style="10" customWidth="1"/>
    <col min="5" max="5" width="16.28125" style="115" bestFit="1" customWidth="1"/>
    <col min="6" max="6" width="16.140625" style="11" hidden="1" customWidth="1"/>
    <col min="7" max="7" width="14.8515625" style="10" bestFit="1" customWidth="1"/>
    <col min="8" max="8" width="14.57421875" style="12" bestFit="1" customWidth="1"/>
    <col min="9" max="9" width="13.8515625" style="10" bestFit="1" customWidth="1"/>
    <col min="10" max="10" width="14.00390625" style="10" bestFit="1" customWidth="1"/>
    <col min="11" max="12" width="13.8515625" style="10" bestFit="1" customWidth="1"/>
    <col min="13" max="13" width="13.7109375" style="10" bestFit="1" customWidth="1"/>
    <col min="14" max="14" width="14.00390625" style="10" bestFit="1" customWidth="1"/>
    <col min="15" max="15" width="15.8515625" style="10" bestFit="1" customWidth="1"/>
    <col min="16" max="16" width="13.8515625" style="10" bestFit="1" customWidth="1"/>
    <col min="17" max="17" width="14.57421875" style="10" bestFit="1" customWidth="1"/>
    <col min="18" max="18" width="13.8515625" style="10" bestFit="1" customWidth="1"/>
    <col min="19" max="19" width="11.8515625" style="10" bestFit="1" customWidth="1"/>
    <col min="20" max="16384" width="11.421875" style="10" customWidth="1"/>
  </cols>
  <sheetData>
    <row r="1" ht="21" customHeight="1">
      <c r="A1" s="8" t="s">
        <v>5</v>
      </c>
    </row>
    <row r="2" spans="1:4" ht="12">
      <c r="A2" s="8" t="s">
        <v>24</v>
      </c>
      <c r="B2" s="1"/>
      <c r="C2" s="1"/>
      <c r="D2" s="1"/>
    </row>
    <row r="3" ht="7.5" customHeight="1"/>
    <row r="4" ht="15" customHeight="1"/>
    <row r="5" spans="1:18" s="14" customFormat="1" ht="12">
      <c r="A5" s="123" t="s">
        <v>142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</row>
    <row r="6" spans="1:18" s="14" customFormat="1" ht="12">
      <c r="A6" s="123" t="s">
        <v>108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</row>
    <row r="7" spans="1:18" s="14" customFormat="1" ht="12">
      <c r="A7" s="15"/>
      <c r="B7" s="15"/>
      <c r="C7" s="15"/>
      <c r="D7" s="15"/>
      <c r="E7" s="116"/>
      <c r="F7" s="16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s="14" customFormat="1" ht="12">
      <c r="A8" s="17" t="s">
        <v>25</v>
      </c>
      <c r="B8" s="15"/>
      <c r="C8" s="15"/>
      <c r="D8" s="15"/>
      <c r="E8" s="116"/>
      <c r="F8" s="16"/>
      <c r="G8" s="15"/>
      <c r="H8" s="15"/>
      <c r="I8" s="15"/>
      <c r="J8" s="15"/>
      <c r="K8" s="15"/>
      <c r="L8" s="15"/>
      <c r="M8" s="15"/>
      <c r="N8" s="15"/>
      <c r="O8" s="18"/>
      <c r="P8" s="19"/>
      <c r="Q8" s="15"/>
      <c r="R8" s="15"/>
    </row>
    <row r="9" spans="1:8" s="14" customFormat="1" ht="12.75" thickBot="1">
      <c r="A9" s="20"/>
      <c r="B9" s="1"/>
      <c r="C9" s="1"/>
      <c r="D9" s="1"/>
      <c r="E9" s="57"/>
      <c r="F9" s="21"/>
      <c r="H9" s="22"/>
    </row>
    <row r="10" spans="1:18" s="14" customFormat="1" ht="12">
      <c r="A10" s="124" t="s">
        <v>31</v>
      </c>
      <c r="B10" s="2" t="s">
        <v>23</v>
      </c>
      <c r="C10" s="126" t="s">
        <v>6</v>
      </c>
      <c r="D10" s="126" t="s">
        <v>0</v>
      </c>
      <c r="E10" s="128" t="s">
        <v>1</v>
      </c>
      <c r="F10" s="21"/>
      <c r="G10" s="126" t="s">
        <v>11</v>
      </c>
      <c r="H10" s="126" t="s">
        <v>12</v>
      </c>
      <c r="I10" s="126" t="s">
        <v>13</v>
      </c>
      <c r="J10" s="126" t="s">
        <v>14</v>
      </c>
      <c r="K10" s="126" t="s">
        <v>15</v>
      </c>
      <c r="L10" s="126" t="s">
        <v>16</v>
      </c>
      <c r="M10" s="126" t="s">
        <v>17</v>
      </c>
      <c r="N10" s="126" t="s">
        <v>18</v>
      </c>
      <c r="O10" s="126" t="s">
        <v>19</v>
      </c>
      <c r="P10" s="126" t="s">
        <v>20</v>
      </c>
      <c r="Q10" s="126" t="s">
        <v>21</v>
      </c>
      <c r="R10" s="126" t="s">
        <v>22</v>
      </c>
    </row>
    <row r="11" spans="1:18" s="14" customFormat="1" ht="12.75" thickBot="1">
      <c r="A11" s="125"/>
      <c r="B11" s="3" t="s">
        <v>2</v>
      </c>
      <c r="C11" s="127"/>
      <c r="D11" s="127"/>
      <c r="E11" s="129"/>
      <c r="F11" s="21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</row>
    <row r="12" spans="1:18" s="14" customFormat="1" ht="12">
      <c r="A12" s="23"/>
      <c r="B12" s="4"/>
      <c r="C12" s="5"/>
      <c r="D12" s="5"/>
      <c r="E12" s="117"/>
      <c r="F12" s="24"/>
      <c r="G12" s="112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s="14" customFormat="1" ht="19.5" customHeight="1">
      <c r="A13" s="27" t="s">
        <v>26</v>
      </c>
      <c r="B13" s="28">
        <f>B14+B302+B359</f>
        <v>1255</v>
      </c>
      <c r="C13" s="6"/>
      <c r="D13" s="7"/>
      <c r="E13" s="29">
        <f>E14+E302+E359</f>
        <v>27505049</v>
      </c>
      <c r="F13" s="30"/>
      <c r="G13" s="29">
        <f aca="true" t="shared" si="0" ref="G13:R13">G14+G302+G359</f>
        <v>2161422.92</v>
      </c>
      <c r="H13" s="29">
        <f t="shared" si="0"/>
        <v>1955455.16</v>
      </c>
      <c r="I13" s="29">
        <f t="shared" si="0"/>
        <v>2274249.93</v>
      </c>
      <c r="J13" s="29">
        <f t="shared" si="0"/>
        <v>2254866.7199999997</v>
      </c>
      <c r="K13" s="29">
        <f t="shared" si="0"/>
        <v>2367968.41</v>
      </c>
      <c r="L13" s="29">
        <f t="shared" si="0"/>
        <v>2174043.4800000004</v>
      </c>
      <c r="M13" s="29">
        <f t="shared" si="0"/>
        <v>2227546.51</v>
      </c>
      <c r="N13" s="29">
        <f t="shared" si="0"/>
        <v>2343640.46</v>
      </c>
      <c r="O13" s="29">
        <f t="shared" si="0"/>
        <v>2287368.7600000002</v>
      </c>
      <c r="P13" s="29">
        <f t="shared" si="0"/>
        <v>2415790.0200000005</v>
      </c>
      <c r="Q13" s="29">
        <f t="shared" si="0"/>
        <v>2556267.5300000003</v>
      </c>
      <c r="R13" s="29">
        <f t="shared" si="0"/>
        <v>2486429.09</v>
      </c>
    </row>
    <row r="14" spans="1:18" s="14" customFormat="1" ht="18.75" customHeight="1">
      <c r="A14" s="31" t="s">
        <v>100</v>
      </c>
      <c r="B14" s="32">
        <f>+B17+B41+B48+B59+B84+B95+B103+B109+B116+B125+B135+B146+B155+B175+B183+B192+B198+B202+B206+B210+B217+B223+B232+B243+B269+B275</f>
        <v>734</v>
      </c>
      <c r="C14" s="33"/>
      <c r="D14" s="34"/>
      <c r="E14" s="35">
        <f>+E17+E41+E48+E59+E84+E95+E103+E109+E116+E125+E135+E146+E155+E175+E183+E192+E198+E202+E206+E210+E217+E223+E232+E243+E269+E275</f>
        <v>17694721</v>
      </c>
      <c r="F14" s="36"/>
      <c r="G14" s="35">
        <f aca="true" t="shared" si="1" ref="G14:R14">+G17+G41+G48+G59+G84+G95+G103+G109+G116+G125+G135+G146+G155+G175+G183+G192+G198+G202+G206+G210+G217+G223+G232+G243+G269+G275</f>
        <v>1423218.99</v>
      </c>
      <c r="H14" s="35">
        <f t="shared" si="1"/>
        <v>1285589.34</v>
      </c>
      <c r="I14" s="35">
        <f t="shared" si="1"/>
        <v>1429696.06</v>
      </c>
      <c r="J14" s="35">
        <f t="shared" si="1"/>
        <v>1383861.42</v>
      </c>
      <c r="K14" s="35">
        <f t="shared" si="1"/>
        <v>1433344.94</v>
      </c>
      <c r="L14" s="35">
        <f t="shared" si="1"/>
        <v>1389378.6</v>
      </c>
      <c r="M14" s="35">
        <f t="shared" si="1"/>
        <v>1436050.17</v>
      </c>
      <c r="N14" s="35">
        <f t="shared" si="1"/>
        <v>1554379.9200000002</v>
      </c>
      <c r="O14" s="35">
        <f t="shared" si="1"/>
        <v>1522055.8600000003</v>
      </c>
      <c r="P14" s="35">
        <f t="shared" si="1"/>
        <v>1589151.4100000001</v>
      </c>
      <c r="Q14" s="35">
        <f t="shared" si="1"/>
        <v>1611702.07</v>
      </c>
      <c r="R14" s="35">
        <f t="shared" si="1"/>
        <v>1636292.22</v>
      </c>
    </row>
    <row r="15" spans="1:18" s="14" customFormat="1" ht="15.75" customHeight="1">
      <c r="A15" s="37" t="s">
        <v>3</v>
      </c>
      <c r="B15" s="33"/>
      <c r="C15" s="33"/>
      <c r="D15" s="33"/>
      <c r="E15" s="33"/>
      <c r="F15" s="36"/>
      <c r="G15" s="38"/>
      <c r="H15" s="39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18" s="14" customFormat="1" ht="15.75" customHeight="1">
      <c r="A16" s="37" t="s">
        <v>135</v>
      </c>
      <c r="B16" s="33"/>
      <c r="C16" s="33"/>
      <c r="D16" s="33"/>
      <c r="E16" s="33"/>
      <c r="F16" s="36"/>
      <c r="G16" s="38"/>
      <c r="H16" s="39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s="14" customFormat="1" ht="15.75" customHeight="1">
      <c r="A17" s="40" t="s">
        <v>109</v>
      </c>
      <c r="B17" s="41">
        <f>SUM(B18:B37)</f>
        <v>32</v>
      </c>
      <c r="C17" s="42"/>
      <c r="D17" s="43"/>
      <c r="E17" s="35">
        <f>SUM(E18:E37)</f>
        <v>532553.0000000001</v>
      </c>
      <c r="F17" s="44">
        <f>+E17-(453553+79000)</f>
        <v>0</v>
      </c>
      <c r="G17" s="35">
        <f aca="true" t="shared" si="2" ref="G17:R17">SUM(G18:G37)</f>
        <v>36108.18</v>
      </c>
      <c r="H17" s="35">
        <f t="shared" si="2"/>
        <v>34731.76</v>
      </c>
      <c r="I17" s="35">
        <f t="shared" si="2"/>
        <v>38453.020000000004</v>
      </c>
      <c r="J17" s="35">
        <f t="shared" si="2"/>
        <v>37212.6</v>
      </c>
      <c r="K17" s="35">
        <f t="shared" si="2"/>
        <v>38453.020000000004</v>
      </c>
      <c r="L17" s="35">
        <f t="shared" si="2"/>
        <v>35070.6</v>
      </c>
      <c r="M17" s="35">
        <f t="shared" si="2"/>
        <v>36239.62</v>
      </c>
      <c r="N17" s="35">
        <f t="shared" si="2"/>
        <v>36844.740000000005</v>
      </c>
      <c r="O17" s="35">
        <f t="shared" si="2"/>
        <v>47532.38</v>
      </c>
      <c r="P17" s="35">
        <f t="shared" si="2"/>
        <v>56160.26000000001</v>
      </c>
      <c r="Q17" s="35">
        <f t="shared" si="2"/>
        <v>66365.72000000002</v>
      </c>
      <c r="R17" s="35">
        <f t="shared" si="2"/>
        <v>69381.10000000002</v>
      </c>
    </row>
    <row r="18" spans="1:18" s="14" customFormat="1" ht="15.75" customHeight="1">
      <c r="A18" s="45" t="s">
        <v>10</v>
      </c>
      <c r="B18" s="46">
        <v>6</v>
      </c>
      <c r="C18" s="47">
        <v>365</v>
      </c>
      <c r="D18" s="48">
        <f>63.7+4.3+3.4</f>
        <v>71.4</v>
      </c>
      <c r="E18" s="118">
        <f aca="true" t="shared" si="3" ref="E18:E23">+B18*C18*D18</f>
        <v>156366</v>
      </c>
      <c r="F18" s="36"/>
      <c r="G18" s="38">
        <f aca="true" t="shared" si="4" ref="G18:G23">B18*D18*31</f>
        <v>13280.400000000001</v>
      </c>
      <c r="H18" s="49">
        <f aca="true" t="shared" si="5" ref="H18:H24">B18*D18*28</f>
        <v>11995.2</v>
      </c>
      <c r="I18" s="38">
        <f aca="true" t="shared" si="6" ref="I18:I23">B18*D18*31</f>
        <v>13280.400000000001</v>
      </c>
      <c r="J18" s="38">
        <f aca="true" t="shared" si="7" ref="J18:J23">B18*D18*30</f>
        <v>12852.000000000002</v>
      </c>
      <c r="K18" s="38">
        <f aca="true" t="shared" si="8" ref="K18:K23">B18*D18*31</f>
        <v>13280.400000000001</v>
      </c>
      <c r="L18" s="38">
        <f aca="true" t="shared" si="9" ref="L18:L23">B18*D18*30</f>
        <v>12852.000000000002</v>
      </c>
      <c r="M18" s="38">
        <f aca="true" t="shared" si="10" ref="M18:M23">B18*D18*31</f>
        <v>13280.400000000001</v>
      </c>
      <c r="N18" s="38">
        <f aca="true" t="shared" si="11" ref="N18:N23">B18*D18*31</f>
        <v>13280.400000000001</v>
      </c>
      <c r="O18" s="38">
        <f aca="true" t="shared" si="12" ref="O18:O23">B18*D18*30</f>
        <v>12852.000000000002</v>
      </c>
      <c r="P18" s="38">
        <f aca="true" t="shared" si="13" ref="P18:P23">B18*D18*31</f>
        <v>13280.400000000001</v>
      </c>
      <c r="Q18" s="38">
        <f aca="true" t="shared" si="14" ref="Q18:Q23">B18*D18*30</f>
        <v>12852.000000000002</v>
      </c>
      <c r="R18" s="38">
        <f aca="true" t="shared" si="15" ref="R18:R23">B18*D18*31</f>
        <v>13280.400000000001</v>
      </c>
    </row>
    <row r="19" spans="1:18" s="14" customFormat="1" ht="15.75" customHeight="1">
      <c r="A19" s="45" t="s">
        <v>7</v>
      </c>
      <c r="B19" s="46">
        <v>2</v>
      </c>
      <c r="C19" s="47">
        <v>365</v>
      </c>
      <c r="D19" s="48">
        <v>71.4</v>
      </c>
      <c r="E19" s="50">
        <f t="shared" si="3"/>
        <v>52122.00000000001</v>
      </c>
      <c r="F19" s="36"/>
      <c r="G19" s="38">
        <f t="shared" si="4"/>
        <v>4426.8</v>
      </c>
      <c r="H19" s="49">
        <f t="shared" si="5"/>
        <v>3998.4000000000005</v>
      </c>
      <c r="I19" s="38">
        <f t="shared" si="6"/>
        <v>4426.8</v>
      </c>
      <c r="J19" s="38">
        <f t="shared" si="7"/>
        <v>4284</v>
      </c>
      <c r="K19" s="38">
        <f t="shared" si="8"/>
        <v>4426.8</v>
      </c>
      <c r="L19" s="38">
        <f t="shared" si="9"/>
        <v>4284</v>
      </c>
      <c r="M19" s="38">
        <f t="shared" si="10"/>
        <v>4426.8</v>
      </c>
      <c r="N19" s="38">
        <f t="shared" si="11"/>
        <v>4426.8</v>
      </c>
      <c r="O19" s="38">
        <f t="shared" si="12"/>
        <v>4284</v>
      </c>
      <c r="P19" s="38">
        <f t="shared" si="13"/>
        <v>4426.8</v>
      </c>
      <c r="Q19" s="38">
        <f t="shared" si="14"/>
        <v>4284</v>
      </c>
      <c r="R19" s="38">
        <f t="shared" si="15"/>
        <v>4426.8</v>
      </c>
    </row>
    <row r="20" spans="1:18" s="14" customFormat="1" ht="15.75" customHeight="1">
      <c r="A20" s="45" t="s">
        <v>9</v>
      </c>
      <c r="B20" s="46">
        <v>1</v>
      </c>
      <c r="C20" s="47">
        <v>365</v>
      </c>
      <c r="D20" s="48">
        <v>73.59</v>
      </c>
      <c r="E20" s="50">
        <f t="shared" si="3"/>
        <v>26860.350000000002</v>
      </c>
      <c r="F20" s="36"/>
      <c r="G20" s="38">
        <f t="shared" si="4"/>
        <v>2281.29</v>
      </c>
      <c r="H20" s="49">
        <f t="shared" si="5"/>
        <v>2060.52</v>
      </c>
      <c r="I20" s="38">
        <f t="shared" si="6"/>
        <v>2281.29</v>
      </c>
      <c r="J20" s="38">
        <f t="shared" si="7"/>
        <v>2207.7000000000003</v>
      </c>
      <c r="K20" s="38">
        <f t="shared" si="8"/>
        <v>2281.29</v>
      </c>
      <c r="L20" s="38">
        <f t="shared" si="9"/>
        <v>2207.7000000000003</v>
      </c>
      <c r="M20" s="38">
        <f t="shared" si="10"/>
        <v>2281.29</v>
      </c>
      <c r="N20" s="38">
        <f t="shared" si="11"/>
        <v>2281.29</v>
      </c>
      <c r="O20" s="38">
        <f t="shared" si="12"/>
        <v>2207.7000000000003</v>
      </c>
      <c r="P20" s="38">
        <f t="shared" si="13"/>
        <v>2281.29</v>
      </c>
      <c r="Q20" s="38">
        <f t="shared" si="14"/>
        <v>2207.7000000000003</v>
      </c>
      <c r="R20" s="38">
        <f t="shared" si="15"/>
        <v>2281.29</v>
      </c>
    </row>
    <row r="21" spans="1:18" s="14" customFormat="1" ht="15.75" customHeight="1">
      <c r="A21" s="45" t="s">
        <v>56</v>
      </c>
      <c r="B21" s="46">
        <v>1</v>
      </c>
      <c r="C21" s="47">
        <v>365</v>
      </c>
      <c r="D21" s="48">
        <v>74.63</v>
      </c>
      <c r="E21" s="50">
        <f t="shared" si="3"/>
        <v>27239.949999999997</v>
      </c>
      <c r="F21" s="36"/>
      <c r="G21" s="38">
        <f t="shared" si="4"/>
        <v>2313.5299999999997</v>
      </c>
      <c r="H21" s="49">
        <f t="shared" si="5"/>
        <v>2089.64</v>
      </c>
      <c r="I21" s="38">
        <f t="shared" si="6"/>
        <v>2313.5299999999997</v>
      </c>
      <c r="J21" s="38">
        <f t="shared" si="7"/>
        <v>2238.8999999999996</v>
      </c>
      <c r="K21" s="38">
        <f t="shared" si="8"/>
        <v>2313.5299999999997</v>
      </c>
      <c r="L21" s="38">
        <f t="shared" si="9"/>
        <v>2238.8999999999996</v>
      </c>
      <c r="M21" s="38">
        <f t="shared" si="10"/>
        <v>2313.5299999999997</v>
      </c>
      <c r="N21" s="38">
        <f t="shared" si="11"/>
        <v>2313.5299999999997</v>
      </c>
      <c r="O21" s="38">
        <f t="shared" si="12"/>
        <v>2238.8999999999996</v>
      </c>
      <c r="P21" s="38">
        <f t="shared" si="13"/>
        <v>2313.5299999999997</v>
      </c>
      <c r="Q21" s="38">
        <f t="shared" si="14"/>
        <v>2238.8999999999996</v>
      </c>
      <c r="R21" s="38">
        <f t="shared" si="15"/>
        <v>2313.5299999999997</v>
      </c>
    </row>
    <row r="22" spans="1:18" s="14" customFormat="1" ht="15.75" customHeight="1">
      <c r="A22" s="45" t="s">
        <v>57</v>
      </c>
      <c r="B22" s="46">
        <v>3</v>
      </c>
      <c r="C22" s="47">
        <v>365</v>
      </c>
      <c r="D22" s="48">
        <v>75.64</v>
      </c>
      <c r="E22" s="50">
        <f t="shared" si="3"/>
        <v>82825.8</v>
      </c>
      <c r="F22" s="36"/>
      <c r="G22" s="38">
        <f t="shared" si="4"/>
        <v>7034.52</v>
      </c>
      <c r="H22" s="49">
        <f t="shared" si="5"/>
        <v>6353.76</v>
      </c>
      <c r="I22" s="38">
        <f t="shared" si="6"/>
        <v>7034.52</v>
      </c>
      <c r="J22" s="38">
        <f t="shared" si="7"/>
        <v>6807.6</v>
      </c>
      <c r="K22" s="38">
        <f t="shared" si="8"/>
        <v>7034.52</v>
      </c>
      <c r="L22" s="38">
        <f t="shared" si="9"/>
        <v>6807.6</v>
      </c>
      <c r="M22" s="38">
        <f t="shared" si="10"/>
        <v>7034.52</v>
      </c>
      <c r="N22" s="38">
        <f t="shared" si="11"/>
        <v>7034.52</v>
      </c>
      <c r="O22" s="38">
        <f t="shared" si="12"/>
        <v>6807.6</v>
      </c>
      <c r="P22" s="38">
        <f t="shared" si="13"/>
        <v>7034.52</v>
      </c>
      <c r="Q22" s="38">
        <f t="shared" si="14"/>
        <v>6807.6</v>
      </c>
      <c r="R22" s="38">
        <f t="shared" si="15"/>
        <v>7034.52</v>
      </c>
    </row>
    <row r="23" spans="1:18" s="14" customFormat="1" ht="15.75" customHeight="1">
      <c r="A23" s="45" t="s">
        <v>58</v>
      </c>
      <c r="B23" s="46">
        <v>1</v>
      </c>
      <c r="C23" s="47">
        <v>365</v>
      </c>
      <c r="D23" s="48">
        <v>75.64</v>
      </c>
      <c r="E23" s="50">
        <f t="shared" si="3"/>
        <v>27608.6</v>
      </c>
      <c r="F23" s="36"/>
      <c r="G23" s="38">
        <f t="shared" si="4"/>
        <v>2344.84</v>
      </c>
      <c r="H23" s="49">
        <f t="shared" si="5"/>
        <v>2117.92</v>
      </c>
      <c r="I23" s="38">
        <f t="shared" si="6"/>
        <v>2344.84</v>
      </c>
      <c r="J23" s="38">
        <f t="shared" si="7"/>
        <v>2269.2</v>
      </c>
      <c r="K23" s="38">
        <f t="shared" si="8"/>
        <v>2344.84</v>
      </c>
      <c r="L23" s="38">
        <f t="shared" si="9"/>
        <v>2269.2</v>
      </c>
      <c r="M23" s="38">
        <f t="shared" si="10"/>
        <v>2344.84</v>
      </c>
      <c r="N23" s="38">
        <f t="shared" si="11"/>
        <v>2344.84</v>
      </c>
      <c r="O23" s="38">
        <f t="shared" si="12"/>
        <v>2269.2</v>
      </c>
      <c r="P23" s="38">
        <f t="shared" si="13"/>
        <v>2344.84</v>
      </c>
      <c r="Q23" s="38">
        <f t="shared" si="14"/>
        <v>2269.2</v>
      </c>
      <c r="R23" s="38">
        <f t="shared" si="15"/>
        <v>2344.84</v>
      </c>
    </row>
    <row r="24" spans="1:18" s="14" customFormat="1" ht="15.75" customHeight="1">
      <c r="A24" s="45" t="s">
        <v>58</v>
      </c>
      <c r="B24" s="46">
        <v>1</v>
      </c>
      <c r="C24" s="47">
        <v>334</v>
      </c>
      <c r="D24" s="48">
        <v>75.64</v>
      </c>
      <c r="E24" s="50">
        <f aca="true" t="shared" si="16" ref="E24:E36">+B24*C24*D24</f>
        <v>25263.76</v>
      </c>
      <c r="F24" s="36"/>
      <c r="G24" s="38">
        <v>0</v>
      </c>
      <c r="H24" s="49">
        <f t="shared" si="5"/>
        <v>2117.92</v>
      </c>
      <c r="I24" s="38">
        <f>B24*D24*31</f>
        <v>2344.84</v>
      </c>
      <c r="J24" s="38">
        <f>B24*D24*30</f>
        <v>2269.2</v>
      </c>
      <c r="K24" s="38">
        <f>B24*D24*31</f>
        <v>2344.84</v>
      </c>
      <c r="L24" s="38">
        <f>B24*D24*30</f>
        <v>2269.2</v>
      </c>
      <c r="M24" s="38">
        <f>B24*D24*31</f>
        <v>2344.84</v>
      </c>
      <c r="N24" s="38">
        <f>B24*D24*31</f>
        <v>2344.84</v>
      </c>
      <c r="O24" s="38">
        <f>B24*D24*30</f>
        <v>2269.2</v>
      </c>
      <c r="P24" s="38">
        <f>B24*D24*31</f>
        <v>2344.84</v>
      </c>
      <c r="Q24" s="38">
        <f>B24*D24*30</f>
        <v>2269.2</v>
      </c>
      <c r="R24" s="38">
        <f>B24*D24*31</f>
        <v>2344.84</v>
      </c>
    </row>
    <row r="25" spans="1:18" s="14" customFormat="1" ht="15.75" customHeight="1">
      <c r="A25" s="45" t="s">
        <v>10</v>
      </c>
      <c r="B25" s="46">
        <v>1</v>
      </c>
      <c r="C25" s="47">
        <v>151</v>
      </c>
      <c r="D25" s="48">
        <v>71.4</v>
      </c>
      <c r="E25" s="50">
        <f t="shared" si="16"/>
        <v>10781.400000000001</v>
      </c>
      <c r="F25" s="36"/>
      <c r="G25" s="38">
        <f>B25*D25*31</f>
        <v>2213.4</v>
      </c>
      <c r="H25" s="49">
        <f>B25*D25*28</f>
        <v>1999.2000000000003</v>
      </c>
      <c r="I25" s="38">
        <f>B25*D25*31</f>
        <v>2213.4</v>
      </c>
      <c r="J25" s="38">
        <f>B25*D25*30</f>
        <v>2142</v>
      </c>
      <c r="K25" s="38">
        <f>B25*D25*31</f>
        <v>2213.4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</row>
    <row r="26" spans="1:18" s="14" customFormat="1" ht="15.75" customHeight="1">
      <c r="A26" s="45" t="s">
        <v>10</v>
      </c>
      <c r="B26" s="46">
        <v>1</v>
      </c>
      <c r="C26" s="47">
        <v>243</v>
      </c>
      <c r="D26" s="48">
        <f>63.7+4.3+3.4</f>
        <v>71.4</v>
      </c>
      <c r="E26" s="118">
        <f t="shared" si="16"/>
        <v>17350.2</v>
      </c>
      <c r="F26" s="36"/>
      <c r="G26" s="38">
        <f>B26*D26*31</f>
        <v>2213.4</v>
      </c>
      <c r="H26" s="49">
        <f>B26*D26*28</f>
        <v>1999.2000000000003</v>
      </c>
      <c r="I26" s="38">
        <f>B26*D26*31</f>
        <v>2213.4</v>
      </c>
      <c r="J26" s="38">
        <f>B26*D26*30</f>
        <v>2142</v>
      </c>
      <c r="K26" s="38">
        <f>B26*D26*31</f>
        <v>2213.4</v>
      </c>
      <c r="L26" s="38">
        <f>B26*D26*30</f>
        <v>2142</v>
      </c>
      <c r="M26" s="38">
        <f>B26*D26*31</f>
        <v>2213.4</v>
      </c>
      <c r="N26" s="38">
        <f>B26*D26*31</f>
        <v>2213.4</v>
      </c>
      <c r="O26" s="38">
        <v>0</v>
      </c>
      <c r="P26" s="38">
        <v>0</v>
      </c>
      <c r="Q26" s="38">
        <v>0</v>
      </c>
      <c r="R26" s="38">
        <v>0</v>
      </c>
    </row>
    <row r="27" spans="1:18" s="14" customFormat="1" ht="15.75" customHeight="1">
      <c r="A27" s="45" t="s">
        <v>57</v>
      </c>
      <c r="B27" s="46">
        <v>2</v>
      </c>
      <c r="C27" s="47">
        <v>126</v>
      </c>
      <c r="D27" s="48">
        <v>75.64</v>
      </c>
      <c r="E27" s="50">
        <f t="shared" si="16"/>
        <v>19061.28</v>
      </c>
      <c r="F27" s="36"/>
      <c r="G27" s="38">
        <v>0</v>
      </c>
      <c r="H27" s="49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f>B27*D27*4</f>
        <v>605.12</v>
      </c>
      <c r="O27" s="38">
        <f>B27*D27*30</f>
        <v>4538.4</v>
      </c>
      <c r="P27" s="38">
        <f>B27*D27*31</f>
        <v>4689.68</v>
      </c>
      <c r="Q27" s="38">
        <f aca="true" t="shared" si="17" ref="Q27:Q33">B27*D27*30</f>
        <v>4538.4</v>
      </c>
      <c r="R27" s="38">
        <f aca="true" t="shared" si="18" ref="R27:R36">B27*D27*31</f>
        <v>4689.68</v>
      </c>
    </row>
    <row r="28" spans="1:18" s="14" customFormat="1" ht="15.75" customHeight="1">
      <c r="A28" s="45" t="s">
        <v>140</v>
      </c>
      <c r="B28" s="46">
        <v>3</v>
      </c>
      <c r="C28" s="47">
        <v>119</v>
      </c>
      <c r="D28" s="48">
        <v>80.86</v>
      </c>
      <c r="E28" s="50">
        <f t="shared" si="16"/>
        <v>28867.02</v>
      </c>
      <c r="F28" s="36"/>
      <c r="G28" s="38">
        <v>0</v>
      </c>
      <c r="H28" s="49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f>B28*D28*27</f>
        <v>6549.66</v>
      </c>
      <c r="P28" s="38">
        <f>B28*D28*31</f>
        <v>7519.98</v>
      </c>
      <c r="Q28" s="38">
        <f t="shared" si="17"/>
        <v>7277.4</v>
      </c>
      <c r="R28" s="38">
        <f t="shared" si="18"/>
        <v>7519.98</v>
      </c>
    </row>
    <row r="29" spans="1:18" s="14" customFormat="1" ht="15.75" customHeight="1">
      <c r="A29" s="45" t="s">
        <v>140</v>
      </c>
      <c r="B29" s="46">
        <v>1</v>
      </c>
      <c r="C29" s="47">
        <v>112</v>
      </c>
      <c r="D29" s="48">
        <v>80.86</v>
      </c>
      <c r="E29" s="50">
        <f t="shared" si="16"/>
        <v>9056.32</v>
      </c>
      <c r="F29" s="36"/>
      <c r="G29" s="38">
        <v>0</v>
      </c>
      <c r="H29" s="49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f>B29*D29*20</f>
        <v>1617.2</v>
      </c>
      <c r="P29" s="38">
        <f>B29*D29*31</f>
        <v>2506.66</v>
      </c>
      <c r="Q29" s="38">
        <f t="shared" si="17"/>
        <v>2425.8</v>
      </c>
      <c r="R29" s="38">
        <f t="shared" si="18"/>
        <v>2506.66</v>
      </c>
    </row>
    <row r="30" spans="1:18" s="14" customFormat="1" ht="15.75" customHeight="1">
      <c r="A30" s="45" t="s">
        <v>140</v>
      </c>
      <c r="B30" s="46">
        <v>1</v>
      </c>
      <c r="C30" s="47">
        <v>104</v>
      </c>
      <c r="D30" s="48">
        <v>80.86</v>
      </c>
      <c r="E30" s="50">
        <f t="shared" si="16"/>
        <v>8409.44</v>
      </c>
      <c r="F30" s="36"/>
      <c r="G30" s="38">
        <v>0</v>
      </c>
      <c r="H30" s="49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f>B30*D30*12</f>
        <v>970.3199999999999</v>
      </c>
      <c r="P30" s="38">
        <f>B30*D30*31</f>
        <v>2506.66</v>
      </c>
      <c r="Q30" s="38">
        <f t="shared" si="17"/>
        <v>2425.8</v>
      </c>
      <c r="R30" s="38">
        <f t="shared" si="18"/>
        <v>2506.66</v>
      </c>
    </row>
    <row r="31" spans="1:18" s="14" customFormat="1" ht="15.75" customHeight="1">
      <c r="A31" s="45" t="s">
        <v>7</v>
      </c>
      <c r="B31" s="46">
        <v>1</v>
      </c>
      <c r="C31" s="47">
        <v>105</v>
      </c>
      <c r="D31" s="48">
        <v>71.4</v>
      </c>
      <c r="E31" s="50">
        <f t="shared" si="16"/>
        <v>7497.000000000001</v>
      </c>
      <c r="F31" s="36"/>
      <c r="G31" s="38">
        <v>0</v>
      </c>
      <c r="H31" s="49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f>B31*D31*13</f>
        <v>928.2</v>
      </c>
      <c r="P31" s="38">
        <f>B31*D31*31</f>
        <v>2213.4</v>
      </c>
      <c r="Q31" s="38">
        <f t="shared" si="17"/>
        <v>2142</v>
      </c>
      <c r="R31" s="38">
        <f t="shared" si="18"/>
        <v>2213.4</v>
      </c>
    </row>
    <row r="32" spans="1:18" s="14" customFormat="1" ht="15.75" customHeight="1">
      <c r="A32" s="45" t="s">
        <v>140</v>
      </c>
      <c r="B32" s="46">
        <v>1</v>
      </c>
      <c r="C32" s="47">
        <v>82</v>
      </c>
      <c r="D32" s="48">
        <v>80.86</v>
      </c>
      <c r="E32" s="50">
        <f t="shared" si="16"/>
        <v>6630.5199999999995</v>
      </c>
      <c r="F32" s="36"/>
      <c r="G32" s="38">
        <v>0</v>
      </c>
      <c r="H32" s="49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f>B32*D32*21</f>
        <v>1698.06</v>
      </c>
      <c r="Q32" s="38">
        <f t="shared" si="17"/>
        <v>2425.8</v>
      </c>
      <c r="R32" s="38">
        <f t="shared" si="18"/>
        <v>2506.66</v>
      </c>
    </row>
    <row r="33" spans="1:18" s="14" customFormat="1" ht="15.75" customHeight="1">
      <c r="A33" s="45" t="s">
        <v>10</v>
      </c>
      <c r="B33" s="46">
        <v>1</v>
      </c>
      <c r="C33" s="47">
        <v>75</v>
      </c>
      <c r="D33" s="48">
        <f>63.7+4.3+3.4</f>
        <v>71.4</v>
      </c>
      <c r="E33" s="118">
        <f t="shared" si="16"/>
        <v>5355</v>
      </c>
      <c r="F33" s="36"/>
      <c r="G33" s="38">
        <v>0</v>
      </c>
      <c r="H33" s="49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f>B33*D33*14</f>
        <v>999.6000000000001</v>
      </c>
      <c r="Q33" s="38">
        <f t="shared" si="17"/>
        <v>2142</v>
      </c>
      <c r="R33" s="38">
        <f t="shared" si="18"/>
        <v>2213.4</v>
      </c>
    </row>
    <row r="34" spans="1:18" s="14" customFormat="1" ht="15.75" customHeight="1">
      <c r="A34" s="45" t="s">
        <v>93</v>
      </c>
      <c r="B34" s="46">
        <v>1</v>
      </c>
      <c r="C34" s="47">
        <v>60</v>
      </c>
      <c r="D34" s="48">
        <v>75.64</v>
      </c>
      <c r="E34" s="118">
        <f t="shared" si="16"/>
        <v>4538.4</v>
      </c>
      <c r="F34" s="36"/>
      <c r="G34" s="38">
        <v>0</v>
      </c>
      <c r="H34" s="49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f>B34*D34*29</f>
        <v>2193.56</v>
      </c>
      <c r="R34" s="38">
        <f t="shared" si="18"/>
        <v>2344.84</v>
      </c>
    </row>
    <row r="35" spans="1:18" s="14" customFormat="1" ht="15.75" customHeight="1">
      <c r="A35" s="45" t="s">
        <v>10</v>
      </c>
      <c r="B35" s="46">
        <v>2</v>
      </c>
      <c r="C35" s="47">
        <v>60</v>
      </c>
      <c r="D35" s="48">
        <f>63.7+4.3+3.4</f>
        <v>71.4</v>
      </c>
      <c r="E35" s="118">
        <f t="shared" si="16"/>
        <v>8568</v>
      </c>
      <c r="F35" s="36"/>
      <c r="G35" s="38">
        <v>0</v>
      </c>
      <c r="H35" s="49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f>B35*D35*29</f>
        <v>4141.200000000001</v>
      </c>
      <c r="R35" s="38">
        <f t="shared" si="18"/>
        <v>4426.8</v>
      </c>
    </row>
    <row r="36" spans="1:18" s="14" customFormat="1" ht="15.75" customHeight="1">
      <c r="A36" s="45" t="s">
        <v>10</v>
      </c>
      <c r="B36" s="46">
        <v>2</v>
      </c>
      <c r="C36" s="47">
        <v>56</v>
      </c>
      <c r="D36" s="48">
        <f>63.7+4.3+3.4</f>
        <v>71.4</v>
      </c>
      <c r="E36" s="118">
        <f t="shared" si="16"/>
        <v>7996.800000000001</v>
      </c>
      <c r="F36" s="36"/>
      <c r="G36" s="38">
        <v>0</v>
      </c>
      <c r="H36" s="49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f>B36*D36*25</f>
        <v>3570.0000000000005</v>
      </c>
      <c r="R36" s="38">
        <f t="shared" si="18"/>
        <v>4426.8</v>
      </c>
    </row>
    <row r="37" spans="1:18" s="14" customFormat="1" ht="15.75" customHeight="1">
      <c r="A37" s="45" t="s">
        <v>8</v>
      </c>
      <c r="B37" s="46"/>
      <c r="C37" s="47"/>
      <c r="D37" s="48"/>
      <c r="E37" s="38">
        <v>155.16</v>
      </c>
      <c r="F37" s="36"/>
      <c r="G37" s="50"/>
      <c r="H37" s="39"/>
      <c r="I37" s="38"/>
      <c r="J37" s="50"/>
      <c r="K37" s="50"/>
      <c r="L37" s="50"/>
      <c r="M37" s="38"/>
      <c r="N37" s="38"/>
      <c r="O37" s="38"/>
      <c r="P37" s="38"/>
      <c r="Q37" s="38">
        <v>155.16</v>
      </c>
      <c r="R37" s="50"/>
    </row>
    <row r="38" spans="1:18" s="14" customFormat="1" ht="15.75" customHeight="1">
      <c r="A38" s="51"/>
      <c r="B38" s="47"/>
      <c r="C38" s="47"/>
      <c r="D38" s="48"/>
      <c r="E38" s="119"/>
      <c r="F38" s="36"/>
      <c r="G38" s="38"/>
      <c r="H38" s="39"/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spans="1:18" s="14" customFormat="1" ht="15.75" customHeight="1">
      <c r="A39" s="37" t="s">
        <v>4</v>
      </c>
      <c r="B39" s="33"/>
      <c r="C39" s="52"/>
      <c r="D39" s="33"/>
      <c r="E39" s="33"/>
      <c r="F39" s="36"/>
      <c r="G39" s="38"/>
      <c r="H39" s="39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1:18" s="14" customFormat="1" ht="15.75" customHeight="1">
      <c r="A40" s="40" t="s">
        <v>101</v>
      </c>
      <c r="B40" s="41"/>
      <c r="C40" s="42"/>
      <c r="D40" s="43"/>
      <c r="E40" s="53"/>
      <c r="F40" s="44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</row>
    <row r="41" spans="1:18" s="14" customFormat="1" ht="15.75" customHeight="1">
      <c r="A41" s="40" t="s">
        <v>110</v>
      </c>
      <c r="B41" s="41">
        <f>SUM(B42:B45)</f>
        <v>3</v>
      </c>
      <c r="C41" s="42"/>
      <c r="D41" s="43"/>
      <c r="E41" s="53">
        <f>SUM(E42:E45)</f>
        <v>75947</v>
      </c>
      <c r="F41" s="44">
        <f>+E41-(80147-4200)</f>
        <v>0</v>
      </c>
      <c r="G41" s="53">
        <f aca="true" t="shared" si="19" ref="G41:R41">SUM(G42:G45)</f>
        <v>4593.58</v>
      </c>
      <c r="H41" s="53">
        <f t="shared" si="19"/>
        <v>4149.04</v>
      </c>
      <c r="I41" s="53">
        <f t="shared" si="19"/>
        <v>6806.98</v>
      </c>
      <c r="J41" s="53">
        <f t="shared" si="19"/>
        <v>6587.4</v>
      </c>
      <c r="K41" s="53">
        <f t="shared" si="19"/>
        <v>6819.879999999999</v>
      </c>
      <c r="L41" s="53">
        <f t="shared" si="19"/>
        <v>6587.4</v>
      </c>
      <c r="M41" s="53">
        <f t="shared" si="19"/>
        <v>6806.98</v>
      </c>
      <c r="N41" s="53">
        <f t="shared" si="19"/>
        <v>6806.98</v>
      </c>
      <c r="O41" s="53">
        <f t="shared" si="19"/>
        <v>6587.4</v>
      </c>
      <c r="P41" s="53">
        <f t="shared" si="19"/>
        <v>6806.98</v>
      </c>
      <c r="Q41" s="53">
        <f t="shared" si="19"/>
        <v>6587.4</v>
      </c>
      <c r="R41" s="53">
        <f t="shared" si="19"/>
        <v>6806.98</v>
      </c>
    </row>
    <row r="42" spans="1:18" s="14" customFormat="1" ht="15.75" customHeight="1">
      <c r="A42" s="45" t="s">
        <v>58</v>
      </c>
      <c r="B42" s="46">
        <v>1</v>
      </c>
      <c r="C42" s="47">
        <v>365</v>
      </c>
      <c r="D42" s="48">
        <v>75.64</v>
      </c>
      <c r="E42" s="52">
        <f>+B42*C42*D42</f>
        <v>27608.6</v>
      </c>
      <c r="F42" s="36"/>
      <c r="G42" s="38">
        <f>B42*D42*31</f>
        <v>2344.84</v>
      </c>
      <c r="H42" s="49">
        <f>B42*D42*28</f>
        <v>2117.92</v>
      </c>
      <c r="I42" s="38">
        <f>B42*D42*31</f>
        <v>2344.84</v>
      </c>
      <c r="J42" s="38">
        <f>B42*D42*30</f>
        <v>2269.2</v>
      </c>
      <c r="K42" s="38">
        <f>B42*D42*31</f>
        <v>2344.84</v>
      </c>
      <c r="L42" s="38">
        <f>B42*D42*30</f>
        <v>2269.2</v>
      </c>
      <c r="M42" s="38">
        <f>B42*D42*31</f>
        <v>2344.84</v>
      </c>
      <c r="N42" s="38">
        <f>B42*D42*31</f>
        <v>2344.84</v>
      </c>
      <c r="O42" s="38">
        <f>B42*D42*30</f>
        <v>2269.2</v>
      </c>
      <c r="P42" s="38">
        <f>B42*D42*31</f>
        <v>2344.84</v>
      </c>
      <c r="Q42" s="38">
        <f>B42*D42*30</f>
        <v>2269.2</v>
      </c>
      <c r="R42" s="38">
        <f>B42*D42*31</f>
        <v>2344.84</v>
      </c>
    </row>
    <row r="43" spans="1:18" s="14" customFormat="1" ht="15.75" customHeight="1">
      <c r="A43" s="45" t="s">
        <v>10</v>
      </c>
      <c r="B43" s="46">
        <v>1</v>
      </c>
      <c r="C43" s="47">
        <v>306</v>
      </c>
      <c r="D43" s="48">
        <v>71.4</v>
      </c>
      <c r="E43" s="52">
        <f>+B43*C43*D43</f>
        <v>21848.4</v>
      </c>
      <c r="F43" s="36"/>
      <c r="G43" s="38">
        <v>0</v>
      </c>
      <c r="H43" s="49">
        <v>0</v>
      </c>
      <c r="I43" s="38">
        <f>B43*D43*31</f>
        <v>2213.4</v>
      </c>
      <c r="J43" s="38">
        <f>B43*D43*30</f>
        <v>2142</v>
      </c>
      <c r="K43" s="38">
        <f>B43*D43*31</f>
        <v>2213.4</v>
      </c>
      <c r="L43" s="38">
        <f>B43*D43*30</f>
        <v>2142</v>
      </c>
      <c r="M43" s="38">
        <f>B43*D43*31</f>
        <v>2213.4</v>
      </c>
      <c r="N43" s="38">
        <f>B43*D43*31</f>
        <v>2213.4</v>
      </c>
      <c r="O43" s="38">
        <f>B43*D43*30</f>
        <v>2142</v>
      </c>
      <c r="P43" s="38">
        <f>B43*D43*31</f>
        <v>2213.4</v>
      </c>
      <c r="Q43" s="38">
        <f>B43*D43*30</f>
        <v>2142</v>
      </c>
      <c r="R43" s="38">
        <f>B43*D43*31</f>
        <v>2213.4</v>
      </c>
    </row>
    <row r="44" spans="1:18" s="14" customFormat="1" ht="15.75" customHeight="1">
      <c r="A44" s="45" t="s">
        <v>59</v>
      </c>
      <c r="B44" s="46">
        <v>1</v>
      </c>
      <c r="C44" s="47">
        <v>365</v>
      </c>
      <c r="D44" s="48">
        <v>72.54</v>
      </c>
      <c r="E44" s="52">
        <f>+B44*C44*D44</f>
        <v>26477.100000000002</v>
      </c>
      <c r="F44" s="36"/>
      <c r="G44" s="38">
        <f>B44*D44*31</f>
        <v>2248.7400000000002</v>
      </c>
      <c r="H44" s="49">
        <f>B44*D44*28</f>
        <v>2031.1200000000001</v>
      </c>
      <c r="I44" s="38">
        <f>B44*D44*31</f>
        <v>2248.7400000000002</v>
      </c>
      <c r="J44" s="38">
        <f>B44*D44*30</f>
        <v>2176.2000000000003</v>
      </c>
      <c r="K44" s="38">
        <f>B44*D44*31</f>
        <v>2248.7400000000002</v>
      </c>
      <c r="L44" s="38">
        <f>B44*D44*30</f>
        <v>2176.2000000000003</v>
      </c>
      <c r="M44" s="38">
        <f>B44*D44*31</f>
        <v>2248.7400000000002</v>
      </c>
      <c r="N44" s="38">
        <f>B44*D44*31</f>
        <v>2248.7400000000002</v>
      </c>
      <c r="O44" s="38">
        <f>B44*D44*30</f>
        <v>2176.2000000000003</v>
      </c>
      <c r="P44" s="38">
        <f>B44*D44*31</f>
        <v>2248.7400000000002</v>
      </c>
      <c r="Q44" s="38">
        <f>B44*D44*30</f>
        <v>2176.2000000000003</v>
      </c>
      <c r="R44" s="38">
        <f>B44*D44*31</f>
        <v>2248.7400000000002</v>
      </c>
    </row>
    <row r="45" spans="1:18" s="14" customFormat="1" ht="15.75" customHeight="1">
      <c r="A45" s="62" t="s">
        <v>8</v>
      </c>
      <c r="B45" s="63"/>
      <c r="C45" s="64"/>
      <c r="D45" s="65"/>
      <c r="E45" s="69">
        <f>4212.9-4200</f>
        <v>12.899999999999636</v>
      </c>
      <c r="F45" s="67"/>
      <c r="G45" s="69"/>
      <c r="H45" s="69"/>
      <c r="I45" s="68"/>
      <c r="J45" s="69"/>
      <c r="K45" s="69">
        <f>4212.9-4200</f>
        <v>12.899999999999636</v>
      </c>
      <c r="L45" s="69"/>
      <c r="M45" s="68"/>
      <c r="N45" s="68"/>
      <c r="O45" s="68"/>
      <c r="P45" s="68"/>
      <c r="Q45" s="68"/>
      <c r="R45" s="69"/>
    </row>
    <row r="46" spans="1:18" s="14" customFormat="1" ht="15.75" customHeight="1">
      <c r="A46" s="103"/>
      <c r="B46" s="105"/>
      <c r="C46" s="106"/>
      <c r="D46" s="107"/>
      <c r="E46" s="108"/>
      <c r="F46" s="104"/>
      <c r="G46" s="108"/>
      <c r="H46" s="109"/>
      <c r="I46" s="110"/>
      <c r="J46" s="110"/>
      <c r="K46" s="110"/>
      <c r="L46" s="110"/>
      <c r="M46" s="110"/>
      <c r="N46" s="110"/>
      <c r="O46" s="110"/>
      <c r="P46" s="110"/>
      <c r="Q46" s="110"/>
      <c r="R46" s="110"/>
    </row>
    <row r="47" spans="1:18" s="14" customFormat="1" ht="15.75" customHeight="1">
      <c r="A47" s="37" t="s">
        <v>102</v>
      </c>
      <c r="B47" s="33"/>
      <c r="C47" s="33"/>
      <c r="D47" s="33"/>
      <c r="E47" s="120"/>
      <c r="F47" s="114"/>
      <c r="G47" s="38"/>
      <c r="H47" s="39"/>
      <c r="I47" s="38"/>
      <c r="J47" s="38"/>
      <c r="K47" s="38"/>
      <c r="L47" s="38"/>
      <c r="M47" s="38"/>
      <c r="N47" s="38"/>
      <c r="O47" s="38"/>
      <c r="P47" s="38"/>
      <c r="Q47" s="38"/>
      <c r="R47" s="38"/>
    </row>
    <row r="48" spans="1:18" s="14" customFormat="1" ht="15.75" customHeight="1">
      <c r="A48" s="40" t="s">
        <v>111</v>
      </c>
      <c r="B48" s="41">
        <f>SUM(B49:B54)</f>
        <v>12</v>
      </c>
      <c r="C48" s="42"/>
      <c r="D48" s="43"/>
      <c r="E48" s="53">
        <f>SUM(E49:E54)</f>
        <v>182047.00000000003</v>
      </c>
      <c r="F48" s="44">
        <f>+E48-(212047)</f>
        <v>-29999.99999999997</v>
      </c>
      <c r="G48" s="53">
        <f aca="true" t="shared" si="20" ref="G48:R48">SUM(G49:G54)</f>
        <v>15796.05</v>
      </c>
      <c r="H48" s="53">
        <f t="shared" si="20"/>
        <v>14267.400000000001</v>
      </c>
      <c r="I48" s="53">
        <f t="shared" si="20"/>
        <v>14340.84</v>
      </c>
      <c r="J48" s="53">
        <f t="shared" si="20"/>
        <v>12988.800000000001</v>
      </c>
      <c r="K48" s="53">
        <f t="shared" si="20"/>
        <v>13421.760000000002</v>
      </c>
      <c r="L48" s="53">
        <f t="shared" si="20"/>
        <v>12988.800000000001</v>
      </c>
      <c r="M48" s="53">
        <f t="shared" si="20"/>
        <v>13421.760000000002</v>
      </c>
      <c r="N48" s="53">
        <f t="shared" si="20"/>
        <v>13421.760000000002</v>
      </c>
      <c r="O48" s="53">
        <f t="shared" si="20"/>
        <v>12988.800000000001</v>
      </c>
      <c r="P48" s="53">
        <f t="shared" si="20"/>
        <v>13421.760000000002</v>
      </c>
      <c r="Q48" s="53">
        <f t="shared" si="20"/>
        <v>20465.170000000002</v>
      </c>
      <c r="R48" s="53">
        <f t="shared" si="20"/>
        <v>24524.100000000002</v>
      </c>
    </row>
    <row r="49" spans="1:18" s="14" customFormat="1" ht="15.75" customHeight="1">
      <c r="A49" s="45" t="s">
        <v>59</v>
      </c>
      <c r="B49" s="46">
        <v>4</v>
      </c>
      <c r="C49" s="47">
        <v>365</v>
      </c>
      <c r="D49" s="48">
        <v>72.54</v>
      </c>
      <c r="E49" s="52">
        <f>+B49*C49*D49</f>
        <v>105908.40000000001</v>
      </c>
      <c r="F49" s="36"/>
      <c r="G49" s="38">
        <f>B49*D49*31</f>
        <v>8994.960000000001</v>
      </c>
      <c r="H49" s="49">
        <f>B49*D49*28</f>
        <v>8124.4800000000005</v>
      </c>
      <c r="I49" s="38">
        <f>B49*D49*31</f>
        <v>8994.960000000001</v>
      </c>
      <c r="J49" s="38">
        <f>B49*D49*30</f>
        <v>8704.800000000001</v>
      </c>
      <c r="K49" s="38">
        <f>B49*D49*31</f>
        <v>8994.960000000001</v>
      </c>
      <c r="L49" s="38">
        <f>B49*D49*30</f>
        <v>8704.800000000001</v>
      </c>
      <c r="M49" s="38">
        <f>B49*D49*31</f>
        <v>8994.960000000001</v>
      </c>
      <c r="N49" s="38">
        <f>B49*D49*31</f>
        <v>8994.960000000001</v>
      </c>
      <c r="O49" s="38">
        <f>B49*D49*30</f>
        <v>8704.800000000001</v>
      </c>
      <c r="P49" s="38">
        <f>B49*D49*31</f>
        <v>8994.960000000001</v>
      </c>
      <c r="Q49" s="38">
        <f>B49*D49*30</f>
        <v>8704.800000000001</v>
      </c>
      <c r="R49" s="38">
        <f>B49*D49*31</f>
        <v>8994.960000000001</v>
      </c>
    </row>
    <row r="50" spans="1:18" s="14" customFormat="1" ht="15.75" customHeight="1">
      <c r="A50" s="45" t="s">
        <v>60</v>
      </c>
      <c r="B50" s="46">
        <v>1</v>
      </c>
      <c r="C50" s="47">
        <v>71</v>
      </c>
      <c r="D50" s="48">
        <v>76.59</v>
      </c>
      <c r="E50" s="52">
        <f>+B50*C50*D50</f>
        <v>5437.89</v>
      </c>
      <c r="F50" s="36"/>
      <c r="G50" s="38">
        <f>B50*D50*31</f>
        <v>2374.29</v>
      </c>
      <c r="H50" s="49">
        <f>B50*D50*28</f>
        <v>2144.52</v>
      </c>
      <c r="I50" s="38">
        <f>B50*D50*12</f>
        <v>919.08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</row>
    <row r="51" spans="1:18" s="14" customFormat="1" ht="15.75" customHeight="1">
      <c r="A51" s="45" t="s">
        <v>10</v>
      </c>
      <c r="B51" s="46">
        <v>2</v>
      </c>
      <c r="C51" s="47">
        <v>365</v>
      </c>
      <c r="D51" s="48">
        <v>71.4</v>
      </c>
      <c r="E51" s="52">
        <f>+B51*C51*D51</f>
        <v>52122.00000000001</v>
      </c>
      <c r="F51" s="36"/>
      <c r="G51" s="38">
        <f>B51*D51*31</f>
        <v>4426.8</v>
      </c>
      <c r="H51" s="49">
        <f>B51*D51*28</f>
        <v>3998.4000000000005</v>
      </c>
      <c r="I51" s="38">
        <f>B51*D51*31</f>
        <v>4426.8</v>
      </c>
      <c r="J51" s="38">
        <f>B51*D51*30</f>
        <v>4284</v>
      </c>
      <c r="K51" s="38">
        <f>B51*D51*31</f>
        <v>4426.8</v>
      </c>
      <c r="L51" s="38">
        <f>B51*D51*30</f>
        <v>4284</v>
      </c>
      <c r="M51" s="38">
        <f>B51*D51*31</f>
        <v>4426.8</v>
      </c>
      <c r="N51" s="38">
        <f>B51*D51*31</f>
        <v>4426.8</v>
      </c>
      <c r="O51" s="38">
        <f>B51*D51*30</f>
        <v>4284</v>
      </c>
      <c r="P51" s="38">
        <f>B51*D51*31</f>
        <v>4426.8</v>
      </c>
      <c r="Q51" s="38">
        <f>B51*D51*30</f>
        <v>4284</v>
      </c>
      <c r="R51" s="38">
        <f>B51*D51*31</f>
        <v>4426.8</v>
      </c>
    </row>
    <row r="52" spans="1:18" s="14" customFormat="1" ht="15.75" customHeight="1">
      <c r="A52" s="45" t="s">
        <v>59</v>
      </c>
      <c r="B52" s="46">
        <v>1</v>
      </c>
      <c r="C52" s="47">
        <v>55</v>
      </c>
      <c r="D52" s="48">
        <v>72.54</v>
      </c>
      <c r="E52" s="52">
        <f>+B52*C52*D52</f>
        <v>3989.7000000000003</v>
      </c>
      <c r="F52" s="36"/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f>B52*D52*24</f>
        <v>1740.96</v>
      </c>
      <c r="R52" s="38">
        <f>B52*D52*31</f>
        <v>2248.7400000000002</v>
      </c>
    </row>
    <row r="53" spans="1:18" s="14" customFormat="1" ht="15.75" customHeight="1">
      <c r="A53" s="45" t="s">
        <v>10</v>
      </c>
      <c r="B53" s="46">
        <v>4</v>
      </c>
      <c r="C53" s="47">
        <v>46</v>
      </c>
      <c r="D53" s="48">
        <v>71.4</v>
      </c>
      <c r="E53" s="52">
        <f>+B53*C53*D53</f>
        <v>13137.6</v>
      </c>
      <c r="F53" s="36"/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f>B53*D53*15</f>
        <v>4284</v>
      </c>
      <c r="R53" s="38">
        <f>B53*D53*31</f>
        <v>8853.6</v>
      </c>
    </row>
    <row r="54" spans="1:18" s="14" customFormat="1" ht="15.75" customHeight="1">
      <c r="A54" s="45" t="s">
        <v>8</v>
      </c>
      <c r="B54" s="46"/>
      <c r="C54" s="47"/>
      <c r="D54" s="48"/>
      <c r="E54" s="52">
        <v>1451.41</v>
      </c>
      <c r="F54" s="36"/>
      <c r="G54" s="52"/>
      <c r="H54" s="49"/>
      <c r="I54" s="38"/>
      <c r="J54" s="52"/>
      <c r="K54" s="52"/>
      <c r="L54" s="38"/>
      <c r="M54" s="38"/>
      <c r="N54" s="38"/>
      <c r="O54" s="38"/>
      <c r="P54" s="38"/>
      <c r="Q54" s="52">
        <v>1451.41</v>
      </c>
      <c r="R54" s="38"/>
    </row>
    <row r="55" spans="1:18" s="14" customFormat="1" ht="15.75" customHeight="1">
      <c r="A55" s="45"/>
      <c r="B55" s="46"/>
      <c r="C55" s="47"/>
      <c r="D55" s="48"/>
      <c r="E55" s="52"/>
      <c r="F55" s="36"/>
      <c r="G55" s="52"/>
      <c r="H55" s="39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1:18" s="14" customFormat="1" ht="15.75" customHeight="1">
      <c r="A56" s="37" t="s">
        <v>27</v>
      </c>
      <c r="B56" s="33"/>
      <c r="C56" s="33"/>
      <c r="D56" s="33"/>
      <c r="E56" s="120"/>
      <c r="F56" s="36"/>
      <c r="G56" s="38"/>
      <c r="H56" s="39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1:18" s="14" customFormat="1" ht="15.75" customHeight="1">
      <c r="A57" s="37" t="s">
        <v>103</v>
      </c>
      <c r="B57" s="33"/>
      <c r="C57" s="33"/>
      <c r="D57" s="33"/>
      <c r="E57" s="48"/>
      <c r="F57" s="24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</row>
    <row r="58" spans="1:18" s="14" customFormat="1" ht="15.75" customHeight="1">
      <c r="A58" s="40" t="s">
        <v>48</v>
      </c>
      <c r="B58" s="54"/>
      <c r="C58" s="42"/>
      <c r="D58" s="43"/>
      <c r="E58" s="43"/>
      <c r="F58" s="113"/>
      <c r="G58" s="38"/>
      <c r="H58" s="39"/>
      <c r="I58" s="38"/>
      <c r="J58" s="38"/>
      <c r="K58" s="38"/>
      <c r="L58" s="38"/>
      <c r="M58" s="38"/>
      <c r="N58" s="38"/>
      <c r="O58" s="38"/>
      <c r="P58" s="38"/>
      <c r="Q58" s="38"/>
      <c r="R58" s="43"/>
    </row>
    <row r="59" spans="1:20" s="14" customFormat="1" ht="15.75" customHeight="1">
      <c r="A59" s="40" t="s">
        <v>112</v>
      </c>
      <c r="B59" s="54">
        <f>SUM(B60:B81)</f>
        <v>89</v>
      </c>
      <c r="C59" s="42"/>
      <c r="D59" s="43"/>
      <c r="E59" s="43">
        <f>SUM(E60:E81)</f>
        <v>2257621</v>
      </c>
      <c r="F59" s="55">
        <f>+E59-(2300621)</f>
        <v>-43000</v>
      </c>
      <c r="G59" s="43">
        <f aca="true" t="shared" si="21" ref="G59:R59">SUM(G60:G81)</f>
        <v>192396.36999999997</v>
      </c>
      <c r="H59" s="43">
        <f t="shared" si="21"/>
        <v>172535.02000000008</v>
      </c>
      <c r="I59" s="43">
        <f t="shared" si="21"/>
        <v>188719.62999999998</v>
      </c>
      <c r="J59" s="43">
        <f t="shared" si="21"/>
        <v>183574.92</v>
      </c>
      <c r="K59" s="43">
        <f t="shared" si="21"/>
        <v>191911.38999999998</v>
      </c>
      <c r="L59" s="43">
        <f t="shared" si="21"/>
        <v>184808.1</v>
      </c>
      <c r="M59" s="43">
        <f t="shared" si="21"/>
        <v>190968.36999999997</v>
      </c>
      <c r="N59" s="43">
        <f t="shared" si="21"/>
        <v>190968.36999999997</v>
      </c>
      <c r="O59" s="43">
        <f t="shared" si="21"/>
        <v>184808.1</v>
      </c>
      <c r="P59" s="43">
        <f t="shared" si="21"/>
        <v>191967.96999999997</v>
      </c>
      <c r="Q59" s="43">
        <f t="shared" si="21"/>
        <v>188297.21000000002</v>
      </c>
      <c r="R59" s="43">
        <f t="shared" si="21"/>
        <v>196665.54999999996</v>
      </c>
      <c r="S59" s="93"/>
      <c r="T59" s="93"/>
    </row>
    <row r="60" spans="1:20" s="57" customFormat="1" ht="15.75" customHeight="1">
      <c r="A60" s="56" t="s">
        <v>66</v>
      </c>
      <c r="B60" s="46">
        <v>7</v>
      </c>
      <c r="C60" s="47">
        <v>365</v>
      </c>
      <c r="D60" s="48">
        <v>78.25</v>
      </c>
      <c r="E60" s="118">
        <f aca="true" t="shared" si="22" ref="E60:E67">+B60*C60*D60</f>
        <v>199928.75</v>
      </c>
      <c r="F60" s="24"/>
      <c r="G60" s="38">
        <f aca="true" t="shared" si="23" ref="G60:G65">B60*D60*31</f>
        <v>16980.25</v>
      </c>
      <c r="H60" s="49">
        <f aca="true" t="shared" si="24" ref="H60:H65">B60*D60*28</f>
        <v>15337</v>
      </c>
      <c r="I60" s="38">
        <f aca="true" t="shared" si="25" ref="I60:I65">B60*D60*31</f>
        <v>16980.25</v>
      </c>
      <c r="J60" s="38">
        <f aca="true" t="shared" si="26" ref="J60:J65">B60*D60*30</f>
        <v>16432.5</v>
      </c>
      <c r="K60" s="38">
        <f aca="true" t="shared" si="27" ref="K60:K66">B60*D60*31</f>
        <v>16980.25</v>
      </c>
      <c r="L60" s="38">
        <f aca="true" t="shared" si="28" ref="L60:L67">B60*D60*30</f>
        <v>16432.5</v>
      </c>
      <c r="M60" s="38">
        <f aca="true" t="shared" si="29" ref="M60:M67">B60*D60*31</f>
        <v>16980.25</v>
      </c>
      <c r="N60" s="38">
        <f aca="true" t="shared" si="30" ref="N60:N67">B60*D60*31</f>
        <v>16980.25</v>
      </c>
      <c r="O60" s="38">
        <f aca="true" t="shared" si="31" ref="O60:O67">B60*D60*30</f>
        <v>16432.5</v>
      </c>
      <c r="P60" s="38">
        <f aca="true" t="shared" si="32" ref="P60:P67">B60*D60*31</f>
        <v>16980.25</v>
      </c>
      <c r="Q60" s="38">
        <f aca="true" t="shared" si="33" ref="Q60:Q67">B60*D60*30</f>
        <v>16432.5</v>
      </c>
      <c r="R60" s="38">
        <f aca="true" t="shared" si="34" ref="R60:R67">B60*D60*31</f>
        <v>16980.25</v>
      </c>
      <c r="S60" s="93"/>
      <c r="T60" s="93"/>
    </row>
    <row r="61" spans="1:20" s="57" customFormat="1" ht="15.75" customHeight="1">
      <c r="A61" s="56" t="s">
        <v>64</v>
      </c>
      <c r="B61" s="46">
        <v>2</v>
      </c>
      <c r="C61" s="47">
        <v>365</v>
      </c>
      <c r="D61" s="48">
        <v>74.63</v>
      </c>
      <c r="E61" s="118">
        <f t="shared" si="22"/>
        <v>54479.899999999994</v>
      </c>
      <c r="F61" s="24"/>
      <c r="G61" s="38">
        <f t="shared" si="23"/>
        <v>4627.0599999999995</v>
      </c>
      <c r="H61" s="49">
        <f t="shared" si="24"/>
        <v>4179.28</v>
      </c>
      <c r="I61" s="38">
        <f t="shared" si="25"/>
        <v>4627.0599999999995</v>
      </c>
      <c r="J61" s="38">
        <f t="shared" si="26"/>
        <v>4477.799999999999</v>
      </c>
      <c r="K61" s="38">
        <f t="shared" si="27"/>
        <v>4627.0599999999995</v>
      </c>
      <c r="L61" s="38">
        <f t="shared" si="28"/>
        <v>4477.799999999999</v>
      </c>
      <c r="M61" s="38">
        <f t="shared" si="29"/>
        <v>4627.0599999999995</v>
      </c>
      <c r="N61" s="38">
        <f t="shared" si="30"/>
        <v>4627.0599999999995</v>
      </c>
      <c r="O61" s="38">
        <f t="shared" si="31"/>
        <v>4477.799999999999</v>
      </c>
      <c r="P61" s="38">
        <f t="shared" si="32"/>
        <v>4627.0599999999995</v>
      </c>
      <c r="Q61" s="38">
        <f t="shared" si="33"/>
        <v>4477.799999999999</v>
      </c>
      <c r="R61" s="38">
        <f t="shared" si="34"/>
        <v>4627.0599999999995</v>
      </c>
      <c r="S61" s="93"/>
      <c r="T61" s="93"/>
    </row>
    <row r="62" spans="1:20" s="14" customFormat="1" ht="15.75" customHeight="1">
      <c r="A62" s="45" t="s">
        <v>63</v>
      </c>
      <c r="B62" s="46">
        <v>1</v>
      </c>
      <c r="C62" s="47">
        <v>365</v>
      </c>
      <c r="D62" s="48">
        <v>74.63</v>
      </c>
      <c r="E62" s="118">
        <f t="shared" si="22"/>
        <v>27239.949999999997</v>
      </c>
      <c r="F62" s="36"/>
      <c r="G62" s="38">
        <f t="shared" si="23"/>
        <v>2313.5299999999997</v>
      </c>
      <c r="H62" s="49">
        <f t="shared" si="24"/>
        <v>2089.64</v>
      </c>
      <c r="I62" s="38">
        <f t="shared" si="25"/>
        <v>2313.5299999999997</v>
      </c>
      <c r="J62" s="38">
        <f t="shared" si="26"/>
        <v>2238.8999999999996</v>
      </c>
      <c r="K62" s="38">
        <f t="shared" si="27"/>
        <v>2313.5299999999997</v>
      </c>
      <c r="L62" s="38">
        <f t="shared" si="28"/>
        <v>2238.8999999999996</v>
      </c>
      <c r="M62" s="38">
        <f t="shared" si="29"/>
        <v>2313.5299999999997</v>
      </c>
      <c r="N62" s="38">
        <f t="shared" si="30"/>
        <v>2313.5299999999997</v>
      </c>
      <c r="O62" s="38">
        <f t="shared" si="31"/>
        <v>2238.8999999999996</v>
      </c>
      <c r="P62" s="38">
        <f t="shared" si="32"/>
        <v>2313.5299999999997</v>
      </c>
      <c r="Q62" s="38">
        <f t="shared" si="33"/>
        <v>2238.8999999999996</v>
      </c>
      <c r="R62" s="38">
        <f t="shared" si="34"/>
        <v>2313.5299999999997</v>
      </c>
      <c r="S62" s="93"/>
      <c r="T62" s="93"/>
    </row>
    <row r="63" spans="1:20" s="14" customFormat="1" ht="15.75" customHeight="1">
      <c r="A63" s="45" t="s">
        <v>70</v>
      </c>
      <c r="B63" s="46">
        <v>2</v>
      </c>
      <c r="C63" s="47">
        <v>365</v>
      </c>
      <c r="D63" s="48">
        <v>74.63</v>
      </c>
      <c r="E63" s="118">
        <f t="shared" si="22"/>
        <v>54479.899999999994</v>
      </c>
      <c r="F63" s="36"/>
      <c r="G63" s="38">
        <f t="shared" si="23"/>
        <v>4627.0599999999995</v>
      </c>
      <c r="H63" s="49">
        <f t="shared" si="24"/>
        <v>4179.28</v>
      </c>
      <c r="I63" s="38">
        <f t="shared" si="25"/>
        <v>4627.0599999999995</v>
      </c>
      <c r="J63" s="38">
        <f t="shared" si="26"/>
        <v>4477.799999999999</v>
      </c>
      <c r="K63" s="38">
        <f t="shared" si="27"/>
        <v>4627.0599999999995</v>
      </c>
      <c r="L63" s="38">
        <f t="shared" si="28"/>
        <v>4477.799999999999</v>
      </c>
      <c r="M63" s="38">
        <f t="shared" si="29"/>
        <v>4627.0599999999995</v>
      </c>
      <c r="N63" s="38">
        <f t="shared" si="30"/>
        <v>4627.0599999999995</v>
      </c>
      <c r="O63" s="38">
        <f t="shared" si="31"/>
        <v>4477.799999999999</v>
      </c>
      <c r="P63" s="38">
        <f t="shared" si="32"/>
        <v>4627.0599999999995</v>
      </c>
      <c r="Q63" s="38">
        <f t="shared" si="33"/>
        <v>4477.799999999999</v>
      </c>
      <c r="R63" s="38">
        <f t="shared" si="34"/>
        <v>4627.0599999999995</v>
      </c>
      <c r="S63" s="93"/>
      <c r="T63" s="93"/>
    </row>
    <row r="64" spans="1:20" s="14" customFormat="1" ht="15.75" customHeight="1">
      <c r="A64" s="45" t="s">
        <v>62</v>
      </c>
      <c r="B64" s="46">
        <v>1</v>
      </c>
      <c r="C64" s="47">
        <v>365</v>
      </c>
      <c r="D64" s="48">
        <v>74.63</v>
      </c>
      <c r="E64" s="118">
        <f t="shared" si="22"/>
        <v>27239.949999999997</v>
      </c>
      <c r="F64" s="36"/>
      <c r="G64" s="38">
        <f t="shared" si="23"/>
        <v>2313.5299999999997</v>
      </c>
      <c r="H64" s="49">
        <f t="shared" si="24"/>
        <v>2089.64</v>
      </c>
      <c r="I64" s="38">
        <f t="shared" si="25"/>
        <v>2313.5299999999997</v>
      </c>
      <c r="J64" s="38">
        <f t="shared" si="26"/>
        <v>2238.8999999999996</v>
      </c>
      <c r="K64" s="38">
        <f t="shared" si="27"/>
        <v>2313.5299999999997</v>
      </c>
      <c r="L64" s="38">
        <f t="shared" si="28"/>
        <v>2238.8999999999996</v>
      </c>
      <c r="M64" s="38">
        <f t="shared" si="29"/>
        <v>2313.5299999999997</v>
      </c>
      <c r="N64" s="38">
        <f t="shared" si="30"/>
        <v>2313.5299999999997</v>
      </c>
      <c r="O64" s="38">
        <f t="shared" si="31"/>
        <v>2238.8999999999996</v>
      </c>
      <c r="P64" s="38">
        <f t="shared" si="32"/>
        <v>2313.5299999999997</v>
      </c>
      <c r="Q64" s="38">
        <f t="shared" si="33"/>
        <v>2238.8999999999996</v>
      </c>
      <c r="R64" s="38">
        <f t="shared" si="34"/>
        <v>2313.5299999999997</v>
      </c>
      <c r="S64" s="93"/>
      <c r="T64" s="93"/>
    </row>
    <row r="65" spans="1:20" s="14" customFormat="1" ht="15.75" customHeight="1">
      <c r="A65" s="45" t="s">
        <v>59</v>
      </c>
      <c r="B65" s="46">
        <v>8</v>
      </c>
      <c r="C65" s="47">
        <v>365</v>
      </c>
      <c r="D65" s="48">
        <v>72.54</v>
      </c>
      <c r="E65" s="118">
        <f t="shared" si="22"/>
        <v>211816.80000000002</v>
      </c>
      <c r="F65" s="114"/>
      <c r="G65" s="38">
        <f t="shared" si="23"/>
        <v>17989.920000000002</v>
      </c>
      <c r="H65" s="49">
        <f t="shared" si="24"/>
        <v>16248.960000000001</v>
      </c>
      <c r="I65" s="38">
        <f t="shared" si="25"/>
        <v>17989.920000000002</v>
      </c>
      <c r="J65" s="38">
        <f t="shared" si="26"/>
        <v>17409.600000000002</v>
      </c>
      <c r="K65" s="38">
        <f t="shared" si="27"/>
        <v>17989.920000000002</v>
      </c>
      <c r="L65" s="38">
        <f>B65*D65*30</f>
        <v>17409.600000000002</v>
      </c>
      <c r="M65" s="38">
        <f>B65*D65*31</f>
        <v>17989.920000000002</v>
      </c>
      <c r="N65" s="38">
        <f>B65*D65*31</f>
        <v>17989.920000000002</v>
      </c>
      <c r="O65" s="38">
        <f>B65*D65*30</f>
        <v>17409.600000000002</v>
      </c>
      <c r="P65" s="38">
        <f>B65*D65*31</f>
        <v>17989.920000000002</v>
      </c>
      <c r="Q65" s="38">
        <f>B65*D65*30</f>
        <v>17409.600000000002</v>
      </c>
      <c r="R65" s="38">
        <f>B65*D65*31</f>
        <v>17989.920000000002</v>
      </c>
      <c r="S65" s="93"/>
      <c r="T65" s="93"/>
    </row>
    <row r="66" spans="1:20" s="14" customFormat="1" ht="15.75" customHeight="1">
      <c r="A66" s="45" t="s">
        <v>59</v>
      </c>
      <c r="B66" s="46">
        <v>1</v>
      </c>
      <c r="C66" s="47">
        <v>296</v>
      </c>
      <c r="D66" s="48">
        <v>72.54</v>
      </c>
      <c r="E66" s="118">
        <f>+B66*C66*D66</f>
        <v>21471.84</v>
      </c>
      <c r="F66" s="36"/>
      <c r="G66" s="38">
        <f aca="true" t="shared" si="35" ref="G66:G71">B66*D66*31</f>
        <v>2248.7400000000002</v>
      </c>
      <c r="H66" s="49">
        <f>B66*D66*7</f>
        <v>507.78000000000003</v>
      </c>
      <c r="I66" s="38">
        <v>0</v>
      </c>
      <c r="J66" s="38">
        <f>B66*D66*13</f>
        <v>943.0200000000001</v>
      </c>
      <c r="K66" s="38">
        <f t="shared" si="27"/>
        <v>2248.7400000000002</v>
      </c>
      <c r="L66" s="38">
        <f>B66*D66*30</f>
        <v>2176.2000000000003</v>
      </c>
      <c r="M66" s="38">
        <f>B66*D66*31</f>
        <v>2248.7400000000002</v>
      </c>
      <c r="N66" s="38">
        <f t="shared" si="30"/>
        <v>2248.7400000000002</v>
      </c>
      <c r="O66" s="38">
        <f t="shared" si="31"/>
        <v>2176.2000000000003</v>
      </c>
      <c r="P66" s="38">
        <f t="shared" si="32"/>
        <v>2248.7400000000002</v>
      </c>
      <c r="Q66" s="38">
        <f t="shared" si="33"/>
        <v>2176.2000000000003</v>
      </c>
      <c r="R66" s="38">
        <f t="shared" si="34"/>
        <v>2248.7400000000002</v>
      </c>
      <c r="S66" s="93"/>
      <c r="T66" s="93"/>
    </row>
    <row r="67" spans="1:20" s="14" customFormat="1" ht="15.75" customHeight="1">
      <c r="A67" s="45" t="s">
        <v>59</v>
      </c>
      <c r="B67" s="46">
        <v>1</v>
      </c>
      <c r="C67" s="47">
        <v>365</v>
      </c>
      <c r="D67" s="48">
        <v>72.54</v>
      </c>
      <c r="E67" s="118">
        <f t="shared" si="22"/>
        <v>26477.100000000002</v>
      </c>
      <c r="F67" s="36"/>
      <c r="G67" s="38">
        <f t="shared" si="35"/>
        <v>2248.7400000000002</v>
      </c>
      <c r="H67" s="49">
        <f aca="true" t="shared" si="36" ref="H67:H72">B67*D67*28</f>
        <v>2031.1200000000001</v>
      </c>
      <c r="I67" s="38">
        <f aca="true" t="shared" si="37" ref="I67:I72">B67*D67*31</f>
        <v>2248.7400000000002</v>
      </c>
      <c r="J67" s="38">
        <f>B67*D67*30</f>
        <v>2176.2000000000003</v>
      </c>
      <c r="K67" s="38">
        <f>B67*D67*44</f>
        <v>3191.76</v>
      </c>
      <c r="L67" s="38">
        <f t="shared" si="28"/>
        <v>2176.2000000000003</v>
      </c>
      <c r="M67" s="38">
        <f t="shared" si="29"/>
        <v>2248.7400000000002</v>
      </c>
      <c r="N67" s="38">
        <f t="shared" si="30"/>
        <v>2248.7400000000002</v>
      </c>
      <c r="O67" s="38">
        <f t="shared" si="31"/>
        <v>2176.2000000000003</v>
      </c>
      <c r="P67" s="38">
        <f t="shared" si="32"/>
        <v>2248.7400000000002</v>
      </c>
      <c r="Q67" s="38">
        <f t="shared" si="33"/>
        <v>2176.2000000000003</v>
      </c>
      <c r="R67" s="38">
        <f t="shared" si="34"/>
        <v>2248.7400000000002</v>
      </c>
      <c r="S67" s="93"/>
      <c r="T67" s="93"/>
    </row>
    <row r="68" spans="1:20" s="14" customFormat="1" ht="15.75" customHeight="1">
      <c r="A68" s="45" t="s">
        <v>65</v>
      </c>
      <c r="B68" s="46">
        <v>10</v>
      </c>
      <c r="C68" s="47">
        <v>365</v>
      </c>
      <c r="D68" s="48">
        <v>72.54</v>
      </c>
      <c r="E68" s="118">
        <f aca="true" t="shared" si="38" ref="E68:E74">+B68*C68*D68</f>
        <v>264771</v>
      </c>
      <c r="F68" s="36"/>
      <c r="G68" s="38">
        <f t="shared" si="35"/>
        <v>22487.4</v>
      </c>
      <c r="H68" s="49">
        <f t="shared" si="36"/>
        <v>20311.200000000004</v>
      </c>
      <c r="I68" s="38">
        <f t="shared" si="37"/>
        <v>22487.4</v>
      </c>
      <c r="J68" s="38">
        <f>B68*D68*30</f>
        <v>21762.000000000004</v>
      </c>
      <c r="K68" s="38">
        <f>B68*D68*31</f>
        <v>22487.4</v>
      </c>
      <c r="L68" s="38">
        <f>B68*D68*30</f>
        <v>21762.000000000004</v>
      </c>
      <c r="M68" s="38">
        <f>B68*D68*31</f>
        <v>22487.4</v>
      </c>
      <c r="N68" s="38">
        <f>B68*D68*31</f>
        <v>22487.4</v>
      </c>
      <c r="O68" s="38">
        <f>B68*D68*30</f>
        <v>21762.000000000004</v>
      </c>
      <c r="P68" s="38">
        <f>B68*D68*31</f>
        <v>22487.4</v>
      </c>
      <c r="Q68" s="38">
        <f>B68*D68*30</f>
        <v>21762.000000000004</v>
      </c>
      <c r="R68" s="38">
        <f>B68*D68*31</f>
        <v>22487.4</v>
      </c>
      <c r="S68" s="93"/>
      <c r="T68" s="93"/>
    </row>
    <row r="69" spans="1:20" s="14" customFormat="1" ht="15.75" customHeight="1">
      <c r="A69" s="45" t="s">
        <v>68</v>
      </c>
      <c r="B69" s="46">
        <v>1</v>
      </c>
      <c r="C69" s="47">
        <v>344</v>
      </c>
      <c r="D69" s="48">
        <v>72.54</v>
      </c>
      <c r="E69" s="118">
        <f t="shared" si="38"/>
        <v>24953.760000000002</v>
      </c>
      <c r="F69" s="36"/>
      <c r="G69" s="38">
        <f t="shared" si="35"/>
        <v>2248.7400000000002</v>
      </c>
      <c r="H69" s="49">
        <f t="shared" si="36"/>
        <v>2031.1200000000001</v>
      </c>
      <c r="I69" s="38">
        <f t="shared" si="37"/>
        <v>2248.7400000000002</v>
      </c>
      <c r="J69" s="38">
        <f>B69*D69*30</f>
        <v>2176.2000000000003</v>
      </c>
      <c r="K69" s="38">
        <f>B69*D69*31</f>
        <v>2248.7400000000002</v>
      </c>
      <c r="L69" s="38">
        <f>B69*D69*30</f>
        <v>2176.2000000000003</v>
      </c>
      <c r="M69" s="38">
        <f>B69*D69*31</f>
        <v>2248.7400000000002</v>
      </c>
      <c r="N69" s="38">
        <f>B69*D69*31</f>
        <v>2248.7400000000002</v>
      </c>
      <c r="O69" s="38">
        <f>B69*D69*30</f>
        <v>2176.2000000000003</v>
      </c>
      <c r="P69" s="38">
        <f>B69*D69*31</f>
        <v>2248.7400000000002</v>
      </c>
      <c r="Q69" s="38">
        <f>B69*D69*9</f>
        <v>652.86</v>
      </c>
      <c r="R69" s="38">
        <f>B69*D69*31</f>
        <v>2248.7400000000002</v>
      </c>
      <c r="S69" s="93"/>
      <c r="T69" s="93"/>
    </row>
    <row r="70" spans="1:20" s="14" customFormat="1" ht="15.75" customHeight="1">
      <c r="A70" s="45" t="s">
        <v>67</v>
      </c>
      <c r="B70" s="46">
        <v>43</v>
      </c>
      <c r="C70" s="47">
        <v>365</v>
      </c>
      <c r="D70" s="48">
        <v>71.4</v>
      </c>
      <c r="E70" s="118">
        <f t="shared" si="38"/>
        <v>1120623</v>
      </c>
      <c r="F70" s="36"/>
      <c r="G70" s="38">
        <f t="shared" si="35"/>
        <v>95176.20000000001</v>
      </c>
      <c r="H70" s="49">
        <f t="shared" si="36"/>
        <v>85965.6</v>
      </c>
      <c r="I70" s="38">
        <f t="shared" si="37"/>
        <v>95176.20000000001</v>
      </c>
      <c r="J70" s="38">
        <f>B70*D70*30</f>
        <v>92106.00000000001</v>
      </c>
      <c r="K70" s="38">
        <f>B70*D70*31</f>
        <v>95176.20000000001</v>
      </c>
      <c r="L70" s="38">
        <f>B70*D70*30</f>
        <v>92106.00000000001</v>
      </c>
      <c r="M70" s="38">
        <f>B70*D70*31</f>
        <v>95176.20000000001</v>
      </c>
      <c r="N70" s="38">
        <f>B70*D70*31</f>
        <v>95176.20000000001</v>
      </c>
      <c r="O70" s="38">
        <f>B70*D70*30</f>
        <v>92106.00000000001</v>
      </c>
      <c r="P70" s="38">
        <f>B70*D70*31</f>
        <v>95176.20000000001</v>
      </c>
      <c r="Q70" s="38">
        <f>B70*D70*30</f>
        <v>92106.00000000001</v>
      </c>
      <c r="R70" s="38">
        <f>B70*D70*31</f>
        <v>95176.20000000001</v>
      </c>
      <c r="S70" s="93"/>
      <c r="T70" s="93"/>
    </row>
    <row r="71" spans="1:20" s="14" customFormat="1" ht="15.75" customHeight="1">
      <c r="A71" s="45" t="s">
        <v>67</v>
      </c>
      <c r="B71" s="46">
        <v>1</v>
      </c>
      <c r="C71" s="47">
        <v>150</v>
      </c>
      <c r="D71" s="48">
        <v>71.4</v>
      </c>
      <c r="E71" s="118">
        <f t="shared" si="38"/>
        <v>10710</v>
      </c>
      <c r="F71" s="36"/>
      <c r="G71" s="38">
        <f t="shared" si="35"/>
        <v>2213.4</v>
      </c>
      <c r="H71" s="49">
        <f t="shared" si="36"/>
        <v>1999.2000000000003</v>
      </c>
      <c r="I71" s="38">
        <f t="shared" si="37"/>
        <v>2213.4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f>B71*D71*29</f>
        <v>2070.6000000000004</v>
      </c>
      <c r="R71" s="38">
        <f>B71*D71*31</f>
        <v>2213.4</v>
      </c>
      <c r="S71" s="93"/>
      <c r="T71" s="93"/>
    </row>
    <row r="72" spans="1:20" s="14" customFormat="1" ht="15.75" customHeight="1">
      <c r="A72" s="45" t="s">
        <v>67</v>
      </c>
      <c r="B72" s="46">
        <v>1</v>
      </c>
      <c r="C72" s="47">
        <v>354</v>
      </c>
      <c r="D72" s="48">
        <v>71.4</v>
      </c>
      <c r="E72" s="118">
        <f t="shared" si="38"/>
        <v>25275.600000000002</v>
      </c>
      <c r="F72" s="36"/>
      <c r="G72" s="38">
        <f>B72*D72*20</f>
        <v>1428</v>
      </c>
      <c r="H72" s="49">
        <f t="shared" si="36"/>
        <v>1999.2000000000003</v>
      </c>
      <c r="I72" s="38">
        <f t="shared" si="37"/>
        <v>2213.4</v>
      </c>
      <c r="J72" s="38">
        <f>B72*D72*30</f>
        <v>2142</v>
      </c>
      <c r="K72" s="38">
        <f>B72*D72*31</f>
        <v>2213.4</v>
      </c>
      <c r="L72" s="38">
        <f>B72*D72*30</f>
        <v>2142</v>
      </c>
      <c r="M72" s="38">
        <f>B72*D72*31</f>
        <v>2213.4</v>
      </c>
      <c r="N72" s="38">
        <f>B72*D72*31</f>
        <v>2213.4</v>
      </c>
      <c r="O72" s="38">
        <f>B72*D72*30</f>
        <v>2142</v>
      </c>
      <c r="P72" s="38">
        <f>B72*D72*31</f>
        <v>2213.4</v>
      </c>
      <c r="Q72" s="38">
        <f>B72*D72*30</f>
        <v>2142</v>
      </c>
      <c r="R72" s="38">
        <f>B72*D72*31</f>
        <v>2213.4</v>
      </c>
      <c r="S72" s="93"/>
      <c r="T72" s="93"/>
    </row>
    <row r="73" spans="1:20" s="14" customFormat="1" ht="15.75" customHeight="1">
      <c r="A73" s="45" t="s">
        <v>67</v>
      </c>
      <c r="B73" s="46">
        <v>1</v>
      </c>
      <c r="C73" s="47">
        <v>40</v>
      </c>
      <c r="D73" s="48">
        <v>71.4</v>
      </c>
      <c r="E73" s="118">
        <f t="shared" si="38"/>
        <v>2856</v>
      </c>
      <c r="F73" s="36"/>
      <c r="G73" s="38">
        <f>B73*D73*31</f>
        <v>2213.4</v>
      </c>
      <c r="H73" s="49">
        <f>B73*D73*9</f>
        <v>642.6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93"/>
      <c r="T73" s="93"/>
    </row>
    <row r="74" spans="1:20" s="14" customFormat="1" ht="15.75" customHeight="1">
      <c r="A74" s="45" t="s">
        <v>67</v>
      </c>
      <c r="B74" s="46">
        <v>1</v>
      </c>
      <c r="C74" s="47">
        <v>305</v>
      </c>
      <c r="D74" s="48">
        <v>71.4</v>
      </c>
      <c r="E74" s="118">
        <f t="shared" si="38"/>
        <v>21777</v>
      </c>
      <c r="F74" s="36"/>
      <c r="G74" s="38">
        <f>B74*D74*31</f>
        <v>2213.4</v>
      </c>
      <c r="H74" s="49">
        <f>B74*D74*28</f>
        <v>1999.2000000000003</v>
      </c>
      <c r="I74" s="38">
        <f>B74*D74*31</f>
        <v>2213.4</v>
      </c>
      <c r="J74" s="38">
        <f>B74*D74*30</f>
        <v>2142</v>
      </c>
      <c r="K74" s="38">
        <f>B74*D74*31</f>
        <v>2213.4</v>
      </c>
      <c r="L74" s="38">
        <f>B74*D74*30</f>
        <v>2142</v>
      </c>
      <c r="M74" s="38">
        <f>B74*D74*31</f>
        <v>2213.4</v>
      </c>
      <c r="N74" s="38">
        <f>B74*D74*31</f>
        <v>2213.4</v>
      </c>
      <c r="O74" s="38">
        <f>B74*D74*30</f>
        <v>2142</v>
      </c>
      <c r="P74" s="38">
        <f>B74*D74*31</f>
        <v>2213.4</v>
      </c>
      <c r="Q74" s="38">
        <f>B74*D74*1</f>
        <v>71.4</v>
      </c>
      <c r="R74" s="38">
        <v>1270.38</v>
      </c>
      <c r="S74" s="93"/>
      <c r="T74" s="93"/>
    </row>
    <row r="75" spans="1:20" s="14" customFormat="1" ht="15.75" customHeight="1">
      <c r="A75" s="45" t="s">
        <v>10</v>
      </c>
      <c r="B75" s="46">
        <v>3</v>
      </c>
      <c r="C75" s="47">
        <v>365</v>
      </c>
      <c r="D75" s="48">
        <v>71.4</v>
      </c>
      <c r="E75" s="118">
        <f aca="true" t="shared" si="39" ref="E75:E80">+B75*C75*D75</f>
        <v>78183</v>
      </c>
      <c r="F75" s="36"/>
      <c r="G75" s="38">
        <f>B75*D75*31</f>
        <v>6640.200000000001</v>
      </c>
      <c r="H75" s="49">
        <f>B75*D75*28</f>
        <v>5997.6</v>
      </c>
      <c r="I75" s="38">
        <f>B75*D75*31</f>
        <v>6640.200000000001</v>
      </c>
      <c r="J75" s="38">
        <f>B75*D75*30</f>
        <v>6426.000000000001</v>
      </c>
      <c r="K75" s="38">
        <f>B75*D75*31</f>
        <v>6640.200000000001</v>
      </c>
      <c r="L75" s="38">
        <f>B75*D75*30</f>
        <v>6426.000000000001</v>
      </c>
      <c r="M75" s="38">
        <f>B75*D75*31</f>
        <v>6640.200000000001</v>
      </c>
      <c r="N75" s="38">
        <f>B75*D75*31</f>
        <v>6640.200000000001</v>
      </c>
      <c r="O75" s="38">
        <f>B75*D75*30</f>
        <v>6426.000000000001</v>
      </c>
      <c r="P75" s="38">
        <f>B75*D75*31</f>
        <v>6640.200000000001</v>
      </c>
      <c r="Q75" s="38">
        <f>B75*D75*30</f>
        <v>6426.000000000001</v>
      </c>
      <c r="R75" s="38">
        <f aca="true" t="shared" si="40" ref="R75:R80">B75*D75*31</f>
        <v>6640.200000000001</v>
      </c>
      <c r="S75" s="93"/>
      <c r="T75" s="93"/>
    </row>
    <row r="76" spans="1:20" s="14" customFormat="1" ht="15.75" customHeight="1">
      <c r="A76" s="45" t="s">
        <v>10</v>
      </c>
      <c r="B76" s="46">
        <v>1</v>
      </c>
      <c r="C76" s="47">
        <v>319</v>
      </c>
      <c r="D76" s="48">
        <v>71.4</v>
      </c>
      <c r="E76" s="118">
        <f t="shared" si="39"/>
        <v>22776.600000000002</v>
      </c>
      <c r="F76" s="36"/>
      <c r="G76" s="38">
        <v>0</v>
      </c>
      <c r="H76" s="49">
        <f>B76*D76*13</f>
        <v>928.2</v>
      </c>
      <c r="I76" s="38">
        <v>0</v>
      </c>
      <c r="J76" s="38">
        <f>B76*D76*30</f>
        <v>2142</v>
      </c>
      <c r="K76" s="38">
        <f>B76*D76*31</f>
        <v>2213.4</v>
      </c>
      <c r="L76" s="38">
        <f>B76*D76*30</f>
        <v>2142</v>
      </c>
      <c r="M76" s="38">
        <f>B76*D76*31</f>
        <v>2213.4</v>
      </c>
      <c r="N76" s="38">
        <f>B76*D76*31</f>
        <v>2213.4</v>
      </c>
      <c r="O76" s="38">
        <f>B76*D76*30</f>
        <v>2142</v>
      </c>
      <c r="P76" s="38">
        <f>B76*D76*31</f>
        <v>2213.4</v>
      </c>
      <c r="Q76" s="38">
        <f>B76*D76*30</f>
        <v>2142</v>
      </c>
      <c r="R76" s="38">
        <f t="shared" si="40"/>
        <v>2213.4</v>
      </c>
      <c r="S76" s="93"/>
      <c r="T76" s="93"/>
    </row>
    <row r="77" spans="1:20" s="14" customFormat="1" ht="15.75" customHeight="1">
      <c r="A77" s="45" t="s">
        <v>10</v>
      </c>
      <c r="B77" s="46">
        <v>1</v>
      </c>
      <c r="C77" s="47">
        <v>46</v>
      </c>
      <c r="D77" s="48">
        <v>71.4</v>
      </c>
      <c r="E77" s="118">
        <f t="shared" si="39"/>
        <v>3284.4</v>
      </c>
      <c r="F77" s="36"/>
      <c r="G77" s="38">
        <v>0</v>
      </c>
      <c r="H77" s="49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f>B77*D77*15</f>
        <v>1071</v>
      </c>
      <c r="R77" s="38">
        <f t="shared" si="40"/>
        <v>2213.4</v>
      </c>
      <c r="S77" s="93"/>
      <c r="T77" s="93"/>
    </row>
    <row r="78" spans="1:20" s="14" customFormat="1" ht="15.75" customHeight="1">
      <c r="A78" s="45" t="s">
        <v>10</v>
      </c>
      <c r="B78" s="46">
        <v>1</v>
      </c>
      <c r="C78" s="47">
        <v>75</v>
      </c>
      <c r="D78" s="48">
        <v>71.4</v>
      </c>
      <c r="E78" s="118">
        <f t="shared" si="39"/>
        <v>5355</v>
      </c>
      <c r="F78" s="36"/>
      <c r="G78" s="38">
        <v>0</v>
      </c>
      <c r="H78" s="49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f>B78*D78*14</f>
        <v>999.6000000000001</v>
      </c>
      <c r="Q78" s="38">
        <f>B78*D78*30</f>
        <v>2142</v>
      </c>
      <c r="R78" s="38">
        <f t="shared" si="40"/>
        <v>2213.4</v>
      </c>
      <c r="S78" s="93"/>
      <c r="T78" s="93"/>
    </row>
    <row r="79" spans="1:20" s="14" customFormat="1" ht="15.75" customHeight="1">
      <c r="A79" s="45" t="s">
        <v>61</v>
      </c>
      <c r="B79" s="46">
        <v>1</v>
      </c>
      <c r="C79" s="47">
        <v>365</v>
      </c>
      <c r="D79" s="48">
        <v>71.4</v>
      </c>
      <c r="E79" s="118">
        <f t="shared" si="39"/>
        <v>26061.000000000004</v>
      </c>
      <c r="F79" s="36"/>
      <c r="G79" s="38">
        <f>B79*D79*31</f>
        <v>2213.4</v>
      </c>
      <c r="H79" s="49">
        <f>B79*D79*28</f>
        <v>1999.2000000000003</v>
      </c>
      <c r="I79" s="38">
        <f>B79*D79*31</f>
        <v>2213.4</v>
      </c>
      <c r="J79" s="38">
        <f>B79*D79*30</f>
        <v>2142</v>
      </c>
      <c r="K79" s="38">
        <f>B79*D79*31</f>
        <v>2213.4</v>
      </c>
      <c r="L79" s="38">
        <f>B79*D79*30</f>
        <v>2142</v>
      </c>
      <c r="M79" s="38">
        <f>B79*D79*31</f>
        <v>2213.4</v>
      </c>
      <c r="N79" s="38">
        <f>B79*D79*31</f>
        <v>2213.4</v>
      </c>
      <c r="O79" s="38">
        <f>B79*D79*30</f>
        <v>2142</v>
      </c>
      <c r="P79" s="38">
        <f>B79*D79*31</f>
        <v>2213.4</v>
      </c>
      <c r="Q79" s="38">
        <f>B79*D79*30</f>
        <v>2142</v>
      </c>
      <c r="R79" s="38">
        <f t="shared" si="40"/>
        <v>2213.4</v>
      </c>
      <c r="S79" s="93"/>
      <c r="T79" s="93"/>
    </row>
    <row r="80" spans="1:20" s="14" customFormat="1" ht="15.75" customHeight="1">
      <c r="A80" s="45" t="s">
        <v>69</v>
      </c>
      <c r="B80" s="46">
        <v>1</v>
      </c>
      <c r="C80" s="47">
        <v>365</v>
      </c>
      <c r="D80" s="48">
        <v>71.4</v>
      </c>
      <c r="E80" s="118">
        <f t="shared" si="39"/>
        <v>26061.000000000004</v>
      </c>
      <c r="F80" s="36"/>
      <c r="G80" s="38">
        <f>B80*D80*31</f>
        <v>2213.4</v>
      </c>
      <c r="H80" s="49">
        <f>B80*D80*28</f>
        <v>1999.2000000000003</v>
      </c>
      <c r="I80" s="38">
        <f>B80*D80*31</f>
        <v>2213.4</v>
      </c>
      <c r="J80" s="38">
        <f>B80*D80*30</f>
        <v>2142</v>
      </c>
      <c r="K80" s="38">
        <f>B80*D80*31</f>
        <v>2213.4</v>
      </c>
      <c r="L80" s="38">
        <f>B80*D80*30</f>
        <v>2142</v>
      </c>
      <c r="M80" s="38">
        <f>B80*D80*31</f>
        <v>2213.4</v>
      </c>
      <c r="N80" s="38">
        <f>B80*D80*31</f>
        <v>2213.4</v>
      </c>
      <c r="O80" s="38">
        <f>B80*D80*30</f>
        <v>2142</v>
      </c>
      <c r="P80" s="38">
        <f>B80*D80*31</f>
        <v>2213.4</v>
      </c>
      <c r="Q80" s="38">
        <f>B80*D80*30</f>
        <v>2142</v>
      </c>
      <c r="R80" s="38">
        <f t="shared" si="40"/>
        <v>2213.4</v>
      </c>
      <c r="S80" s="93"/>
      <c r="T80" s="93"/>
    </row>
    <row r="81" spans="1:20" s="14" customFormat="1" ht="15.75" customHeight="1">
      <c r="A81" s="62" t="s">
        <v>8</v>
      </c>
      <c r="B81" s="63"/>
      <c r="C81" s="64"/>
      <c r="D81" s="65"/>
      <c r="E81" s="101">
        <v>1799.45</v>
      </c>
      <c r="F81" s="67"/>
      <c r="G81" s="101"/>
      <c r="H81" s="69"/>
      <c r="I81" s="68"/>
      <c r="J81" s="101"/>
      <c r="K81" s="101"/>
      <c r="L81" s="68"/>
      <c r="M81" s="68"/>
      <c r="N81" s="68"/>
      <c r="O81" s="68"/>
      <c r="P81" s="68"/>
      <c r="Q81" s="66">
        <v>1799.45</v>
      </c>
      <c r="R81" s="68"/>
      <c r="S81" s="93"/>
      <c r="T81" s="93"/>
    </row>
    <row r="82" spans="1:18" s="14" customFormat="1" ht="19.5" customHeight="1">
      <c r="A82" s="103"/>
      <c r="B82" s="105"/>
      <c r="C82" s="106"/>
      <c r="D82" s="107"/>
      <c r="E82" s="108"/>
      <c r="F82" s="104"/>
      <c r="G82" s="107"/>
      <c r="H82" s="109"/>
      <c r="I82" s="110"/>
      <c r="J82" s="110"/>
      <c r="K82" s="110"/>
      <c r="L82" s="110"/>
      <c r="M82" s="110"/>
      <c r="N82" s="110"/>
      <c r="O82" s="110"/>
      <c r="P82" s="110"/>
      <c r="Q82" s="110"/>
      <c r="R82" s="110"/>
    </row>
    <row r="83" spans="1:18" s="14" customFormat="1" ht="15.75" customHeight="1">
      <c r="A83" s="40" t="s">
        <v>47</v>
      </c>
      <c r="B83" s="42"/>
      <c r="C83" s="47"/>
      <c r="D83" s="43"/>
      <c r="E83" s="53"/>
      <c r="F83" s="11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</row>
    <row r="84" spans="1:18" s="14" customFormat="1" ht="15.75" customHeight="1">
      <c r="A84" s="40" t="s">
        <v>113</v>
      </c>
      <c r="B84" s="54">
        <f>SUM(B85:B92)</f>
        <v>54</v>
      </c>
      <c r="C84" s="47"/>
      <c r="D84" s="48"/>
      <c r="E84" s="58">
        <f>SUM(E85:E92)</f>
        <v>1411742</v>
      </c>
      <c r="F84" s="44">
        <f>+E84-(1424168-6426)</f>
        <v>-6000</v>
      </c>
      <c r="G84" s="58">
        <f aca="true" t="shared" si="41" ref="G84:R84">SUM(G85:G92)</f>
        <v>118743.33</v>
      </c>
      <c r="H84" s="58">
        <f t="shared" si="41"/>
        <v>107252.04000000001</v>
      </c>
      <c r="I84" s="58">
        <f t="shared" si="41"/>
        <v>118743.33</v>
      </c>
      <c r="J84" s="58">
        <f t="shared" si="41"/>
        <v>114912.9</v>
      </c>
      <c r="K84" s="58">
        <f t="shared" si="41"/>
        <v>119671.53</v>
      </c>
      <c r="L84" s="58">
        <f t="shared" si="41"/>
        <v>117054.9</v>
      </c>
      <c r="M84" s="58">
        <f t="shared" si="41"/>
        <v>120956.73</v>
      </c>
      <c r="N84" s="58">
        <f t="shared" si="41"/>
        <v>118743.32999999999</v>
      </c>
      <c r="O84" s="58">
        <f t="shared" si="41"/>
        <v>116412.3</v>
      </c>
      <c r="P84" s="58">
        <f t="shared" si="41"/>
        <v>120956.73</v>
      </c>
      <c r="Q84" s="58">
        <f t="shared" si="41"/>
        <v>117338.15</v>
      </c>
      <c r="R84" s="58">
        <f t="shared" si="41"/>
        <v>120956.73</v>
      </c>
    </row>
    <row r="85" spans="1:18" s="14" customFormat="1" ht="15.75" customHeight="1">
      <c r="A85" s="45" t="s">
        <v>59</v>
      </c>
      <c r="B85" s="46">
        <v>1</v>
      </c>
      <c r="C85" s="47">
        <v>365</v>
      </c>
      <c r="D85" s="48">
        <v>72.54</v>
      </c>
      <c r="E85" s="52">
        <f aca="true" t="shared" si="42" ref="E85:E90">+B85*C85*D85</f>
        <v>26477.100000000002</v>
      </c>
      <c r="F85" s="36"/>
      <c r="G85" s="38">
        <f aca="true" t="shared" si="43" ref="G85:G90">B85*D85*31</f>
        <v>2248.7400000000002</v>
      </c>
      <c r="H85" s="49">
        <f aca="true" t="shared" si="44" ref="H85:H90">B85*D85*28</f>
        <v>2031.1200000000001</v>
      </c>
      <c r="I85" s="38">
        <f aca="true" t="shared" si="45" ref="I85:I90">B85*D85*31</f>
        <v>2248.7400000000002</v>
      </c>
      <c r="J85" s="38">
        <f aca="true" t="shared" si="46" ref="J85:J90">B85*D85*30</f>
        <v>2176.2000000000003</v>
      </c>
      <c r="K85" s="38">
        <f aca="true" t="shared" si="47" ref="K85:K90">B85*D85*31</f>
        <v>2248.7400000000002</v>
      </c>
      <c r="L85" s="38">
        <f aca="true" t="shared" si="48" ref="L85:L91">B85*D85*30</f>
        <v>2176.2000000000003</v>
      </c>
      <c r="M85" s="38">
        <f aca="true" t="shared" si="49" ref="M85:M90">B85*D85*31</f>
        <v>2248.7400000000002</v>
      </c>
      <c r="N85" s="38">
        <f aca="true" t="shared" si="50" ref="N85:N90">B85*D85*31</f>
        <v>2248.7400000000002</v>
      </c>
      <c r="O85" s="38">
        <f aca="true" t="shared" si="51" ref="O85:O90">B85*D85*30</f>
        <v>2176.2000000000003</v>
      </c>
      <c r="P85" s="38">
        <f aca="true" t="shared" si="52" ref="P85:P90">B85*D85*31</f>
        <v>2248.7400000000002</v>
      </c>
      <c r="Q85" s="38">
        <f aca="true" t="shared" si="53" ref="Q85:Q90">B85*D85*30</f>
        <v>2176.2000000000003</v>
      </c>
      <c r="R85" s="38">
        <f aca="true" t="shared" si="54" ref="R85:R90">B85*D85*31</f>
        <v>2248.7400000000002</v>
      </c>
    </row>
    <row r="86" spans="1:18" s="14" customFormat="1" ht="15.75" customHeight="1">
      <c r="A86" s="45" t="s">
        <v>71</v>
      </c>
      <c r="B86" s="46">
        <v>2</v>
      </c>
      <c r="C86" s="47">
        <v>365</v>
      </c>
      <c r="D86" s="48">
        <v>73.59</v>
      </c>
      <c r="E86" s="52">
        <f t="shared" si="42"/>
        <v>53720.700000000004</v>
      </c>
      <c r="F86" s="36"/>
      <c r="G86" s="38">
        <f t="shared" si="43"/>
        <v>4562.58</v>
      </c>
      <c r="H86" s="49">
        <f t="shared" si="44"/>
        <v>4121.04</v>
      </c>
      <c r="I86" s="38">
        <f t="shared" si="45"/>
        <v>4562.58</v>
      </c>
      <c r="J86" s="38">
        <f t="shared" si="46"/>
        <v>4415.400000000001</v>
      </c>
      <c r="K86" s="38">
        <f t="shared" si="47"/>
        <v>4562.58</v>
      </c>
      <c r="L86" s="38">
        <f t="shared" si="48"/>
        <v>4415.400000000001</v>
      </c>
      <c r="M86" s="38">
        <f t="shared" si="49"/>
        <v>4562.58</v>
      </c>
      <c r="N86" s="38">
        <f t="shared" si="50"/>
        <v>4562.58</v>
      </c>
      <c r="O86" s="38">
        <f t="shared" si="51"/>
        <v>4415.400000000001</v>
      </c>
      <c r="P86" s="38">
        <f t="shared" si="52"/>
        <v>4562.58</v>
      </c>
      <c r="Q86" s="38">
        <f t="shared" si="53"/>
        <v>4415.400000000001</v>
      </c>
      <c r="R86" s="38">
        <f t="shared" si="54"/>
        <v>4562.58</v>
      </c>
    </row>
    <row r="87" spans="1:18" s="14" customFormat="1" ht="15.75" customHeight="1">
      <c r="A87" s="45" t="s">
        <v>72</v>
      </c>
      <c r="B87" s="46">
        <v>2</v>
      </c>
      <c r="C87" s="47">
        <v>365</v>
      </c>
      <c r="D87" s="48">
        <v>74.63</v>
      </c>
      <c r="E87" s="52">
        <f t="shared" si="42"/>
        <v>54479.899999999994</v>
      </c>
      <c r="F87" s="36"/>
      <c r="G87" s="38">
        <f t="shared" si="43"/>
        <v>4627.0599999999995</v>
      </c>
      <c r="H87" s="49">
        <f t="shared" si="44"/>
        <v>4179.28</v>
      </c>
      <c r="I87" s="38">
        <f t="shared" si="45"/>
        <v>4627.0599999999995</v>
      </c>
      <c r="J87" s="38">
        <f t="shared" si="46"/>
        <v>4477.799999999999</v>
      </c>
      <c r="K87" s="38">
        <f t="shared" si="47"/>
        <v>4627.0599999999995</v>
      </c>
      <c r="L87" s="38">
        <f t="shared" si="48"/>
        <v>4477.799999999999</v>
      </c>
      <c r="M87" s="38">
        <f t="shared" si="49"/>
        <v>4627.0599999999995</v>
      </c>
      <c r="N87" s="38">
        <f t="shared" si="50"/>
        <v>4627.0599999999995</v>
      </c>
      <c r="O87" s="38">
        <f t="shared" si="51"/>
        <v>4477.799999999999</v>
      </c>
      <c r="P87" s="38">
        <f t="shared" si="52"/>
        <v>4627.0599999999995</v>
      </c>
      <c r="Q87" s="38">
        <f t="shared" si="53"/>
        <v>4477.799999999999</v>
      </c>
      <c r="R87" s="38">
        <f t="shared" si="54"/>
        <v>4627.0599999999995</v>
      </c>
    </row>
    <row r="88" spans="1:18" s="14" customFormat="1" ht="15.75" customHeight="1">
      <c r="A88" s="45" t="s">
        <v>10</v>
      </c>
      <c r="B88" s="46">
        <v>1</v>
      </c>
      <c r="C88" s="47">
        <v>325</v>
      </c>
      <c r="D88" s="48">
        <v>71.4</v>
      </c>
      <c r="E88" s="52">
        <f t="shared" si="42"/>
        <v>23205.000000000004</v>
      </c>
      <c r="F88" s="36"/>
      <c r="G88" s="38">
        <f t="shared" si="43"/>
        <v>2213.4</v>
      </c>
      <c r="H88" s="49">
        <f t="shared" si="44"/>
        <v>1999.2000000000003</v>
      </c>
      <c r="I88" s="38">
        <f t="shared" si="45"/>
        <v>2213.4</v>
      </c>
      <c r="J88" s="38">
        <f t="shared" si="46"/>
        <v>2142</v>
      </c>
      <c r="K88" s="38">
        <f t="shared" si="47"/>
        <v>2213.4</v>
      </c>
      <c r="L88" s="38">
        <f t="shared" si="48"/>
        <v>2142</v>
      </c>
      <c r="M88" s="38">
        <f t="shared" si="49"/>
        <v>2213.4</v>
      </c>
      <c r="N88" s="38">
        <v>0</v>
      </c>
      <c r="O88" s="38">
        <f>B88*D88*21</f>
        <v>1499.4</v>
      </c>
      <c r="P88" s="38">
        <f t="shared" si="52"/>
        <v>2213.4</v>
      </c>
      <c r="Q88" s="38">
        <f t="shared" si="53"/>
        <v>2142</v>
      </c>
      <c r="R88" s="38">
        <f t="shared" si="54"/>
        <v>2213.4</v>
      </c>
    </row>
    <row r="89" spans="1:18" s="14" customFormat="1" ht="15.75" customHeight="1">
      <c r="A89" s="45" t="s">
        <v>66</v>
      </c>
      <c r="B89" s="46">
        <v>5</v>
      </c>
      <c r="C89" s="47">
        <v>365</v>
      </c>
      <c r="D89" s="48">
        <v>78.25</v>
      </c>
      <c r="E89" s="52">
        <f t="shared" si="42"/>
        <v>142806.25</v>
      </c>
      <c r="F89" s="36"/>
      <c r="G89" s="38">
        <f t="shared" si="43"/>
        <v>12128.75</v>
      </c>
      <c r="H89" s="49">
        <f t="shared" si="44"/>
        <v>10955</v>
      </c>
      <c r="I89" s="38">
        <f t="shared" si="45"/>
        <v>12128.75</v>
      </c>
      <c r="J89" s="38">
        <f t="shared" si="46"/>
        <v>11737.5</v>
      </c>
      <c r="K89" s="38">
        <f t="shared" si="47"/>
        <v>12128.75</v>
      </c>
      <c r="L89" s="38">
        <f t="shared" si="48"/>
        <v>11737.5</v>
      </c>
      <c r="M89" s="38">
        <f t="shared" si="49"/>
        <v>12128.75</v>
      </c>
      <c r="N89" s="38">
        <f t="shared" si="50"/>
        <v>12128.75</v>
      </c>
      <c r="O89" s="38">
        <f t="shared" si="51"/>
        <v>11737.5</v>
      </c>
      <c r="P89" s="38">
        <f t="shared" si="52"/>
        <v>12128.75</v>
      </c>
      <c r="Q89" s="38">
        <f t="shared" si="53"/>
        <v>11737.5</v>
      </c>
      <c r="R89" s="38">
        <f t="shared" si="54"/>
        <v>12128.75</v>
      </c>
    </row>
    <row r="90" spans="1:18" s="14" customFormat="1" ht="15.75" customHeight="1">
      <c r="A90" s="45" t="s">
        <v>73</v>
      </c>
      <c r="B90" s="46">
        <v>42</v>
      </c>
      <c r="C90" s="47">
        <v>365</v>
      </c>
      <c r="D90" s="48">
        <v>71.4</v>
      </c>
      <c r="E90" s="52">
        <f t="shared" si="42"/>
        <v>1094562</v>
      </c>
      <c r="F90" s="36"/>
      <c r="G90" s="38">
        <f t="shared" si="43"/>
        <v>92962.8</v>
      </c>
      <c r="H90" s="49">
        <f t="shared" si="44"/>
        <v>83966.40000000001</v>
      </c>
      <c r="I90" s="38">
        <f t="shared" si="45"/>
        <v>92962.8</v>
      </c>
      <c r="J90" s="38">
        <f t="shared" si="46"/>
        <v>89964</v>
      </c>
      <c r="K90" s="38">
        <f t="shared" si="47"/>
        <v>92962.8</v>
      </c>
      <c r="L90" s="38">
        <f t="shared" si="48"/>
        <v>89964</v>
      </c>
      <c r="M90" s="38">
        <f t="shared" si="49"/>
        <v>92962.8</v>
      </c>
      <c r="N90" s="38">
        <f t="shared" si="50"/>
        <v>92962.8</v>
      </c>
      <c r="O90" s="38">
        <f t="shared" si="51"/>
        <v>89964</v>
      </c>
      <c r="P90" s="38">
        <f t="shared" si="52"/>
        <v>92962.8</v>
      </c>
      <c r="Q90" s="38">
        <f t="shared" si="53"/>
        <v>89964</v>
      </c>
      <c r="R90" s="38">
        <f t="shared" si="54"/>
        <v>92962.8</v>
      </c>
    </row>
    <row r="91" spans="1:18" s="14" customFormat="1" ht="15.75" customHeight="1">
      <c r="A91" s="45" t="s">
        <v>73</v>
      </c>
      <c r="B91" s="46">
        <v>1</v>
      </c>
      <c r="C91" s="47">
        <v>227</v>
      </c>
      <c r="D91" s="48">
        <v>71.4</v>
      </c>
      <c r="E91" s="52">
        <f>+B91*C91*D91</f>
        <v>16207.800000000001</v>
      </c>
      <c r="F91" s="36"/>
      <c r="G91" s="38">
        <v>0</v>
      </c>
      <c r="H91" s="38">
        <v>0</v>
      </c>
      <c r="I91" s="38">
        <v>0</v>
      </c>
      <c r="J91" s="38">
        <v>0</v>
      </c>
      <c r="K91" s="38">
        <f>B91*D91*13</f>
        <v>928.2</v>
      </c>
      <c r="L91" s="38">
        <f t="shared" si="48"/>
        <v>2142</v>
      </c>
      <c r="M91" s="38">
        <f>B91*D91*31</f>
        <v>2213.4</v>
      </c>
      <c r="N91" s="38">
        <f>B91*D91*31</f>
        <v>2213.4</v>
      </c>
      <c r="O91" s="38">
        <f>B91*D91*30</f>
        <v>2142</v>
      </c>
      <c r="P91" s="38">
        <f>B91*D91*31</f>
        <v>2213.4</v>
      </c>
      <c r="Q91" s="38">
        <f>B91*D91*30</f>
        <v>2142</v>
      </c>
      <c r="R91" s="38">
        <f>B91*D91*31</f>
        <v>2213.4</v>
      </c>
    </row>
    <row r="92" spans="1:18" s="14" customFormat="1" ht="15.75" customHeight="1">
      <c r="A92" s="45" t="s">
        <v>8</v>
      </c>
      <c r="B92" s="46"/>
      <c r="C92" s="47"/>
      <c r="D92" s="48"/>
      <c r="E92" s="52">
        <v>283.25</v>
      </c>
      <c r="F92" s="36"/>
      <c r="G92" s="52"/>
      <c r="H92" s="49"/>
      <c r="I92" s="38"/>
      <c r="J92" s="52"/>
      <c r="K92" s="52"/>
      <c r="L92" s="38"/>
      <c r="M92" s="38"/>
      <c r="N92" s="38"/>
      <c r="O92" s="38"/>
      <c r="P92" s="38"/>
      <c r="Q92" s="52">
        <v>283.25</v>
      </c>
      <c r="R92" s="38"/>
    </row>
    <row r="93" spans="1:18" s="14" customFormat="1" ht="19.5" customHeight="1">
      <c r="A93" s="45"/>
      <c r="B93" s="46"/>
      <c r="C93" s="47"/>
      <c r="D93" s="48"/>
      <c r="E93" s="52"/>
      <c r="F93" s="36"/>
      <c r="G93" s="38"/>
      <c r="H93" s="49"/>
      <c r="I93" s="38"/>
      <c r="J93" s="38"/>
      <c r="K93" s="38"/>
      <c r="L93" s="38"/>
      <c r="M93" s="38"/>
      <c r="N93" s="38"/>
      <c r="O93" s="38"/>
      <c r="P93" s="38"/>
      <c r="Q93" s="38"/>
      <c r="R93" s="38"/>
    </row>
    <row r="94" spans="1:18" s="14" customFormat="1" ht="15.75" customHeight="1">
      <c r="A94" s="40" t="s">
        <v>97</v>
      </c>
      <c r="B94" s="42"/>
      <c r="C94" s="42"/>
      <c r="D94" s="43"/>
      <c r="E94" s="53"/>
      <c r="F94" s="11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</row>
    <row r="95" spans="1:20" s="14" customFormat="1" ht="15.75" customHeight="1">
      <c r="A95" s="40" t="s">
        <v>113</v>
      </c>
      <c r="B95" s="42">
        <f>SUM(B96:B100)</f>
        <v>90</v>
      </c>
      <c r="C95" s="42"/>
      <c r="D95" s="43"/>
      <c r="E95" s="53">
        <f>SUM(E96:E100)</f>
        <v>2293665.9999999995</v>
      </c>
      <c r="F95" s="44">
        <f>+E95-(2345490-26824)</f>
        <v>-25000.000000000466</v>
      </c>
      <c r="G95" s="53">
        <f aca="true" t="shared" si="55" ref="G95:R95">SUM(G96:G100)</f>
        <v>192565.80000000002</v>
      </c>
      <c r="H95" s="53">
        <f t="shared" si="55"/>
        <v>173930.40000000002</v>
      </c>
      <c r="I95" s="53">
        <f t="shared" si="55"/>
        <v>192565.80000000002</v>
      </c>
      <c r="J95" s="53">
        <f t="shared" si="55"/>
        <v>186354.00000000003</v>
      </c>
      <c r="K95" s="53">
        <f t="shared" si="55"/>
        <v>192565.80000000002</v>
      </c>
      <c r="L95" s="53">
        <f t="shared" si="55"/>
        <v>186354.00000000003</v>
      </c>
      <c r="M95" s="53">
        <f t="shared" si="55"/>
        <v>192565.80000000002</v>
      </c>
      <c r="N95" s="53">
        <f t="shared" si="55"/>
        <v>192565.80000000002</v>
      </c>
      <c r="O95" s="53">
        <f t="shared" si="55"/>
        <v>186711.00000000003</v>
      </c>
      <c r="P95" s="53">
        <f t="shared" si="55"/>
        <v>194779.2</v>
      </c>
      <c r="Q95" s="53">
        <f t="shared" si="55"/>
        <v>203502.40000000002</v>
      </c>
      <c r="R95" s="53">
        <f t="shared" si="55"/>
        <v>199206</v>
      </c>
      <c r="S95" s="59"/>
      <c r="T95" s="59"/>
    </row>
    <row r="96" spans="1:21" s="14" customFormat="1" ht="15.75" customHeight="1">
      <c r="A96" s="45" t="s">
        <v>73</v>
      </c>
      <c r="B96" s="46">
        <v>86</v>
      </c>
      <c r="C96" s="47">
        <v>365</v>
      </c>
      <c r="D96" s="48">
        <v>71.4</v>
      </c>
      <c r="E96" s="50">
        <f>+B96*C96*D96</f>
        <v>2241246</v>
      </c>
      <c r="F96" s="36"/>
      <c r="G96" s="38">
        <f>B96*D96*31</f>
        <v>190352.40000000002</v>
      </c>
      <c r="H96" s="49">
        <f>B96*D96*28</f>
        <v>171931.2</v>
      </c>
      <c r="I96" s="38">
        <f>B96*D96*31</f>
        <v>190352.40000000002</v>
      </c>
      <c r="J96" s="38">
        <f>B96*D96*30</f>
        <v>184212.00000000003</v>
      </c>
      <c r="K96" s="38">
        <f>B96*D96*31</f>
        <v>190352.40000000002</v>
      </c>
      <c r="L96" s="38">
        <f>B96*D96*30</f>
        <v>184212.00000000003</v>
      </c>
      <c r="M96" s="38">
        <f>B96*D96*31</f>
        <v>190352.40000000002</v>
      </c>
      <c r="N96" s="38">
        <f>B96*D96*31</f>
        <v>190352.40000000002</v>
      </c>
      <c r="O96" s="38">
        <f>B96*D96*30</f>
        <v>184212.00000000003</v>
      </c>
      <c r="P96" s="38">
        <f>B96*D96*31</f>
        <v>190352.40000000002</v>
      </c>
      <c r="Q96" s="38">
        <f>B96*D96*30</f>
        <v>184212.00000000003</v>
      </c>
      <c r="R96" s="38">
        <f>B96*D96*31</f>
        <v>190352.40000000002</v>
      </c>
      <c r="U96" s="59"/>
    </row>
    <row r="97" spans="1:20" s="14" customFormat="1" ht="15.75" customHeight="1">
      <c r="A97" s="45" t="s">
        <v>10</v>
      </c>
      <c r="B97" s="46">
        <v>1</v>
      </c>
      <c r="C97" s="47">
        <v>365</v>
      </c>
      <c r="D97" s="48">
        <v>71.4</v>
      </c>
      <c r="E97" s="50">
        <f>+B97*C97*D97</f>
        <v>26061.000000000004</v>
      </c>
      <c r="F97" s="36"/>
      <c r="G97" s="38">
        <f>B97*D97*31</f>
        <v>2213.4</v>
      </c>
      <c r="H97" s="49">
        <f>B97*D97*28</f>
        <v>1999.2000000000003</v>
      </c>
      <c r="I97" s="38">
        <f>B97*D97*31</f>
        <v>2213.4</v>
      </c>
      <c r="J97" s="38">
        <f>B97*D97*30</f>
        <v>2142</v>
      </c>
      <c r="K97" s="38">
        <f>B97*D97*31</f>
        <v>2213.4</v>
      </c>
      <c r="L97" s="38">
        <f>B97*D97*30</f>
        <v>2142</v>
      </c>
      <c r="M97" s="38">
        <f>B97*D97*31</f>
        <v>2213.4</v>
      </c>
      <c r="N97" s="38">
        <f>B97*D97*31</f>
        <v>2213.4</v>
      </c>
      <c r="O97" s="38">
        <f>B97*D97*30</f>
        <v>2142</v>
      </c>
      <c r="P97" s="38">
        <f>B97*D97*31</f>
        <v>2213.4</v>
      </c>
      <c r="Q97" s="38">
        <f>B97*D97*30</f>
        <v>2142</v>
      </c>
      <c r="R97" s="38">
        <f>B97*D97*31</f>
        <v>2213.4</v>
      </c>
      <c r="T97" s="59"/>
    </row>
    <row r="98" spans="1:18" s="14" customFormat="1" ht="18" customHeight="1">
      <c r="A98" s="45" t="s">
        <v>10</v>
      </c>
      <c r="B98" s="46">
        <v>1</v>
      </c>
      <c r="C98" s="47">
        <v>97</v>
      </c>
      <c r="D98" s="48">
        <v>71.4</v>
      </c>
      <c r="E98" s="50">
        <f>+B98*C98*D98</f>
        <v>6925.8</v>
      </c>
      <c r="F98" s="36"/>
      <c r="G98" s="38">
        <v>0</v>
      </c>
      <c r="H98" s="49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f>B98*D98*5</f>
        <v>357</v>
      </c>
      <c r="P98" s="38">
        <f>B98*D98*31</f>
        <v>2213.4</v>
      </c>
      <c r="Q98" s="38">
        <f>B98*D98*30</f>
        <v>2142</v>
      </c>
      <c r="R98" s="38">
        <f>B98*D98*31</f>
        <v>2213.4</v>
      </c>
    </row>
    <row r="99" spans="1:18" s="14" customFormat="1" ht="18" customHeight="1">
      <c r="A99" s="45" t="s">
        <v>73</v>
      </c>
      <c r="B99" s="46">
        <v>2</v>
      </c>
      <c r="C99" s="47">
        <v>46</v>
      </c>
      <c r="D99" s="48">
        <v>71.4</v>
      </c>
      <c r="E99" s="50">
        <f>+B99*C99*D99</f>
        <v>6568.8</v>
      </c>
      <c r="F99" s="36"/>
      <c r="G99" s="38">
        <v>0</v>
      </c>
      <c r="H99" s="49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f>+B99*D99*15</f>
        <v>2142</v>
      </c>
      <c r="R99" s="38">
        <f>B99*D99*31</f>
        <v>4426.8</v>
      </c>
    </row>
    <row r="100" spans="1:18" s="14" customFormat="1" ht="18" customHeight="1">
      <c r="A100" s="45" t="s">
        <v>8</v>
      </c>
      <c r="B100" s="46"/>
      <c r="C100" s="47"/>
      <c r="D100" s="48"/>
      <c r="E100" s="50">
        <v>12864.4</v>
      </c>
      <c r="F100" s="36"/>
      <c r="G100" s="50"/>
      <c r="H100" s="49"/>
      <c r="I100" s="38"/>
      <c r="J100" s="50"/>
      <c r="K100" s="50"/>
      <c r="L100" s="38"/>
      <c r="M100" s="38"/>
      <c r="N100" s="38"/>
      <c r="O100" s="38"/>
      <c r="P100" s="38"/>
      <c r="Q100" s="50">
        <v>12864.4</v>
      </c>
      <c r="R100" s="38"/>
    </row>
    <row r="101" spans="1:18" s="14" customFormat="1" ht="18" customHeight="1">
      <c r="A101" s="45"/>
      <c r="B101" s="46"/>
      <c r="C101" s="47"/>
      <c r="D101" s="48"/>
      <c r="E101" s="50"/>
      <c r="F101" s="36"/>
      <c r="G101" s="38"/>
      <c r="H101" s="49"/>
      <c r="I101" s="38"/>
      <c r="J101" s="38"/>
      <c r="K101" s="38"/>
      <c r="L101" s="38"/>
      <c r="M101" s="38"/>
      <c r="N101" s="38"/>
      <c r="O101" s="38"/>
      <c r="P101" s="38"/>
      <c r="Q101" s="38"/>
      <c r="R101" s="38"/>
    </row>
    <row r="102" spans="1:18" s="14" customFormat="1" ht="15.75" customHeight="1">
      <c r="A102" s="40" t="s">
        <v>105</v>
      </c>
      <c r="B102" s="42"/>
      <c r="C102" s="42"/>
      <c r="D102" s="43"/>
      <c r="E102" s="53"/>
      <c r="F102" s="11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</row>
    <row r="103" spans="1:18" s="14" customFormat="1" ht="15.75" customHeight="1">
      <c r="A103" s="40" t="s">
        <v>114</v>
      </c>
      <c r="B103" s="54">
        <f>SUM(B104:B105)</f>
        <v>27</v>
      </c>
      <c r="C103" s="47"/>
      <c r="D103" s="48"/>
      <c r="E103" s="60">
        <f>SUM(E104:E106)</f>
        <v>685647</v>
      </c>
      <c r="F103" s="44">
        <f>+E103-(703647)</f>
        <v>-18000</v>
      </c>
      <c r="G103" s="60">
        <f aca="true" t="shared" si="56" ref="G103:R103">SUM(G104:G106)</f>
        <v>57548.4</v>
      </c>
      <c r="H103" s="60">
        <f t="shared" si="56"/>
        <v>51979.200000000004</v>
      </c>
      <c r="I103" s="60">
        <f t="shared" si="56"/>
        <v>57548.4</v>
      </c>
      <c r="J103" s="60">
        <f t="shared" si="56"/>
        <v>55692</v>
      </c>
      <c r="K103" s="60">
        <f t="shared" si="56"/>
        <v>57548.4</v>
      </c>
      <c r="L103" s="60">
        <f t="shared" si="56"/>
        <v>55692</v>
      </c>
      <c r="M103" s="60">
        <f t="shared" si="56"/>
        <v>57548.4</v>
      </c>
      <c r="N103" s="60">
        <f t="shared" si="56"/>
        <v>57548.4</v>
      </c>
      <c r="O103" s="60">
        <f t="shared" si="56"/>
        <v>56548.8</v>
      </c>
      <c r="P103" s="60">
        <f t="shared" si="56"/>
        <v>59761.8</v>
      </c>
      <c r="Q103" s="60">
        <f t="shared" si="56"/>
        <v>58469.4</v>
      </c>
      <c r="R103" s="60">
        <f t="shared" si="56"/>
        <v>59761.8</v>
      </c>
    </row>
    <row r="104" spans="1:18" s="14" customFormat="1" ht="15.75" customHeight="1">
      <c r="A104" s="45" t="s">
        <v>73</v>
      </c>
      <c r="B104" s="46">
        <v>26</v>
      </c>
      <c r="C104" s="47">
        <v>365</v>
      </c>
      <c r="D104" s="48">
        <v>71.4</v>
      </c>
      <c r="E104" s="50">
        <f>+B104*C104*D104</f>
        <v>677586</v>
      </c>
      <c r="F104" s="36"/>
      <c r="G104" s="38">
        <f>B104*D104*31</f>
        <v>57548.4</v>
      </c>
      <c r="H104" s="49">
        <f>B104*D104*28</f>
        <v>51979.200000000004</v>
      </c>
      <c r="I104" s="38">
        <f>B104*D104*31</f>
        <v>57548.4</v>
      </c>
      <c r="J104" s="38">
        <f>B104*D104*30</f>
        <v>55692</v>
      </c>
      <c r="K104" s="38">
        <f>B104*D104*31</f>
        <v>57548.4</v>
      </c>
      <c r="L104" s="38">
        <f>B104*D104*30</f>
        <v>55692</v>
      </c>
      <c r="M104" s="38">
        <f>B104*D104*31</f>
        <v>57548.4</v>
      </c>
      <c r="N104" s="38">
        <f>B104*D104*31</f>
        <v>57548.4</v>
      </c>
      <c r="O104" s="38">
        <f>B104*D104*30</f>
        <v>55692</v>
      </c>
      <c r="P104" s="38">
        <f>B104*D104*31</f>
        <v>57548.4</v>
      </c>
      <c r="Q104" s="38">
        <f>B104*D104*30</f>
        <v>55692</v>
      </c>
      <c r="R104" s="38">
        <f>B104*D104*31</f>
        <v>57548.4</v>
      </c>
    </row>
    <row r="105" spans="1:18" s="14" customFormat="1" ht="15.75" customHeight="1">
      <c r="A105" s="45" t="s">
        <v>10</v>
      </c>
      <c r="B105" s="46">
        <v>1</v>
      </c>
      <c r="C105" s="47">
        <v>104</v>
      </c>
      <c r="D105" s="48">
        <v>71.4</v>
      </c>
      <c r="E105" s="50">
        <f>+B105*C105*D105</f>
        <v>7425.6</v>
      </c>
      <c r="F105" s="36"/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f>B105*D105*12</f>
        <v>856.8000000000001</v>
      </c>
      <c r="P105" s="38">
        <f>B105*D105*31</f>
        <v>2213.4</v>
      </c>
      <c r="Q105" s="38">
        <f>B105*D105*30</f>
        <v>2142</v>
      </c>
      <c r="R105" s="38">
        <f>B105*D105*31</f>
        <v>2213.4</v>
      </c>
    </row>
    <row r="106" spans="1:18" s="14" customFormat="1" ht="15.75" customHeight="1">
      <c r="A106" s="45" t="s">
        <v>8</v>
      </c>
      <c r="B106" s="46"/>
      <c r="C106" s="47"/>
      <c r="D106" s="48"/>
      <c r="E106" s="38">
        <v>635.4</v>
      </c>
      <c r="F106" s="36"/>
      <c r="G106" s="38"/>
      <c r="H106" s="49"/>
      <c r="I106" s="38"/>
      <c r="J106" s="38"/>
      <c r="K106" s="38"/>
      <c r="L106" s="38"/>
      <c r="M106" s="38"/>
      <c r="N106" s="38"/>
      <c r="O106" s="38"/>
      <c r="P106" s="38"/>
      <c r="Q106" s="38">
        <v>635.4</v>
      </c>
      <c r="R106" s="38"/>
    </row>
    <row r="107" spans="1:18" s="14" customFormat="1" ht="23.25" customHeight="1">
      <c r="A107" s="45"/>
      <c r="B107" s="46"/>
      <c r="C107" s="47"/>
      <c r="D107" s="48"/>
      <c r="E107" s="52"/>
      <c r="F107" s="36"/>
      <c r="G107" s="38"/>
      <c r="H107" s="49"/>
      <c r="I107" s="38"/>
      <c r="J107" s="38"/>
      <c r="K107" s="38"/>
      <c r="L107" s="38"/>
      <c r="M107" s="38"/>
      <c r="N107" s="38"/>
      <c r="O107" s="38"/>
      <c r="P107" s="38"/>
      <c r="Q107" s="38"/>
      <c r="R107" s="38"/>
    </row>
    <row r="108" spans="1:18" s="14" customFormat="1" ht="15.75" customHeight="1">
      <c r="A108" s="40" t="s">
        <v>104</v>
      </c>
      <c r="B108" s="42"/>
      <c r="C108" s="42"/>
      <c r="D108" s="43"/>
      <c r="E108" s="53"/>
      <c r="F108" s="44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</row>
    <row r="109" spans="1:18" s="14" customFormat="1" ht="15.75" customHeight="1">
      <c r="A109" s="40" t="s">
        <v>115</v>
      </c>
      <c r="B109" s="42">
        <f>SUM(B110:B112)</f>
        <v>9</v>
      </c>
      <c r="C109" s="42"/>
      <c r="D109" s="43"/>
      <c r="E109" s="53">
        <f>SUM(E110:E112)</f>
        <v>212788.00000000003</v>
      </c>
      <c r="F109" s="44">
        <f>+E109-(208488+4300)</f>
        <v>0</v>
      </c>
      <c r="G109" s="53">
        <f aca="true" t="shared" si="57" ref="G109:R109">SUM(G110:G112)</f>
        <v>17707.2</v>
      </c>
      <c r="H109" s="53">
        <f t="shared" si="57"/>
        <v>15993.600000000002</v>
      </c>
      <c r="I109" s="53">
        <f t="shared" si="57"/>
        <v>17707.2</v>
      </c>
      <c r="J109" s="53">
        <f t="shared" si="57"/>
        <v>17136</v>
      </c>
      <c r="K109" s="53">
        <f t="shared" si="57"/>
        <v>17707.2</v>
      </c>
      <c r="L109" s="53">
        <f t="shared" si="57"/>
        <v>17136</v>
      </c>
      <c r="M109" s="53">
        <f t="shared" si="57"/>
        <v>17707.2</v>
      </c>
      <c r="N109" s="53">
        <f t="shared" si="57"/>
        <v>17707.2</v>
      </c>
      <c r="O109" s="53">
        <f t="shared" si="57"/>
        <v>17136</v>
      </c>
      <c r="P109" s="53">
        <f t="shared" si="57"/>
        <v>17707.2</v>
      </c>
      <c r="Q109" s="53">
        <f t="shared" si="57"/>
        <v>19222.6</v>
      </c>
      <c r="R109" s="53">
        <f t="shared" si="57"/>
        <v>19920.600000000002</v>
      </c>
    </row>
    <row r="110" spans="1:18" s="14" customFormat="1" ht="15.75" customHeight="1">
      <c r="A110" s="45" t="s">
        <v>73</v>
      </c>
      <c r="B110" s="46">
        <v>8</v>
      </c>
      <c r="C110" s="47">
        <v>365</v>
      </c>
      <c r="D110" s="48">
        <v>71.4</v>
      </c>
      <c r="E110" s="38">
        <f>+B110*C110*D110</f>
        <v>208488.00000000003</v>
      </c>
      <c r="F110" s="61"/>
      <c r="G110" s="38">
        <f>B110*D110*31</f>
        <v>17707.2</v>
      </c>
      <c r="H110" s="49">
        <f>B110*D110*28</f>
        <v>15993.600000000002</v>
      </c>
      <c r="I110" s="38">
        <f>B110*D110*31</f>
        <v>17707.2</v>
      </c>
      <c r="J110" s="38">
        <f>B110*D110*30</f>
        <v>17136</v>
      </c>
      <c r="K110" s="38">
        <f>B110*D110*31</f>
        <v>17707.2</v>
      </c>
      <c r="L110" s="38">
        <f>B110*D110*30</f>
        <v>17136</v>
      </c>
      <c r="M110" s="38">
        <f>B110*D110*31</f>
        <v>17707.2</v>
      </c>
      <c r="N110" s="38">
        <f>B110*D110*31</f>
        <v>17707.2</v>
      </c>
      <c r="O110" s="38">
        <f>B110*D110*30</f>
        <v>17136</v>
      </c>
      <c r="P110" s="38">
        <f>B110*D110*31</f>
        <v>17707.2</v>
      </c>
      <c r="Q110" s="38">
        <f>B110*D110*30</f>
        <v>17136</v>
      </c>
      <c r="R110" s="38">
        <f>B110*D110*31</f>
        <v>17707.2</v>
      </c>
    </row>
    <row r="111" spans="1:18" s="14" customFormat="1" ht="15.75" customHeight="1">
      <c r="A111" s="45" t="s">
        <v>67</v>
      </c>
      <c r="B111" s="46">
        <v>1</v>
      </c>
      <c r="C111" s="47">
        <v>60</v>
      </c>
      <c r="D111" s="48">
        <v>71.4</v>
      </c>
      <c r="E111" s="38">
        <f>+B111*C111*D111</f>
        <v>4284</v>
      </c>
      <c r="F111" s="61"/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f>B111*D111*29</f>
        <v>2070.6000000000004</v>
      </c>
      <c r="R111" s="38">
        <f>B111*D111*31</f>
        <v>2213.4</v>
      </c>
    </row>
    <row r="112" spans="1:18" s="14" customFormat="1" ht="15.75" customHeight="1">
      <c r="A112" s="45" t="s">
        <v>8</v>
      </c>
      <c r="B112" s="46"/>
      <c r="C112" s="47"/>
      <c r="D112" s="48"/>
      <c r="E112" s="38">
        <v>16</v>
      </c>
      <c r="F112" s="61"/>
      <c r="G112" s="38"/>
      <c r="H112" s="49"/>
      <c r="I112" s="38"/>
      <c r="J112" s="38"/>
      <c r="K112" s="38"/>
      <c r="L112" s="38"/>
      <c r="M112" s="38"/>
      <c r="N112" s="38"/>
      <c r="O112" s="38"/>
      <c r="P112" s="38"/>
      <c r="Q112" s="38">
        <v>16</v>
      </c>
      <c r="R112" s="38"/>
    </row>
    <row r="113" spans="1:18" s="14" customFormat="1" ht="15.75" customHeight="1">
      <c r="A113" s="45"/>
      <c r="B113" s="46"/>
      <c r="C113" s="47"/>
      <c r="D113" s="48"/>
      <c r="E113" s="50"/>
      <c r="F113" s="36"/>
      <c r="G113" s="38"/>
      <c r="H113" s="49"/>
      <c r="I113" s="38"/>
      <c r="J113" s="38"/>
      <c r="K113" s="38"/>
      <c r="L113" s="38"/>
      <c r="M113" s="38"/>
      <c r="N113" s="38"/>
      <c r="O113" s="38"/>
      <c r="P113" s="38"/>
      <c r="Q113" s="38"/>
      <c r="R113" s="38"/>
    </row>
    <row r="114" spans="1:18" s="14" customFormat="1" ht="15.75" customHeight="1">
      <c r="A114" s="37" t="s">
        <v>28</v>
      </c>
      <c r="B114" s="33"/>
      <c r="C114" s="33"/>
      <c r="D114" s="33"/>
      <c r="E114" s="33"/>
      <c r="F114" s="36"/>
      <c r="G114" s="38"/>
      <c r="H114" s="39"/>
      <c r="I114" s="38"/>
      <c r="J114" s="38"/>
      <c r="K114" s="38"/>
      <c r="L114" s="38"/>
      <c r="M114" s="38"/>
      <c r="N114" s="38"/>
      <c r="O114" s="38"/>
      <c r="P114" s="38"/>
      <c r="Q114" s="38"/>
      <c r="R114" s="38"/>
    </row>
    <row r="115" spans="1:18" s="14" customFormat="1" ht="15.75" customHeight="1">
      <c r="A115" s="40" t="s">
        <v>43</v>
      </c>
      <c r="B115" s="46"/>
      <c r="C115" s="47"/>
      <c r="D115" s="48"/>
      <c r="E115" s="52"/>
      <c r="F115" s="36"/>
      <c r="G115" s="38"/>
      <c r="H115" s="49"/>
      <c r="I115" s="38"/>
      <c r="J115" s="38"/>
      <c r="K115" s="38"/>
      <c r="L115" s="38"/>
      <c r="M115" s="38"/>
      <c r="N115" s="38"/>
      <c r="O115" s="38"/>
      <c r="P115" s="38"/>
      <c r="Q115" s="38"/>
      <c r="R115" s="38"/>
    </row>
    <row r="116" spans="1:18" s="14" customFormat="1" ht="15.75" customHeight="1">
      <c r="A116" s="40" t="s">
        <v>116</v>
      </c>
      <c r="B116" s="54">
        <f>SUM(B117:B122)</f>
        <v>6</v>
      </c>
      <c r="C116" s="47"/>
      <c r="D116" s="48"/>
      <c r="E116" s="53">
        <f>SUM(E117:E122)</f>
        <v>137769</v>
      </c>
      <c r="F116" s="70">
        <f>E116-(132269+5500)</f>
        <v>0</v>
      </c>
      <c r="G116" s="53">
        <f aca="true" t="shared" si="58" ref="G116:R116">SUM(G117:G122)</f>
        <v>11233.78</v>
      </c>
      <c r="H116" s="53">
        <f t="shared" si="58"/>
        <v>10146.640000000001</v>
      </c>
      <c r="I116" s="58">
        <f t="shared" si="58"/>
        <v>11233.78</v>
      </c>
      <c r="J116" s="58">
        <f t="shared" si="58"/>
        <v>10871.400000000001</v>
      </c>
      <c r="K116" s="58">
        <f t="shared" si="58"/>
        <v>11233.78</v>
      </c>
      <c r="L116" s="58">
        <f t="shared" si="58"/>
        <v>10871.400000000001</v>
      </c>
      <c r="M116" s="58">
        <f t="shared" si="58"/>
        <v>11233.78</v>
      </c>
      <c r="N116" s="58">
        <f t="shared" si="58"/>
        <v>11233.78</v>
      </c>
      <c r="O116" s="58">
        <f t="shared" si="58"/>
        <v>10871.400000000001</v>
      </c>
      <c r="P116" s="58">
        <f t="shared" si="58"/>
        <v>12376.18</v>
      </c>
      <c r="Q116" s="58">
        <f t="shared" si="58"/>
        <v>13015.900000000001</v>
      </c>
      <c r="R116" s="58">
        <f t="shared" si="58"/>
        <v>13447.18</v>
      </c>
    </row>
    <row r="117" spans="1:18" s="14" customFormat="1" ht="15.75" customHeight="1">
      <c r="A117" s="45" t="s">
        <v>59</v>
      </c>
      <c r="B117" s="47">
        <v>1</v>
      </c>
      <c r="C117" s="47">
        <v>365</v>
      </c>
      <c r="D117" s="48">
        <v>72.54</v>
      </c>
      <c r="E117" s="38">
        <f>+B117*C117*D117</f>
        <v>26477.100000000002</v>
      </c>
      <c r="F117" s="70"/>
      <c r="G117" s="38">
        <f>B117*D117*31</f>
        <v>2248.7400000000002</v>
      </c>
      <c r="H117" s="49">
        <f>B117*D117*28</f>
        <v>2031.1200000000001</v>
      </c>
      <c r="I117" s="38">
        <f>B117*D117*31</f>
        <v>2248.7400000000002</v>
      </c>
      <c r="J117" s="38">
        <f>B117*D117*30</f>
        <v>2176.2000000000003</v>
      </c>
      <c r="K117" s="38">
        <f>B117*D117*31</f>
        <v>2248.7400000000002</v>
      </c>
      <c r="L117" s="38">
        <f>B117*D117*30</f>
        <v>2176.2000000000003</v>
      </c>
      <c r="M117" s="38">
        <f>B117*D117*31</f>
        <v>2248.7400000000002</v>
      </c>
      <c r="N117" s="38">
        <f>B117*D117*31</f>
        <v>2248.7400000000002</v>
      </c>
      <c r="O117" s="38">
        <f>B117*D117*30</f>
        <v>2176.2000000000003</v>
      </c>
      <c r="P117" s="38">
        <f>B117*D117*31</f>
        <v>2248.7400000000002</v>
      </c>
      <c r="Q117" s="38">
        <f>B117*D117*30</f>
        <v>2176.2000000000003</v>
      </c>
      <c r="R117" s="38">
        <f>B117*D117*31</f>
        <v>2248.7400000000002</v>
      </c>
    </row>
    <row r="118" spans="1:18" s="14" customFormat="1" ht="15.75" customHeight="1">
      <c r="A118" s="45" t="s">
        <v>77</v>
      </c>
      <c r="B118" s="46">
        <v>1</v>
      </c>
      <c r="C118" s="47">
        <v>365</v>
      </c>
      <c r="D118" s="48">
        <v>71.4</v>
      </c>
      <c r="E118" s="38">
        <f>+B118*C118*D118</f>
        <v>26061.000000000004</v>
      </c>
      <c r="F118" s="61"/>
      <c r="G118" s="38">
        <f>B118*D118*31</f>
        <v>2213.4</v>
      </c>
      <c r="H118" s="49">
        <f>B118*D118*28</f>
        <v>1999.2000000000003</v>
      </c>
      <c r="I118" s="38">
        <f>B118*D118*31</f>
        <v>2213.4</v>
      </c>
      <c r="J118" s="38">
        <f>B118*D118*30</f>
        <v>2142</v>
      </c>
      <c r="K118" s="38">
        <f>B118*D118*31</f>
        <v>2213.4</v>
      </c>
      <c r="L118" s="38">
        <f>B118*D118*30</f>
        <v>2142</v>
      </c>
      <c r="M118" s="38">
        <f>B118*D118*31</f>
        <v>2213.4</v>
      </c>
      <c r="N118" s="38">
        <f>B118*D118*31</f>
        <v>2213.4</v>
      </c>
      <c r="O118" s="38">
        <f>B118*D118*30</f>
        <v>2142</v>
      </c>
      <c r="P118" s="38">
        <f>B118*D118*31</f>
        <v>2213.4</v>
      </c>
      <c r="Q118" s="38">
        <f>B118*D118*30</f>
        <v>2142</v>
      </c>
      <c r="R118" s="38">
        <f>B118*D118*31</f>
        <v>2213.4</v>
      </c>
    </row>
    <row r="119" spans="1:18" s="14" customFormat="1" ht="15.75" customHeight="1">
      <c r="A119" s="45" t="s">
        <v>73</v>
      </c>
      <c r="B119" s="46">
        <v>2</v>
      </c>
      <c r="C119" s="47">
        <v>365</v>
      </c>
      <c r="D119" s="48">
        <v>71.4</v>
      </c>
      <c r="E119" s="38">
        <f>+B119*C119*D119</f>
        <v>52122.00000000001</v>
      </c>
      <c r="F119" s="61"/>
      <c r="G119" s="38">
        <f>B119*D119*31</f>
        <v>4426.8</v>
      </c>
      <c r="H119" s="49">
        <f>B119*D119*28</f>
        <v>3998.4000000000005</v>
      </c>
      <c r="I119" s="38">
        <f>B119*D119*31</f>
        <v>4426.8</v>
      </c>
      <c r="J119" s="38">
        <f>B119*D119*30</f>
        <v>4284</v>
      </c>
      <c r="K119" s="38">
        <f>B119*D119*31</f>
        <v>4426.8</v>
      </c>
      <c r="L119" s="38">
        <f>B119*D119*30</f>
        <v>4284</v>
      </c>
      <c r="M119" s="38">
        <f>B119*D119*31</f>
        <v>4426.8</v>
      </c>
      <c r="N119" s="38">
        <f>B119*D119*31</f>
        <v>4426.8</v>
      </c>
      <c r="O119" s="38">
        <f>B119*D119*30</f>
        <v>4284</v>
      </c>
      <c r="P119" s="38">
        <f>B119*D119*31</f>
        <v>4426.8</v>
      </c>
      <c r="Q119" s="38">
        <f>B119*D119*30</f>
        <v>4284</v>
      </c>
      <c r="R119" s="38">
        <f>B119*D119*31</f>
        <v>4426.8</v>
      </c>
    </row>
    <row r="120" spans="1:18" s="14" customFormat="1" ht="15.75" customHeight="1">
      <c r="A120" s="45" t="s">
        <v>58</v>
      </c>
      <c r="B120" s="47">
        <v>1</v>
      </c>
      <c r="C120" s="47">
        <v>365</v>
      </c>
      <c r="D120" s="48">
        <v>75.64</v>
      </c>
      <c r="E120" s="38">
        <f>+B120*C120*D120</f>
        <v>27608.6</v>
      </c>
      <c r="F120" s="61"/>
      <c r="G120" s="38">
        <f>B120*D120*31</f>
        <v>2344.84</v>
      </c>
      <c r="H120" s="49">
        <f>B120*D120*28</f>
        <v>2117.92</v>
      </c>
      <c r="I120" s="38">
        <f>B120*D120*31</f>
        <v>2344.84</v>
      </c>
      <c r="J120" s="38">
        <f>B120*D120*30</f>
        <v>2269.2</v>
      </c>
      <c r="K120" s="38">
        <f>B120*D120*31</f>
        <v>2344.84</v>
      </c>
      <c r="L120" s="38">
        <f>B120*D120*30</f>
        <v>2269.2</v>
      </c>
      <c r="M120" s="38">
        <f>B120*D120*31</f>
        <v>2344.84</v>
      </c>
      <c r="N120" s="38">
        <f>B120*D120*31</f>
        <v>2344.84</v>
      </c>
      <c r="O120" s="38">
        <f>B120*D120*30</f>
        <v>2269.2</v>
      </c>
      <c r="P120" s="38">
        <f>B120*D120*31</f>
        <v>2344.84</v>
      </c>
      <c r="Q120" s="38">
        <f>B120*D120*30</f>
        <v>2269.2</v>
      </c>
      <c r="R120" s="38">
        <f>B120*D120*31</f>
        <v>2344.84</v>
      </c>
    </row>
    <row r="121" spans="1:18" s="14" customFormat="1" ht="15.75" customHeight="1">
      <c r="A121" s="45" t="s">
        <v>10</v>
      </c>
      <c r="B121" s="46">
        <v>1</v>
      </c>
      <c r="C121" s="47">
        <v>77</v>
      </c>
      <c r="D121" s="48">
        <v>71.4</v>
      </c>
      <c r="E121" s="50">
        <f>+B121*C121*D121</f>
        <v>5497.8</v>
      </c>
      <c r="F121" s="61"/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f>B121*D121*16</f>
        <v>1142.4</v>
      </c>
      <c r="Q121" s="38">
        <f>B121*D121*30</f>
        <v>2142</v>
      </c>
      <c r="R121" s="38">
        <f>B121*D121*31</f>
        <v>2213.4</v>
      </c>
    </row>
    <row r="122" spans="1:18" s="14" customFormat="1" ht="15.75" customHeight="1">
      <c r="A122" s="62" t="s">
        <v>8</v>
      </c>
      <c r="B122" s="64"/>
      <c r="C122" s="64"/>
      <c r="D122" s="65"/>
      <c r="E122" s="68">
        <v>2.5</v>
      </c>
      <c r="F122" s="102"/>
      <c r="G122" s="68"/>
      <c r="H122" s="69"/>
      <c r="I122" s="68"/>
      <c r="J122" s="89"/>
      <c r="K122" s="68"/>
      <c r="L122" s="68"/>
      <c r="M122" s="68"/>
      <c r="N122" s="68"/>
      <c r="O122" s="68"/>
      <c r="P122" s="68"/>
      <c r="Q122" s="68">
        <v>2.5</v>
      </c>
      <c r="R122" s="68"/>
    </row>
    <row r="123" spans="1:18" s="14" customFormat="1" ht="15.75" customHeight="1">
      <c r="A123" s="103"/>
      <c r="B123" s="106"/>
      <c r="C123" s="106"/>
      <c r="D123" s="107"/>
      <c r="E123" s="108"/>
      <c r="F123" s="104"/>
      <c r="G123" s="110"/>
      <c r="H123" s="111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</row>
    <row r="124" spans="1:18" s="14" customFormat="1" ht="15.75" customHeight="1">
      <c r="A124" s="40" t="s">
        <v>45</v>
      </c>
      <c r="B124" s="47"/>
      <c r="C124" s="47"/>
      <c r="D124" s="48"/>
      <c r="E124" s="52"/>
      <c r="F124" s="114"/>
      <c r="G124" s="38"/>
      <c r="H124" s="49"/>
      <c r="I124" s="38"/>
      <c r="J124" s="38"/>
      <c r="K124" s="38"/>
      <c r="L124" s="38"/>
      <c r="M124" s="38"/>
      <c r="N124" s="38"/>
      <c r="O124" s="38"/>
      <c r="P124" s="38"/>
      <c r="Q124" s="38"/>
      <c r="R124" s="38"/>
    </row>
    <row r="125" spans="1:18" s="14" customFormat="1" ht="15.75" customHeight="1">
      <c r="A125" s="40" t="s">
        <v>116</v>
      </c>
      <c r="B125" s="54">
        <f>SUM(B126:B132)</f>
        <v>9</v>
      </c>
      <c r="C125" s="47"/>
      <c r="D125" s="48"/>
      <c r="E125" s="53">
        <f>SUM(E126:E132)</f>
        <v>229965.00000000003</v>
      </c>
      <c r="F125" s="44">
        <f>E125-(234965)</f>
        <v>-4999.999999999971</v>
      </c>
      <c r="G125" s="58">
        <f aca="true" t="shared" si="59" ref="G125:R125">SUM(G126:G132)</f>
        <v>19955.940000000002</v>
      </c>
      <c r="H125" s="58">
        <f t="shared" si="59"/>
        <v>18024.72</v>
      </c>
      <c r="I125" s="58">
        <f t="shared" si="59"/>
        <v>18599.34</v>
      </c>
      <c r="J125" s="58">
        <f t="shared" si="59"/>
        <v>17170.2</v>
      </c>
      <c r="K125" s="58">
        <f t="shared" si="59"/>
        <v>18385.140000000003</v>
      </c>
      <c r="L125" s="58">
        <f t="shared" si="59"/>
        <v>19312.2</v>
      </c>
      <c r="M125" s="58">
        <f t="shared" si="59"/>
        <v>19955.940000000002</v>
      </c>
      <c r="N125" s="58">
        <f t="shared" si="59"/>
        <v>19955.940000000002</v>
      </c>
      <c r="O125" s="58">
        <f t="shared" si="59"/>
        <v>19312.2</v>
      </c>
      <c r="P125" s="58">
        <f t="shared" si="59"/>
        <v>19955.940000000002</v>
      </c>
      <c r="Q125" s="58">
        <f t="shared" si="59"/>
        <v>19381.5</v>
      </c>
      <c r="R125" s="58">
        <f t="shared" si="59"/>
        <v>19955.940000000002</v>
      </c>
    </row>
    <row r="126" spans="1:18" s="14" customFormat="1" ht="15.75" customHeight="1">
      <c r="A126" s="45" t="s">
        <v>10</v>
      </c>
      <c r="B126" s="46">
        <v>1</v>
      </c>
      <c r="C126" s="47">
        <v>365</v>
      </c>
      <c r="D126" s="48">
        <v>71.4</v>
      </c>
      <c r="E126" s="38">
        <f aca="true" t="shared" si="60" ref="E126:E131">+B126*C126*D126</f>
        <v>26061.000000000004</v>
      </c>
      <c r="F126" s="36"/>
      <c r="G126" s="38">
        <f aca="true" t="shared" si="61" ref="G126:G131">B126*D126*31</f>
        <v>2213.4</v>
      </c>
      <c r="H126" s="49">
        <f aca="true" t="shared" si="62" ref="H126:H131">B126*D126*28</f>
        <v>1999.2000000000003</v>
      </c>
      <c r="I126" s="38">
        <f>B126*D126*31</f>
        <v>2213.4</v>
      </c>
      <c r="J126" s="38">
        <f>B126*D126*30</f>
        <v>2142</v>
      </c>
      <c r="K126" s="38">
        <f>B126*D126*31</f>
        <v>2213.4</v>
      </c>
      <c r="L126" s="38">
        <f aca="true" t="shared" si="63" ref="L126:L131">B126*D126*30</f>
        <v>2142</v>
      </c>
      <c r="M126" s="38">
        <f aca="true" t="shared" si="64" ref="M126:M131">B126*D126*31</f>
        <v>2213.4</v>
      </c>
      <c r="N126" s="38">
        <f aca="true" t="shared" si="65" ref="N126:N131">B126*D126*31</f>
        <v>2213.4</v>
      </c>
      <c r="O126" s="38">
        <f aca="true" t="shared" si="66" ref="O126:O131">B126*D126*30</f>
        <v>2142</v>
      </c>
      <c r="P126" s="38">
        <f aca="true" t="shared" si="67" ref="P126:P131">B126*D126*31</f>
        <v>2213.4</v>
      </c>
      <c r="Q126" s="38">
        <f aca="true" t="shared" si="68" ref="Q126:Q131">B126*D126*30</f>
        <v>2142</v>
      </c>
      <c r="R126" s="38">
        <f aca="true" t="shared" si="69" ref="R126:R131">B126*D126*31</f>
        <v>2213.4</v>
      </c>
    </row>
    <row r="127" spans="1:18" s="14" customFormat="1" ht="15.75" customHeight="1">
      <c r="A127" s="45" t="s">
        <v>10</v>
      </c>
      <c r="B127" s="46">
        <v>1</v>
      </c>
      <c r="C127" s="47">
        <v>346</v>
      </c>
      <c r="D127" s="48">
        <v>71.4</v>
      </c>
      <c r="E127" s="38">
        <f t="shared" si="60"/>
        <v>24704.4</v>
      </c>
      <c r="F127" s="36"/>
      <c r="G127" s="38">
        <f t="shared" si="61"/>
        <v>2213.4</v>
      </c>
      <c r="H127" s="49">
        <f t="shared" si="62"/>
        <v>1999.2000000000003</v>
      </c>
      <c r="I127" s="38">
        <f>B127*D127*12</f>
        <v>856.8000000000001</v>
      </c>
      <c r="J127" s="38">
        <f>B127*D127*30</f>
        <v>2142</v>
      </c>
      <c r="K127" s="38">
        <f>B127*D127*31</f>
        <v>2213.4</v>
      </c>
      <c r="L127" s="38">
        <f t="shared" si="63"/>
        <v>2142</v>
      </c>
      <c r="M127" s="38">
        <f t="shared" si="64"/>
        <v>2213.4</v>
      </c>
      <c r="N127" s="38">
        <f t="shared" si="65"/>
        <v>2213.4</v>
      </c>
      <c r="O127" s="38">
        <f t="shared" si="66"/>
        <v>2142</v>
      </c>
      <c r="P127" s="38">
        <f t="shared" si="67"/>
        <v>2213.4</v>
      </c>
      <c r="Q127" s="38">
        <f t="shared" si="68"/>
        <v>2142</v>
      </c>
      <c r="R127" s="38">
        <f t="shared" si="69"/>
        <v>2213.4</v>
      </c>
    </row>
    <row r="128" spans="1:18" s="14" customFormat="1" ht="15.75" customHeight="1">
      <c r="A128" s="45" t="s">
        <v>10</v>
      </c>
      <c r="B128" s="46">
        <v>1</v>
      </c>
      <c r="C128" s="47">
        <v>313</v>
      </c>
      <c r="D128" s="48">
        <v>71.4</v>
      </c>
      <c r="E128" s="38">
        <f t="shared" si="60"/>
        <v>22348.2</v>
      </c>
      <c r="F128" s="36"/>
      <c r="G128" s="38">
        <f t="shared" si="61"/>
        <v>2213.4</v>
      </c>
      <c r="H128" s="49">
        <f t="shared" si="62"/>
        <v>1999.2000000000003</v>
      </c>
      <c r="I128" s="38">
        <f>B128*D128*31</f>
        <v>2213.4</v>
      </c>
      <c r="J128" s="38">
        <v>0</v>
      </c>
      <c r="K128" s="38">
        <f>B128*D128*9</f>
        <v>642.6</v>
      </c>
      <c r="L128" s="38">
        <f t="shared" si="63"/>
        <v>2142</v>
      </c>
      <c r="M128" s="38">
        <f t="shared" si="64"/>
        <v>2213.4</v>
      </c>
      <c r="N128" s="38">
        <f t="shared" si="65"/>
        <v>2213.4</v>
      </c>
      <c r="O128" s="38">
        <f t="shared" si="66"/>
        <v>2142</v>
      </c>
      <c r="P128" s="38">
        <f t="shared" si="67"/>
        <v>2213.4</v>
      </c>
      <c r="Q128" s="38">
        <f t="shared" si="68"/>
        <v>2142</v>
      </c>
      <c r="R128" s="38">
        <f t="shared" si="69"/>
        <v>2213.4</v>
      </c>
    </row>
    <row r="129" spans="1:18" s="14" customFormat="1" ht="15.75" customHeight="1">
      <c r="A129" s="45" t="s">
        <v>7</v>
      </c>
      <c r="B129" s="46">
        <v>1</v>
      </c>
      <c r="C129" s="47">
        <v>365</v>
      </c>
      <c r="D129" s="48">
        <v>71.4</v>
      </c>
      <c r="E129" s="38">
        <f t="shared" si="60"/>
        <v>26061.000000000004</v>
      </c>
      <c r="F129" s="36"/>
      <c r="G129" s="38">
        <f t="shared" si="61"/>
        <v>2213.4</v>
      </c>
      <c r="H129" s="49">
        <f t="shared" si="62"/>
        <v>1999.2000000000003</v>
      </c>
      <c r="I129" s="38">
        <f>B129*D129*31</f>
        <v>2213.4</v>
      </c>
      <c r="J129" s="38">
        <f>B129*D129*30</f>
        <v>2142</v>
      </c>
      <c r="K129" s="38">
        <f>B129*D129*31</f>
        <v>2213.4</v>
      </c>
      <c r="L129" s="38">
        <f t="shared" si="63"/>
        <v>2142</v>
      </c>
      <c r="M129" s="38">
        <f t="shared" si="64"/>
        <v>2213.4</v>
      </c>
      <c r="N129" s="38">
        <f t="shared" si="65"/>
        <v>2213.4</v>
      </c>
      <c r="O129" s="38">
        <f t="shared" si="66"/>
        <v>2142</v>
      </c>
      <c r="P129" s="38">
        <f t="shared" si="67"/>
        <v>2213.4</v>
      </c>
      <c r="Q129" s="38">
        <f t="shared" si="68"/>
        <v>2142</v>
      </c>
      <c r="R129" s="38">
        <f t="shared" si="69"/>
        <v>2213.4</v>
      </c>
    </row>
    <row r="130" spans="1:18" s="14" customFormat="1" ht="15.75" customHeight="1">
      <c r="A130" s="45" t="s">
        <v>73</v>
      </c>
      <c r="B130" s="46">
        <v>4</v>
      </c>
      <c r="C130" s="47">
        <v>365</v>
      </c>
      <c r="D130" s="48">
        <v>71.4</v>
      </c>
      <c r="E130" s="38">
        <f t="shared" si="60"/>
        <v>104244.00000000001</v>
      </c>
      <c r="F130" s="36"/>
      <c r="G130" s="38">
        <f t="shared" si="61"/>
        <v>8853.6</v>
      </c>
      <c r="H130" s="49">
        <f t="shared" si="62"/>
        <v>7996.800000000001</v>
      </c>
      <c r="I130" s="38">
        <f>B130*D130*31</f>
        <v>8853.6</v>
      </c>
      <c r="J130" s="38">
        <f>B130*D130*30</f>
        <v>8568</v>
      </c>
      <c r="K130" s="38">
        <f>B130*D130*31</f>
        <v>8853.6</v>
      </c>
      <c r="L130" s="38">
        <f t="shared" si="63"/>
        <v>8568</v>
      </c>
      <c r="M130" s="38">
        <f t="shared" si="64"/>
        <v>8853.6</v>
      </c>
      <c r="N130" s="38">
        <f t="shared" si="65"/>
        <v>8853.6</v>
      </c>
      <c r="O130" s="38">
        <f t="shared" si="66"/>
        <v>8568</v>
      </c>
      <c r="P130" s="38">
        <f t="shared" si="67"/>
        <v>8853.6</v>
      </c>
      <c r="Q130" s="38">
        <f t="shared" si="68"/>
        <v>8568</v>
      </c>
      <c r="R130" s="38">
        <f t="shared" si="69"/>
        <v>8853.6</v>
      </c>
    </row>
    <row r="131" spans="1:18" s="14" customFormat="1" ht="15.75" customHeight="1">
      <c r="A131" s="45" t="s">
        <v>68</v>
      </c>
      <c r="B131" s="46">
        <v>1</v>
      </c>
      <c r="C131" s="47">
        <v>365</v>
      </c>
      <c r="D131" s="48">
        <v>72.54</v>
      </c>
      <c r="E131" s="38">
        <f t="shared" si="60"/>
        <v>26477.100000000002</v>
      </c>
      <c r="F131" s="36"/>
      <c r="G131" s="38">
        <f t="shared" si="61"/>
        <v>2248.7400000000002</v>
      </c>
      <c r="H131" s="49">
        <f t="shared" si="62"/>
        <v>2031.1200000000001</v>
      </c>
      <c r="I131" s="38">
        <f>B131*D131*31</f>
        <v>2248.7400000000002</v>
      </c>
      <c r="J131" s="38">
        <f>B131*D131*30</f>
        <v>2176.2000000000003</v>
      </c>
      <c r="K131" s="38">
        <f>B131*D131*31</f>
        <v>2248.7400000000002</v>
      </c>
      <c r="L131" s="38">
        <f t="shared" si="63"/>
        <v>2176.2000000000003</v>
      </c>
      <c r="M131" s="38">
        <f t="shared" si="64"/>
        <v>2248.7400000000002</v>
      </c>
      <c r="N131" s="38">
        <f t="shared" si="65"/>
        <v>2248.7400000000002</v>
      </c>
      <c r="O131" s="38">
        <f t="shared" si="66"/>
        <v>2176.2000000000003</v>
      </c>
      <c r="P131" s="38">
        <f t="shared" si="67"/>
        <v>2248.7400000000002</v>
      </c>
      <c r="Q131" s="38">
        <f t="shared" si="68"/>
        <v>2176.2000000000003</v>
      </c>
      <c r="R131" s="38">
        <f t="shared" si="69"/>
        <v>2248.7400000000002</v>
      </c>
    </row>
    <row r="132" spans="1:18" s="14" customFormat="1" ht="15.75" customHeight="1">
      <c r="A132" s="45" t="s">
        <v>8</v>
      </c>
      <c r="B132" s="46"/>
      <c r="C132" s="47"/>
      <c r="D132" s="48"/>
      <c r="E132" s="38">
        <v>69.3</v>
      </c>
      <c r="F132" s="36"/>
      <c r="G132" s="38"/>
      <c r="H132" s="49"/>
      <c r="I132" s="38"/>
      <c r="J132" s="52"/>
      <c r="K132" s="38"/>
      <c r="L132" s="38"/>
      <c r="M132" s="38"/>
      <c r="N132" s="38"/>
      <c r="O132" s="38"/>
      <c r="P132" s="38"/>
      <c r="Q132" s="38">
        <v>69.3</v>
      </c>
      <c r="R132" s="38"/>
    </row>
    <row r="133" spans="1:18" s="14" customFormat="1" ht="15.75" customHeight="1">
      <c r="A133" s="45"/>
      <c r="B133" s="46"/>
      <c r="C133" s="47"/>
      <c r="D133" s="48"/>
      <c r="E133" s="38"/>
      <c r="F133" s="36"/>
      <c r="G133" s="38"/>
      <c r="H133" s="49"/>
      <c r="I133" s="38"/>
      <c r="J133" s="38"/>
      <c r="K133" s="38"/>
      <c r="L133" s="38"/>
      <c r="M133" s="38"/>
      <c r="N133" s="38"/>
      <c r="O133" s="38"/>
      <c r="P133" s="38"/>
      <c r="Q133" s="38"/>
      <c r="R133" s="38"/>
    </row>
    <row r="134" spans="1:18" s="14" customFormat="1" ht="15.75" customHeight="1">
      <c r="A134" s="40" t="s">
        <v>44</v>
      </c>
      <c r="B134" s="46"/>
      <c r="C134" s="47"/>
      <c r="D134" s="48"/>
      <c r="E134" s="38"/>
      <c r="F134" s="36"/>
      <c r="G134" s="38"/>
      <c r="H134" s="49"/>
      <c r="I134" s="38"/>
      <c r="J134" s="38"/>
      <c r="K134" s="38"/>
      <c r="L134" s="38"/>
      <c r="M134" s="38"/>
      <c r="N134" s="38"/>
      <c r="O134" s="38"/>
      <c r="P134" s="38"/>
      <c r="Q134" s="38"/>
      <c r="R134" s="38"/>
    </row>
    <row r="135" spans="1:18" s="14" customFormat="1" ht="15.75" customHeight="1">
      <c r="A135" s="40" t="s">
        <v>116</v>
      </c>
      <c r="B135" s="54">
        <f>SUM(B136:B143)</f>
        <v>8</v>
      </c>
      <c r="C135" s="47"/>
      <c r="D135" s="48"/>
      <c r="E135" s="53">
        <f>SUM(E136:E143)</f>
        <v>193274</v>
      </c>
      <c r="F135" s="44">
        <f>E135-(184474+8800)</f>
        <v>0</v>
      </c>
      <c r="G135" s="58">
        <f aca="true" t="shared" si="70" ref="G135:R135">SUM(G136:G143)</f>
        <v>15667.710000000001</v>
      </c>
      <c r="H135" s="58">
        <f t="shared" si="70"/>
        <v>14151.480000000003</v>
      </c>
      <c r="I135" s="58">
        <f t="shared" si="70"/>
        <v>15667.710000000001</v>
      </c>
      <c r="J135" s="58">
        <f t="shared" si="70"/>
        <v>15162.300000000003</v>
      </c>
      <c r="K135" s="58">
        <f t="shared" si="70"/>
        <v>15667.710000000001</v>
      </c>
      <c r="L135" s="58">
        <f t="shared" si="70"/>
        <v>15162.300000000003</v>
      </c>
      <c r="M135" s="58">
        <f t="shared" si="70"/>
        <v>15667.710000000001</v>
      </c>
      <c r="N135" s="58">
        <f t="shared" si="70"/>
        <v>15667.710000000001</v>
      </c>
      <c r="O135" s="58">
        <f t="shared" si="70"/>
        <v>17304.300000000003</v>
      </c>
      <c r="P135" s="58">
        <f t="shared" si="70"/>
        <v>17881.11</v>
      </c>
      <c r="Q135" s="58">
        <f t="shared" si="70"/>
        <v>17392.850000000002</v>
      </c>
      <c r="R135" s="58">
        <f t="shared" si="70"/>
        <v>17881.11</v>
      </c>
    </row>
    <row r="136" spans="1:18" s="14" customFormat="1" ht="15.75" customHeight="1">
      <c r="A136" s="45" t="s">
        <v>71</v>
      </c>
      <c r="B136" s="46">
        <v>1</v>
      </c>
      <c r="C136" s="47">
        <v>365</v>
      </c>
      <c r="D136" s="48">
        <v>73.59</v>
      </c>
      <c r="E136" s="38">
        <f aca="true" t="shared" si="71" ref="E136:E141">+B136*C136*D136</f>
        <v>26860.350000000002</v>
      </c>
      <c r="F136" s="36"/>
      <c r="G136" s="38">
        <f aca="true" t="shared" si="72" ref="G136:G141">B136*D136*31</f>
        <v>2281.29</v>
      </c>
      <c r="H136" s="49">
        <f aca="true" t="shared" si="73" ref="H136:H141">B136*D136*28</f>
        <v>2060.52</v>
      </c>
      <c r="I136" s="38">
        <f aca="true" t="shared" si="74" ref="I136:I141">B136*D136*31</f>
        <v>2281.29</v>
      </c>
      <c r="J136" s="38">
        <f aca="true" t="shared" si="75" ref="J136:J141">B136*D136*30</f>
        <v>2207.7000000000003</v>
      </c>
      <c r="K136" s="38">
        <f aca="true" t="shared" si="76" ref="K136:K141">B136*D136*31</f>
        <v>2281.29</v>
      </c>
      <c r="L136" s="38">
        <f aca="true" t="shared" si="77" ref="L136:L141">B136*D136*30</f>
        <v>2207.7000000000003</v>
      </c>
      <c r="M136" s="38">
        <f aca="true" t="shared" si="78" ref="M136:M141">B136*D136*31</f>
        <v>2281.29</v>
      </c>
      <c r="N136" s="38">
        <f aca="true" t="shared" si="79" ref="N136:N141">B136*D136*31</f>
        <v>2281.29</v>
      </c>
      <c r="O136" s="38">
        <f aca="true" t="shared" si="80" ref="O136:O141">B136*D136*30</f>
        <v>2207.7000000000003</v>
      </c>
      <c r="P136" s="38">
        <f aca="true" t="shared" si="81" ref="P136:P141">B136*D136*31</f>
        <v>2281.29</v>
      </c>
      <c r="Q136" s="38">
        <f aca="true" t="shared" si="82" ref="Q136:Q141">B136*D136*30</f>
        <v>2207.7000000000003</v>
      </c>
      <c r="R136" s="38">
        <f aca="true" t="shared" si="83" ref="R136:R142">B136*D136*31</f>
        <v>2281.29</v>
      </c>
    </row>
    <row r="137" spans="1:18" s="14" customFormat="1" ht="15.75" customHeight="1">
      <c r="A137" s="45" t="s">
        <v>74</v>
      </c>
      <c r="B137" s="46">
        <v>1</v>
      </c>
      <c r="C137" s="47">
        <v>365</v>
      </c>
      <c r="D137" s="48">
        <v>72.54</v>
      </c>
      <c r="E137" s="38">
        <f t="shared" si="71"/>
        <v>26477.100000000002</v>
      </c>
      <c r="F137" s="36"/>
      <c r="G137" s="38">
        <f t="shared" si="72"/>
        <v>2248.7400000000002</v>
      </c>
      <c r="H137" s="49">
        <f t="shared" si="73"/>
        <v>2031.1200000000001</v>
      </c>
      <c r="I137" s="38">
        <f t="shared" si="74"/>
        <v>2248.7400000000002</v>
      </c>
      <c r="J137" s="38">
        <f t="shared" si="75"/>
        <v>2176.2000000000003</v>
      </c>
      <c r="K137" s="38">
        <f t="shared" si="76"/>
        <v>2248.7400000000002</v>
      </c>
      <c r="L137" s="38">
        <f t="shared" si="77"/>
        <v>2176.2000000000003</v>
      </c>
      <c r="M137" s="38">
        <f t="shared" si="78"/>
        <v>2248.7400000000002</v>
      </c>
      <c r="N137" s="38">
        <f t="shared" si="79"/>
        <v>2248.7400000000002</v>
      </c>
      <c r="O137" s="38">
        <f t="shared" si="80"/>
        <v>2176.2000000000003</v>
      </c>
      <c r="P137" s="38">
        <f t="shared" si="81"/>
        <v>2248.7400000000002</v>
      </c>
      <c r="Q137" s="38">
        <f t="shared" si="82"/>
        <v>2176.2000000000003</v>
      </c>
      <c r="R137" s="38">
        <f t="shared" si="83"/>
        <v>2248.7400000000002</v>
      </c>
    </row>
    <row r="138" spans="1:18" s="14" customFormat="1" ht="15.75" customHeight="1">
      <c r="A138" s="45" t="s">
        <v>7</v>
      </c>
      <c r="B138" s="47">
        <v>2</v>
      </c>
      <c r="C138" s="47">
        <v>365</v>
      </c>
      <c r="D138" s="48">
        <v>71.4</v>
      </c>
      <c r="E138" s="38">
        <f t="shared" si="71"/>
        <v>52122.00000000001</v>
      </c>
      <c r="F138" s="36"/>
      <c r="G138" s="38">
        <f t="shared" si="72"/>
        <v>4426.8</v>
      </c>
      <c r="H138" s="49">
        <f t="shared" si="73"/>
        <v>3998.4000000000005</v>
      </c>
      <c r="I138" s="38">
        <f t="shared" si="74"/>
        <v>4426.8</v>
      </c>
      <c r="J138" s="38">
        <f t="shared" si="75"/>
        <v>4284</v>
      </c>
      <c r="K138" s="38">
        <f t="shared" si="76"/>
        <v>4426.8</v>
      </c>
      <c r="L138" s="38">
        <f t="shared" si="77"/>
        <v>4284</v>
      </c>
      <c r="M138" s="38">
        <f t="shared" si="78"/>
        <v>4426.8</v>
      </c>
      <c r="N138" s="38">
        <f t="shared" si="79"/>
        <v>4426.8</v>
      </c>
      <c r="O138" s="38">
        <f t="shared" si="80"/>
        <v>4284</v>
      </c>
      <c r="P138" s="38">
        <f t="shared" si="81"/>
        <v>4426.8</v>
      </c>
      <c r="Q138" s="38">
        <f t="shared" si="82"/>
        <v>4284</v>
      </c>
      <c r="R138" s="38">
        <f t="shared" si="83"/>
        <v>4426.8</v>
      </c>
    </row>
    <row r="139" spans="1:18" s="14" customFormat="1" ht="15.75" customHeight="1">
      <c r="A139" s="45" t="s">
        <v>78</v>
      </c>
      <c r="B139" s="47">
        <v>1</v>
      </c>
      <c r="C139" s="47">
        <v>365</v>
      </c>
      <c r="D139" s="48">
        <v>72.54</v>
      </c>
      <c r="E139" s="38">
        <f t="shared" si="71"/>
        <v>26477.100000000002</v>
      </c>
      <c r="F139" s="36"/>
      <c r="G139" s="38">
        <f t="shared" si="72"/>
        <v>2248.7400000000002</v>
      </c>
      <c r="H139" s="49">
        <f t="shared" si="73"/>
        <v>2031.1200000000001</v>
      </c>
      <c r="I139" s="38">
        <f t="shared" si="74"/>
        <v>2248.7400000000002</v>
      </c>
      <c r="J139" s="38">
        <f t="shared" si="75"/>
        <v>2176.2000000000003</v>
      </c>
      <c r="K139" s="38">
        <f t="shared" si="76"/>
        <v>2248.7400000000002</v>
      </c>
      <c r="L139" s="38">
        <f t="shared" si="77"/>
        <v>2176.2000000000003</v>
      </c>
      <c r="M139" s="38">
        <f t="shared" si="78"/>
        <v>2248.7400000000002</v>
      </c>
      <c r="N139" s="38">
        <f t="shared" si="79"/>
        <v>2248.7400000000002</v>
      </c>
      <c r="O139" s="38">
        <f t="shared" si="80"/>
        <v>2176.2000000000003</v>
      </c>
      <c r="P139" s="38">
        <f t="shared" si="81"/>
        <v>2248.7400000000002</v>
      </c>
      <c r="Q139" s="38">
        <f t="shared" si="82"/>
        <v>2176.2000000000003</v>
      </c>
      <c r="R139" s="38">
        <f t="shared" si="83"/>
        <v>2248.7400000000002</v>
      </c>
    </row>
    <row r="140" spans="1:18" s="14" customFormat="1" ht="15.75" customHeight="1">
      <c r="A140" s="45" t="s">
        <v>79</v>
      </c>
      <c r="B140" s="46">
        <v>1</v>
      </c>
      <c r="C140" s="47">
        <v>365</v>
      </c>
      <c r="D140" s="48">
        <v>72.54</v>
      </c>
      <c r="E140" s="38">
        <f t="shared" si="71"/>
        <v>26477.100000000002</v>
      </c>
      <c r="F140" s="36"/>
      <c r="G140" s="38">
        <f t="shared" si="72"/>
        <v>2248.7400000000002</v>
      </c>
      <c r="H140" s="49">
        <f t="shared" si="73"/>
        <v>2031.1200000000001</v>
      </c>
      <c r="I140" s="38">
        <f t="shared" si="74"/>
        <v>2248.7400000000002</v>
      </c>
      <c r="J140" s="38">
        <f t="shared" si="75"/>
        <v>2176.2000000000003</v>
      </c>
      <c r="K140" s="38">
        <f t="shared" si="76"/>
        <v>2248.7400000000002</v>
      </c>
      <c r="L140" s="38">
        <f t="shared" si="77"/>
        <v>2176.2000000000003</v>
      </c>
      <c r="M140" s="38">
        <f t="shared" si="78"/>
        <v>2248.7400000000002</v>
      </c>
      <c r="N140" s="38">
        <f t="shared" si="79"/>
        <v>2248.7400000000002</v>
      </c>
      <c r="O140" s="38">
        <f t="shared" si="80"/>
        <v>2176.2000000000003</v>
      </c>
      <c r="P140" s="38">
        <f t="shared" si="81"/>
        <v>2248.7400000000002</v>
      </c>
      <c r="Q140" s="38">
        <f t="shared" si="82"/>
        <v>2176.2000000000003</v>
      </c>
      <c r="R140" s="38">
        <f t="shared" si="83"/>
        <v>2248.7400000000002</v>
      </c>
    </row>
    <row r="141" spans="1:18" s="14" customFormat="1" ht="15.75" customHeight="1">
      <c r="A141" s="45" t="s">
        <v>73</v>
      </c>
      <c r="B141" s="46">
        <v>1</v>
      </c>
      <c r="C141" s="47">
        <v>365</v>
      </c>
      <c r="D141" s="48">
        <v>71.4</v>
      </c>
      <c r="E141" s="38">
        <f t="shared" si="71"/>
        <v>26061.000000000004</v>
      </c>
      <c r="F141" s="36"/>
      <c r="G141" s="38">
        <f t="shared" si="72"/>
        <v>2213.4</v>
      </c>
      <c r="H141" s="49">
        <f t="shared" si="73"/>
        <v>1999.2000000000003</v>
      </c>
      <c r="I141" s="38">
        <f t="shared" si="74"/>
        <v>2213.4</v>
      </c>
      <c r="J141" s="38">
        <f t="shared" si="75"/>
        <v>2142</v>
      </c>
      <c r="K141" s="38">
        <f t="shared" si="76"/>
        <v>2213.4</v>
      </c>
      <c r="L141" s="38">
        <f t="shared" si="77"/>
        <v>2142</v>
      </c>
      <c r="M141" s="38">
        <f t="shared" si="78"/>
        <v>2213.4</v>
      </c>
      <c r="N141" s="38">
        <f t="shared" si="79"/>
        <v>2213.4</v>
      </c>
      <c r="O141" s="38">
        <f t="shared" si="80"/>
        <v>2142</v>
      </c>
      <c r="P141" s="38">
        <f t="shared" si="81"/>
        <v>2213.4</v>
      </c>
      <c r="Q141" s="38">
        <f t="shared" si="82"/>
        <v>2142</v>
      </c>
      <c r="R141" s="38">
        <f t="shared" si="83"/>
        <v>2213.4</v>
      </c>
    </row>
    <row r="142" spans="1:18" s="14" customFormat="1" ht="15.75" customHeight="1">
      <c r="A142" s="45" t="s">
        <v>73</v>
      </c>
      <c r="B142" s="46">
        <v>1</v>
      </c>
      <c r="C142" s="47">
        <v>122</v>
      </c>
      <c r="D142" s="48">
        <v>71.4</v>
      </c>
      <c r="E142" s="38">
        <f>+B142*C142*D142</f>
        <v>8710.800000000001</v>
      </c>
      <c r="F142" s="36"/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f>B142*D142*30</f>
        <v>2142</v>
      </c>
      <c r="P142" s="38">
        <f>B142*D142*31</f>
        <v>2213.4</v>
      </c>
      <c r="Q142" s="38">
        <f>B142*D142*30</f>
        <v>2142</v>
      </c>
      <c r="R142" s="38">
        <f t="shared" si="83"/>
        <v>2213.4</v>
      </c>
    </row>
    <row r="143" spans="1:18" s="14" customFormat="1" ht="15.75" customHeight="1">
      <c r="A143" s="45" t="s">
        <v>8</v>
      </c>
      <c r="B143" s="46"/>
      <c r="C143" s="47"/>
      <c r="D143" s="48"/>
      <c r="E143" s="38">
        <v>88.55</v>
      </c>
      <c r="F143" s="36"/>
      <c r="G143" s="38"/>
      <c r="H143" s="49"/>
      <c r="I143" s="38"/>
      <c r="J143" s="52"/>
      <c r="K143" s="38"/>
      <c r="L143" s="38"/>
      <c r="M143" s="38"/>
      <c r="N143" s="38"/>
      <c r="O143" s="38"/>
      <c r="P143" s="38"/>
      <c r="Q143" s="38">
        <v>88.55</v>
      </c>
      <c r="R143" s="38"/>
    </row>
    <row r="144" spans="1:18" s="14" customFormat="1" ht="15.75" customHeight="1">
      <c r="A144" s="45"/>
      <c r="B144" s="46"/>
      <c r="C144" s="47"/>
      <c r="D144" s="48"/>
      <c r="E144" s="38"/>
      <c r="F144" s="36"/>
      <c r="G144" s="38"/>
      <c r="H144" s="49"/>
      <c r="I144" s="38"/>
      <c r="J144" s="38"/>
      <c r="K144" s="38"/>
      <c r="L144" s="38"/>
      <c r="M144" s="38"/>
      <c r="N144" s="38"/>
      <c r="O144" s="38"/>
      <c r="P144" s="38"/>
      <c r="Q144" s="38"/>
      <c r="R144" s="38"/>
    </row>
    <row r="145" spans="1:18" s="14" customFormat="1" ht="15.75" customHeight="1">
      <c r="A145" s="40" t="s">
        <v>42</v>
      </c>
      <c r="B145" s="32"/>
      <c r="C145" s="47"/>
      <c r="D145" s="43"/>
      <c r="E145" s="53"/>
      <c r="F145" s="44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</row>
    <row r="146" spans="1:256" s="57" customFormat="1" ht="15.75" customHeight="1">
      <c r="A146" s="40" t="s">
        <v>116</v>
      </c>
      <c r="B146" s="71">
        <f>SUM(B147:B152)</f>
        <v>6</v>
      </c>
      <c r="C146" s="72"/>
      <c r="D146" s="72"/>
      <c r="E146" s="121">
        <f>SUM(E147:E152)</f>
        <v>159283</v>
      </c>
      <c r="F146" s="55">
        <f>E146-(159282+1)</f>
        <v>0</v>
      </c>
      <c r="G146" s="73">
        <f aca="true" t="shared" si="84" ref="G146:R146">SUM(G147:G152)</f>
        <v>13528.09</v>
      </c>
      <c r="H146" s="73">
        <f t="shared" si="84"/>
        <v>12218.920000000002</v>
      </c>
      <c r="I146" s="73">
        <f t="shared" si="84"/>
        <v>13528.09</v>
      </c>
      <c r="J146" s="73">
        <f t="shared" si="84"/>
        <v>13091.7</v>
      </c>
      <c r="K146" s="73">
        <f t="shared" si="84"/>
        <v>13528.09</v>
      </c>
      <c r="L146" s="73">
        <f t="shared" si="84"/>
        <v>13091.7</v>
      </c>
      <c r="M146" s="73">
        <f t="shared" si="84"/>
        <v>13528.09</v>
      </c>
      <c r="N146" s="73">
        <f t="shared" si="84"/>
        <v>13528.09</v>
      </c>
      <c r="O146" s="73">
        <f t="shared" si="84"/>
        <v>13091.7</v>
      </c>
      <c r="P146" s="73">
        <f t="shared" si="84"/>
        <v>13528.09</v>
      </c>
      <c r="Q146" s="73">
        <f t="shared" si="84"/>
        <v>13092.35</v>
      </c>
      <c r="R146" s="58">
        <f t="shared" si="84"/>
        <v>13528.09</v>
      </c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/>
      <c r="CI146" s="74"/>
      <c r="CJ146" s="74"/>
      <c r="CK146" s="74"/>
      <c r="CL146" s="74"/>
      <c r="CM146" s="74"/>
      <c r="CN146" s="74"/>
      <c r="CO146" s="74"/>
      <c r="CP146" s="74"/>
      <c r="CQ146" s="74"/>
      <c r="CR146" s="74"/>
      <c r="CS146" s="74"/>
      <c r="CT146" s="74"/>
      <c r="CU146" s="74"/>
      <c r="CV146" s="74"/>
      <c r="CW146" s="74"/>
      <c r="CX146" s="74"/>
      <c r="CY146" s="74"/>
      <c r="CZ146" s="74"/>
      <c r="DA146" s="74"/>
      <c r="DB146" s="74"/>
      <c r="DC146" s="74"/>
      <c r="DD146" s="74"/>
      <c r="DE146" s="74"/>
      <c r="DF146" s="74"/>
      <c r="DG146" s="74"/>
      <c r="DH146" s="74"/>
      <c r="DI146" s="74"/>
      <c r="DJ146" s="74"/>
      <c r="DK146" s="74"/>
      <c r="DL146" s="74"/>
      <c r="DM146" s="74"/>
      <c r="DN146" s="74"/>
      <c r="DO146" s="74"/>
      <c r="DP146" s="74"/>
      <c r="DQ146" s="74"/>
      <c r="DR146" s="74"/>
      <c r="DS146" s="74"/>
      <c r="DT146" s="74"/>
      <c r="DU146" s="74"/>
      <c r="DV146" s="74"/>
      <c r="DW146" s="74"/>
      <c r="DX146" s="74"/>
      <c r="DY146" s="74"/>
      <c r="DZ146" s="74"/>
      <c r="EA146" s="74"/>
      <c r="EB146" s="74"/>
      <c r="EC146" s="74"/>
      <c r="ED146" s="74"/>
      <c r="EE146" s="74"/>
      <c r="EF146" s="74"/>
      <c r="EG146" s="74"/>
      <c r="EH146" s="74"/>
      <c r="EI146" s="74"/>
      <c r="EJ146" s="74"/>
      <c r="EK146" s="74"/>
      <c r="EL146" s="74"/>
      <c r="EM146" s="74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/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M146" s="74"/>
      <c r="GN146" s="74"/>
      <c r="GO146" s="74"/>
      <c r="GP146" s="74"/>
      <c r="GQ146" s="74"/>
      <c r="GR146" s="74"/>
      <c r="GS146" s="74"/>
      <c r="GT146" s="74"/>
      <c r="GU146" s="74"/>
      <c r="GV146" s="74"/>
      <c r="GW146" s="74"/>
      <c r="GX146" s="74"/>
      <c r="GY146" s="74"/>
      <c r="GZ146" s="74"/>
      <c r="HA146" s="74"/>
      <c r="HB146" s="74"/>
      <c r="HC146" s="74"/>
      <c r="HD146" s="74"/>
      <c r="HE146" s="74"/>
      <c r="HF146" s="74"/>
      <c r="HG146" s="74"/>
      <c r="HH146" s="74"/>
      <c r="HI146" s="74"/>
      <c r="HJ146" s="74"/>
      <c r="HK146" s="74"/>
      <c r="HL146" s="74"/>
      <c r="HM146" s="74"/>
      <c r="HN146" s="74"/>
      <c r="HO146" s="74"/>
      <c r="HP146" s="74"/>
      <c r="HQ146" s="74"/>
      <c r="HR146" s="74"/>
      <c r="HS146" s="74"/>
      <c r="HT146" s="74"/>
      <c r="HU146" s="74"/>
      <c r="HV146" s="74"/>
      <c r="HW146" s="74"/>
      <c r="HX146" s="74"/>
      <c r="HY146" s="74"/>
      <c r="HZ146" s="74"/>
      <c r="IA146" s="74"/>
      <c r="IB146" s="74"/>
      <c r="IC146" s="74"/>
      <c r="ID146" s="74"/>
      <c r="IE146" s="74"/>
      <c r="IF146" s="74"/>
      <c r="IG146" s="74"/>
      <c r="IH146" s="74"/>
      <c r="II146" s="74"/>
      <c r="IJ146" s="74"/>
      <c r="IK146" s="74"/>
      <c r="IL146" s="74"/>
      <c r="IM146" s="74"/>
      <c r="IN146" s="74"/>
      <c r="IO146" s="74"/>
      <c r="IP146" s="74"/>
      <c r="IQ146" s="74"/>
      <c r="IR146" s="74"/>
      <c r="IS146" s="74"/>
      <c r="IT146" s="74"/>
      <c r="IU146" s="74"/>
      <c r="IV146" s="74"/>
    </row>
    <row r="147" spans="1:18" s="14" customFormat="1" ht="15.75" customHeight="1">
      <c r="A147" s="45" t="s">
        <v>10</v>
      </c>
      <c r="B147" s="47">
        <v>1</v>
      </c>
      <c r="C147" s="47">
        <v>365</v>
      </c>
      <c r="D147" s="48">
        <v>71.4</v>
      </c>
      <c r="E147" s="38">
        <f>+B147*C147*D147</f>
        <v>26061.000000000004</v>
      </c>
      <c r="F147" s="44"/>
      <c r="G147" s="38">
        <f>B147*D147*31</f>
        <v>2213.4</v>
      </c>
      <c r="H147" s="49">
        <f>B147*D147*28</f>
        <v>1999.2000000000003</v>
      </c>
      <c r="I147" s="38">
        <f>B147*D147*31</f>
        <v>2213.4</v>
      </c>
      <c r="J147" s="38">
        <f>B147*D147*30</f>
        <v>2142</v>
      </c>
      <c r="K147" s="38">
        <f>B147*D147*31</f>
        <v>2213.4</v>
      </c>
      <c r="L147" s="38">
        <f>B147*D147*30</f>
        <v>2142</v>
      </c>
      <c r="M147" s="38">
        <f>B147*D147*31</f>
        <v>2213.4</v>
      </c>
      <c r="N147" s="38">
        <f>B147*D147*31</f>
        <v>2213.4</v>
      </c>
      <c r="O147" s="38">
        <f>B147*D147*30</f>
        <v>2142</v>
      </c>
      <c r="P147" s="38">
        <f>B147*D147*31</f>
        <v>2213.4</v>
      </c>
      <c r="Q147" s="38">
        <f>B147*D147*30</f>
        <v>2142</v>
      </c>
      <c r="R147" s="38">
        <f>B147*D147*31</f>
        <v>2213.4</v>
      </c>
    </row>
    <row r="148" spans="1:18" s="14" customFormat="1" ht="15.75" customHeight="1">
      <c r="A148" s="45" t="s">
        <v>7</v>
      </c>
      <c r="B148" s="46">
        <v>1</v>
      </c>
      <c r="C148" s="47">
        <v>365</v>
      </c>
      <c r="D148" s="48">
        <v>71.4</v>
      </c>
      <c r="E148" s="38">
        <f>+B148*C148*D148</f>
        <v>26061.000000000004</v>
      </c>
      <c r="F148" s="36"/>
      <c r="G148" s="38">
        <f>B148*D148*31</f>
        <v>2213.4</v>
      </c>
      <c r="H148" s="49">
        <f>B148*D148*28</f>
        <v>1999.2000000000003</v>
      </c>
      <c r="I148" s="38">
        <f>B148*D148*31</f>
        <v>2213.4</v>
      </c>
      <c r="J148" s="38">
        <f>B148*D148*30</f>
        <v>2142</v>
      </c>
      <c r="K148" s="38">
        <f>B148*D148*31</f>
        <v>2213.4</v>
      </c>
      <c r="L148" s="38">
        <f>B148*D148*30</f>
        <v>2142</v>
      </c>
      <c r="M148" s="38">
        <f>B148*D148*31</f>
        <v>2213.4</v>
      </c>
      <c r="N148" s="38">
        <f>B148*D148*31</f>
        <v>2213.4</v>
      </c>
      <c r="O148" s="38">
        <f>B148*D148*30</f>
        <v>2142</v>
      </c>
      <c r="P148" s="38">
        <f>B148*D148*31</f>
        <v>2213.4</v>
      </c>
      <c r="Q148" s="38">
        <f>B148*D148*30</f>
        <v>2142</v>
      </c>
      <c r="R148" s="38">
        <f>B148*D148*31</f>
        <v>2213.4</v>
      </c>
    </row>
    <row r="149" spans="1:18" s="14" customFormat="1" ht="15.75" customHeight="1">
      <c r="A149" s="45" t="s">
        <v>66</v>
      </c>
      <c r="B149" s="46">
        <v>1</v>
      </c>
      <c r="C149" s="47">
        <v>365</v>
      </c>
      <c r="D149" s="48">
        <v>78.25</v>
      </c>
      <c r="E149" s="38">
        <f>+B149*C149*D149</f>
        <v>28561.25</v>
      </c>
      <c r="F149" s="36"/>
      <c r="G149" s="38">
        <f>B149*D149*31</f>
        <v>2425.75</v>
      </c>
      <c r="H149" s="49">
        <f>B149*D149*28</f>
        <v>2191</v>
      </c>
      <c r="I149" s="38">
        <f>B149*D149*31</f>
        <v>2425.75</v>
      </c>
      <c r="J149" s="38">
        <f>B149*D149*30</f>
        <v>2347.5</v>
      </c>
      <c r="K149" s="38">
        <f>B149*D149*31</f>
        <v>2425.75</v>
      </c>
      <c r="L149" s="38">
        <f>B149*D149*30</f>
        <v>2347.5</v>
      </c>
      <c r="M149" s="38">
        <f>B149*D149*31</f>
        <v>2425.75</v>
      </c>
      <c r="N149" s="38">
        <f>B149*D149*31</f>
        <v>2425.75</v>
      </c>
      <c r="O149" s="38">
        <f>B149*D149*30</f>
        <v>2347.5</v>
      </c>
      <c r="P149" s="38">
        <f>B149*D149*31</f>
        <v>2425.75</v>
      </c>
      <c r="Q149" s="38">
        <f>B149*D149*30</f>
        <v>2347.5</v>
      </c>
      <c r="R149" s="38">
        <f>B149*D149*31</f>
        <v>2425.75</v>
      </c>
    </row>
    <row r="150" spans="1:18" s="14" customFormat="1" ht="15.75" customHeight="1">
      <c r="A150" s="45" t="s">
        <v>73</v>
      </c>
      <c r="B150" s="46">
        <v>2</v>
      </c>
      <c r="C150" s="47">
        <v>365</v>
      </c>
      <c r="D150" s="48">
        <v>71.4</v>
      </c>
      <c r="E150" s="38">
        <f>+B150*C150*D150</f>
        <v>52122.00000000001</v>
      </c>
      <c r="F150" s="36"/>
      <c r="G150" s="38">
        <f>B150*D150*31</f>
        <v>4426.8</v>
      </c>
      <c r="H150" s="49">
        <f>B150*D150*28</f>
        <v>3998.4000000000005</v>
      </c>
      <c r="I150" s="38">
        <f>B150*D150*31</f>
        <v>4426.8</v>
      </c>
      <c r="J150" s="38">
        <f>B150*D150*30</f>
        <v>4284</v>
      </c>
      <c r="K150" s="38">
        <f>B150*D150*31</f>
        <v>4426.8</v>
      </c>
      <c r="L150" s="38">
        <f>B150*D150*30</f>
        <v>4284</v>
      </c>
      <c r="M150" s="38">
        <f>B150*D150*31</f>
        <v>4426.8</v>
      </c>
      <c r="N150" s="38">
        <f>B150*D150*31</f>
        <v>4426.8</v>
      </c>
      <c r="O150" s="38">
        <f>B150*D150*30</f>
        <v>4284</v>
      </c>
      <c r="P150" s="38">
        <f>B150*D150*31</f>
        <v>4426.8</v>
      </c>
      <c r="Q150" s="38">
        <f>B150*D150*30</f>
        <v>4284</v>
      </c>
      <c r="R150" s="38">
        <f>B150*D150*31</f>
        <v>4426.8</v>
      </c>
    </row>
    <row r="151" spans="1:18" s="14" customFormat="1" ht="15.75" customHeight="1">
      <c r="A151" s="45" t="s">
        <v>68</v>
      </c>
      <c r="B151" s="46">
        <v>1</v>
      </c>
      <c r="C151" s="47">
        <v>365</v>
      </c>
      <c r="D151" s="48">
        <v>72.54</v>
      </c>
      <c r="E151" s="38">
        <f>+B151*C151*D151</f>
        <v>26477.100000000002</v>
      </c>
      <c r="F151" s="36"/>
      <c r="G151" s="38">
        <f>B151*D151*31</f>
        <v>2248.7400000000002</v>
      </c>
      <c r="H151" s="49">
        <f>B151*D151*28</f>
        <v>2031.1200000000001</v>
      </c>
      <c r="I151" s="38">
        <f>B151*D151*31</f>
        <v>2248.7400000000002</v>
      </c>
      <c r="J151" s="38">
        <f>B151*D151*30</f>
        <v>2176.2000000000003</v>
      </c>
      <c r="K151" s="38">
        <f>B151*D151*31</f>
        <v>2248.7400000000002</v>
      </c>
      <c r="L151" s="38">
        <f>B151*D151*30</f>
        <v>2176.2000000000003</v>
      </c>
      <c r="M151" s="38">
        <f>B151*D151*31</f>
        <v>2248.7400000000002</v>
      </c>
      <c r="N151" s="38">
        <f>B151*D151*31</f>
        <v>2248.7400000000002</v>
      </c>
      <c r="O151" s="38">
        <f>B151*D151*30</f>
        <v>2176.2000000000003</v>
      </c>
      <c r="P151" s="38">
        <f>B151*D151*31</f>
        <v>2248.7400000000002</v>
      </c>
      <c r="Q151" s="38">
        <f>B151*D151*30</f>
        <v>2176.2000000000003</v>
      </c>
      <c r="R151" s="38">
        <f>B151*D151*31</f>
        <v>2248.7400000000002</v>
      </c>
    </row>
    <row r="152" spans="1:18" s="14" customFormat="1" ht="15.75" customHeight="1">
      <c r="A152" s="62" t="s">
        <v>8</v>
      </c>
      <c r="B152" s="63"/>
      <c r="C152" s="64"/>
      <c r="D152" s="65"/>
      <c r="E152" s="89">
        <v>0.65</v>
      </c>
      <c r="F152" s="67"/>
      <c r="G152" s="68"/>
      <c r="H152" s="69"/>
      <c r="I152" s="68"/>
      <c r="J152" s="89"/>
      <c r="K152" s="89"/>
      <c r="L152" s="68"/>
      <c r="M152" s="68"/>
      <c r="N152" s="68"/>
      <c r="O152" s="68"/>
      <c r="P152" s="68"/>
      <c r="Q152" s="89">
        <v>0.65</v>
      </c>
      <c r="R152" s="68"/>
    </row>
    <row r="153" spans="1:18" s="14" customFormat="1" ht="15.75" customHeight="1">
      <c r="A153" s="103"/>
      <c r="B153" s="105"/>
      <c r="C153" s="106"/>
      <c r="D153" s="107"/>
      <c r="E153" s="110"/>
      <c r="F153" s="104"/>
      <c r="G153" s="108"/>
      <c r="H153" s="111"/>
      <c r="I153" s="110"/>
      <c r="J153" s="108"/>
      <c r="K153" s="110"/>
      <c r="L153" s="110"/>
      <c r="M153" s="110"/>
      <c r="N153" s="110"/>
      <c r="O153" s="110"/>
      <c r="P153" s="110"/>
      <c r="Q153" s="110"/>
      <c r="R153" s="110"/>
    </row>
    <row r="154" spans="1:18" s="14" customFormat="1" ht="15.75" customHeight="1">
      <c r="A154" s="40" t="s">
        <v>46</v>
      </c>
      <c r="B154" s="46"/>
      <c r="C154" s="47"/>
      <c r="D154" s="48"/>
      <c r="E154" s="38"/>
      <c r="F154" s="36"/>
      <c r="G154" s="38"/>
      <c r="H154" s="49"/>
      <c r="I154" s="38"/>
      <c r="J154" s="38"/>
      <c r="K154" s="38"/>
      <c r="L154" s="38"/>
      <c r="M154" s="38"/>
      <c r="N154" s="38"/>
      <c r="O154" s="38"/>
      <c r="P154" s="38"/>
      <c r="Q154" s="38"/>
      <c r="R154" s="38"/>
    </row>
    <row r="155" spans="1:18" s="14" customFormat="1" ht="15.75" customHeight="1">
      <c r="A155" s="40" t="s">
        <v>116</v>
      </c>
      <c r="B155" s="54">
        <f>SUM(B156:B172)</f>
        <v>62</v>
      </c>
      <c r="C155" s="47"/>
      <c r="D155" s="48"/>
      <c r="E155" s="53">
        <f>SUM(E156:E172)</f>
        <v>936962.0000000001</v>
      </c>
      <c r="F155" s="44">
        <f>E155-(372962+564000)</f>
        <v>0</v>
      </c>
      <c r="G155" s="58">
        <f aca="true" t="shared" si="85" ref="G155:R155">SUM(G156:G172)</f>
        <v>31676.110000000008</v>
      </c>
      <c r="H155" s="58">
        <f t="shared" si="85"/>
        <v>28610.680000000004</v>
      </c>
      <c r="I155" s="58">
        <f t="shared" si="85"/>
        <v>31676.110000000008</v>
      </c>
      <c r="J155" s="58">
        <f t="shared" si="85"/>
        <v>30654.300000000003</v>
      </c>
      <c r="K155" s="58">
        <f t="shared" si="85"/>
        <v>31676.110000000008</v>
      </c>
      <c r="L155" s="58">
        <f t="shared" si="85"/>
        <v>30654.300000000003</v>
      </c>
      <c r="M155" s="58">
        <f t="shared" si="85"/>
        <v>31676.110000000008</v>
      </c>
      <c r="N155" s="58">
        <f t="shared" si="85"/>
        <v>144121.79</v>
      </c>
      <c r="O155" s="58">
        <f t="shared" si="85"/>
        <v>139472.7</v>
      </c>
      <c r="P155" s="58">
        <f t="shared" si="85"/>
        <v>144121.79</v>
      </c>
      <c r="Q155" s="58">
        <f t="shared" si="85"/>
        <v>148500.21000000002</v>
      </c>
      <c r="R155" s="58">
        <f t="shared" si="85"/>
        <v>144121.79</v>
      </c>
    </row>
    <row r="156" spans="1:18" s="14" customFormat="1" ht="15.75" customHeight="1">
      <c r="A156" s="45" t="s">
        <v>59</v>
      </c>
      <c r="B156" s="46">
        <v>6</v>
      </c>
      <c r="C156" s="47">
        <v>365</v>
      </c>
      <c r="D156" s="48">
        <v>72.54</v>
      </c>
      <c r="E156" s="38">
        <f aca="true" t="shared" si="86" ref="E156:E162">+B156*C156*D156</f>
        <v>158862.6</v>
      </c>
      <c r="F156" s="36"/>
      <c r="G156" s="38">
        <f aca="true" t="shared" si="87" ref="G156:G162">B156*D156*31</f>
        <v>13492.44</v>
      </c>
      <c r="H156" s="49">
        <f aca="true" t="shared" si="88" ref="H156:H163">B156*D156*28</f>
        <v>12186.720000000001</v>
      </c>
      <c r="I156" s="38">
        <f aca="true" t="shared" si="89" ref="I156:I162">B156*D156*31</f>
        <v>13492.44</v>
      </c>
      <c r="J156" s="38">
        <f aca="true" t="shared" si="90" ref="J156:J162">B156*D156*30</f>
        <v>13057.2</v>
      </c>
      <c r="K156" s="38">
        <f aca="true" t="shared" si="91" ref="K156:K163">B156*D156*31</f>
        <v>13492.44</v>
      </c>
      <c r="L156" s="38">
        <f aca="true" t="shared" si="92" ref="L156:L163">B156*D156*30</f>
        <v>13057.2</v>
      </c>
      <c r="M156" s="38">
        <f aca="true" t="shared" si="93" ref="M156:M163">B156*D156*31</f>
        <v>13492.44</v>
      </c>
      <c r="N156" s="38">
        <f aca="true" t="shared" si="94" ref="N156:N163">B156*D156*31</f>
        <v>13492.44</v>
      </c>
      <c r="O156" s="38">
        <f aca="true" t="shared" si="95" ref="O156:O163">B156*D156*30</f>
        <v>13057.2</v>
      </c>
      <c r="P156" s="38">
        <f aca="true" t="shared" si="96" ref="P156:P163">B156*D156*31</f>
        <v>13492.44</v>
      </c>
      <c r="Q156" s="38">
        <f aca="true" t="shared" si="97" ref="Q156:Q162">B156*D156*30</f>
        <v>13057.2</v>
      </c>
      <c r="R156" s="38">
        <f aca="true" t="shared" si="98" ref="R156:R162">B156*D156*31</f>
        <v>13492.44</v>
      </c>
    </row>
    <row r="157" spans="1:18" s="14" customFormat="1" ht="15.75" customHeight="1">
      <c r="A157" s="45" t="s">
        <v>10</v>
      </c>
      <c r="B157" s="46">
        <v>1</v>
      </c>
      <c r="C157" s="47">
        <v>365</v>
      </c>
      <c r="D157" s="48">
        <v>71.4</v>
      </c>
      <c r="E157" s="38">
        <f t="shared" si="86"/>
        <v>26061.000000000004</v>
      </c>
      <c r="F157" s="36"/>
      <c r="G157" s="38">
        <f t="shared" si="87"/>
        <v>2213.4</v>
      </c>
      <c r="H157" s="49">
        <f t="shared" si="88"/>
        <v>1999.2000000000003</v>
      </c>
      <c r="I157" s="38">
        <f t="shared" si="89"/>
        <v>2213.4</v>
      </c>
      <c r="J157" s="38">
        <f t="shared" si="90"/>
        <v>2142</v>
      </c>
      <c r="K157" s="38">
        <f t="shared" si="91"/>
        <v>2213.4</v>
      </c>
      <c r="L157" s="38">
        <f t="shared" si="92"/>
        <v>2142</v>
      </c>
      <c r="M157" s="38">
        <f t="shared" si="93"/>
        <v>2213.4</v>
      </c>
      <c r="N157" s="38">
        <f t="shared" si="94"/>
        <v>2213.4</v>
      </c>
      <c r="O157" s="38">
        <f t="shared" si="95"/>
        <v>2142</v>
      </c>
      <c r="P157" s="38">
        <f t="shared" si="96"/>
        <v>2213.4</v>
      </c>
      <c r="Q157" s="38">
        <f t="shared" si="97"/>
        <v>2142</v>
      </c>
      <c r="R157" s="38">
        <f t="shared" si="98"/>
        <v>2213.4</v>
      </c>
    </row>
    <row r="158" spans="1:18" s="14" customFormat="1" ht="15.75" customHeight="1">
      <c r="A158" s="45" t="s">
        <v>80</v>
      </c>
      <c r="B158" s="47">
        <v>1</v>
      </c>
      <c r="C158" s="47">
        <v>365</v>
      </c>
      <c r="D158" s="48">
        <v>73.59</v>
      </c>
      <c r="E158" s="38">
        <f t="shared" si="86"/>
        <v>26860.350000000002</v>
      </c>
      <c r="F158" s="36"/>
      <c r="G158" s="38">
        <f t="shared" si="87"/>
        <v>2281.29</v>
      </c>
      <c r="H158" s="49">
        <f t="shared" si="88"/>
        <v>2060.52</v>
      </c>
      <c r="I158" s="38">
        <f t="shared" si="89"/>
        <v>2281.29</v>
      </c>
      <c r="J158" s="38">
        <f t="shared" si="90"/>
        <v>2207.7000000000003</v>
      </c>
      <c r="K158" s="38">
        <f t="shared" si="91"/>
        <v>2281.29</v>
      </c>
      <c r="L158" s="38">
        <f t="shared" si="92"/>
        <v>2207.7000000000003</v>
      </c>
      <c r="M158" s="38">
        <f t="shared" si="93"/>
        <v>2281.29</v>
      </c>
      <c r="N158" s="38">
        <f t="shared" si="94"/>
        <v>2281.29</v>
      </c>
      <c r="O158" s="38">
        <f t="shared" si="95"/>
        <v>2207.7000000000003</v>
      </c>
      <c r="P158" s="38">
        <f t="shared" si="96"/>
        <v>2281.29</v>
      </c>
      <c r="Q158" s="38">
        <f t="shared" si="97"/>
        <v>2207.7000000000003</v>
      </c>
      <c r="R158" s="38">
        <f t="shared" si="98"/>
        <v>2281.29</v>
      </c>
    </row>
    <row r="159" spans="1:18" s="14" customFormat="1" ht="15.75" customHeight="1">
      <c r="A159" s="45" t="s">
        <v>7</v>
      </c>
      <c r="B159" s="46">
        <v>1</v>
      </c>
      <c r="C159" s="47">
        <v>365</v>
      </c>
      <c r="D159" s="48">
        <v>71.4</v>
      </c>
      <c r="E159" s="38">
        <f t="shared" si="86"/>
        <v>26061.000000000004</v>
      </c>
      <c r="F159" s="36"/>
      <c r="G159" s="38">
        <f>B159*D159*31</f>
        <v>2213.4</v>
      </c>
      <c r="H159" s="49">
        <f t="shared" si="88"/>
        <v>1999.2000000000003</v>
      </c>
      <c r="I159" s="38">
        <f>B159*D159*31</f>
        <v>2213.4</v>
      </c>
      <c r="J159" s="38">
        <f>B159*D159*30</f>
        <v>2142</v>
      </c>
      <c r="K159" s="38">
        <f t="shared" si="91"/>
        <v>2213.4</v>
      </c>
      <c r="L159" s="38">
        <f t="shared" si="92"/>
        <v>2142</v>
      </c>
      <c r="M159" s="38">
        <f t="shared" si="93"/>
        <v>2213.4</v>
      </c>
      <c r="N159" s="38">
        <f t="shared" si="94"/>
        <v>2213.4</v>
      </c>
      <c r="O159" s="38">
        <f t="shared" si="95"/>
        <v>2142</v>
      </c>
      <c r="P159" s="38">
        <f t="shared" si="96"/>
        <v>2213.4</v>
      </c>
      <c r="Q159" s="38">
        <f t="shared" si="97"/>
        <v>2142</v>
      </c>
      <c r="R159" s="38">
        <f t="shared" si="98"/>
        <v>2213.4</v>
      </c>
    </row>
    <row r="160" spans="1:18" s="14" customFormat="1" ht="15.75" customHeight="1">
      <c r="A160" s="45" t="s">
        <v>77</v>
      </c>
      <c r="B160" s="46">
        <v>1</v>
      </c>
      <c r="C160" s="47">
        <v>365</v>
      </c>
      <c r="D160" s="48">
        <v>71.4</v>
      </c>
      <c r="E160" s="38">
        <f t="shared" si="86"/>
        <v>26061.000000000004</v>
      </c>
      <c r="F160" s="36"/>
      <c r="G160" s="38">
        <f t="shared" si="87"/>
        <v>2213.4</v>
      </c>
      <c r="H160" s="49">
        <f t="shared" si="88"/>
        <v>1999.2000000000003</v>
      </c>
      <c r="I160" s="38">
        <f t="shared" si="89"/>
        <v>2213.4</v>
      </c>
      <c r="J160" s="38">
        <f t="shared" si="90"/>
        <v>2142</v>
      </c>
      <c r="K160" s="38">
        <f t="shared" si="91"/>
        <v>2213.4</v>
      </c>
      <c r="L160" s="38">
        <f t="shared" si="92"/>
        <v>2142</v>
      </c>
      <c r="M160" s="38">
        <f t="shared" si="93"/>
        <v>2213.4</v>
      </c>
      <c r="N160" s="38">
        <f t="shared" si="94"/>
        <v>2213.4</v>
      </c>
      <c r="O160" s="38">
        <f t="shared" si="95"/>
        <v>2142</v>
      </c>
      <c r="P160" s="38">
        <f t="shared" si="96"/>
        <v>2213.4</v>
      </c>
      <c r="Q160" s="38">
        <f t="shared" si="97"/>
        <v>2142</v>
      </c>
      <c r="R160" s="38">
        <f t="shared" si="98"/>
        <v>2213.4</v>
      </c>
    </row>
    <row r="161" spans="1:18" s="14" customFormat="1" ht="15.75" customHeight="1">
      <c r="A161" s="45" t="s">
        <v>66</v>
      </c>
      <c r="B161" s="46">
        <v>1</v>
      </c>
      <c r="C161" s="47">
        <v>365</v>
      </c>
      <c r="D161" s="48">
        <v>78.25</v>
      </c>
      <c r="E161" s="38">
        <f t="shared" si="86"/>
        <v>28561.25</v>
      </c>
      <c r="F161" s="36"/>
      <c r="G161" s="38">
        <f t="shared" si="87"/>
        <v>2425.75</v>
      </c>
      <c r="H161" s="49">
        <f t="shared" si="88"/>
        <v>2191</v>
      </c>
      <c r="I161" s="38">
        <f t="shared" si="89"/>
        <v>2425.75</v>
      </c>
      <c r="J161" s="38">
        <f t="shared" si="90"/>
        <v>2347.5</v>
      </c>
      <c r="K161" s="38">
        <f t="shared" si="91"/>
        <v>2425.75</v>
      </c>
      <c r="L161" s="38">
        <f t="shared" si="92"/>
        <v>2347.5</v>
      </c>
      <c r="M161" s="38">
        <f t="shared" si="93"/>
        <v>2425.75</v>
      </c>
      <c r="N161" s="38">
        <f t="shared" si="94"/>
        <v>2425.75</v>
      </c>
      <c r="O161" s="38">
        <f t="shared" si="95"/>
        <v>2347.5</v>
      </c>
      <c r="P161" s="38">
        <f t="shared" si="96"/>
        <v>2425.75</v>
      </c>
      <c r="Q161" s="38">
        <f t="shared" si="97"/>
        <v>2347.5</v>
      </c>
      <c r="R161" s="38">
        <f t="shared" si="98"/>
        <v>2425.75</v>
      </c>
    </row>
    <row r="162" spans="1:18" s="14" customFormat="1" ht="15.75" customHeight="1">
      <c r="A162" s="56" t="s">
        <v>81</v>
      </c>
      <c r="B162" s="47">
        <v>1</v>
      </c>
      <c r="C162" s="47">
        <v>365</v>
      </c>
      <c r="D162" s="48">
        <v>72.54</v>
      </c>
      <c r="E162" s="38">
        <f t="shared" si="86"/>
        <v>26477.100000000002</v>
      </c>
      <c r="F162" s="24"/>
      <c r="G162" s="38">
        <f t="shared" si="87"/>
        <v>2248.7400000000002</v>
      </c>
      <c r="H162" s="49">
        <f t="shared" si="88"/>
        <v>2031.1200000000001</v>
      </c>
      <c r="I162" s="38">
        <f t="shared" si="89"/>
        <v>2248.7400000000002</v>
      </c>
      <c r="J162" s="38">
        <f t="shared" si="90"/>
        <v>2176.2000000000003</v>
      </c>
      <c r="K162" s="38">
        <f t="shared" si="91"/>
        <v>2248.7400000000002</v>
      </c>
      <c r="L162" s="38">
        <f t="shared" si="92"/>
        <v>2176.2000000000003</v>
      </c>
      <c r="M162" s="38">
        <f t="shared" si="93"/>
        <v>2248.7400000000002</v>
      </c>
      <c r="N162" s="38">
        <f t="shared" si="94"/>
        <v>2248.7400000000002</v>
      </c>
      <c r="O162" s="38">
        <f t="shared" si="95"/>
        <v>2176.2000000000003</v>
      </c>
      <c r="P162" s="38">
        <f t="shared" si="96"/>
        <v>2248.7400000000002</v>
      </c>
      <c r="Q162" s="38">
        <f t="shared" si="97"/>
        <v>2176.2000000000003</v>
      </c>
      <c r="R162" s="38">
        <f t="shared" si="98"/>
        <v>2248.7400000000002</v>
      </c>
    </row>
    <row r="163" spans="1:18" s="14" customFormat="1" ht="15.75" customHeight="1">
      <c r="A163" s="56" t="s">
        <v>60</v>
      </c>
      <c r="B163" s="46">
        <v>1</v>
      </c>
      <c r="C163" s="47">
        <v>365</v>
      </c>
      <c r="D163" s="48">
        <v>76.59</v>
      </c>
      <c r="E163" s="38">
        <f aca="true" t="shared" si="99" ref="E163:E168">+B163*C163*D163</f>
        <v>27955.350000000002</v>
      </c>
      <c r="F163" s="24"/>
      <c r="G163" s="38">
        <f>B163*D163*31</f>
        <v>2374.29</v>
      </c>
      <c r="H163" s="49">
        <f t="shared" si="88"/>
        <v>2144.52</v>
      </c>
      <c r="I163" s="38">
        <f>B163*D163*31</f>
        <v>2374.29</v>
      </c>
      <c r="J163" s="38">
        <f>B163*D163*30</f>
        <v>2297.7000000000003</v>
      </c>
      <c r="K163" s="38">
        <f t="shared" si="91"/>
        <v>2374.29</v>
      </c>
      <c r="L163" s="38">
        <f t="shared" si="92"/>
        <v>2297.7000000000003</v>
      </c>
      <c r="M163" s="38">
        <f t="shared" si="93"/>
        <v>2374.29</v>
      </c>
      <c r="N163" s="38">
        <f t="shared" si="94"/>
        <v>2374.29</v>
      </c>
      <c r="O163" s="38">
        <f t="shared" si="95"/>
        <v>2297.7000000000003</v>
      </c>
      <c r="P163" s="38">
        <f t="shared" si="96"/>
        <v>2374.29</v>
      </c>
      <c r="Q163" s="38">
        <f aca="true" t="shared" si="100" ref="Q163:Q168">B163*D163*30</f>
        <v>2297.7000000000003</v>
      </c>
      <c r="R163" s="38">
        <f aca="true" t="shared" si="101" ref="R163:R168">B163*D163*31</f>
        <v>2374.29</v>
      </c>
    </row>
    <row r="164" spans="1:18" s="14" customFormat="1" ht="15.75" customHeight="1">
      <c r="A164" s="45" t="s">
        <v>10</v>
      </c>
      <c r="B164" s="47">
        <v>1</v>
      </c>
      <c r="C164" s="47">
        <v>365</v>
      </c>
      <c r="D164" s="48">
        <v>71.4</v>
      </c>
      <c r="E164" s="38">
        <f t="shared" si="99"/>
        <v>26061.000000000004</v>
      </c>
      <c r="F164" s="24"/>
      <c r="G164" s="38">
        <f>B164*D164*31</f>
        <v>2213.4</v>
      </c>
      <c r="H164" s="49">
        <f>B164*D164*28</f>
        <v>1999.2000000000003</v>
      </c>
      <c r="I164" s="38">
        <f>B164*D164*31</f>
        <v>2213.4</v>
      </c>
      <c r="J164" s="38">
        <f>B164*D164*30</f>
        <v>2142</v>
      </c>
      <c r="K164" s="38">
        <f>B164*D164*31</f>
        <v>2213.4</v>
      </c>
      <c r="L164" s="38">
        <f>B164*D164*30</f>
        <v>2142</v>
      </c>
      <c r="M164" s="38">
        <f>B164*D164*31</f>
        <v>2213.4</v>
      </c>
      <c r="N164" s="38">
        <f aca="true" t="shared" si="102" ref="N164:N171">B164*D164*31</f>
        <v>2213.4</v>
      </c>
      <c r="O164" s="38">
        <f aca="true" t="shared" si="103" ref="O164:O171">B164*D164*30</f>
        <v>2142</v>
      </c>
      <c r="P164" s="38">
        <f aca="true" t="shared" si="104" ref="P164:P171">B164*D164*31</f>
        <v>2213.4</v>
      </c>
      <c r="Q164" s="38">
        <f t="shared" si="100"/>
        <v>2142</v>
      </c>
      <c r="R164" s="38">
        <f t="shared" si="101"/>
        <v>2213.4</v>
      </c>
    </row>
    <row r="165" spans="1:18" s="14" customFormat="1" ht="15.75" customHeight="1">
      <c r="A165" s="45" t="s">
        <v>138</v>
      </c>
      <c r="B165" s="47">
        <v>23</v>
      </c>
      <c r="C165" s="47">
        <v>153</v>
      </c>
      <c r="D165" s="48">
        <v>77.59</v>
      </c>
      <c r="E165" s="38">
        <f t="shared" si="99"/>
        <v>273039.21</v>
      </c>
      <c r="F165" s="36"/>
      <c r="G165" s="38">
        <v>0</v>
      </c>
      <c r="H165" s="38">
        <v>0</v>
      </c>
      <c r="I165" s="38">
        <v>0</v>
      </c>
      <c r="J165" s="38">
        <v>0</v>
      </c>
      <c r="K165" s="38">
        <v>0</v>
      </c>
      <c r="L165" s="38">
        <v>0</v>
      </c>
      <c r="M165" s="38">
        <v>0</v>
      </c>
      <c r="N165" s="38">
        <f t="shared" si="102"/>
        <v>55321.670000000006</v>
      </c>
      <c r="O165" s="38">
        <f t="shared" si="103"/>
        <v>53537.100000000006</v>
      </c>
      <c r="P165" s="38">
        <f t="shared" si="104"/>
        <v>55321.670000000006</v>
      </c>
      <c r="Q165" s="38">
        <f t="shared" si="100"/>
        <v>53537.100000000006</v>
      </c>
      <c r="R165" s="38">
        <f t="shared" si="101"/>
        <v>55321.670000000006</v>
      </c>
    </row>
    <row r="166" spans="1:18" s="14" customFormat="1" ht="15.75" customHeight="1">
      <c r="A166" s="45" t="s">
        <v>139</v>
      </c>
      <c r="B166" s="47">
        <v>3</v>
      </c>
      <c r="C166" s="47">
        <v>153</v>
      </c>
      <c r="D166" s="48">
        <v>77.59</v>
      </c>
      <c r="E166" s="38">
        <f t="shared" si="99"/>
        <v>35613.810000000005</v>
      </c>
      <c r="F166" s="36"/>
      <c r="G166" s="38">
        <v>0</v>
      </c>
      <c r="H166" s="38">
        <v>0</v>
      </c>
      <c r="I166" s="38">
        <v>0</v>
      </c>
      <c r="J166" s="38">
        <v>0</v>
      </c>
      <c r="K166" s="38">
        <v>0</v>
      </c>
      <c r="L166" s="38">
        <v>0</v>
      </c>
      <c r="M166" s="38">
        <v>0</v>
      </c>
      <c r="N166" s="38">
        <f t="shared" si="102"/>
        <v>7215.87</v>
      </c>
      <c r="O166" s="38">
        <f t="shared" si="103"/>
        <v>6983.1</v>
      </c>
      <c r="P166" s="38">
        <f t="shared" si="104"/>
        <v>7215.87</v>
      </c>
      <c r="Q166" s="38">
        <f t="shared" si="100"/>
        <v>6983.1</v>
      </c>
      <c r="R166" s="38">
        <f t="shared" si="101"/>
        <v>7215.87</v>
      </c>
    </row>
    <row r="167" spans="1:18" s="14" customFormat="1" ht="15.75" customHeight="1">
      <c r="A167" s="45" t="s">
        <v>93</v>
      </c>
      <c r="B167" s="47">
        <v>4</v>
      </c>
      <c r="C167" s="47">
        <v>153</v>
      </c>
      <c r="D167" s="48">
        <v>75.64</v>
      </c>
      <c r="E167" s="38">
        <f t="shared" si="99"/>
        <v>46291.68</v>
      </c>
      <c r="F167" s="36"/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38">
        <v>0</v>
      </c>
      <c r="N167" s="38">
        <f t="shared" si="102"/>
        <v>9379.36</v>
      </c>
      <c r="O167" s="38">
        <f t="shared" si="103"/>
        <v>9076.8</v>
      </c>
      <c r="P167" s="38">
        <f t="shared" si="104"/>
        <v>9379.36</v>
      </c>
      <c r="Q167" s="38">
        <f t="shared" si="100"/>
        <v>9076.8</v>
      </c>
      <c r="R167" s="38">
        <f t="shared" si="101"/>
        <v>9379.36</v>
      </c>
    </row>
    <row r="168" spans="1:18" s="14" customFormat="1" ht="15.75" customHeight="1">
      <c r="A168" s="45" t="s">
        <v>10</v>
      </c>
      <c r="B168" s="47">
        <v>9</v>
      </c>
      <c r="C168" s="47">
        <v>153</v>
      </c>
      <c r="D168" s="48">
        <v>71.4</v>
      </c>
      <c r="E168" s="38">
        <f t="shared" si="99"/>
        <v>98317.8</v>
      </c>
      <c r="F168" s="36"/>
      <c r="G168" s="38">
        <v>0</v>
      </c>
      <c r="H168" s="38">
        <v>0</v>
      </c>
      <c r="I168" s="38">
        <v>0</v>
      </c>
      <c r="J168" s="38">
        <v>0</v>
      </c>
      <c r="K168" s="38">
        <v>0</v>
      </c>
      <c r="L168" s="38">
        <v>0</v>
      </c>
      <c r="M168" s="38">
        <v>0</v>
      </c>
      <c r="N168" s="38">
        <f t="shared" si="102"/>
        <v>19920.600000000002</v>
      </c>
      <c r="O168" s="38">
        <f t="shared" si="103"/>
        <v>19278</v>
      </c>
      <c r="P168" s="38">
        <f t="shared" si="104"/>
        <v>19920.600000000002</v>
      </c>
      <c r="Q168" s="38">
        <f t="shared" si="100"/>
        <v>19278</v>
      </c>
      <c r="R168" s="38">
        <f t="shared" si="101"/>
        <v>19920.600000000002</v>
      </c>
    </row>
    <row r="169" spans="1:18" s="14" customFormat="1" ht="15.75" customHeight="1">
      <c r="A169" s="45" t="s">
        <v>7</v>
      </c>
      <c r="B169" s="47">
        <v>5</v>
      </c>
      <c r="C169" s="47">
        <v>153</v>
      </c>
      <c r="D169" s="48">
        <v>71.4</v>
      </c>
      <c r="E169" s="38">
        <f>+B169*C169*D169</f>
        <v>54621.00000000001</v>
      </c>
      <c r="F169" s="36"/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38">
        <v>0</v>
      </c>
      <c r="N169" s="38">
        <f t="shared" si="102"/>
        <v>11067</v>
      </c>
      <c r="O169" s="38">
        <f t="shared" si="103"/>
        <v>10710</v>
      </c>
      <c r="P169" s="38">
        <f t="shared" si="104"/>
        <v>11067</v>
      </c>
      <c r="Q169" s="38">
        <f>B169*D169*30</f>
        <v>10710</v>
      </c>
      <c r="R169" s="38">
        <f>B169*D169*31</f>
        <v>11067</v>
      </c>
    </row>
    <row r="170" spans="1:18" s="14" customFormat="1" ht="15.75" customHeight="1">
      <c r="A170" s="45" t="s">
        <v>66</v>
      </c>
      <c r="B170" s="46">
        <v>2</v>
      </c>
      <c r="C170" s="47">
        <v>153</v>
      </c>
      <c r="D170" s="48">
        <v>78.25</v>
      </c>
      <c r="E170" s="38">
        <f>+B170*C170*D170</f>
        <v>23944.5</v>
      </c>
      <c r="F170" s="36"/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f t="shared" si="102"/>
        <v>4851.5</v>
      </c>
      <c r="O170" s="38">
        <f t="shared" si="103"/>
        <v>4695</v>
      </c>
      <c r="P170" s="38">
        <f t="shared" si="104"/>
        <v>4851.5</v>
      </c>
      <c r="Q170" s="38">
        <f>B170*D170*30</f>
        <v>4695</v>
      </c>
      <c r="R170" s="38">
        <f>B170*D170*31</f>
        <v>4851.5</v>
      </c>
    </row>
    <row r="171" spans="1:18" s="14" customFormat="1" ht="15.75" customHeight="1">
      <c r="A171" s="45" t="s">
        <v>141</v>
      </c>
      <c r="B171" s="46">
        <v>2</v>
      </c>
      <c r="C171" s="47">
        <v>153</v>
      </c>
      <c r="D171" s="48">
        <v>75.64</v>
      </c>
      <c r="E171" s="38">
        <f>+B171*C171*D171</f>
        <v>23145.84</v>
      </c>
      <c r="F171" s="36"/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f t="shared" si="102"/>
        <v>4689.68</v>
      </c>
      <c r="O171" s="38">
        <f t="shared" si="103"/>
        <v>4538.4</v>
      </c>
      <c r="P171" s="38">
        <f t="shared" si="104"/>
        <v>4689.68</v>
      </c>
      <c r="Q171" s="38">
        <f>B171*D171*30</f>
        <v>4538.4</v>
      </c>
      <c r="R171" s="38">
        <f>B171*D171*31</f>
        <v>4689.68</v>
      </c>
    </row>
    <row r="172" spans="1:18" s="14" customFormat="1" ht="15.75" customHeight="1">
      <c r="A172" s="45" t="s">
        <v>8</v>
      </c>
      <c r="B172" s="46"/>
      <c r="C172" s="47"/>
      <c r="D172" s="48"/>
      <c r="E172" s="38">
        <v>9027.51</v>
      </c>
      <c r="F172" s="36"/>
      <c r="G172" s="38"/>
      <c r="H172" s="49"/>
      <c r="I172" s="38"/>
      <c r="J172" s="52"/>
      <c r="K172" s="38"/>
      <c r="L172" s="38"/>
      <c r="M172" s="38"/>
      <c r="N172" s="38"/>
      <c r="O172" s="38"/>
      <c r="P172" s="38"/>
      <c r="Q172" s="38">
        <v>9027.51</v>
      </c>
      <c r="R172" s="52"/>
    </row>
    <row r="173" spans="1:18" s="14" customFormat="1" ht="22.5" customHeight="1">
      <c r="A173" s="45"/>
      <c r="B173" s="46"/>
      <c r="C173" s="47"/>
      <c r="D173" s="48"/>
      <c r="E173" s="38"/>
      <c r="F173" s="36"/>
      <c r="G173" s="52"/>
      <c r="H173" s="49"/>
      <c r="I173" s="38"/>
      <c r="J173" s="52"/>
      <c r="K173" s="52"/>
      <c r="L173" s="38"/>
      <c r="M173" s="38"/>
      <c r="N173" s="38"/>
      <c r="O173" s="38"/>
      <c r="P173" s="38"/>
      <c r="Q173" s="38"/>
      <c r="R173" s="52"/>
    </row>
    <row r="174" spans="1:18" s="14" customFormat="1" ht="15.75" customHeight="1">
      <c r="A174" s="40" t="s">
        <v>83</v>
      </c>
      <c r="B174" s="32"/>
      <c r="C174" s="47"/>
      <c r="D174" s="48"/>
      <c r="E174" s="53"/>
      <c r="F174" s="36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</row>
    <row r="175" spans="1:18" s="14" customFormat="1" ht="15.75" customHeight="1">
      <c r="A175" s="40" t="s">
        <v>117</v>
      </c>
      <c r="B175" s="32">
        <f>SUM(B176:B180)</f>
        <v>5</v>
      </c>
      <c r="C175" s="47"/>
      <c r="D175" s="48"/>
      <c r="E175" s="53">
        <f>SUM(E176:E180)</f>
        <v>52121</v>
      </c>
      <c r="F175" s="44">
        <f>E175-(52122-1)</f>
        <v>0</v>
      </c>
      <c r="G175" s="53">
        <f aca="true" t="shared" si="105" ref="G175:R175">SUM(G176:G180)</f>
        <v>4426.8</v>
      </c>
      <c r="H175" s="53">
        <f t="shared" si="105"/>
        <v>3998.4000000000005</v>
      </c>
      <c r="I175" s="53">
        <f t="shared" si="105"/>
        <v>4426.8</v>
      </c>
      <c r="J175" s="53">
        <f t="shared" si="105"/>
        <v>4284</v>
      </c>
      <c r="K175" s="53">
        <f t="shared" si="105"/>
        <v>4426.8</v>
      </c>
      <c r="L175" s="53">
        <f t="shared" si="105"/>
        <v>4284</v>
      </c>
      <c r="M175" s="53">
        <f t="shared" si="105"/>
        <v>4998</v>
      </c>
      <c r="N175" s="53">
        <f t="shared" si="105"/>
        <v>7772.240000000001</v>
      </c>
      <c r="O175" s="53">
        <f t="shared" si="105"/>
        <v>11277.6</v>
      </c>
      <c r="P175" s="53">
        <f t="shared" si="105"/>
        <v>2213.4</v>
      </c>
      <c r="Q175" s="53">
        <f t="shared" si="105"/>
        <v>12.96</v>
      </c>
      <c r="R175" s="53">
        <f t="shared" si="105"/>
        <v>0</v>
      </c>
    </row>
    <row r="176" spans="1:18" s="14" customFormat="1" ht="15.75" customHeight="1">
      <c r="A176" s="45" t="s">
        <v>10</v>
      </c>
      <c r="B176" s="46">
        <v>1</v>
      </c>
      <c r="C176" s="47">
        <v>304</v>
      </c>
      <c r="D176" s="48">
        <v>71.4</v>
      </c>
      <c r="E176" s="38">
        <f>+B176*C176*D176</f>
        <v>21705.600000000002</v>
      </c>
      <c r="F176" s="36"/>
      <c r="G176" s="38">
        <f>B176*D176*31</f>
        <v>2213.4</v>
      </c>
      <c r="H176" s="49">
        <f>B176*D176*28</f>
        <v>1999.2000000000003</v>
      </c>
      <c r="I176" s="38">
        <f>B176*D176*31</f>
        <v>2213.4</v>
      </c>
      <c r="J176" s="38">
        <f>B176*D176*30</f>
        <v>2142</v>
      </c>
      <c r="K176" s="38">
        <f>B176*D176*31</f>
        <v>2213.4</v>
      </c>
      <c r="L176" s="38">
        <f>B176*D176*30</f>
        <v>2142</v>
      </c>
      <c r="M176" s="38">
        <f>B176*D176*31</f>
        <v>2213.4</v>
      </c>
      <c r="N176" s="38">
        <f>B176*D176*31</f>
        <v>2213.4</v>
      </c>
      <c r="O176" s="38">
        <f>B176*D176*30</f>
        <v>2142</v>
      </c>
      <c r="P176" s="38">
        <f>B176*D176*31</f>
        <v>2213.4</v>
      </c>
      <c r="Q176" s="38">
        <v>0</v>
      </c>
      <c r="R176" s="38">
        <v>0</v>
      </c>
    </row>
    <row r="177" spans="1:18" s="14" customFormat="1" ht="15.75" customHeight="1">
      <c r="A177" s="45" t="s">
        <v>7</v>
      </c>
      <c r="B177" s="46">
        <v>1</v>
      </c>
      <c r="C177" s="47">
        <v>273</v>
      </c>
      <c r="D177" s="48">
        <v>71.4</v>
      </c>
      <c r="E177" s="38">
        <f>+B177*C177*D177</f>
        <v>19492.2</v>
      </c>
      <c r="F177" s="36"/>
      <c r="G177" s="38">
        <f>B177*D177*31</f>
        <v>2213.4</v>
      </c>
      <c r="H177" s="49">
        <f>B177*D177*28</f>
        <v>1999.2000000000003</v>
      </c>
      <c r="I177" s="38">
        <f>B177*D177*31</f>
        <v>2213.4</v>
      </c>
      <c r="J177" s="38">
        <f>B177*D177*30</f>
        <v>2142</v>
      </c>
      <c r="K177" s="38">
        <f>B177*D177*31</f>
        <v>2213.4</v>
      </c>
      <c r="L177" s="38">
        <f>B177*D177*30</f>
        <v>2142</v>
      </c>
      <c r="M177" s="38">
        <f>B177*D177*31</f>
        <v>2213.4</v>
      </c>
      <c r="N177" s="38">
        <f>B177*D177*31</f>
        <v>2213.4</v>
      </c>
      <c r="O177" s="38">
        <f>B177*D177*30</f>
        <v>2142</v>
      </c>
      <c r="P177" s="38">
        <v>0</v>
      </c>
      <c r="Q177" s="38">
        <v>0</v>
      </c>
      <c r="R177" s="38">
        <v>0</v>
      </c>
    </row>
    <row r="178" spans="1:18" s="14" customFormat="1" ht="15.75" customHeight="1">
      <c r="A178" s="45" t="s">
        <v>10</v>
      </c>
      <c r="B178" s="46">
        <v>1</v>
      </c>
      <c r="C178" s="47">
        <v>69</v>
      </c>
      <c r="D178" s="48">
        <v>71.4</v>
      </c>
      <c r="E178" s="38">
        <f>+B178*C178*D178</f>
        <v>4926.6</v>
      </c>
      <c r="F178" s="36"/>
      <c r="G178" s="38">
        <v>0</v>
      </c>
      <c r="H178" s="38">
        <v>0</v>
      </c>
      <c r="I178" s="38">
        <v>0</v>
      </c>
      <c r="J178" s="38">
        <v>0</v>
      </c>
      <c r="K178" s="38">
        <v>0</v>
      </c>
      <c r="L178" s="38">
        <v>0</v>
      </c>
      <c r="M178" s="38">
        <f>B178*D178*8</f>
        <v>571.2</v>
      </c>
      <c r="N178" s="38">
        <f>B178*D178*31</f>
        <v>2213.4</v>
      </c>
      <c r="O178" s="38">
        <f>B178*D178*30</f>
        <v>2142</v>
      </c>
      <c r="P178" s="38">
        <v>0</v>
      </c>
      <c r="Q178" s="38">
        <v>0</v>
      </c>
      <c r="R178" s="38">
        <v>0</v>
      </c>
    </row>
    <row r="179" spans="1:18" s="14" customFormat="1" ht="15.75" customHeight="1">
      <c r="A179" s="45" t="s">
        <v>140</v>
      </c>
      <c r="B179" s="46">
        <v>2</v>
      </c>
      <c r="C179" s="47">
        <v>37</v>
      </c>
      <c r="D179" s="48">
        <v>80.86</v>
      </c>
      <c r="E179" s="38">
        <f>+B179*C179*D179</f>
        <v>5983.64</v>
      </c>
      <c r="F179" s="36"/>
      <c r="G179" s="38">
        <v>0</v>
      </c>
      <c r="H179" s="38">
        <v>0</v>
      </c>
      <c r="I179" s="38">
        <v>0</v>
      </c>
      <c r="J179" s="38">
        <v>0</v>
      </c>
      <c r="K179" s="38">
        <v>0</v>
      </c>
      <c r="L179" s="38">
        <v>0</v>
      </c>
      <c r="M179" s="38">
        <v>0</v>
      </c>
      <c r="N179" s="38">
        <f>B179*D179*7</f>
        <v>1132.04</v>
      </c>
      <c r="O179" s="38">
        <f>B179*D179*30</f>
        <v>4851.6</v>
      </c>
      <c r="P179" s="38">
        <v>0</v>
      </c>
      <c r="Q179" s="38">
        <v>0</v>
      </c>
      <c r="R179" s="38">
        <v>0</v>
      </c>
    </row>
    <row r="180" spans="1:18" s="14" customFormat="1" ht="15.75" customHeight="1">
      <c r="A180" s="45" t="s">
        <v>8</v>
      </c>
      <c r="B180" s="46"/>
      <c r="C180" s="47"/>
      <c r="D180" s="48"/>
      <c r="E180" s="38">
        <v>12.96</v>
      </c>
      <c r="F180" s="36"/>
      <c r="G180" s="38"/>
      <c r="H180" s="49"/>
      <c r="I180" s="38"/>
      <c r="J180" s="38"/>
      <c r="K180" s="38"/>
      <c r="L180" s="38"/>
      <c r="M180" s="38"/>
      <c r="N180" s="38"/>
      <c r="O180" s="38"/>
      <c r="P180" s="38"/>
      <c r="Q180" s="38">
        <v>12.96</v>
      </c>
      <c r="R180" s="38"/>
    </row>
    <row r="181" spans="1:18" s="14" customFormat="1" ht="14.25" customHeight="1">
      <c r="A181" s="45"/>
      <c r="B181" s="46"/>
      <c r="C181" s="47"/>
      <c r="D181" s="48"/>
      <c r="E181" s="38"/>
      <c r="F181" s="36"/>
      <c r="G181" s="52"/>
      <c r="H181" s="49"/>
      <c r="I181" s="38"/>
      <c r="J181" s="52"/>
      <c r="K181" s="52"/>
      <c r="L181" s="38"/>
      <c r="M181" s="38"/>
      <c r="N181" s="38"/>
      <c r="O181" s="38"/>
      <c r="P181" s="38"/>
      <c r="Q181" s="38"/>
      <c r="R181" s="52"/>
    </row>
    <row r="182" spans="1:18" s="14" customFormat="1" ht="15.75" customHeight="1">
      <c r="A182" s="40" t="s">
        <v>84</v>
      </c>
      <c r="B182" s="32"/>
      <c r="C182" s="47"/>
      <c r="D182" s="48"/>
      <c r="E182" s="53"/>
      <c r="F182" s="36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</row>
    <row r="183" spans="1:18" s="14" customFormat="1" ht="15.75" customHeight="1">
      <c r="A183" s="40" t="s">
        <v>117</v>
      </c>
      <c r="B183" s="32">
        <f>SUM(B184:B189)</f>
        <v>5</v>
      </c>
      <c r="C183" s="47"/>
      <c r="D183" s="48"/>
      <c r="E183" s="53">
        <f>SUM(E184:E189)</f>
        <v>66550</v>
      </c>
      <c r="F183" s="44">
        <f>E183-(52122+13000+1428)</f>
        <v>0</v>
      </c>
      <c r="G183" s="58">
        <f aca="true" t="shared" si="106" ref="G183:R183">SUM(G184:G189)</f>
        <v>4426.8</v>
      </c>
      <c r="H183" s="58">
        <f t="shared" si="106"/>
        <v>3998.4000000000005</v>
      </c>
      <c r="I183" s="58">
        <f t="shared" si="106"/>
        <v>4426.8</v>
      </c>
      <c r="J183" s="58">
        <f t="shared" si="106"/>
        <v>4284</v>
      </c>
      <c r="K183" s="58">
        <f t="shared" si="106"/>
        <v>4426.8</v>
      </c>
      <c r="L183" s="58">
        <f t="shared" si="106"/>
        <v>4284</v>
      </c>
      <c r="M183" s="58">
        <f t="shared" si="106"/>
        <v>4426.8</v>
      </c>
      <c r="N183" s="58">
        <f t="shared" si="106"/>
        <v>4426.8</v>
      </c>
      <c r="O183" s="58">
        <f t="shared" si="106"/>
        <v>4284</v>
      </c>
      <c r="P183" s="58">
        <f t="shared" si="106"/>
        <v>5854.8</v>
      </c>
      <c r="Q183" s="58">
        <f t="shared" si="106"/>
        <v>10643.8</v>
      </c>
      <c r="R183" s="58">
        <f t="shared" si="106"/>
        <v>11067</v>
      </c>
    </row>
    <row r="184" spans="1:18" s="14" customFormat="1" ht="15.75" customHeight="1">
      <c r="A184" s="45" t="s">
        <v>10</v>
      </c>
      <c r="B184" s="46">
        <v>1</v>
      </c>
      <c r="C184" s="47">
        <v>365</v>
      </c>
      <c r="D184" s="48">
        <v>71.4</v>
      </c>
      <c r="E184" s="38">
        <f>+B184*C184*D184</f>
        <v>26061.000000000004</v>
      </c>
      <c r="F184" s="36"/>
      <c r="G184" s="38">
        <f>B184*D184*31</f>
        <v>2213.4</v>
      </c>
      <c r="H184" s="49">
        <f>B184*D184*28</f>
        <v>1999.2000000000003</v>
      </c>
      <c r="I184" s="38">
        <f>B184*D184*31</f>
        <v>2213.4</v>
      </c>
      <c r="J184" s="38">
        <f>B184*D184*30</f>
        <v>2142</v>
      </c>
      <c r="K184" s="38">
        <f>B184*D184*31</f>
        <v>2213.4</v>
      </c>
      <c r="L184" s="38">
        <f>B184*D184*30</f>
        <v>2142</v>
      </c>
      <c r="M184" s="38">
        <f>B184*D184*31</f>
        <v>2213.4</v>
      </c>
      <c r="N184" s="38">
        <f>B184*D184*31</f>
        <v>2213.4</v>
      </c>
      <c r="O184" s="38">
        <f>B184*D184*30</f>
        <v>2142</v>
      </c>
      <c r="P184" s="38">
        <f>B184*D184*31</f>
        <v>2213.4</v>
      </c>
      <c r="Q184" s="38">
        <f>B184*D184*30</f>
        <v>2142</v>
      </c>
      <c r="R184" s="38">
        <f>B184*D184*31</f>
        <v>2213.4</v>
      </c>
    </row>
    <row r="185" spans="1:18" s="14" customFormat="1" ht="15.75" customHeight="1">
      <c r="A185" s="45" t="s">
        <v>7</v>
      </c>
      <c r="B185" s="46">
        <v>1</v>
      </c>
      <c r="C185" s="47">
        <v>365</v>
      </c>
      <c r="D185" s="48">
        <v>71.4</v>
      </c>
      <c r="E185" s="38">
        <f>+B185*C185*D185</f>
        <v>26061.000000000004</v>
      </c>
      <c r="F185" s="36"/>
      <c r="G185" s="38">
        <f>B185*D185*31</f>
        <v>2213.4</v>
      </c>
      <c r="H185" s="49">
        <f>B185*D185*28</f>
        <v>1999.2000000000003</v>
      </c>
      <c r="I185" s="38">
        <f>B185*D185*31</f>
        <v>2213.4</v>
      </c>
      <c r="J185" s="38">
        <f>B185*D185*30</f>
        <v>2142</v>
      </c>
      <c r="K185" s="38">
        <f>B185*D185*31</f>
        <v>2213.4</v>
      </c>
      <c r="L185" s="38">
        <f>B185*D185*30</f>
        <v>2142</v>
      </c>
      <c r="M185" s="38">
        <f>B185*D185*31</f>
        <v>2213.4</v>
      </c>
      <c r="N185" s="38">
        <f>B185*D185*31</f>
        <v>2213.4</v>
      </c>
      <c r="O185" s="38">
        <f>B185*D185*30</f>
        <v>2142</v>
      </c>
      <c r="P185" s="38">
        <f>B185*D185*31</f>
        <v>2213.4</v>
      </c>
      <c r="Q185" s="38">
        <f>B185*D185*30</f>
        <v>2142</v>
      </c>
      <c r="R185" s="38">
        <f>B185*D185*31</f>
        <v>2213.4</v>
      </c>
    </row>
    <row r="186" spans="1:18" s="14" customFormat="1" ht="15.75" customHeight="1">
      <c r="A186" s="45" t="s">
        <v>10</v>
      </c>
      <c r="B186" s="46">
        <v>1</v>
      </c>
      <c r="C186" s="47">
        <v>74</v>
      </c>
      <c r="D186" s="48">
        <v>71.4</v>
      </c>
      <c r="E186" s="38">
        <f>+B186*C186*D186</f>
        <v>5283.6</v>
      </c>
      <c r="F186" s="36"/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f>B186*D186*13</f>
        <v>928.2</v>
      </c>
      <c r="Q186" s="38">
        <f>B186*D186*30</f>
        <v>2142</v>
      </c>
      <c r="R186" s="38">
        <f>B186*D186*31</f>
        <v>2213.4</v>
      </c>
    </row>
    <row r="187" spans="1:18" s="14" customFormat="1" ht="15.75" customHeight="1">
      <c r="A187" s="45" t="s">
        <v>10</v>
      </c>
      <c r="B187" s="46">
        <v>1</v>
      </c>
      <c r="C187" s="47">
        <v>68</v>
      </c>
      <c r="D187" s="48">
        <v>71.4</v>
      </c>
      <c r="E187" s="38">
        <f>+B187*C187*D187</f>
        <v>4855.200000000001</v>
      </c>
      <c r="F187" s="36"/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f>B187*D187*7</f>
        <v>499.80000000000007</v>
      </c>
      <c r="Q187" s="38">
        <f>B187*D187*30</f>
        <v>2142</v>
      </c>
      <c r="R187" s="38">
        <f>B187*D187*31</f>
        <v>2213.4</v>
      </c>
    </row>
    <row r="188" spans="1:18" s="14" customFormat="1" ht="15.75" customHeight="1">
      <c r="A188" s="45" t="s">
        <v>10</v>
      </c>
      <c r="B188" s="46">
        <v>1</v>
      </c>
      <c r="C188" s="47">
        <v>31</v>
      </c>
      <c r="D188" s="48">
        <v>71.4</v>
      </c>
      <c r="E188" s="38">
        <f>+B188*C188*D188</f>
        <v>2213.4</v>
      </c>
      <c r="F188" s="36"/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f>B188*D188*31</f>
        <v>2213.4</v>
      </c>
    </row>
    <row r="189" spans="1:18" s="14" customFormat="1" ht="15.75" customHeight="1">
      <c r="A189" s="45" t="s">
        <v>8</v>
      </c>
      <c r="B189" s="46"/>
      <c r="C189" s="47"/>
      <c r="D189" s="48"/>
      <c r="E189" s="38">
        <v>2075.8</v>
      </c>
      <c r="F189" s="36"/>
      <c r="G189" s="38"/>
      <c r="H189" s="49"/>
      <c r="I189" s="38"/>
      <c r="J189" s="38"/>
      <c r="K189" s="38"/>
      <c r="L189" s="38"/>
      <c r="M189" s="38"/>
      <c r="N189" s="38"/>
      <c r="O189" s="38"/>
      <c r="P189" s="38"/>
      <c r="Q189" s="38">
        <v>2075.8</v>
      </c>
      <c r="R189" s="38"/>
    </row>
    <row r="190" spans="1:18" s="14" customFormat="1" ht="12.75" customHeight="1">
      <c r="A190" s="45"/>
      <c r="B190" s="46"/>
      <c r="C190" s="47"/>
      <c r="D190" s="48"/>
      <c r="E190" s="38"/>
      <c r="F190" s="36"/>
      <c r="G190" s="38"/>
      <c r="H190" s="49"/>
      <c r="I190" s="38"/>
      <c r="J190" s="52"/>
      <c r="K190" s="38"/>
      <c r="L190" s="38"/>
      <c r="M190" s="38"/>
      <c r="N190" s="38"/>
      <c r="O190" s="38"/>
      <c r="P190" s="38"/>
      <c r="Q190" s="38"/>
      <c r="R190" s="38"/>
    </row>
    <row r="191" spans="1:18" s="14" customFormat="1" ht="15.75" customHeight="1">
      <c r="A191" s="40" t="s">
        <v>136</v>
      </c>
      <c r="B191" s="46"/>
      <c r="C191" s="47"/>
      <c r="D191" s="48"/>
      <c r="E191" s="38">
        <v>19811</v>
      </c>
      <c r="F191" s="36"/>
      <c r="G191" s="38">
        <f>+E191-E192</f>
        <v>4000</v>
      </c>
      <c r="H191" s="49"/>
      <c r="I191" s="38"/>
      <c r="J191" s="52"/>
      <c r="K191" s="38"/>
      <c r="L191" s="38"/>
      <c r="M191" s="38"/>
      <c r="N191" s="38"/>
      <c r="O191" s="38"/>
      <c r="P191" s="38"/>
      <c r="Q191" s="38"/>
      <c r="R191" s="38"/>
    </row>
    <row r="192" spans="1:18" s="14" customFormat="1" ht="15.75" customHeight="1">
      <c r="A192" s="40" t="s">
        <v>117</v>
      </c>
      <c r="B192" s="54">
        <f>SUM(B193)</f>
        <v>1</v>
      </c>
      <c r="C192" s="47"/>
      <c r="D192" s="48"/>
      <c r="E192" s="53">
        <f>SUM(E193:E195)</f>
        <v>15811</v>
      </c>
      <c r="F192" s="44">
        <f>E192-(19811)</f>
        <v>-4000</v>
      </c>
      <c r="G192" s="53">
        <f aca="true" t="shared" si="107" ref="G192:R192">SUM(G193:G195)</f>
        <v>0</v>
      </c>
      <c r="H192" s="53">
        <f t="shared" si="107"/>
        <v>0</v>
      </c>
      <c r="I192" s="53">
        <f t="shared" si="107"/>
        <v>0</v>
      </c>
      <c r="J192" s="53">
        <f t="shared" si="107"/>
        <v>0</v>
      </c>
      <c r="K192" s="53">
        <f t="shared" si="107"/>
        <v>0</v>
      </c>
      <c r="L192" s="53">
        <f t="shared" si="107"/>
        <v>0</v>
      </c>
      <c r="M192" s="53">
        <f t="shared" si="107"/>
        <v>0</v>
      </c>
      <c r="N192" s="53">
        <f t="shared" si="107"/>
        <v>2506.66</v>
      </c>
      <c r="O192" s="53">
        <f t="shared" si="107"/>
        <v>2425.8</v>
      </c>
      <c r="P192" s="53">
        <f t="shared" si="107"/>
        <v>2506.66</v>
      </c>
      <c r="Q192" s="53">
        <f t="shared" si="107"/>
        <v>3651.82</v>
      </c>
      <c r="R192" s="53">
        <f t="shared" si="107"/>
        <v>4720.0599999999995</v>
      </c>
    </row>
    <row r="193" spans="1:18" s="14" customFormat="1" ht="15.75" customHeight="1">
      <c r="A193" s="45" t="s">
        <v>95</v>
      </c>
      <c r="B193" s="46">
        <v>1</v>
      </c>
      <c r="C193" s="47">
        <v>153</v>
      </c>
      <c r="D193" s="48">
        <v>80.86</v>
      </c>
      <c r="E193" s="38">
        <f>+B193*C193*D193</f>
        <v>12371.58</v>
      </c>
      <c r="F193" s="36"/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f>B193*D193*31</f>
        <v>2506.66</v>
      </c>
      <c r="O193" s="38">
        <f>B193*D193*30</f>
        <v>2425.8</v>
      </c>
      <c r="P193" s="38">
        <f>B193*D193*31</f>
        <v>2506.66</v>
      </c>
      <c r="Q193" s="38">
        <f>B193*D193*30</f>
        <v>2425.8</v>
      </c>
      <c r="R193" s="38">
        <f>B193*D193*31</f>
        <v>2506.66</v>
      </c>
    </row>
    <row r="194" spans="1:18" s="14" customFormat="1" ht="15.75" customHeight="1">
      <c r="A194" s="45" t="s">
        <v>10</v>
      </c>
      <c r="B194" s="46">
        <v>1</v>
      </c>
      <c r="C194" s="47">
        <v>46</v>
      </c>
      <c r="D194" s="48">
        <v>71.4</v>
      </c>
      <c r="E194" s="38">
        <f>+B194*C194*D194</f>
        <v>3284.4</v>
      </c>
      <c r="F194" s="36"/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f>B194*D194*15</f>
        <v>1071</v>
      </c>
      <c r="R194" s="38">
        <f>B194*D194*31</f>
        <v>2213.4</v>
      </c>
    </row>
    <row r="195" spans="1:18" s="14" customFormat="1" ht="15.75" customHeight="1">
      <c r="A195" s="62" t="s">
        <v>137</v>
      </c>
      <c r="B195" s="63"/>
      <c r="C195" s="64"/>
      <c r="D195" s="65"/>
      <c r="E195" s="68">
        <v>155.02</v>
      </c>
      <c r="F195" s="67"/>
      <c r="G195" s="68"/>
      <c r="H195" s="69"/>
      <c r="I195" s="68"/>
      <c r="J195" s="68"/>
      <c r="K195" s="68"/>
      <c r="L195" s="68"/>
      <c r="M195" s="68"/>
      <c r="N195" s="68"/>
      <c r="O195" s="68"/>
      <c r="P195" s="68"/>
      <c r="Q195" s="68">
        <v>155.02</v>
      </c>
      <c r="R195" s="68"/>
    </row>
    <row r="196" spans="1:18" s="14" customFormat="1" ht="15.75" customHeight="1">
      <c r="A196" s="103"/>
      <c r="B196" s="105"/>
      <c r="C196" s="106"/>
      <c r="D196" s="107"/>
      <c r="E196" s="110"/>
      <c r="F196" s="104"/>
      <c r="G196" s="110"/>
      <c r="H196" s="111"/>
      <c r="I196" s="110"/>
      <c r="J196" s="108"/>
      <c r="K196" s="110"/>
      <c r="L196" s="110"/>
      <c r="M196" s="110"/>
      <c r="N196" s="110"/>
      <c r="O196" s="110"/>
      <c r="P196" s="110"/>
      <c r="Q196" s="110"/>
      <c r="R196" s="110"/>
    </row>
    <row r="197" spans="1:18" s="14" customFormat="1" ht="15.75" customHeight="1">
      <c r="A197" s="40" t="s">
        <v>107</v>
      </c>
      <c r="B197" s="46"/>
      <c r="C197" s="47"/>
      <c r="D197" s="48"/>
      <c r="E197" s="38"/>
      <c r="F197" s="36"/>
      <c r="G197" s="38"/>
      <c r="H197" s="49"/>
      <c r="I197" s="38"/>
      <c r="J197" s="38"/>
      <c r="K197" s="38"/>
      <c r="L197" s="38"/>
      <c r="M197" s="38"/>
      <c r="N197" s="38"/>
      <c r="O197" s="38"/>
      <c r="P197" s="38"/>
      <c r="Q197" s="38"/>
      <c r="R197" s="38"/>
    </row>
    <row r="198" spans="1:18" s="14" customFormat="1" ht="15.75" customHeight="1">
      <c r="A198" s="40" t="s">
        <v>118</v>
      </c>
      <c r="B198" s="32">
        <f>SUM(B199:B199)</f>
        <v>1</v>
      </c>
      <c r="C198" s="47"/>
      <c r="D198" s="48"/>
      <c r="E198" s="53">
        <f>SUM(E199:E199)</f>
        <v>26061.000000000004</v>
      </c>
      <c r="F198" s="44">
        <f>E198-(26061)</f>
        <v>0</v>
      </c>
      <c r="G198" s="53">
        <f aca="true" t="shared" si="108" ref="G198:R198">SUM(G199:G199)</f>
        <v>2213.4</v>
      </c>
      <c r="H198" s="53">
        <f t="shared" si="108"/>
        <v>1999.2000000000003</v>
      </c>
      <c r="I198" s="53">
        <f t="shared" si="108"/>
        <v>2213.4</v>
      </c>
      <c r="J198" s="53">
        <f t="shared" si="108"/>
        <v>2142</v>
      </c>
      <c r="K198" s="53">
        <f t="shared" si="108"/>
        <v>2213.4</v>
      </c>
      <c r="L198" s="53">
        <f t="shared" si="108"/>
        <v>2142</v>
      </c>
      <c r="M198" s="53">
        <f t="shared" si="108"/>
        <v>2213.4</v>
      </c>
      <c r="N198" s="53">
        <f t="shared" si="108"/>
        <v>2213.4</v>
      </c>
      <c r="O198" s="53">
        <f t="shared" si="108"/>
        <v>2142</v>
      </c>
      <c r="P198" s="53">
        <f t="shared" si="108"/>
        <v>2213.4</v>
      </c>
      <c r="Q198" s="53">
        <f t="shared" si="108"/>
        <v>2142</v>
      </c>
      <c r="R198" s="53">
        <f t="shared" si="108"/>
        <v>2213.4</v>
      </c>
    </row>
    <row r="199" spans="1:18" s="14" customFormat="1" ht="15.75" customHeight="1">
      <c r="A199" s="45" t="s">
        <v>10</v>
      </c>
      <c r="B199" s="46">
        <v>1</v>
      </c>
      <c r="C199" s="47">
        <v>365</v>
      </c>
      <c r="D199" s="48">
        <v>71.4</v>
      </c>
      <c r="E199" s="38">
        <f>+B199*C199*D199</f>
        <v>26061.000000000004</v>
      </c>
      <c r="F199" s="36"/>
      <c r="G199" s="38">
        <f>B199*D199*31</f>
        <v>2213.4</v>
      </c>
      <c r="H199" s="49">
        <f>B199*D199*28</f>
        <v>1999.2000000000003</v>
      </c>
      <c r="I199" s="38">
        <f>B199*D199*31</f>
        <v>2213.4</v>
      </c>
      <c r="J199" s="38">
        <f>B199*D199*30</f>
        <v>2142</v>
      </c>
      <c r="K199" s="38">
        <f>B199*D199*31</f>
        <v>2213.4</v>
      </c>
      <c r="L199" s="38">
        <f>B199*D199*30</f>
        <v>2142</v>
      </c>
      <c r="M199" s="38">
        <f>B199*D199*31</f>
        <v>2213.4</v>
      </c>
      <c r="N199" s="38">
        <f>B199*D199*31</f>
        <v>2213.4</v>
      </c>
      <c r="O199" s="38">
        <f>B199*D199*30</f>
        <v>2142</v>
      </c>
      <c r="P199" s="38">
        <f>B199*D199*31</f>
        <v>2213.4</v>
      </c>
      <c r="Q199" s="38">
        <f>B199*D199*30</f>
        <v>2142</v>
      </c>
      <c r="R199" s="38">
        <f>B199*D199*31</f>
        <v>2213.4</v>
      </c>
    </row>
    <row r="200" spans="1:18" s="14" customFormat="1" ht="21" customHeight="1">
      <c r="A200" s="45"/>
      <c r="B200" s="46"/>
      <c r="C200" s="47"/>
      <c r="D200" s="48"/>
      <c r="E200" s="38"/>
      <c r="F200" s="36"/>
      <c r="G200" s="38"/>
      <c r="H200" s="49"/>
      <c r="I200" s="38"/>
      <c r="J200" s="38"/>
      <c r="K200" s="38"/>
      <c r="L200" s="38"/>
      <c r="M200" s="38"/>
      <c r="N200" s="38"/>
      <c r="O200" s="38"/>
      <c r="P200" s="38"/>
      <c r="Q200" s="38"/>
      <c r="R200" s="38"/>
    </row>
    <row r="201" spans="1:18" s="14" customFormat="1" ht="15.75" customHeight="1">
      <c r="A201" s="40" t="s">
        <v>86</v>
      </c>
      <c r="B201" s="32"/>
      <c r="C201" s="47"/>
      <c r="D201" s="48"/>
      <c r="E201" s="53"/>
      <c r="F201" s="75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</row>
    <row r="202" spans="1:18" s="14" customFormat="1" ht="15.75" customHeight="1">
      <c r="A202" s="40" t="s">
        <v>119</v>
      </c>
      <c r="B202" s="32">
        <f>SUM(B203:B203)</f>
        <v>1</v>
      </c>
      <c r="C202" s="47"/>
      <c r="D202" s="48"/>
      <c r="E202" s="53">
        <f>SUM(E203:E203)</f>
        <v>26061.000000000004</v>
      </c>
      <c r="F202" s="44">
        <f>E202-(26061)</f>
        <v>0</v>
      </c>
      <c r="G202" s="58">
        <f aca="true" t="shared" si="109" ref="G202:R202">SUM(G203:G203)</f>
        <v>2213.4</v>
      </c>
      <c r="H202" s="58">
        <f t="shared" si="109"/>
        <v>1999.2000000000003</v>
      </c>
      <c r="I202" s="58">
        <f t="shared" si="109"/>
        <v>2213.4</v>
      </c>
      <c r="J202" s="58">
        <f t="shared" si="109"/>
        <v>2142</v>
      </c>
      <c r="K202" s="58">
        <f t="shared" si="109"/>
        <v>2213.4</v>
      </c>
      <c r="L202" s="58">
        <f t="shared" si="109"/>
        <v>2142</v>
      </c>
      <c r="M202" s="58">
        <f t="shared" si="109"/>
        <v>2213.4</v>
      </c>
      <c r="N202" s="58">
        <f t="shared" si="109"/>
        <v>2213.4</v>
      </c>
      <c r="O202" s="58">
        <f t="shared" si="109"/>
        <v>2142</v>
      </c>
      <c r="P202" s="58">
        <f t="shared" si="109"/>
        <v>2213.4</v>
      </c>
      <c r="Q202" s="58">
        <f t="shared" si="109"/>
        <v>2142</v>
      </c>
      <c r="R202" s="58">
        <f t="shared" si="109"/>
        <v>2213.4</v>
      </c>
    </row>
    <row r="203" spans="1:18" s="14" customFormat="1" ht="15.75" customHeight="1">
      <c r="A203" s="45" t="s">
        <v>10</v>
      </c>
      <c r="B203" s="46">
        <v>1</v>
      </c>
      <c r="C203" s="47">
        <v>365</v>
      </c>
      <c r="D203" s="48">
        <v>71.4</v>
      </c>
      <c r="E203" s="38">
        <f>+B203*C203*D203</f>
        <v>26061.000000000004</v>
      </c>
      <c r="F203" s="36"/>
      <c r="G203" s="38">
        <f>B203*D203*31</f>
        <v>2213.4</v>
      </c>
      <c r="H203" s="49">
        <f>B203*D203*28</f>
        <v>1999.2000000000003</v>
      </c>
      <c r="I203" s="38">
        <f>B203*D203*31</f>
        <v>2213.4</v>
      </c>
      <c r="J203" s="38">
        <f>B203*D203*30</f>
        <v>2142</v>
      </c>
      <c r="K203" s="38">
        <f>B203*D203*31</f>
        <v>2213.4</v>
      </c>
      <c r="L203" s="38">
        <f>B203*D203*30</f>
        <v>2142</v>
      </c>
      <c r="M203" s="38">
        <f>B203*D203*31</f>
        <v>2213.4</v>
      </c>
      <c r="N203" s="38">
        <f>B203*D203*31</f>
        <v>2213.4</v>
      </c>
      <c r="O203" s="38">
        <f>B203*D203*30</f>
        <v>2142</v>
      </c>
      <c r="P203" s="38">
        <f>B203*D203*31</f>
        <v>2213.4</v>
      </c>
      <c r="Q203" s="38">
        <f>B203*D203*30</f>
        <v>2142</v>
      </c>
      <c r="R203" s="38">
        <f>B203*D203*31</f>
        <v>2213.4</v>
      </c>
    </row>
    <row r="204" spans="1:18" s="14" customFormat="1" ht="17.25" customHeight="1">
      <c r="A204" s="45"/>
      <c r="B204" s="46"/>
      <c r="C204" s="47"/>
      <c r="D204" s="48"/>
      <c r="E204" s="38"/>
      <c r="F204" s="36"/>
      <c r="G204" s="38"/>
      <c r="H204" s="49"/>
      <c r="I204" s="38"/>
      <c r="J204" s="38"/>
      <c r="K204" s="38"/>
      <c r="L204" s="38"/>
      <c r="M204" s="38"/>
      <c r="N204" s="38"/>
      <c r="O204" s="38"/>
      <c r="P204" s="38"/>
      <c r="Q204" s="38"/>
      <c r="R204" s="38"/>
    </row>
    <row r="205" spans="1:18" s="14" customFormat="1" ht="15.75" customHeight="1">
      <c r="A205" s="40" t="s">
        <v>106</v>
      </c>
      <c r="B205" s="32"/>
      <c r="C205" s="47"/>
      <c r="D205" s="48"/>
      <c r="E205" s="53"/>
      <c r="F205" s="75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</row>
    <row r="206" spans="1:18" s="14" customFormat="1" ht="15.75" customHeight="1">
      <c r="A206" s="40" t="s">
        <v>120</v>
      </c>
      <c r="B206" s="32">
        <f>SUM(B207:B207)</f>
        <v>1</v>
      </c>
      <c r="C206" s="47"/>
      <c r="D206" s="48"/>
      <c r="E206" s="53">
        <f>SUM(E207:E207)</f>
        <v>26061.000000000004</v>
      </c>
      <c r="F206" s="44">
        <f>E206-(26061)</f>
        <v>0</v>
      </c>
      <c r="G206" s="53">
        <f aca="true" t="shared" si="110" ref="G206:R206">SUM(G207:G207)</f>
        <v>2213.4</v>
      </c>
      <c r="H206" s="53">
        <f t="shared" si="110"/>
        <v>1999.2000000000003</v>
      </c>
      <c r="I206" s="53">
        <f t="shared" si="110"/>
        <v>2213.4</v>
      </c>
      <c r="J206" s="53">
        <f t="shared" si="110"/>
        <v>2142</v>
      </c>
      <c r="K206" s="53">
        <f t="shared" si="110"/>
        <v>2213.4</v>
      </c>
      <c r="L206" s="53">
        <f t="shared" si="110"/>
        <v>2142</v>
      </c>
      <c r="M206" s="53">
        <f t="shared" si="110"/>
        <v>2213.4</v>
      </c>
      <c r="N206" s="53">
        <f t="shared" si="110"/>
        <v>2213.4</v>
      </c>
      <c r="O206" s="53">
        <f t="shared" si="110"/>
        <v>2142</v>
      </c>
      <c r="P206" s="53">
        <f t="shared" si="110"/>
        <v>2213.4</v>
      </c>
      <c r="Q206" s="53">
        <f t="shared" si="110"/>
        <v>2142</v>
      </c>
      <c r="R206" s="53">
        <f t="shared" si="110"/>
        <v>2213.4</v>
      </c>
    </row>
    <row r="207" spans="1:18" s="14" customFormat="1" ht="15.75" customHeight="1">
      <c r="A207" s="45" t="s">
        <v>73</v>
      </c>
      <c r="B207" s="46">
        <v>1</v>
      </c>
      <c r="C207" s="47">
        <v>365</v>
      </c>
      <c r="D207" s="48">
        <v>71.4</v>
      </c>
      <c r="E207" s="38">
        <f>+B207*C207*D207</f>
        <v>26061.000000000004</v>
      </c>
      <c r="F207" s="36"/>
      <c r="G207" s="38">
        <f>B207*D207*31</f>
        <v>2213.4</v>
      </c>
      <c r="H207" s="49">
        <f>B207*D207*28</f>
        <v>1999.2000000000003</v>
      </c>
      <c r="I207" s="38">
        <f>B207*D207*31</f>
        <v>2213.4</v>
      </c>
      <c r="J207" s="38">
        <f>B207*D207*30</f>
        <v>2142</v>
      </c>
      <c r="K207" s="38">
        <f>B207*D207*31</f>
        <v>2213.4</v>
      </c>
      <c r="L207" s="38">
        <f>B207*D207*30</f>
        <v>2142</v>
      </c>
      <c r="M207" s="38">
        <f>B207*D207*31</f>
        <v>2213.4</v>
      </c>
      <c r="N207" s="38">
        <f>B207*D207*31</f>
        <v>2213.4</v>
      </c>
      <c r="O207" s="38">
        <f>B207*D207*30</f>
        <v>2142</v>
      </c>
      <c r="P207" s="38">
        <f>B207*D207*31</f>
        <v>2213.4</v>
      </c>
      <c r="Q207" s="38">
        <f>B207*D207*30</f>
        <v>2142</v>
      </c>
      <c r="R207" s="38">
        <f>B207*D207*31</f>
        <v>2213.4</v>
      </c>
    </row>
    <row r="208" spans="1:18" s="14" customFormat="1" ht="18.75" customHeight="1">
      <c r="A208" s="45"/>
      <c r="B208" s="46"/>
      <c r="C208" s="47"/>
      <c r="D208" s="48"/>
      <c r="E208" s="38"/>
      <c r="F208" s="36"/>
      <c r="G208" s="38"/>
      <c r="H208" s="49"/>
      <c r="I208" s="38"/>
      <c r="J208" s="38"/>
      <c r="K208" s="38"/>
      <c r="L208" s="38"/>
      <c r="M208" s="38"/>
      <c r="N208" s="38"/>
      <c r="O208" s="38"/>
      <c r="P208" s="38"/>
      <c r="Q208" s="38"/>
      <c r="R208" s="38"/>
    </row>
    <row r="209" spans="1:18" s="14" customFormat="1" ht="15.75" customHeight="1">
      <c r="A209" s="40" t="s">
        <v>87</v>
      </c>
      <c r="B209" s="32"/>
      <c r="C209" s="47"/>
      <c r="D209" s="48"/>
      <c r="E209" s="53"/>
      <c r="F209" s="36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</row>
    <row r="210" spans="1:18" s="14" customFormat="1" ht="15.75" customHeight="1">
      <c r="A210" s="40" t="s">
        <v>121</v>
      </c>
      <c r="B210" s="32">
        <f>SUM(B211:B214)</f>
        <v>6</v>
      </c>
      <c r="C210" s="47"/>
      <c r="D210" s="48"/>
      <c r="E210" s="53">
        <f>SUM(E211:E214)</f>
        <v>157018</v>
      </c>
      <c r="F210" s="44">
        <f>E210-(182427-6426+17)</f>
        <v>-19000</v>
      </c>
      <c r="G210" s="58">
        <f aca="true" t="shared" si="111" ref="G210:R210">SUM(G211:G214)</f>
        <v>13280.4</v>
      </c>
      <c r="H210" s="58">
        <f t="shared" si="111"/>
        <v>11995.2</v>
      </c>
      <c r="I210" s="58">
        <f t="shared" si="111"/>
        <v>13280.4</v>
      </c>
      <c r="J210" s="58">
        <f t="shared" si="111"/>
        <v>12852</v>
      </c>
      <c r="K210" s="58">
        <f t="shared" si="111"/>
        <v>13280.4</v>
      </c>
      <c r="L210" s="58">
        <f t="shared" si="111"/>
        <v>12852</v>
      </c>
      <c r="M210" s="58">
        <f t="shared" si="111"/>
        <v>13280.4</v>
      </c>
      <c r="N210" s="58">
        <f t="shared" si="111"/>
        <v>13280.4</v>
      </c>
      <c r="O210" s="58">
        <f t="shared" si="111"/>
        <v>12852</v>
      </c>
      <c r="P210" s="58">
        <f t="shared" si="111"/>
        <v>13280.4</v>
      </c>
      <c r="Q210" s="58">
        <f t="shared" si="111"/>
        <v>13504</v>
      </c>
      <c r="R210" s="58">
        <f t="shared" si="111"/>
        <v>13280.4</v>
      </c>
    </row>
    <row r="211" spans="1:18" s="14" customFormat="1" ht="15.75" customHeight="1">
      <c r="A211" s="45" t="s">
        <v>10</v>
      </c>
      <c r="B211" s="46">
        <v>3</v>
      </c>
      <c r="C211" s="47">
        <v>365</v>
      </c>
      <c r="D211" s="48">
        <v>71.4</v>
      </c>
      <c r="E211" s="38">
        <f>+B211*C211*D211</f>
        <v>78183</v>
      </c>
      <c r="F211" s="36"/>
      <c r="G211" s="38">
        <f>B211*D211*31</f>
        <v>6640.200000000001</v>
      </c>
      <c r="H211" s="49">
        <f>B211*D211*28</f>
        <v>5997.6</v>
      </c>
      <c r="I211" s="38">
        <f>B211*D211*31</f>
        <v>6640.200000000001</v>
      </c>
      <c r="J211" s="38">
        <f>B211*D211*30</f>
        <v>6426.000000000001</v>
      </c>
      <c r="K211" s="38">
        <f>B211*D211*31</f>
        <v>6640.200000000001</v>
      </c>
      <c r="L211" s="38">
        <f>B211*D211*30</f>
        <v>6426.000000000001</v>
      </c>
      <c r="M211" s="38">
        <f>B211*D211*31</f>
        <v>6640.200000000001</v>
      </c>
      <c r="N211" s="38">
        <f>B211*D211*31</f>
        <v>6640.200000000001</v>
      </c>
      <c r="O211" s="38">
        <f>B211*D211*30</f>
        <v>6426.000000000001</v>
      </c>
      <c r="P211" s="38">
        <f>B211*D211*31</f>
        <v>6640.200000000001</v>
      </c>
      <c r="Q211" s="38">
        <f>B211*D211*30</f>
        <v>6426.000000000001</v>
      </c>
      <c r="R211" s="38">
        <f>B211*D211*31</f>
        <v>6640.200000000001</v>
      </c>
    </row>
    <row r="212" spans="1:18" s="14" customFormat="1" ht="15.75" customHeight="1">
      <c r="A212" s="45" t="s">
        <v>7</v>
      </c>
      <c r="B212" s="46">
        <v>2</v>
      </c>
      <c r="C212" s="47">
        <v>365</v>
      </c>
      <c r="D212" s="48">
        <v>71.4</v>
      </c>
      <c r="E212" s="38">
        <f>+B212*C212*D212</f>
        <v>52122.00000000001</v>
      </c>
      <c r="F212" s="36"/>
      <c r="G212" s="38">
        <f>B212*D212*31</f>
        <v>4426.8</v>
      </c>
      <c r="H212" s="49">
        <f>B212*D212*28</f>
        <v>3998.4000000000005</v>
      </c>
      <c r="I212" s="38">
        <f>B212*D212*31</f>
        <v>4426.8</v>
      </c>
      <c r="J212" s="38">
        <f>B212*D212*30</f>
        <v>4284</v>
      </c>
      <c r="K212" s="38">
        <f>B212*D212*31</f>
        <v>4426.8</v>
      </c>
      <c r="L212" s="38">
        <f>B212*D212*30</f>
        <v>4284</v>
      </c>
      <c r="M212" s="38">
        <f>B212*D212*31</f>
        <v>4426.8</v>
      </c>
      <c r="N212" s="38">
        <f>B212*D212*31</f>
        <v>4426.8</v>
      </c>
      <c r="O212" s="38">
        <f>B212*D212*30</f>
        <v>4284</v>
      </c>
      <c r="P212" s="38">
        <f>B212*D212*31</f>
        <v>4426.8</v>
      </c>
      <c r="Q212" s="38">
        <f>B212*D212*30</f>
        <v>4284</v>
      </c>
      <c r="R212" s="38">
        <f>B212*D212*31</f>
        <v>4426.8</v>
      </c>
    </row>
    <row r="213" spans="1:18" s="14" customFormat="1" ht="15.75" customHeight="1">
      <c r="A213" s="45" t="s">
        <v>77</v>
      </c>
      <c r="B213" s="46">
        <v>1</v>
      </c>
      <c r="C213" s="47">
        <v>365</v>
      </c>
      <c r="D213" s="48">
        <v>71.4</v>
      </c>
      <c r="E213" s="38">
        <f>+B213*C213*D213</f>
        <v>26061.000000000004</v>
      </c>
      <c r="F213" s="36"/>
      <c r="G213" s="38">
        <f>B213*D213*31</f>
        <v>2213.4</v>
      </c>
      <c r="H213" s="49">
        <f>B213*D213*28</f>
        <v>1999.2000000000003</v>
      </c>
      <c r="I213" s="38">
        <f>B213*D213*31</f>
        <v>2213.4</v>
      </c>
      <c r="J213" s="38">
        <f>B213*D213*30</f>
        <v>2142</v>
      </c>
      <c r="K213" s="38">
        <f>B213*D213*31</f>
        <v>2213.4</v>
      </c>
      <c r="L213" s="38">
        <f>B213*D213*30</f>
        <v>2142</v>
      </c>
      <c r="M213" s="38">
        <f>B213*D213*31</f>
        <v>2213.4</v>
      </c>
      <c r="N213" s="38">
        <f>B213*D213*31</f>
        <v>2213.4</v>
      </c>
      <c r="O213" s="38">
        <f>B213*D213*30</f>
        <v>2142</v>
      </c>
      <c r="P213" s="38">
        <f>B213*D213*31</f>
        <v>2213.4</v>
      </c>
      <c r="Q213" s="38">
        <f>B213*D213*30</f>
        <v>2142</v>
      </c>
      <c r="R213" s="38">
        <f>B213*D213*31</f>
        <v>2213.4</v>
      </c>
    </row>
    <row r="214" spans="1:18" s="14" customFormat="1" ht="15.75" customHeight="1">
      <c r="A214" s="45" t="s">
        <v>137</v>
      </c>
      <c r="B214" s="46"/>
      <c r="C214" s="47"/>
      <c r="D214" s="48"/>
      <c r="E214" s="38">
        <v>652</v>
      </c>
      <c r="F214" s="36"/>
      <c r="G214" s="38"/>
      <c r="H214" s="49"/>
      <c r="I214" s="38"/>
      <c r="J214" s="38"/>
      <c r="K214" s="38"/>
      <c r="L214" s="38"/>
      <c r="M214" s="38"/>
      <c r="N214" s="38"/>
      <c r="O214" s="38"/>
      <c r="P214" s="38"/>
      <c r="Q214" s="38">
        <v>652</v>
      </c>
      <c r="R214" s="38"/>
    </row>
    <row r="215" spans="1:18" s="14" customFormat="1" ht="14.25" customHeight="1">
      <c r="A215" s="45"/>
      <c r="B215" s="46"/>
      <c r="C215" s="47"/>
      <c r="D215" s="48"/>
      <c r="E215" s="38"/>
      <c r="F215" s="36"/>
      <c r="G215" s="38"/>
      <c r="H215" s="49"/>
      <c r="I215" s="38"/>
      <c r="J215" s="38"/>
      <c r="K215" s="38"/>
      <c r="L215" s="38"/>
      <c r="M215" s="38"/>
      <c r="N215" s="38"/>
      <c r="O215" s="38"/>
      <c r="P215" s="38"/>
      <c r="Q215" s="38"/>
      <c r="R215" s="38"/>
    </row>
    <row r="216" spans="1:18" s="14" customFormat="1" ht="15.75" customHeight="1">
      <c r="A216" s="40" t="s">
        <v>85</v>
      </c>
      <c r="B216" s="46"/>
      <c r="C216" s="47"/>
      <c r="D216" s="48"/>
      <c r="E216" s="38"/>
      <c r="F216" s="36"/>
      <c r="G216" s="38"/>
      <c r="H216" s="49"/>
      <c r="I216" s="38"/>
      <c r="J216" s="38"/>
      <c r="K216" s="38"/>
      <c r="L216" s="38"/>
      <c r="M216" s="38"/>
      <c r="N216" s="38"/>
      <c r="O216" s="38"/>
      <c r="P216" s="38"/>
      <c r="Q216" s="38"/>
      <c r="R216" s="38"/>
    </row>
    <row r="217" spans="1:18" s="14" customFormat="1" ht="15.75" customHeight="1">
      <c r="A217" s="40" t="s">
        <v>122</v>
      </c>
      <c r="B217" s="32">
        <f>SUM(B218)</f>
        <v>3</v>
      </c>
      <c r="C217" s="47"/>
      <c r="D217" s="48"/>
      <c r="E217" s="53">
        <f>SUM(E218:E218)</f>
        <v>78183</v>
      </c>
      <c r="F217" s="44">
        <f>E217-(78183)</f>
        <v>0</v>
      </c>
      <c r="G217" s="58">
        <f aca="true" t="shared" si="112" ref="G217:R217">SUM(G218:G218)</f>
        <v>6640.200000000001</v>
      </c>
      <c r="H217" s="58">
        <f t="shared" si="112"/>
        <v>5997.6</v>
      </c>
      <c r="I217" s="58">
        <f t="shared" si="112"/>
        <v>6640.200000000001</v>
      </c>
      <c r="J217" s="58">
        <f t="shared" si="112"/>
        <v>6426.000000000001</v>
      </c>
      <c r="K217" s="58">
        <f t="shared" si="112"/>
        <v>6640.200000000001</v>
      </c>
      <c r="L217" s="58">
        <f t="shared" si="112"/>
        <v>6426.000000000001</v>
      </c>
      <c r="M217" s="58">
        <f t="shared" si="112"/>
        <v>6640.200000000001</v>
      </c>
      <c r="N217" s="58">
        <f t="shared" si="112"/>
        <v>6640.200000000001</v>
      </c>
      <c r="O217" s="58">
        <f t="shared" si="112"/>
        <v>6426.000000000001</v>
      </c>
      <c r="P217" s="58">
        <f t="shared" si="112"/>
        <v>6640.200000000001</v>
      </c>
      <c r="Q217" s="58">
        <f t="shared" si="112"/>
        <v>6426.000000000001</v>
      </c>
      <c r="R217" s="58">
        <f t="shared" si="112"/>
        <v>6640.200000000001</v>
      </c>
    </row>
    <row r="218" spans="1:18" s="14" customFormat="1" ht="15.75" customHeight="1">
      <c r="A218" s="45" t="s">
        <v>10</v>
      </c>
      <c r="B218" s="46">
        <v>3</v>
      </c>
      <c r="C218" s="47">
        <v>365</v>
      </c>
      <c r="D218" s="48">
        <v>71.4</v>
      </c>
      <c r="E218" s="38">
        <f>+B218*C218*D218</f>
        <v>78183</v>
      </c>
      <c r="F218" s="36"/>
      <c r="G218" s="38">
        <f>B218*D218*31</f>
        <v>6640.200000000001</v>
      </c>
      <c r="H218" s="49">
        <f>B218*D218*28</f>
        <v>5997.6</v>
      </c>
      <c r="I218" s="38">
        <f>B218*D218*31</f>
        <v>6640.200000000001</v>
      </c>
      <c r="J218" s="38">
        <f>B218*D218*30</f>
        <v>6426.000000000001</v>
      </c>
      <c r="K218" s="38">
        <f>B218*D218*31</f>
        <v>6640.200000000001</v>
      </c>
      <c r="L218" s="38">
        <f>B218*D218*30</f>
        <v>6426.000000000001</v>
      </c>
      <c r="M218" s="38">
        <f>B218*D218*31</f>
        <v>6640.200000000001</v>
      </c>
      <c r="N218" s="38">
        <f>B218*D218*31</f>
        <v>6640.200000000001</v>
      </c>
      <c r="O218" s="38">
        <f>B218*D218*30</f>
        <v>6426.000000000001</v>
      </c>
      <c r="P218" s="38">
        <f>B218*D218*31</f>
        <v>6640.200000000001</v>
      </c>
      <c r="Q218" s="38">
        <f>B218*D218*30</f>
        <v>6426.000000000001</v>
      </c>
      <c r="R218" s="38">
        <f>B218*D218*31</f>
        <v>6640.200000000001</v>
      </c>
    </row>
    <row r="219" spans="1:18" s="14" customFormat="1" ht="15.75" customHeight="1">
      <c r="A219" s="45"/>
      <c r="B219" s="46"/>
      <c r="C219" s="47"/>
      <c r="D219" s="48"/>
      <c r="E219" s="38"/>
      <c r="F219" s="36"/>
      <c r="G219" s="38"/>
      <c r="H219" s="49"/>
      <c r="I219" s="38"/>
      <c r="J219" s="38"/>
      <c r="K219" s="38"/>
      <c r="L219" s="38"/>
      <c r="M219" s="38"/>
      <c r="N219" s="38"/>
      <c r="O219" s="38"/>
      <c r="P219" s="38"/>
      <c r="Q219" s="38"/>
      <c r="R219" s="38"/>
    </row>
    <row r="220" spans="1:18" s="14" customFormat="1" ht="15.75" customHeight="1">
      <c r="A220" s="37" t="s">
        <v>29</v>
      </c>
      <c r="B220" s="33"/>
      <c r="C220" s="33"/>
      <c r="D220" s="33"/>
      <c r="E220" s="38"/>
      <c r="F220" s="36"/>
      <c r="G220" s="38"/>
      <c r="H220" s="39"/>
      <c r="I220" s="38"/>
      <c r="J220" s="38"/>
      <c r="K220" s="38"/>
      <c r="L220" s="38"/>
      <c r="M220" s="38"/>
      <c r="N220" s="38"/>
      <c r="O220" s="38"/>
      <c r="P220" s="38"/>
      <c r="Q220" s="38"/>
      <c r="R220" s="38"/>
    </row>
    <row r="221" spans="1:18" s="14" customFormat="1" ht="15.75" customHeight="1">
      <c r="A221" s="37" t="s">
        <v>30</v>
      </c>
      <c r="B221" s="33"/>
      <c r="C221" s="33"/>
      <c r="D221" s="33"/>
      <c r="E221" s="38"/>
      <c r="F221" s="36"/>
      <c r="G221" s="38"/>
      <c r="H221" s="39"/>
      <c r="I221" s="38"/>
      <c r="J221" s="38"/>
      <c r="K221" s="38"/>
      <c r="L221" s="38"/>
      <c r="M221" s="38"/>
      <c r="N221" s="38"/>
      <c r="O221" s="38"/>
      <c r="P221" s="38"/>
      <c r="Q221" s="38"/>
      <c r="R221" s="38"/>
    </row>
    <row r="222" spans="1:18" s="14" customFormat="1" ht="15.75" customHeight="1">
      <c r="A222" s="40" t="s">
        <v>38</v>
      </c>
      <c r="B222" s="33"/>
      <c r="C222" s="33"/>
      <c r="D222" s="33"/>
      <c r="E222" s="38"/>
      <c r="F222" s="36"/>
      <c r="G222" s="38"/>
      <c r="H222" s="39"/>
      <c r="I222" s="38"/>
      <c r="J222" s="38"/>
      <c r="K222" s="38"/>
      <c r="L222" s="38"/>
      <c r="M222" s="38"/>
      <c r="N222" s="38"/>
      <c r="O222" s="38"/>
      <c r="P222" s="38"/>
      <c r="Q222" s="38"/>
      <c r="R222" s="38"/>
    </row>
    <row r="223" spans="1:18" s="14" customFormat="1" ht="15.75" customHeight="1">
      <c r="A223" s="40" t="s">
        <v>123</v>
      </c>
      <c r="B223" s="42">
        <f>SUM(B224:B229)</f>
        <v>6</v>
      </c>
      <c r="C223" s="33"/>
      <c r="D223" s="33"/>
      <c r="E223" s="53">
        <f>SUM(E224:E229)</f>
        <v>100983.00000000001</v>
      </c>
      <c r="F223" s="44">
        <f>E223-(78982+1+22000)</f>
        <v>0</v>
      </c>
      <c r="G223" s="53">
        <f aca="true" t="shared" si="113" ref="G223:R223">SUM(G224:G229)</f>
        <v>6708.09</v>
      </c>
      <c r="H223" s="53">
        <f t="shared" si="113"/>
        <v>6058.92</v>
      </c>
      <c r="I223" s="53">
        <f t="shared" si="113"/>
        <v>6708.09</v>
      </c>
      <c r="J223" s="53">
        <f t="shared" si="113"/>
        <v>6491.700000000001</v>
      </c>
      <c r="K223" s="53">
        <f t="shared" si="113"/>
        <v>6708.09</v>
      </c>
      <c r="L223" s="53">
        <f t="shared" si="113"/>
        <v>6491.700000000001</v>
      </c>
      <c r="M223" s="53">
        <f t="shared" si="113"/>
        <v>6708.09</v>
      </c>
      <c r="N223" s="53">
        <f t="shared" si="113"/>
        <v>6708.09</v>
      </c>
      <c r="O223" s="53">
        <f t="shared" si="113"/>
        <v>7947.18</v>
      </c>
      <c r="P223" s="53">
        <f t="shared" si="113"/>
        <v>13284.550000000001</v>
      </c>
      <c r="Q223" s="53">
        <f t="shared" si="113"/>
        <v>13526.95</v>
      </c>
      <c r="R223" s="53">
        <f t="shared" si="113"/>
        <v>13641.55</v>
      </c>
    </row>
    <row r="224" spans="1:18" s="14" customFormat="1" ht="15.75" customHeight="1">
      <c r="A224" s="45" t="s">
        <v>10</v>
      </c>
      <c r="B224" s="46">
        <v>2</v>
      </c>
      <c r="C224" s="47">
        <v>365</v>
      </c>
      <c r="D224" s="48">
        <v>71.4</v>
      </c>
      <c r="E224" s="38">
        <f>+B224*C224*D224</f>
        <v>52122.00000000001</v>
      </c>
      <c r="F224" s="36"/>
      <c r="G224" s="38">
        <f>B224*D224*31</f>
        <v>4426.8</v>
      </c>
      <c r="H224" s="49">
        <f>B224*D224*28</f>
        <v>3998.4000000000005</v>
      </c>
      <c r="I224" s="38">
        <f>B224*D224*31</f>
        <v>4426.8</v>
      </c>
      <c r="J224" s="38">
        <f>B224*D224*30</f>
        <v>4284</v>
      </c>
      <c r="K224" s="38">
        <f>B224*D224*31</f>
        <v>4426.8</v>
      </c>
      <c r="L224" s="38">
        <f>B224*D224*30</f>
        <v>4284</v>
      </c>
      <c r="M224" s="38">
        <f>B224*D224*31</f>
        <v>4426.8</v>
      </c>
      <c r="N224" s="38">
        <f>B224*D224*31</f>
        <v>4426.8</v>
      </c>
      <c r="O224" s="38">
        <f>B224*D224*30</f>
        <v>4284</v>
      </c>
      <c r="P224" s="38">
        <f>B224*D224*31</f>
        <v>4426.8</v>
      </c>
      <c r="Q224" s="38">
        <f>B224*D224*30</f>
        <v>4284</v>
      </c>
      <c r="R224" s="38">
        <f>B224*D224*31</f>
        <v>4426.8</v>
      </c>
    </row>
    <row r="225" spans="1:18" s="14" customFormat="1" ht="15.75" customHeight="1">
      <c r="A225" s="45" t="s">
        <v>75</v>
      </c>
      <c r="B225" s="46">
        <v>1</v>
      </c>
      <c r="C225" s="47">
        <v>365</v>
      </c>
      <c r="D225" s="48">
        <v>73.59</v>
      </c>
      <c r="E225" s="38">
        <f>+B225*C225*D225</f>
        <v>26860.350000000002</v>
      </c>
      <c r="F225" s="36"/>
      <c r="G225" s="38">
        <f>B225*D225*31</f>
        <v>2281.29</v>
      </c>
      <c r="H225" s="49">
        <f>B225*D225*28</f>
        <v>2060.52</v>
      </c>
      <c r="I225" s="38">
        <f>B225*D225*31</f>
        <v>2281.29</v>
      </c>
      <c r="J225" s="38">
        <f>B225*D225*30</f>
        <v>2207.7000000000003</v>
      </c>
      <c r="K225" s="38">
        <f>B225*D225*31</f>
        <v>2281.29</v>
      </c>
      <c r="L225" s="38">
        <f>B225*D225*30</f>
        <v>2207.7000000000003</v>
      </c>
      <c r="M225" s="38">
        <f>B225*D225*31</f>
        <v>2281.29</v>
      </c>
      <c r="N225" s="38">
        <f>B225*D225*31</f>
        <v>2281.29</v>
      </c>
      <c r="O225" s="38">
        <f>B225*D225*30</f>
        <v>2207.7000000000003</v>
      </c>
      <c r="P225" s="38">
        <f>B225*D225*31</f>
        <v>2281.29</v>
      </c>
      <c r="Q225" s="38">
        <f>B225*D225*30</f>
        <v>2207.7000000000003</v>
      </c>
      <c r="R225" s="38">
        <f>B225*D225*31</f>
        <v>2281.29</v>
      </c>
    </row>
    <row r="226" spans="1:18" s="14" customFormat="1" ht="15.75" customHeight="1">
      <c r="A226" s="45" t="s">
        <v>140</v>
      </c>
      <c r="B226" s="46">
        <v>1</v>
      </c>
      <c r="C226" s="47">
        <v>110</v>
      </c>
      <c r="D226" s="48">
        <v>80.86</v>
      </c>
      <c r="E226" s="38">
        <f>+B226*C226*D226</f>
        <v>8894.6</v>
      </c>
      <c r="F226" s="36"/>
      <c r="G226" s="38">
        <v>0</v>
      </c>
      <c r="H226" s="38">
        <v>0</v>
      </c>
      <c r="I226" s="38">
        <v>0</v>
      </c>
      <c r="J226" s="38">
        <v>0</v>
      </c>
      <c r="K226" s="38">
        <v>0</v>
      </c>
      <c r="L226" s="38">
        <v>0</v>
      </c>
      <c r="M226" s="38">
        <v>0</v>
      </c>
      <c r="N226" s="38">
        <v>0</v>
      </c>
      <c r="O226" s="38">
        <f>B226*D226*18</f>
        <v>1455.48</v>
      </c>
      <c r="P226" s="38">
        <f>B226*D226*31</f>
        <v>2506.66</v>
      </c>
      <c r="Q226" s="38">
        <f>B226*D226*30</f>
        <v>2425.8</v>
      </c>
      <c r="R226" s="38">
        <f>B226*D226*31</f>
        <v>2506.66</v>
      </c>
    </row>
    <row r="227" spans="1:18" s="14" customFormat="1" ht="15.75" customHeight="1">
      <c r="A227" s="45" t="s">
        <v>7</v>
      </c>
      <c r="B227" s="46">
        <v>1</v>
      </c>
      <c r="C227" s="47">
        <v>90</v>
      </c>
      <c r="D227" s="48">
        <v>71.4</v>
      </c>
      <c r="E227" s="38">
        <f>+B227*C227*D227</f>
        <v>6426.000000000001</v>
      </c>
      <c r="F227" s="36"/>
      <c r="G227" s="38">
        <v>0</v>
      </c>
      <c r="H227" s="38">
        <v>0</v>
      </c>
      <c r="I227" s="38">
        <v>0</v>
      </c>
      <c r="J227" s="38">
        <v>0</v>
      </c>
      <c r="K227" s="38">
        <v>0</v>
      </c>
      <c r="L227" s="38">
        <v>0</v>
      </c>
      <c r="M227" s="38">
        <v>0</v>
      </c>
      <c r="N227" s="38">
        <v>0</v>
      </c>
      <c r="O227" s="38">
        <v>0</v>
      </c>
      <c r="P227" s="38">
        <f>B227*D227*29</f>
        <v>2070.6000000000004</v>
      </c>
      <c r="Q227" s="38">
        <f>B227*D227*30</f>
        <v>2142</v>
      </c>
      <c r="R227" s="38">
        <f>B227*D227*31</f>
        <v>2213.4</v>
      </c>
    </row>
    <row r="228" spans="1:18" s="14" customFormat="1" ht="15.75" customHeight="1">
      <c r="A228" s="45" t="s">
        <v>10</v>
      </c>
      <c r="B228" s="46">
        <v>1</v>
      </c>
      <c r="C228" s="47">
        <v>89</v>
      </c>
      <c r="D228" s="48">
        <v>71.4</v>
      </c>
      <c r="E228" s="38">
        <f>+B228*C228*D228</f>
        <v>6354.6</v>
      </c>
      <c r="F228" s="36"/>
      <c r="G228" s="38">
        <v>0</v>
      </c>
      <c r="H228" s="38">
        <v>0</v>
      </c>
      <c r="I228" s="38">
        <v>0</v>
      </c>
      <c r="J228" s="38">
        <v>0</v>
      </c>
      <c r="K228" s="38">
        <v>0</v>
      </c>
      <c r="L228" s="38">
        <v>0</v>
      </c>
      <c r="M228" s="38">
        <v>0</v>
      </c>
      <c r="N228" s="38">
        <v>0</v>
      </c>
      <c r="O228" s="38">
        <v>0</v>
      </c>
      <c r="P228" s="38">
        <f>B228*D228*28</f>
        <v>1999.2000000000003</v>
      </c>
      <c r="Q228" s="38">
        <f>B228*D228*30</f>
        <v>2142</v>
      </c>
      <c r="R228" s="38">
        <f>B228*D228*31</f>
        <v>2213.4</v>
      </c>
    </row>
    <row r="229" spans="1:18" s="14" customFormat="1" ht="15.75" customHeight="1">
      <c r="A229" s="45" t="s">
        <v>8</v>
      </c>
      <c r="B229" s="46"/>
      <c r="C229" s="47"/>
      <c r="D229" s="48"/>
      <c r="E229" s="38">
        <v>325.45</v>
      </c>
      <c r="F229" s="36"/>
      <c r="G229" s="38"/>
      <c r="H229" s="39"/>
      <c r="I229" s="38"/>
      <c r="J229" s="52"/>
      <c r="K229" s="38"/>
      <c r="L229" s="38"/>
      <c r="M229" s="38"/>
      <c r="N229" s="38"/>
      <c r="O229" s="38"/>
      <c r="P229" s="38"/>
      <c r="Q229" s="38">
        <v>325.45</v>
      </c>
      <c r="R229" s="38"/>
    </row>
    <row r="230" spans="1:18" s="14" customFormat="1" ht="15.75" customHeight="1">
      <c r="A230" s="45"/>
      <c r="B230" s="46"/>
      <c r="C230" s="47"/>
      <c r="D230" s="48"/>
      <c r="E230" s="38"/>
      <c r="F230" s="36"/>
      <c r="G230" s="38"/>
      <c r="H230" s="39"/>
      <c r="I230" s="38"/>
      <c r="J230" s="52"/>
      <c r="K230" s="38"/>
      <c r="L230" s="38"/>
      <c r="M230" s="38"/>
      <c r="N230" s="38"/>
      <c r="O230" s="38"/>
      <c r="P230" s="38"/>
      <c r="Q230" s="38"/>
      <c r="R230" s="38"/>
    </row>
    <row r="231" spans="1:18" s="14" customFormat="1" ht="15.75" customHeight="1">
      <c r="A231" s="40" t="s">
        <v>37</v>
      </c>
      <c r="B231" s="47"/>
      <c r="C231" s="47"/>
      <c r="D231" s="33"/>
      <c r="E231" s="38"/>
      <c r="F231" s="36"/>
      <c r="G231" s="38"/>
      <c r="H231" s="39"/>
      <c r="I231" s="38"/>
      <c r="J231" s="38"/>
      <c r="K231" s="38"/>
      <c r="L231" s="38"/>
      <c r="M231" s="38"/>
      <c r="N231" s="38"/>
      <c r="O231" s="38"/>
      <c r="P231" s="38"/>
      <c r="Q231" s="38"/>
      <c r="R231" s="38"/>
    </row>
    <row r="232" spans="1:18" s="14" customFormat="1" ht="15.75" customHeight="1">
      <c r="A232" s="40" t="s">
        <v>123</v>
      </c>
      <c r="B232" s="42">
        <f>SUM(B233:B237)</f>
        <v>8</v>
      </c>
      <c r="C232" s="47"/>
      <c r="D232" s="43"/>
      <c r="E232" s="53">
        <f>SUM(E233:E237)</f>
        <v>218000.00000000003</v>
      </c>
      <c r="F232" s="44">
        <f>E232-(218001-1)</f>
        <v>0</v>
      </c>
      <c r="G232" s="53">
        <f aca="true" t="shared" si="114" ref="G232:R232">SUM(G233:G237)</f>
        <v>18515.06</v>
      </c>
      <c r="H232" s="53">
        <f t="shared" si="114"/>
        <v>16723.28</v>
      </c>
      <c r="I232" s="53">
        <f t="shared" si="114"/>
        <v>18515.06</v>
      </c>
      <c r="J232" s="53">
        <f t="shared" si="114"/>
        <v>17917.8</v>
      </c>
      <c r="K232" s="53">
        <f t="shared" si="114"/>
        <v>18515.06</v>
      </c>
      <c r="L232" s="53">
        <f t="shared" si="114"/>
        <v>17917.8</v>
      </c>
      <c r="M232" s="53">
        <f t="shared" si="114"/>
        <v>18515.16</v>
      </c>
      <c r="N232" s="53">
        <f t="shared" si="114"/>
        <v>18515.06</v>
      </c>
      <c r="O232" s="53">
        <f t="shared" si="114"/>
        <v>17917.8</v>
      </c>
      <c r="P232" s="53">
        <f t="shared" si="114"/>
        <v>18515.06</v>
      </c>
      <c r="Q232" s="53">
        <f t="shared" si="114"/>
        <v>17917.8</v>
      </c>
      <c r="R232" s="53">
        <f t="shared" si="114"/>
        <v>18515.06</v>
      </c>
    </row>
    <row r="233" spans="1:18" s="14" customFormat="1" ht="15.75" customHeight="1">
      <c r="A233" s="45" t="s">
        <v>10</v>
      </c>
      <c r="B233" s="46">
        <v>2</v>
      </c>
      <c r="C233" s="47">
        <v>365</v>
      </c>
      <c r="D233" s="48">
        <v>71.4</v>
      </c>
      <c r="E233" s="38">
        <f>+B233*C233*D233</f>
        <v>52122.00000000001</v>
      </c>
      <c r="F233" s="36"/>
      <c r="G233" s="38">
        <f>B233*D233*31</f>
        <v>4426.8</v>
      </c>
      <c r="H233" s="49">
        <f>B233*D233*28</f>
        <v>3998.4000000000005</v>
      </c>
      <c r="I233" s="38">
        <f>B233*D233*31</f>
        <v>4426.8</v>
      </c>
      <c r="J233" s="38">
        <f>B233*D233*30</f>
        <v>4284</v>
      </c>
      <c r="K233" s="38">
        <f>B233*D233*31</f>
        <v>4426.8</v>
      </c>
      <c r="L233" s="38">
        <f>B233*D233*30</f>
        <v>4284</v>
      </c>
      <c r="M233" s="38">
        <f>B233*D233*31</f>
        <v>4426.8</v>
      </c>
      <c r="N233" s="38">
        <f>B233*D233*31</f>
        <v>4426.8</v>
      </c>
      <c r="O233" s="38">
        <f>B233*D233*30</f>
        <v>4284</v>
      </c>
      <c r="P233" s="38">
        <f>B233*D233*31</f>
        <v>4426.8</v>
      </c>
      <c r="Q233" s="38">
        <f>B233*D233*30</f>
        <v>4284</v>
      </c>
      <c r="R233" s="38">
        <f>B233*D233*31</f>
        <v>4426.8</v>
      </c>
    </row>
    <row r="234" spans="1:18" s="14" customFormat="1" ht="15.75" customHeight="1">
      <c r="A234" s="45" t="s">
        <v>63</v>
      </c>
      <c r="B234" s="46">
        <v>1</v>
      </c>
      <c r="C234" s="47">
        <v>365</v>
      </c>
      <c r="D234" s="48">
        <v>74.63</v>
      </c>
      <c r="E234" s="38">
        <f>+B234*C234*D234</f>
        <v>27239.949999999997</v>
      </c>
      <c r="F234" s="36"/>
      <c r="G234" s="38">
        <f>B234*D234*31</f>
        <v>2313.5299999999997</v>
      </c>
      <c r="H234" s="49">
        <f>B234*D234*28</f>
        <v>2089.64</v>
      </c>
      <c r="I234" s="38">
        <f>B234*D234*31</f>
        <v>2313.5299999999997</v>
      </c>
      <c r="J234" s="38">
        <f>B234*D234*30</f>
        <v>2238.8999999999996</v>
      </c>
      <c r="K234" s="38">
        <f>B234*D234*31</f>
        <v>2313.5299999999997</v>
      </c>
      <c r="L234" s="38">
        <f>B234*D234*30</f>
        <v>2238.8999999999996</v>
      </c>
      <c r="M234" s="38">
        <f>B234*D234*31</f>
        <v>2313.5299999999997</v>
      </c>
      <c r="N234" s="38">
        <f>B234*D234*31</f>
        <v>2313.5299999999997</v>
      </c>
      <c r="O234" s="38">
        <f>B234*D234*30</f>
        <v>2238.8999999999996</v>
      </c>
      <c r="P234" s="38">
        <f>B234*D234*31</f>
        <v>2313.5299999999997</v>
      </c>
      <c r="Q234" s="38">
        <f>B234*D234*30</f>
        <v>2238.8999999999996</v>
      </c>
      <c r="R234" s="38">
        <f>B234*D234*31</f>
        <v>2313.5299999999997</v>
      </c>
    </row>
    <row r="235" spans="1:18" s="14" customFormat="1" ht="15.75" customHeight="1">
      <c r="A235" s="45" t="s">
        <v>88</v>
      </c>
      <c r="B235" s="46">
        <v>2</v>
      </c>
      <c r="C235" s="47">
        <v>365</v>
      </c>
      <c r="D235" s="48">
        <v>72.54</v>
      </c>
      <c r="E235" s="38">
        <f>+B235*C235*D235</f>
        <v>52954.200000000004</v>
      </c>
      <c r="F235" s="36"/>
      <c r="G235" s="38">
        <f>B235*D235*31</f>
        <v>4497.4800000000005</v>
      </c>
      <c r="H235" s="49">
        <f>B235*D235*28</f>
        <v>4062.2400000000002</v>
      </c>
      <c r="I235" s="38">
        <f>B235*D235*31</f>
        <v>4497.4800000000005</v>
      </c>
      <c r="J235" s="38">
        <f>B235*D235*30</f>
        <v>4352.400000000001</v>
      </c>
      <c r="K235" s="38">
        <f>B235*D235*31</f>
        <v>4497.4800000000005</v>
      </c>
      <c r="L235" s="38">
        <f>B235*D235*30</f>
        <v>4352.400000000001</v>
      </c>
      <c r="M235" s="38">
        <f>B235*D235*31</f>
        <v>4497.4800000000005</v>
      </c>
      <c r="N235" s="38">
        <f>B235*D235*31</f>
        <v>4497.4800000000005</v>
      </c>
      <c r="O235" s="38">
        <f>B235*D235*30</f>
        <v>4352.400000000001</v>
      </c>
      <c r="P235" s="38">
        <f>B235*D235*31</f>
        <v>4497.4800000000005</v>
      </c>
      <c r="Q235" s="38">
        <f>B235*D235*30</f>
        <v>4352.400000000001</v>
      </c>
      <c r="R235" s="38">
        <f>B235*D235*31</f>
        <v>4497.4800000000005</v>
      </c>
    </row>
    <row r="236" spans="1:18" s="14" customFormat="1" ht="15.75" customHeight="1">
      <c r="A236" s="45" t="s">
        <v>66</v>
      </c>
      <c r="B236" s="46">
        <v>3</v>
      </c>
      <c r="C236" s="47">
        <v>365</v>
      </c>
      <c r="D236" s="48">
        <v>78.25</v>
      </c>
      <c r="E236" s="38">
        <f>+B236*C236*D236</f>
        <v>85683.75</v>
      </c>
      <c r="F236" s="36"/>
      <c r="G236" s="38">
        <f>B236*D236*31</f>
        <v>7277.25</v>
      </c>
      <c r="H236" s="49">
        <f>B236*D236*28</f>
        <v>6573</v>
      </c>
      <c r="I236" s="38">
        <f>B236*D236*31</f>
        <v>7277.25</v>
      </c>
      <c r="J236" s="38">
        <f>B236*D236*30</f>
        <v>7042.5</v>
      </c>
      <c r="K236" s="38">
        <f>B236*D236*31</f>
        <v>7277.25</v>
      </c>
      <c r="L236" s="38">
        <f>B236*D236*30</f>
        <v>7042.5</v>
      </c>
      <c r="M236" s="38">
        <f>B236*D236*31</f>
        <v>7277.25</v>
      </c>
      <c r="N236" s="38">
        <f>B236*D236*31</f>
        <v>7277.25</v>
      </c>
      <c r="O236" s="38">
        <f>B236*D236*30</f>
        <v>7042.5</v>
      </c>
      <c r="P236" s="38">
        <f>B236*D236*31</f>
        <v>7277.25</v>
      </c>
      <c r="Q236" s="38">
        <f>B236*D236*30</f>
        <v>7042.5</v>
      </c>
      <c r="R236" s="38">
        <f>B236*D236*31</f>
        <v>7277.25</v>
      </c>
    </row>
    <row r="237" spans="1:18" s="14" customFormat="1" ht="15.75" customHeight="1">
      <c r="A237" s="62" t="s">
        <v>8</v>
      </c>
      <c r="B237" s="63"/>
      <c r="C237" s="64"/>
      <c r="D237" s="65"/>
      <c r="E237" s="89">
        <v>0.1</v>
      </c>
      <c r="F237" s="67"/>
      <c r="G237" s="89"/>
      <c r="H237" s="69"/>
      <c r="I237" s="68"/>
      <c r="J237" s="89"/>
      <c r="K237" s="89"/>
      <c r="L237" s="68"/>
      <c r="M237" s="89">
        <v>0.1</v>
      </c>
      <c r="N237" s="68"/>
      <c r="O237" s="68"/>
      <c r="P237" s="68"/>
      <c r="Q237" s="68"/>
      <c r="R237" s="68"/>
    </row>
    <row r="238" spans="1:18" s="14" customFormat="1" ht="15.75" customHeight="1">
      <c r="A238" s="103"/>
      <c r="B238" s="105"/>
      <c r="C238" s="106"/>
      <c r="D238" s="107"/>
      <c r="E238" s="110"/>
      <c r="F238" s="104"/>
      <c r="G238" s="110"/>
      <c r="H238" s="111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</row>
    <row r="239" spans="1:18" s="14" customFormat="1" ht="15.75" customHeight="1">
      <c r="A239" s="37" t="s">
        <v>33</v>
      </c>
      <c r="B239" s="33"/>
      <c r="C239" s="33"/>
      <c r="D239" s="33"/>
      <c r="E239" s="38"/>
      <c r="F239" s="36"/>
      <c r="G239" s="38"/>
      <c r="H239" s="39"/>
      <c r="I239" s="38"/>
      <c r="J239" s="38"/>
      <c r="K239" s="38"/>
      <c r="L239" s="38"/>
      <c r="M239" s="38"/>
      <c r="N239" s="38"/>
      <c r="O239" s="38"/>
      <c r="P239" s="38"/>
      <c r="Q239" s="38"/>
      <c r="R239" s="38"/>
    </row>
    <row r="240" spans="1:18" s="14" customFormat="1" ht="15.75" customHeight="1">
      <c r="A240" s="37" t="s">
        <v>36</v>
      </c>
      <c r="B240" s="33"/>
      <c r="C240" s="33"/>
      <c r="D240" s="33"/>
      <c r="E240" s="38"/>
      <c r="F240" s="36"/>
      <c r="G240" s="38"/>
      <c r="H240" s="39"/>
      <c r="I240" s="38"/>
      <c r="J240" s="38"/>
      <c r="K240" s="38"/>
      <c r="L240" s="38"/>
      <c r="M240" s="38"/>
      <c r="N240" s="38"/>
      <c r="O240" s="38"/>
      <c r="P240" s="38"/>
      <c r="Q240" s="38"/>
      <c r="R240" s="38"/>
    </row>
    <row r="241" spans="1:18" s="14" customFormat="1" ht="15.75" customHeight="1">
      <c r="A241" s="40" t="s">
        <v>39</v>
      </c>
      <c r="B241" s="76"/>
      <c r="C241" s="33"/>
      <c r="D241" s="33"/>
      <c r="E241" s="53"/>
      <c r="F241" s="44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</row>
    <row r="242" spans="1:18" s="14" customFormat="1" ht="15.75" customHeight="1">
      <c r="A242" s="40" t="s">
        <v>40</v>
      </c>
      <c r="B242" s="76"/>
      <c r="C242" s="33"/>
      <c r="D242" s="33"/>
      <c r="E242" s="53"/>
      <c r="F242" s="113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</row>
    <row r="243" spans="1:18" s="14" customFormat="1" ht="15.75" customHeight="1">
      <c r="A243" s="40" t="s">
        <v>124</v>
      </c>
      <c r="B243" s="77">
        <f>SUM(B244:B266)</f>
        <v>114</v>
      </c>
      <c r="C243" s="33"/>
      <c r="D243" s="33"/>
      <c r="E243" s="53">
        <f>SUM(E244:E266)</f>
        <v>2936136.0000000005</v>
      </c>
      <c r="F243" s="44">
        <f>E243-(3044604-26478-36990)</f>
        <v>-44999.999999999534</v>
      </c>
      <c r="G243" s="58">
        <f aca="true" t="shared" si="115" ref="G243:R243">SUM(G244:G266)</f>
        <v>240483.96000000002</v>
      </c>
      <c r="H243" s="58">
        <f t="shared" si="115"/>
        <v>222681.48</v>
      </c>
      <c r="I243" s="58">
        <f t="shared" si="115"/>
        <v>247409.75999999995</v>
      </c>
      <c r="J243" s="58">
        <f t="shared" si="115"/>
        <v>239428.80000000002</v>
      </c>
      <c r="K243" s="58">
        <f t="shared" si="115"/>
        <v>247409.75999999995</v>
      </c>
      <c r="L243" s="58">
        <f t="shared" si="115"/>
        <v>239428.80000000002</v>
      </c>
      <c r="M243" s="58">
        <f t="shared" si="115"/>
        <v>249623.15999999995</v>
      </c>
      <c r="N243" s="58">
        <f t="shared" si="115"/>
        <v>249408.96</v>
      </c>
      <c r="O243" s="58">
        <f t="shared" si="115"/>
        <v>239428.80000000002</v>
      </c>
      <c r="P243" s="58">
        <f t="shared" si="115"/>
        <v>253692.95999999993</v>
      </c>
      <c r="Q243" s="58">
        <f t="shared" si="115"/>
        <v>250876.2</v>
      </c>
      <c r="R243" s="58">
        <f t="shared" si="115"/>
        <v>256263.35999999996</v>
      </c>
    </row>
    <row r="244" spans="1:18" s="14" customFormat="1" ht="15.75" customHeight="1">
      <c r="A244" s="45" t="s">
        <v>59</v>
      </c>
      <c r="B244" s="47">
        <v>37</v>
      </c>
      <c r="C244" s="47">
        <v>365</v>
      </c>
      <c r="D244" s="48">
        <v>72.54</v>
      </c>
      <c r="E244" s="38">
        <f aca="true" t="shared" si="116" ref="E244:E265">+B244*C244*D244</f>
        <v>979652.7000000001</v>
      </c>
      <c r="F244" s="44"/>
      <c r="G244" s="38">
        <f>B244*D244*31</f>
        <v>83203.38</v>
      </c>
      <c r="H244" s="49">
        <f>B244*D244*28</f>
        <v>75151.44</v>
      </c>
      <c r="I244" s="38">
        <f aca="true" t="shared" si="117" ref="I244:I250">B244*D244*31</f>
        <v>83203.38</v>
      </c>
      <c r="J244" s="38">
        <f aca="true" t="shared" si="118" ref="J244:J250">B244*D244*30</f>
        <v>80519.4</v>
      </c>
      <c r="K244" s="38">
        <f aca="true" t="shared" si="119" ref="K244:K250">B244*D244*31</f>
        <v>83203.38</v>
      </c>
      <c r="L244" s="38">
        <f aca="true" t="shared" si="120" ref="L244:L250">B244*D244*30</f>
        <v>80519.4</v>
      </c>
      <c r="M244" s="38">
        <f aca="true" t="shared" si="121" ref="M244:M250">B244*D244*31</f>
        <v>83203.38</v>
      </c>
      <c r="N244" s="38">
        <f aca="true" t="shared" si="122" ref="N244:N251">B244*D244*31</f>
        <v>83203.38</v>
      </c>
      <c r="O244" s="38">
        <f aca="true" t="shared" si="123" ref="O244:O251">B244*D244*30</f>
        <v>80519.4</v>
      </c>
      <c r="P244" s="38">
        <f aca="true" t="shared" si="124" ref="P244:P256">B244*D244*31</f>
        <v>83203.38</v>
      </c>
      <c r="Q244" s="38">
        <f aca="true" t="shared" si="125" ref="Q244:Q265">B244*D244*30</f>
        <v>80519.4</v>
      </c>
      <c r="R244" s="38">
        <f aca="true" t="shared" si="126" ref="R244:R265">B244*D244*31</f>
        <v>83203.38</v>
      </c>
    </row>
    <row r="245" spans="1:18" s="14" customFormat="1" ht="15.75" customHeight="1">
      <c r="A245" s="45" t="s">
        <v>71</v>
      </c>
      <c r="B245" s="47">
        <v>2</v>
      </c>
      <c r="C245" s="47">
        <v>365</v>
      </c>
      <c r="D245" s="48">
        <v>73.59</v>
      </c>
      <c r="E245" s="38">
        <f t="shared" si="116"/>
        <v>53720.700000000004</v>
      </c>
      <c r="F245" s="44"/>
      <c r="G245" s="38">
        <f>B245*D245*31</f>
        <v>4562.58</v>
      </c>
      <c r="H245" s="49">
        <f>B245*D245*28</f>
        <v>4121.04</v>
      </c>
      <c r="I245" s="38">
        <f t="shared" si="117"/>
        <v>4562.58</v>
      </c>
      <c r="J245" s="38">
        <f t="shared" si="118"/>
        <v>4415.400000000001</v>
      </c>
      <c r="K245" s="38">
        <f t="shared" si="119"/>
        <v>4562.58</v>
      </c>
      <c r="L245" s="38">
        <f t="shared" si="120"/>
        <v>4415.400000000001</v>
      </c>
      <c r="M245" s="38">
        <f t="shared" si="121"/>
        <v>4562.58</v>
      </c>
      <c r="N245" s="38">
        <f t="shared" si="122"/>
        <v>4562.58</v>
      </c>
      <c r="O245" s="38">
        <f t="shared" si="123"/>
        <v>4415.400000000001</v>
      </c>
      <c r="P245" s="38">
        <f t="shared" si="124"/>
        <v>4562.58</v>
      </c>
      <c r="Q245" s="38">
        <f t="shared" si="125"/>
        <v>4415.400000000001</v>
      </c>
      <c r="R245" s="38">
        <f t="shared" si="126"/>
        <v>4562.58</v>
      </c>
    </row>
    <row r="246" spans="1:18" s="14" customFormat="1" ht="15.75" customHeight="1">
      <c r="A246" s="45" t="s">
        <v>91</v>
      </c>
      <c r="B246" s="46">
        <v>4</v>
      </c>
      <c r="C246" s="47">
        <v>365</v>
      </c>
      <c r="D246" s="48">
        <v>71.4</v>
      </c>
      <c r="E246" s="38">
        <f t="shared" si="116"/>
        <v>104244.00000000001</v>
      </c>
      <c r="F246" s="44"/>
      <c r="G246" s="38">
        <f>B246*D246*31</f>
        <v>8853.6</v>
      </c>
      <c r="H246" s="49">
        <f>B246*D246*28</f>
        <v>7996.800000000001</v>
      </c>
      <c r="I246" s="38">
        <f t="shared" si="117"/>
        <v>8853.6</v>
      </c>
      <c r="J246" s="38">
        <f t="shared" si="118"/>
        <v>8568</v>
      </c>
      <c r="K246" s="38">
        <f t="shared" si="119"/>
        <v>8853.6</v>
      </c>
      <c r="L246" s="38">
        <f t="shared" si="120"/>
        <v>8568</v>
      </c>
      <c r="M246" s="38">
        <f t="shared" si="121"/>
        <v>8853.6</v>
      </c>
      <c r="N246" s="38">
        <f t="shared" si="122"/>
        <v>8853.6</v>
      </c>
      <c r="O246" s="38">
        <f t="shared" si="123"/>
        <v>8568</v>
      </c>
      <c r="P246" s="38">
        <f t="shared" si="124"/>
        <v>8853.6</v>
      </c>
      <c r="Q246" s="38">
        <f t="shared" si="125"/>
        <v>8568</v>
      </c>
      <c r="R246" s="38">
        <f t="shared" si="126"/>
        <v>8853.6</v>
      </c>
    </row>
    <row r="247" spans="1:18" s="14" customFormat="1" ht="15.75" customHeight="1">
      <c r="A247" s="45" t="s">
        <v>92</v>
      </c>
      <c r="B247" s="46">
        <v>1</v>
      </c>
      <c r="C247" s="47">
        <v>365</v>
      </c>
      <c r="D247" s="48">
        <v>71.4</v>
      </c>
      <c r="E247" s="38">
        <f t="shared" si="116"/>
        <v>26061.000000000004</v>
      </c>
      <c r="F247" s="44"/>
      <c r="G247" s="38">
        <f>B247*D247*31</f>
        <v>2213.4</v>
      </c>
      <c r="H247" s="49">
        <f>B247*D247*28</f>
        <v>1999.2000000000003</v>
      </c>
      <c r="I247" s="38">
        <f t="shared" si="117"/>
        <v>2213.4</v>
      </c>
      <c r="J247" s="38">
        <f t="shared" si="118"/>
        <v>2142</v>
      </c>
      <c r="K247" s="38">
        <f t="shared" si="119"/>
        <v>2213.4</v>
      </c>
      <c r="L247" s="38">
        <f t="shared" si="120"/>
        <v>2142</v>
      </c>
      <c r="M247" s="38">
        <f t="shared" si="121"/>
        <v>2213.4</v>
      </c>
      <c r="N247" s="38">
        <f t="shared" si="122"/>
        <v>2213.4</v>
      </c>
      <c r="O247" s="38">
        <f t="shared" si="123"/>
        <v>2142</v>
      </c>
      <c r="P247" s="38">
        <f t="shared" si="124"/>
        <v>2213.4</v>
      </c>
      <c r="Q247" s="38">
        <f t="shared" si="125"/>
        <v>2142</v>
      </c>
      <c r="R247" s="38">
        <f t="shared" si="126"/>
        <v>2213.4</v>
      </c>
    </row>
    <row r="248" spans="1:18" s="14" customFormat="1" ht="15.75" customHeight="1">
      <c r="A248" s="45" t="s">
        <v>10</v>
      </c>
      <c r="B248" s="46">
        <v>6</v>
      </c>
      <c r="C248" s="47">
        <v>365</v>
      </c>
      <c r="D248" s="48">
        <v>71.4</v>
      </c>
      <c r="E248" s="38">
        <f t="shared" si="116"/>
        <v>156366</v>
      </c>
      <c r="F248" s="44"/>
      <c r="G248" s="38">
        <f>B248*D248*31</f>
        <v>13280.400000000001</v>
      </c>
      <c r="H248" s="49">
        <f>B248*D248*28</f>
        <v>11995.2</v>
      </c>
      <c r="I248" s="38">
        <f t="shared" si="117"/>
        <v>13280.400000000001</v>
      </c>
      <c r="J248" s="38">
        <f t="shared" si="118"/>
        <v>12852.000000000002</v>
      </c>
      <c r="K248" s="38">
        <f t="shared" si="119"/>
        <v>13280.400000000001</v>
      </c>
      <c r="L248" s="38">
        <f t="shared" si="120"/>
        <v>12852.000000000002</v>
      </c>
      <c r="M248" s="38">
        <f t="shared" si="121"/>
        <v>13280.400000000001</v>
      </c>
      <c r="N248" s="38">
        <f t="shared" si="122"/>
        <v>13280.400000000001</v>
      </c>
      <c r="O248" s="38">
        <f t="shared" si="123"/>
        <v>12852.000000000002</v>
      </c>
      <c r="P248" s="38">
        <f t="shared" si="124"/>
        <v>13280.400000000001</v>
      </c>
      <c r="Q248" s="38">
        <f t="shared" si="125"/>
        <v>12852.000000000002</v>
      </c>
      <c r="R248" s="38">
        <f t="shared" si="126"/>
        <v>13280.400000000001</v>
      </c>
    </row>
    <row r="249" spans="1:18" s="14" customFormat="1" ht="15.75" customHeight="1">
      <c r="A249" s="45" t="s">
        <v>10</v>
      </c>
      <c r="B249" s="46">
        <v>1</v>
      </c>
      <c r="C249" s="47">
        <v>332</v>
      </c>
      <c r="D249" s="48">
        <v>71.4</v>
      </c>
      <c r="E249" s="38">
        <f t="shared" si="116"/>
        <v>23704.800000000003</v>
      </c>
      <c r="F249" s="44"/>
      <c r="G249" s="38">
        <v>0</v>
      </c>
      <c r="H249" s="49">
        <f>B249*D249*26</f>
        <v>1856.4</v>
      </c>
      <c r="I249" s="38">
        <f t="shared" si="117"/>
        <v>2213.4</v>
      </c>
      <c r="J249" s="38">
        <f t="shared" si="118"/>
        <v>2142</v>
      </c>
      <c r="K249" s="38">
        <f t="shared" si="119"/>
        <v>2213.4</v>
      </c>
      <c r="L249" s="38">
        <f t="shared" si="120"/>
        <v>2142</v>
      </c>
      <c r="M249" s="38">
        <f t="shared" si="121"/>
        <v>2213.4</v>
      </c>
      <c r="N249" s="38">
        <f t="shared" si="122"/>
        <v>2213.4</v>
      </c>
      <c r="O249" s="38">
        <f t="shared" si="123"/>
        <v>2142</v>
      </c>
      <c r="P249" s="38">
        <f t="shared" si="124"/>
        <v>2213.4</v>
      </c>
      <c r="Q249" s="38">
        <f t="shared" si="125"/>
        <v>2142</v>
      </c>
      <c r="R249" s="38">
        <f t="shared" si="126"/>
        <v>2213.4</v>
      </c>
    </row>
    <row r="250" spans="1:18" s="14" customFormat="1" ht="15.75" customHeight="1">
      <c r="A250" s="45" t="s">
        <v>10</v>
      </c>
      <c r="B250" s="46">
        <v>1</v>
      </c>
      <c r="C250" s="47">
        <v>327</v>
      </c>
      <c r="D250" s="48">
        <v>71.4</v>
      </c>
      <c r="E250" s="38">
        <f t="shared" si="116"/>
        <v>23347.800000000003</v>
      </c>
      <c r="F250" s="44"/>
      <c r="G250" s="38">
        <v>0</v>
      </c>
      <c r="H250" s="49">
        <f>B250*D250*21</f>
        <v>1499.4</v>
      </c>
      <c r="I250" s="38">
        <f t="shared" si="117"/>
        <v>2213.4</v>
      </c>
      <c r="J250" s="38">
        <f t="shared" si="118"/>
        <v>2142</v>
      </c>
      <c r="K250" s="38">
        <f t="shared" si="119"/>
        <v>2213.4</v>
      </c>
      <c r="L250" s="38">
        <f t="shared" si="120"/>
        <v>2142</v>
      </c>
      <c r="M250" s="38">
        <f t="shared" si="121"/>
        <v>2213.4</v>
      </c>
      <c r="N250" s="38">
        <f t="shared" si="122"/>
        <v>2213.4</v>
      </c>
      <c r="O250" s="38">
        <f t="shared" si="123"/>
        <v>2142</v>
      </c>
      <c r="P250" s="38">
        <f t="shared" si="124"/>
        <v>2213.4</v>
      </c>
      <c r="Q250" s="38">
        <f t="shared" si="125"/>
        <v>2142</v>
      </c>
      <c r="R250" s="38">
        <f t="shared" si="126"/>
        <v>2213.4</v>
      </c>
    </row>
    <row r="251" spans="1:18" s="14" customFormat="1" ht="15.75" customHeight="1">
      <c r="A251" s="45" t="s">
        <v>10</v>
      </c>
      <c r="B251" s="46">
        <v>1</v>
      </c>
      <c r="C251" s="47">
        <v>153</v>
      </c>
      <c r="D251" s="48">
        <v>71.4</v>
      </c>
      <c r="E251" s="38">
        <f t="shared" si="116"/>
        <v>10924.2</v>
      </c>
      <c r="F251" s="44"/>
      <c r="G251" s="38">
        <v>0</v>
      </c>
      <c r="H251" s="38">
        <v>0</v>
      </c>
      <c r="I251" s="38">
        <v>0</v>
      </c>
      <c r="J251" s="38">
        <v>0</v>
      </c>
      <c r="K251" s="38">
        <v>0</v>
      </c>
      <c r="L251" s="38">
        <v>0</v>
      </c>
      <c r="M251" s="38">
        <v>0</v>
      </c>
      <c r="N251" s="38">
        <f t="shared" si="122"/>
        <v>2213.4</v>
      </c>
      <c r="O251" s="38">
        <f t="shared" si="123"/>
        <v>2142</v>
      </c>
      <c r="P251" s="38">
        <f t="shared" si="124"/>
        <v>2213.4</v>
      </c>
      <c r="Q251" s="38">
        <f t="shared" si="125"/>
        <v>2142</v>
      </c>
      <c r="R251" s="38">
        <f t="shared" si="126"/>
        <v>2213.4</v>
      </c>
    </row>
    <row r="252" spans="1:18" s="14" customFormat="1" ht="15.75" customHeight="1">
      <c r="A252" s="45" t="s">
        <v>10</v>
      </c>
      <c r="B252" s="46">
        <v>1</v>
      </c>
      <c r="C252" s="47">
        <v>92</v>
      </c>
      <c r="D252" s="48">
        <v>71.4</v>
      </c>
      <c r="E252" s="38">
        <f t="shared" si="116"/>
        <v>6568.8</v>
      </c>
      <c r="F252" s="44"/>
      <c r="G252" s="38">
        <v>0</v>
      </c>
      <c r="H252" s="38">
        <v>0</v>
      </c>
      <c r="I252" s="38">
        <v>0</v>
      </c>
      <c r="J252" s="38">
        <v>0</v>
      </c>
      <c r="K252" s="38">
        <v>0</v>
      </c>
      <c r="L252" s="38">
        <v>0</v>
      </c>
      <c r="M252" s="38">
        <v>0</v>
      </c>
      <c r="N252" s="38">
        <v>0</v>
      </c>
      <c r="O252" s="38">
        <v>0</v>
      </c>
      <c r="P252" s="38">
        <f t="shared" si="124"/>
        <v>2213.4</v>
      </c>
      <c r="Q252" s="38">
        <f t="shared" si="125"/>
        <v>2142</v>
      </c>
      <c r="R252" s="38">
        <f t="shared" si="126"/>
        <v>2213.4</v>
      </c>
    </row>
    <row r="253" spans="1:18" s="14" customFormat="1" ht="15.75" customHeight="1">
      <c r="A253" s="45" t="s">
        <v>10</v>
      </c>
      <c r="B253" s="46">
        <v>1</v>
      </c>
      <c r="C253" s="47">
        <v>92</v>
      </c>
      <c r="D253" s="48">
        <v>71.4</v>
      </c>
      <c r="E253" s="38">
        <f t="shared" si="116"/>
        <v>6568.8</v>
      </c>
      <c r="F253" s="44"/>
      <c r="G253" s="38">
        <v>0</v>
      </c>
      <c r="H253" s="38">
        <v>0</v>
      </c>
      <c r="I253" s="38">
        <v>0</v>
      </c>
      <c r="J253" s="38">
        <v>0</v>
      </c>
      <c r="K253" s="38">
        <v>0</v>
      </c>
      <c r="L253" s="38">
        <v>0</v>
      </c>
      <c r="M253" s="38">
        <v>0</v>
      </c>
      <c r="N253" s="38">
        <v>0</v>
      </c>
      <c r="O253" s="38">
        <v>0</v>
      </c>
      <c r="P253" s="38">
        <f t="shared" si="124"/>
        <v>2213.4</v>
      </c>
      <c r="Q253" s="38">
        <f t="shared" si="125"/>
        <v>2142</v>
      </c>
      <c r="R253" s="38">
        <f t="shared" si="126"/>
        <v>2213.4</v>
      </c>
    </row>
    <row r="254" spans="1:18" s="14" customFormat="1" ht="15.75" customHeight="1">
      <c r="A254" s="45" t="s">
        <v>93</v>
      </c>
      <c r="B254" s="46">
        <v>1</v>
      </c>
      <c r="C254" s="47">
        <v>365</v>
      </c>
      <c r="D254" s="48">
        <v>75.64</v>
      </c>
      <c r="E254" s="38">
        <f t="shared" si="116"/>
        <v>27608.6</v>
      </c>
      <c r="F254" s="44"/>
      <c r="G254" s="38">
        <f>B254*D254*31</f>
        <v>2344.84</v>
      </c>
      <c r="H254" s="49">
        <f aca="true" t="shared" si="127" ref="H254:H262">B254*D254*28</f>
        <v>2117.92</v>
      </c>
      <c r="I254" s="38">
        <f aca="true" t="shared" si="128" ref="I254:I264">B254*D254*31</f>
        <v>2344.84</v>
      </c>
      <c r="J254" s="38">
        <f aca="true" t="shared" si="129" ref="J254:J264">B254*D254*30</f>
        <v>2269.2</v>
      </c>
      <c r="K254" s="38">
        <f aca="true" t="shared" si="130" ref="K254:K264">B254*D254*31</f>
        <v>2344.84</v>
      </c>
      <c r="L254" s="38">
        <f aca="true" t="shared" si="131" ref="L254:L264">B254*D254*30</f>
        <v>2269.2</v>
      </c>
      <c r="M254" s="38">
        <f aca="true" t="shared" si="132" ref="M254:M265">B254*D254*31</f>
        <v>2344.84</v>
      </c>
      <c r="N254" s="38">
        <f>B254*D254*31</f>
        <v>2344.84</v>
      </c>
      <c r="O254" s="38">
        <f>B254*D254*30</f>
        <v>2269.2</v>
      </c>
      <c r="P254" s="38">
        <f t="shared" si="124"/>
        <v>2344.84</v>
      </c>
      <c r="Q254" s="38">
        <f t="shared" si="125"/>
        <v>2269.2</v>
      </c>
      <c r="R254" s="38">
        <f t="shared" si="126"/>
        <v>2344.84</v>
      </c>
    </row>
    <row r="255" spans="1:18" s="14" customFormat="1" ht="15.75" customHeight="1">
      <c r="A255" s="45" t="s">
        <v>66</v>
      </c>
      <c r="B255" s="46">
        <v>10</v>
      </c>
      <c r="C255" s="47">
        <v>365</v>
      </c>
      <c r="D255" s="48">
        <v>78.25</v>
      </c>
      <c r="E255" s="38">
        <f t="shared" si="116"/>
        <v>285612.5</v>
      </c>
      <c r="F255" s="44"/>
      <c r="G255" s="38">
        <f>B255*D255*31</f>
        <v>24257.5</v>
      </c>
      <c r="H255" s="49">
        <f t="shared" si="127"/>
        <v>21910</v>
      </c>
      <c r="I255" s="38">
        <f t="shared" si="128"/>
        <v>24257.5</v>
      </c>
      <c r="J255" s="38">
        <f t="shared" si="129"/>
        <v>23475</v>
      </c>
      <c r="K255" s="38">
        <f t="shared" si="130"/>
        <v>24257.5</v>
      </c>
      <c r="L255" s="38">
        <f t="shared" si="131"/>
        <v>23475</v>
      </c>
      <c r="M255" s="38">
        <f t="shared" si="132"/>
        <v>24257.5</v>
      </c>
      <c r="N255" s="38">
        <f>B255*D255*31</f>
        <v>24257.5</v>
      </c>
      <c r="O255" s="38">
        <f>B255*D255*30</f>
        <v>23475</v>
      </c>
      <c r="P255" s="38">
        <f t="shared" si="124"/>
        <v>24257.5</v>
      </c>
      <c r="Q255" s="38">
        <f t="shared" si="125"/>
        <v>23475</v>
      </c>
      <c r="R255" s="38">
        <f t="shared" si="126"/>
        <v>24257.5</v>
      </c>
    </row>
    <row r="256" spans="1:18" s="14" customFormat="1" ht="15.75" customHeight="1">
      <c r="A256" s="45" t="s">
        <v>76</v>
      </c>
      <c r="B256" s="46">
        <v>30</v>
      </c>
      <c r="C256" s="47">
        <v>365</v>
      </c>
      <c r="D256" s="48">
        <v>71.4</v>
      </c>
      <c r="E256" s="38">
        <f t="shared" si="116"/>
        <v>781830.0000000001</v>
      </c>
      <c r="F256" s="44"/>
      <c r="G256" s="38">
        <f>B256*D256*31</f>
        <v>66402</v>
      </c>
      <c r="H256" s="49">
        <f t="shared" si="127"/>
        <v>59976</v>
      </c>
      <c r="I256" s="38">
        <f t="shared" si="128"/>
        <v>66402</v>
      </c>
      <c r="J256" s="38">
        <f t="shared" si="129"/>
        <v>64260</v>
      </c>
      <c r="K256" s="38">
        <f t="shared" si="130"/>
        <v>66402</v>
      </c>
      <c r="L256" s="38">
        <f t="shared" si="131"/>
        <v>64260</v>
      </c>
      <c r="M256" s="38">
        <f t="shared" si="132"/>
        <v>66402</v>
      </c>
      <c r="N256" s="38">
        <f>B256*D256*31</f>
        <v>66402</v>
      </c>
      <c r="O256" s="38">
        <f>B256*D256*30</f>
        <v>64260</v>
      </c>
      <c r="P256" s="38">
        <f t="shared" si="124"/>
        <v>66402</v>
      </c>
      <c r="Q256" s="38">
        <f t="shared" si="125"/>
        <v>64260</v>
      </c>
      <c r="R256" s="38">
        <f t="shared" si="126"/>
        <v>66402</v>
      </c>
    </row>
    <row r="257" spans="1:18" s="14" customFormat="1" ht="15.75" customHeight="1">
      <c r="A257" s="45" t="s">
        <v>76</v>
      </c>
      <c r="B257" s="46">
        <v>1</v>
      </c>
      <c r="C257" s="47">
        <v>358</v>
      </c>
      <c r="D257" s="48">
        <v>71.4</v>
      </c>
      <c r="E257" s="38">
        <f t="shared" si="116"/>
        <v>25561.2</v>
      </c>
      <c r="F257" s="44"/>
      <c r="G257" s="38">
        <f>B257*D257*29</f>
        <v>2070.6000000000004</v>
      </c>
      <c r="H257" s="49">
        <f>B257*D257*28</f>
        <v>1999.2000000000003</v>
      </c>
      <c r="I257" s="38">
        <f t="shared" si="128"/>
        <v>2213.4</v>
      </c>
      <c r="J257" s="38">
        <f t="shared" si="129"/>
        <v>2142</v>
      </c>
      <c r="K257" s="38">
        <f t="shared" si="130"/>
        <v>2213.4</v>
      </c>
      <c r="L257" s="38">
        <f t="shared" si="131"/>
        <v>2142</v>
      </c>
      <c r="M257" s="38">
        <f t="shared" si="132"/>
        <v>2213.4</v>
      </c>
      <c r="N257" s="38">
        <f>B257*D257*31</f>
        <v>2213.4</v>
      </c>
      <c r="O257" s="38">
        <f>B257*D257*30</f>
        <v>2142</v>
      </c>
      <c r="P257" s="38">
        <f>B257*D257*26</f>
        <v>1856.4</v>
      </c>
      <c r="Q257" s="38">
        <f t="shared" si="125"/>
        <v>2142</v>
      </c>
      <c r="R257" s="38">
        <f t="shared" si="126"/>
        <v>2213.4</v>
      </c>
    </row>
    <row r="258" spans="1:18" s="14" customFormat="1" ht="15.75" customHeight="1">
      <c r="A258" s="45" t="s">
        <v>76</v>
      </c>
      <c r="B258" s="46">
        <v>1</v>
      </c>
      <c r="C258" s="47">
        <v>302</v>
      </c>
      <c r="D258" s="48">
        <v>71.4</v>
      </c>
      <c r="E258" s="38">
        <f t="shared" si="116"/>
        <v>21562.800000000003</v>
      </c>
      <c r="F258" s="44"/>
      <c r="G258" s="38">
        <f>B258*D258*29</f>
        <v>2070.6000000000004</v>
      </c>
      <c r="H258" s="49">
        <f>B258*D258*28</f>
        <v>1999.2000000000003</v>
      </c>
      <c r="I258" s="38">
        <f t="shared" si="128"/>
        <v>2213.4</v>
      </c>
      <c r="J258" s="38">
        <f t="shared" si="129"/>
        <v>2142</v>
      </c>
      <c r="K258" s="38">
        <f t="shared" si="130"/>
        <v>2213.4</v>
      </c>
      <c r="L258" s="38">
        <f t="shared" si="131"/>
        <v>2142</v>
      </c>
      <c r="M258" s="38">
        <f t="shared" si="132"/>
        <v>2213.4</v>
      </c>
      <c r="N258" s="38">
        <f>B258*D258*31</f>
        <v>2213.4</v>
      </c>
      <c r="O258" s="38">
        <v>0</v>
      </c>
      <c r="P258" s="38">
        <v>0</v>
      </c>
      <c r="Q258" s="38">
        <f t="shared" si="125"/>
        <v>2142</v>
      </c>
      <c r="R258" s="38">
        <f t="shared" si="126"/>
        <v>2213.4</v>
      </c>
    </row>
    <row r="259" spans="1:18" s="14" customFormat="1" ht="15.75" customHeight="1">
      <c r="A259" s="45" t="s">
        <v>76</v>
      </c>
      <c r="B259" s="46">
        <v>1</v>
      </c>
      <c r="C259" s="47">
        <v>299</v>
      </c>
      <c r="D259" s="48">
        <v>71.4</v>
      </c>
      <c r="E259" s="38">
        <f t="shared" si="116"/>
        <v>21348.600000000002</v>
      </c>
      <c r="F259" s="44"/>
      <c r="G259" s="38">
        <v>0</v>
      </c>
      <c r="H259" s="49">
        <f>B259*D259*26</f>
        <v>1856.4</v>
      </c>
      <c r="I259" s="38">
        <f t="shared" si="128"/>
        <v>2213.4</v>
      </c>
      <c r="J259" s="38">
        <f t="shared" si="129"/>
        <v>2142</v>
      </c>
      <c r="K259" s="38">
        <f t="shared" si="130"/>
        <v>2213.4</v>
      </c>
      <c r="L259" s="38">
        <f t="shared" si="131"/>
        <v>2142</v>
      </c>
      <c r="M259" s="38">
        <f t="shared" si="132"/>
        <v>2213.4</v>
      </c>
      <c r="N259" s="38">
        <f>B259*D259*28</f>
        <v>1999.2000000000003</v>
      </c>
      <c r="O259" s="38">
        <v>0</v>
      </c>
      <c r="P259" s="38">
        <f aca="true" t="shared" si="133" ref="P259:P265">B259*D259*31</f>
        <v>2213.4</v>
      </c>
      <c r="Q259" s="38">
        <f t="shared" si="125"/>
        <v>2142</v>
      </c>
      <c r="R259" s="38">
        <f t="shared" si="126"/>
        <v>2213.4</v>
      </c>
    </row>
    <row r="260" spans="1:18" s="14" customFormat="1" ht="15.75" customHeight="1">
      <c r="A260" s="45" t="s">
        <v>76</v>
      </c>
      <c r="B260" s="46">
        <v>1</v>
      </c>
      <c r="C260" s="47">
        <v>334</v>
      </c>
      <c r="D260" s="48">
        <v>71.4</v>
      </c>
      <c r="E260" s="38">
        <f t="shared" si="116"/>
        <v>23847.600000000002</v>
      </c>
      <c r="F260" s="44"/>
      <c r="G260" s="38">
        <f>B260*D260*31</f>
        <v>2213.4</v>
      </c>
      <c r="H260" s="49">
        <f>B260*D260*28</f>
        <v>1999.2000000000003</v>
      </c>
      <c r="I260" s="38">
        <f t="shared" si="128"/>
        <v>2213.4</v>
      </c>
      <c r="J260" s="38">
        <f t="shared" si="129"/>
        <v>2142</v>
      </c>
      <c r="K260" s="38">
        <f t="shared" si="130"/>
        <v>2213.4</v>
      </c>
      <c r="L260" s="38">
        <f t="shared" si="131"/>
        <v>2142</v>
      </c>
      <c r="M260" s="38">
        <f t="shared" si="132"/>
        <v>2213.4</v>
      </c>
      <c r="N260" s="38">
        <v>0</v>
      </c>
      <c r="O260" s="38">
        <f aca="true" t="shared" si="134" ref="O260:O265">B260*D260*30</f>
        <v>2142</v>
      </c>
      <c r="P260" s="38">
        <f t="shared" si="133"/>
        <v>2213.4</v>
      </c>
      <c r="Q260" s="38">
        <f t="shared" si="125"/>
        <v>2142</v>
      </c>
      <c r="R260" s="38">
        <f t="shared" si="126"/>
        <v>2213.4</v>
      </c>
    </row>
    <row r="261" spans="1:18" s="14" customFormat="1" ht="15.75" customHeight="1">
      <c r="A261" s="45" t="s">
        <v>58</v>
      </c>
      <c r="B261" s="46">
        <v>1</v>
      </c>
      <c r="C261" s="47">
        <v>365</v>
      </c>
      <c r="D261" s="48">
        <v>75.64</v>
      </c>
      <c r="E261" s="38">
        <f t="shared" si="116"/>
        <v>27608.6</v>
      </c>
      <c r="F261" s="44"/>
      <c r="G261" s="38">
        <f>B261*D261*31</f>
        <v>2344.84</v>
      </c>
      <c r="H261" s="49">
        <f t="shared" si="127"/>
        <v>2117.92</v>
      </c>
      <c r="I261" s="38">
        <f t="shared" si="128"/>
        <v>2344.84</v>
      </c>
      <c r="J261" s="38">
        <f t="shared" si="129"/>
        <v>2269.2</v>
      </c>
      <c r="K261" s="38">
        <f t="shared" si="130"/>
        <v>2344.84</v>
      </c>
      <c r="L261" s="38">
        <f t="shared" si="131"/>
        <v>2269.2</v>
      </c>
      <c r="M261" s="38">
        <f t="shared" si="132"/>
        <v>2344.84</v>
      </c>
      <c r="N261" s="38">
        <f>B261*D261*31</f>
        <v>2344.84</v>
      </c>
      <c r="O261" s="38">
        <f t="shared" si="134"/>
        <v>2269.2</v>
      </c>
      <c r="P261" s="38">
        <f t="shared" si="133"/>
        <v>2344.84</v>
      </c>
      <c r="Q261" s="38">
        <f t="shared" si="125"/>
        <v>2269.2</v>
      </c>
      <c r="R261" s="38">
        <f t="shared" si="126"/>
        <v>2344.84</v>
      </c>
    </row>
    <row r="262" spans="1:18" s="14" customFormat="1" ht="15.75" customHeight="1">
      <c r="A262" s="45" t="s">
        <v>73</v>
      </c>
      <c r="B262" s="46">
        <v>2</v>
      </c>
      <c r="C262" s="47">
        <v>365</v>
      </c>
      <c r="D262" s="48">
        <v>71.4</v>
      </c>
      <c r="E262" s="38">
        <f t="shared" si="116"/>
        <v>52122.00000000001</v>
      </c>
      <c r="F262" s="44"/>
      <c r="G262" s="38">
        <f>B262*D262*31</f>
        <v>4426.8</v>
      </c>
      <c r="H262" s="49">
        <f t="shared" si="127"/>
        <v>3998.4000000000005</v>
      </c>
      <c r="I262" s="38">
        <f t="shared" si="128"/>
        <v>4426.8</v>
      </c>
      <c r="J262" s="38">
        <f t="shared" si="129"/>
        <v>4284</v>
      </c>
      <c r="K262" s="38">
        <f t="shared" si="130"/>
        <v>4426.8</v>
      </c>
      <c r="L262" s="38">
        <f t="shared" si="131"/>
        <v>4284</v>
      </c>
      <c r="M262" s="38">
        <f t="shared" si="132"/>
        <v>4426.8</v>
      </c>
      <c r="N262" s="38">
        <f>B262*D262*31</f>
        <v>4426.8</v>
      </c>
      <c r="O262" s="38">
        <f t="shared" si="134"/>
        <v>4284</v>
      </c>
      <c r="P262" s="38">
        <f t="shared" si="133"/>
        <v>4426.8</v>
      </c>
      <c r="Q262" s="38">
        <f t="shared" si="125"/>
        <v>4284</v>
      </c>
      <c r="R262" s="38">
        <f t="shared" si="126"/>
        <v>4426.8</v>
      </c>
    </row>
    <row r="263" spans="1:18" s="14" customFormat="1" ht="15.75" customHeight="1">
      <c r="A263" s="45" t="s">
        <v>74</v>
      </c>
      <c r="B263" s="46">
        <v>3</v>
      </c>
      <c r="C263" s="47">
        <v>365</v>
      </c>
      <c r="D263" s="48">
        <v>72.54</v>
      </c>
      <c r="E263" s="38">
        <f t="shared" si="116"/>
        <v>79431.3</v>
      </c>
      <c r="F263" s="44"/>
      <c r="G263" s="38">
        <f>B263*D263*31</f>
        <v>6746.22</v>
      </c>
      <c r="H263" s="49">
        <f>B263*D263*28</f>
        <v>6093.360000000001</v>
      </c>
      <c r="I263" s="38">
        <f t="shared" si="128"/>
        <v>6746.22</v>
      </c>
      <c r="J263" s="38">
        <f t="shared" si="129"/>
        <v>6528.6</v>
      </c>
      <c r="K263" s="38">
        <f t="shared" si="130"/>
        <v>6746.22</v>
      </c>
      <c r="L263" s="38">
        <f t="shared" si="131"/>
        <v>6528.6</v>
      </c>
      <c r="M263" s="38">
        <f t="shared" si="132"/>
        <v>6746.22</v>
      </c>
      <c r="N263" s="38">
        <f>B263*D263*31</f>
        <v>6746.22</v>
      </c>
      <c r="O263" s="38">
        <f t="shared" si="134"/>
        <v>6528.6</v>
      </c>
      <c r="P263" s="38">
        <f t="shared" si="133"/>
        <v>6746.22</v>
      </c>
      <c r="Q263" s="38">
        <f t="shared" si="125"/>
        <v>6528.6</v>
      </c>
      <c r="R263" s="38">
        <f t="shared" si="126"/>
        <v>6746.22</v>
      </c>
    </row>
    <row r="264" spans="1:18" s="14" customFormat="1" ht="15.75" customHeight="1">
      <c r="A264" s="45" t="s">
        <v>7</v>
      </c>
      <c r="B264" s="46">
        <v>7</v>
      </c>
      <c r="C264" s="47">
        <v>365</v>
      </c>
      <c r="D264" s="48">
        <v>71.4</v>
      </c>
      <c r="E264" s="38">
        <f t="shared" si="116"/>
        <v>182427</v>
      </c>
      <c r="F264" s="44"/>
      <c r="G264" s="38">
        <f>B264*D264*31</f>
        <v>15493.800000000003</v>
      </c>
      <c r="H264" s="49">
        <f>B264*D264*28</f>
        <v>13994.400000000001</v>
      </c>
      <c r="I264" s="38">
        <f t="shared" si="128"/>
        <v>15493.800000000003</v>
      </c>
      <c r="J264" s="38">
        <f t="shared" si="129"/>
        <v>14994.000000000002</v>
      </c>
      <c r="K264" s="38">
        <f t="shared" si="130"/>
        <v>15493.800000000003</v>
      </c>
      <c r="L264" s="38">
        <f t="shared" si="131"/>
        <v>14994.000000000002</v>
      </c>
      <c r="M264" s="38">
        <f t="shared" si="132"/>
        <v>15493.800000000003</v>
      </c>
      <c r="N264" s="38">
        <f>B264*D264*31</f>
        <v>15493.800000000003</v>
      </c>
      <c r="O264" s="38">
        <f t="shared" si="134"/>
        <v>14994.000000000002</v>
      </c>
      <c r="P264" s="38">
        <f t="shared" si="133"/>
        <v>15493.800000000003</v>
      </c>
      <c r="Q264" s="38">
        <f t="shared" si="125"/>
        <v>14994.000000000002</v>
      </c>
      <c r="R264" s="38">
        <f t="shared" si="126"/>
        <v>15493.800000000003</v>
      </c>
    </row>
    <row r="265" spans="1:18" s="14" customFormat="1" ht="15.75" customHeight="1">
      <c r="A265" s="45" t="s">
        <v>77</v>
      </c>
      <c r="B265" s="46">
        <v>1</v>
      </c>
      <c r="C265" s="47">
        <v>184</v>
      </c>
      <c r="D265" s="48">
        <v>71.4</v>
      </c>
      <c r="E265" s="38">
        <f t="shared" si="116"/>
        <v>13137.6</v>
      </c>
      <c r="F265" s="44"/>
      <c r="G265" s="38">
        <v>0</v>
      </c>
      <c r="H265" s="38">
        <v>0</v>
      </c>
      <c r="I265" s="38">
        <v>0</v>
      </c>
      <c r="J265" s="38">
        <v>0</v>
      </c>
      <c r="K265" s="38">
        <v>0</v>
      </c>
      <c r="L265" s="38">
        <v>0</v>
      </c>
      <c r="M265" s="38">
        <f t="shared" si="132"/>
        <v>2213.4</v>
      </c>
      <c r="N265" s="38">
        <f>B265*D265*31</f>
        <v>2213.4</v>
      </c>
      <c r="O265" s="38">
        <f t="shared" si="134"/>
        <v>2142</v>
      </c>
      <c r="P265" s="38">
        <f t="shared" si="133"/>
        <v>2213.4</v>
      </c>
      <c r="Q265" s="38">
        <f t="shared" si="125"/>
        <v>2142</v>
      </c>
      <c r="R265" s="38">
        <f t="shared" si="126"/>
        <v>2213.4</v>
      </c>
    </row>
    <row r="266" spans="1:18" s="14" customFormat="1" ht="15.75" customHeight="1">
      <c r="A266" s="45" t="s">
        <v>8</v>
      </c>
      <c r="B266" s="46"/>
      <c r="C266" s="78"/>
      <c r="D266" s="48"/>
      <c r="E266" s="38">
        <v>2879.4</v>
      </c>
      <c r="F266" s="36"/>
      <c r="G266" s="38"/>
      <c r="H266" s="49"/>
      <c r="I266" s="38"/>
      <c r="J266" s="52"/>
      <c r="K266" s="38"/>
      <c r="L266" s="38"/>
      <c r="M266" s="52"/>
      <c r="N266" s="38"/>
      <c r="O266" s="38"/>
      <c r="P266" s="38"/>
      <c r="Q266" s="38">
        <v>2879.4</v>
      </c>
      <c r="R266" s="52"/>
    </row>
    <row r="267" spans="1:18" s="14" customFormat="1" ht="15.75" customHeight="1">
      <c r="A267" s="45"/>
      <c r="B267" s="46"/>
      <c r="C267" s="47"/>
      <c r="D267" s="48"/>
      <c r="E267" s="38"/>
      <c r="F267" s="36"/>
      <c r="G267" s="52"/>
      <c r="H267" s="49"/>
      <c r="I267" s="38"/>
      <c r="J267" s="52"/>
      <c r="K267" s="52"/>
      <c r="L267" s="38"/>
      <c r="M267" s="38"/>
      <c r="N267" s="38"/>
      <c r="O267" s="38"/>
      <c r="P267" s="38"/>
      <c r="Q267" s="38"/>
      <c r="R267" s="52"/>
    </row>
    <row r="268" spans="1:18" s="14" customFormat="1" ht="15.75" customHeight="1">
      <c r="A268" s="40" t="s">
        <v>41</v>
      </c>
      <c r="B268" s="46"/>
      <c r="C268" s="47"/>
      <c r="D268" s="48"/>
      <c r="E268" s="38"/>
      <c r="F268" s="36"/>
      <c r="G268" s="52"/>
      <c r="H268" s="49"/>
      <c r="I268" s="38"/>
      <c r="J268" s="52"/>
      <c r="K268" s="52"/>
      <c r="L268" s="38"/>
      <c r="M268" s="38"/>
      <c r="N268" s="38"/>
      <c r="O268" s="38"/>
      <c r="P268" s="38"/>
      <c r="Q268" s="38"/>
      <c r="R268" s="52"/>
    </row>
    <row r="269" spans="1:18" s="14" customFormat="1" ht="15.75" customHeight="1">
      <c r="A269" s="40" t="s">
        <v>124</v>
      </c>
      <c r="B269" s="54">
        <f>SUM(B270:B271)</f>
        <v>1</v>
      </c>
      <c r="C269" s="47"/>
      <c r="D269" s="48"/>
      <c r="E269" s="53">
        <f>SUM(E270:E271)</f>
        <v>26478.000000000004</v>
      </c>
      <c r="F269" s="44">
        <f>E269-(26478)</f>
        <v>0</v>
      </c>
      <c r="G269" s="58">
        <f aca="true" t="shared" si="135" ref="G269:R269">SUM(G270:G271)</f>
        <v>2248.7400000000002</v>
      </c>
      <c r="H269" s="58">
        <f t="shared" si="135"/>
        <v>2031.1200000000001</v>
      </c>
      <c r="I269" s="58">
        <f t="shared" si="135"/>
        <v>2248.7400000000002</v>
      </c>
      <c r="J269" s="58">
        <f t="shared" si="135"/>
        <v>2176.2000000000003</v>
      </c>
      <c r="K269" s="58">
        <f t="shared" si="135"/>
        <v>2249.6400000000003</v>
      </c>
      <c r="L269" s="58">
        <f t="shared" si="135"/>
        <v>2176.2000000000003</v>
      </c>
      <c r="M269" s="58">
        <f t="shared" si="135"/>
        <v>2248.7400000000002</v>
      </c>
      <c r="N269" s="58">
        <f t="shared" si="135"/>
        <v>2248.7400000000002</v>
      </c>
      <c r="O269" s="58">
        <f t="shared" si="135"/>
        <v>2176.2000000000003</v>
      </c>
      <c r="P269" s="58">
        <f t="shared" si="135"/>
        <v>2248.7400000000002</v>
      </c>
      <c r="Q269" s="58">
        <f t="shared" si="135"/>
        <v>2176.2000000000003</v>
      </c>
      <c r="R269" s="58">
        <f t="shared" si="135"/>
        <v>2248.7400000000002</v>
      </c>
    </row>
    <row r="270" spans="1:18" s="14" customFormat="1" ht="15.75" customHeight="1">
      <c r="A270" s="45" t="s">
        <v>74</v>
      </c>
      <c r="B270" s="46">
        <v>1</v>
      </c>
      <c r="C270" s="47">
        <v>365</v>
      </c>
      <c r="D270" s="48">
        <v>72.54</v>
      </c>
      <c r="E270" s="38">
        <f>+B270*C270*D270</f>
        <v>26477.100000000002</v>
      </c>
      <c r="F270" s="44"/>
      <c r="G270" s="38">
        <f>B270*D270*31</f>
        <v>2248.7400000000002</v>
      </c>
      <c r="H270" s="49">
        <f>B270*D270*28</f>
        <v>2031.1200000000001</v>
      </c>
      <c r="I270" s="38">
        <f>B270*D270*31</f>
        <v>2248.7400000000002</v>
      </c>
      <c r="J270" s="38">
        <f>B270*D270*30</f>
        <v>2176.2000000000003</v>
      </c>
      <c r="K270" s="38">
        <f>B270*D270*31</f>
        <v>2248.7400000000002</v>
      </c>
      <c r="L270" s="38">
        <f>B270*D270*30</f>
        <v>2176.2000000000003</v>
      </c>
      <c r="M270" s="38">
        <f>B270*D270*31</f>
        <v>2248.7400000000002</v>
      </c>
      <c r="N270" s="38">
        <f>B270*D270*31</f>
        <v>2248.7400000000002</v>
      </c>
      <c r="O270" s="38">
        <f>B270*D270*30</f>
        <v>2176.2000000000003</v>
      </c>
      <c r="P270" s="38">
        <f>B270*D270*31</f>
        <v>2248.7400000000002</v>
      </c>
      <c r="Q270" s="38">
        <f>B270*D270*30</f>
        <v>2176.2000000000003</v>
      </c>
      <c r="R270" s="38">
        <f>B270*D270*31</f>
        <v>2248.7400000000002</v>
      </c>
    </row>
    <row r="271" spans="1:18" s="14" customFormat="1" ht="15.75" customHeight="1">
      <c r="A271" s="62" t="s">
        <v>82</v>
      </c>
      <c r="B271" s="63"/>
      <c r="C271" s="64"/>
      <c r="D271" s="65"/>
      <c r="E271" s="68">
        <v>0.9</v>
      </c>
      <c r="F271" s="67"/>
      <c r="G271" s="68"/>
      <c r="H271" s="69"/>
      <c r="I271" s="68"/>
      <c r="J271" s="68"/>
      <c r="K271" s="68">
        <v>0.9</v>
      </c>
      <c r="L271" s="68"/>
      <c r="M271" s="68"/>
      <c r="N271" s="68"/>
      <c r="O271" s="68"/>
      <c r="P271" s="68"/>
      <c r="Q271" s="68"/>
      <c r="R271" s="68"/>
    </row>
    <row r="272" spans="1:18" s="14" customFormat="1" ht="15.75" customHeight="1">
      <c r="A272" s="103"/>
      <c r="B272" s="105"/>
      <c r="C272" s="106"/>
      <c r="D272" s="107"/>
      <c r="E272" s="110"/>
      <c r="F272" s="104"/>
      <c r="G272" s="110"/>
      <c r="H272" s="111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</row>
    <row r="273" spans="1:18" s="14" customFormat="1" ht="15.75" customHeight="1">
      <c r="A273" s="40" t="s">
        <v>34</v>
      </c>
      <c r="B273" s="79"/>
      <c r="C273" s="42"/>
      <c r="D273" s="43"/>
      <c r="E273" s="80"/>
      <c r="F273" s="36"/>
      <c r="G273" s="80"/>
      <c r="H273" s="80"/>
      <c r="I273" s="80"/>
      <c r="J273" s="80"/>
      <c r="K273" s="80"/>
      <c r="L273" s="80"/>
      <c r="M273" s="80"/>
      <c r="N273" s="80"/>
      <c r="O273" s="38"/>
      <c r="P273" s="38"/>
      <c r="Q273" s="38"/>
      <c r="R273" s="38"/>
    </row>
    <row r="274" spans="1:18" s="14" customFormat="1" ht="15.75" customHeight="1">
      <c r="A274" s="40" t="s">
        <v>35</v>
      </c>
      <c r="B274" s="79"/>
      <c r="C274" s="42"/>
      <c r="D274" s="43"/>
      <c r="E274" s="53"/>
      <c r="F274" s="114"/>
      <c r="G274" s="53"/>
      <c r="H274" s="80"/>
      <c r="I274" s="80"/>
      <c r="J274" s="80"/>
      <c r="K274" s="80"/>
      <c r="L274" s="80"/>
      <c r="M274" s="80"/>
      <c r="N274" s="80"/>
      <c r="O274" s="38"/>
      <c r="P274" s="38"/>
      <c r="Q274" s="38"/>
      <c r="R274" s="38"/>
    </row>
    <row r="275" spans="1:18" s="14" customFormat="1" ht="15.75" customHeight="1">
      <c r="A275" s="40" t="s">
        <v>125</v>
      </c>
      <c r="B275" s="54">
        <f>SUM(B276:B300)</f>
        <v>175</v>
      </c>
      <c r="C275" s="42"/>
      <c r="D275" s="43"/>
      <c r="E275" s="53">
        <f>SUM(E276:E300)</f>
        <v>4655994</v>
      </c>
      <c r="F275" s="44">
        <f>+E275-(4757994-102000)</f>
        <v>0</v>
      </c>
      <c r="G275" s="53">
        <f aca="true" t="shared" si="136" ref="G275:R275">SUM(G276:G300)</f>
        <v>392328.19999999995</v>
      </c>
      <c r="H275" s="53">
        <f t="shared" si="136"/>
        <v>348116.44000000006</v>
      </c>
      <c r="I275" s="53">
        <f t="shared" si="136"/>
        <v>393809.77999999997</v>
      </c>
      <c r="J275" s="53">
        <f t="shared" si="136"/>
        <v>382166.4</v>
      </c>
      <c r="K275" s="53">
        <f t="shared" si="136"/>
        <v>394458.17999999993</v>
      </c>
      <c r="L275" s="53">
        <f t="shared" si="136"/>
        <v>384308.4</v>
      </c>
      <c r="M275" s="53">
        <f t="shared" si="136"/>
        <v>394692.92999999993</v>
      </c>
      <c r="N275" s="53">
        <f t="shared" si="136"/>
        <v>397118.67999999993</v>
      </c>
      <c r="O275" s="53">
        <f t="shared" si="136"/>
        <v>382117.4</v>
      </c>
      <c r="P275" s="53">
        <f t="shared" si="136"/>
        <v>394849.42999999993</v>
      </c>
      <c r="Q275" s="53">
        <f t="shared" si="136"/>
        <v>394909.48000000004</v>
      </c>
      <c r="R275" s="53">
        <f t="shared" si="136"/>
        <v>397118.67999999993</v>
      </c>
    </row>
    <row r="276" spans="1:18" s="14" customFormat="1" ht="15.75" customHeight="1">
      <c r="A276" s="45" t="s">
        <v>59</v>
      </c>
      <c r="B276" s="46">
        <v>20</v>
      </c>
      <c r="C276" s="47">
        <v>365</v>
      </c>
      <c r="D276" s="48">
        <v>72.54</v>
      </c>
      <c r="E276" s="38">
        <f>+B276*C276*D276</f>
        <v>529542</v>
      </c>
      <c r="F276" s="36"/>
      <c r="G276" s="38">
        <f aca="true" t="shared" si="137" ref="G276:G299">B276*D276*31</f>
        <v>44974.8</v>
      </c>
      <c r="H276" s="49">
        <f aca="true" t="shared" si="138" ref="H276:H299">B276*D276*28</f>
        <v>40622.40000000001</v>
      </c>
      <c r="I276" s="38">
        <f aca="true" t="shared" si="139" ref="I276:I299">B276*D276*31</f>
        <v>44974.8</v>
      </c>
      <c r="J276" s="38">
        <f aca="true" t="shared" si="140" ref="J276:J299">B276*D276*30</f>
        <v>43524.00000000001</v>
      </c>
      <c r="K276" s="38">
        <f aca="true" t="shared" si="141" ref="K276:K299">B276*D276*31</f>
        <v>44974.8</v>
      </c>
      <c r="L276" s="38">
        <f aca="true" t="shared" si="142" ref="L276:L299">B276*D276*30</f>
        <v>43524.00000000001</v>
      </c>
      <c r="M276" s="38">
        <f aca="true" t="shared" si="143" ref="M276:M299">B276*D276*31</f>
        <v>44974.8</v>
      </c>
      <c r="N276" s="38">
        <f aca="true" t="shared" si="144" ref="N276:N299">B276*D276*31</f>
        <v>44974.8</v>
      </c>
      <c r="O276" s="38">
        <f aca="true" t="shared" si="145" ref="O276:O299">B276*D276*30</f>
        <v>43524.00000000001</v>
      </c>
      <c r="P276" s="38">
        <f aca="true" t="shared" si="146" ref="P276:P299">B276*D276*31</f>
        <v>44974.8</v>
      </c>
      <c r="Q276" s="38">
        <f aca="true" t="shared" si="147" ref="Q276:Q299">B276*D276*30</f>
        <v>43524.00000000001</v>
      </c>
      <c r="R276" s="38">
        <f aca="true" t="shared" si="148" ref="R276:R299">B276*D276*31</f>
        <v>44974.8</v>
      </c>
    </row>
    <row r="277" spans="1:18" s="14" customFormat="1" ht="15.75" customHeight="1">
      <c r="A277" s="45" t="s">
        <v>71</v>
      </c>
      <c r="B277" s="46">
        <v>19</v>
      </c>
      <c r="C277" s="47">
        <v>365</v>
      </c>
      <c r="D277" s="48">
        <v>73.59</v>
      </c>
      <c r="E277" s="38">
        <f aca="true" t="shared" si="149" ref="E277:E299">+B277*C277*D277</f>
        <v>510346.65</v>
      </c>
      <c r="F277" s="36"/>
      <c r="G277" s="38">
        <f t="shared" si="137"/>
        <v>43344.51</v>
      </c>
      <c r="H277" s="49">
        <f t="shared" si="138"/>
        <v>39149.880000000005</v>
      </c>
      <c r="I277" s="38">
        <f t="shared" si="139"/>
        <v>43344.51</v>
      </c>
      <c r="J277" s="38">
        <f t="shared" si="140"/>
        <v>41946.3</v>
      </c>
      <c r="K277" s="38">
        <f t="shared" si="141"/>
        <v>43344.51</v>
      </c>
      <c r="L277" s="38">
        <f t="shared" si="142"/>
        <v>41946.3</v>
      </c>
      <c r="M277" s="38">
        <f t="shared" si="143"/>
        <v>43344.51</v>
      </c>
      <c r="N277" s="38">
        <f t="shared" si="144"/>
        <v>43344.51</v>
      </c>
      <c r="O277" s="38">
        <f t="shared" si="145"/>
        <v>41946.3</v>
      </c>
      <c r="P277" s="38">
        <f t="shared" si="146"/>
        <v>43344.51</v>
      </c>
      <c r="Q277" s="38">
        <f t="shared" si="147"/>
        <v>41946.3</v>
      </c>
      <c r="R277" s="38">
        <f t="shared" si="148"/>
        <v>43344.51</v>
      </c>
    </row>
    <row r="278" spans="1:18" s="14" customFormat="1" ht="15.75" customHeight="1">
      <c r="A278" s="45" t="s">
        <v>72</v>
      </c>
      <c r="B278" s="46">
        <v>15</v>
      </c>
      <c r="C278" s="47">
        <v>365</v>
      </c>
      <c r="D278" s="48">
        <v>74.63</v>
      </c>
      <c r="E278" s="38">
        <f t="shared" si="149"/>
        <v>408599.25</v>
      </c>
      <c r="F278" s="36"/>
      <c r="G278" s="38">
        <f t="shared" si="137"/>
        <v>34702.95</v>
      </c>
      <c r="H278" s="49">
        <f t="shared" si="138"/>
        <v>31344.599999999995</v>
      </c>
      <c r="I278" s="38">
        <f t="shared" si="139"/>
        <v>34702.95</v>
      </c>
      <c r="J278" s="38">
        <f t="shared" si="140"/>
        <v>33583.49999999999</v>
      </c>
      <c r="K278" s="38">
        <f t="shared" si="141"/>
        <v>34702.95</v>
      </c>
      <c r="L278" s="38">
        <f t="shared" si="142"/>
        <v>33583.49999999999</v>
      </c>
      <c r="M278" s="38">
        <f t="shared" si="143"/>
        <v>34702.95</v>
      </c>
      <c r="N278" s="38">
        <f t="shared" si="144"/>
        <v>34702.95</v>
      </c>
      <c r="O278" s="38">
        <f t="shared" si="145"/>
        <v>33583.49999999999</v>
      </c>
      <c r="P278" s="38">
        <f t="shared" si="146"/>
        <v>34702.95</v>
      </c>
      <c r="Q278" s="38">
        <f t="shared" si="147"/>
        <v>33583.49999999999</v>
      </c>
      <c r="R278" s="38">
        <f t="shared" si="148"/>
        <v>34702.95</v>
      </c>
    </row>
    <row r="279" spans="1:18" s="14" customFormat="1" ht="15.75" customHeight="1">
      <c r="A279" s="45" t="s">
        <v>76</v>
      </c>
      <c r="B279" s="46">
        <v>5</v>
      </c>
      <c r="C279" s="47">
        <v>365</v>
      </c>
      <c r="D279" s="48">
        <v>71.4</v>
      </c>
      <c r="E279" s="38">
        <f t="shared" si="149"/>
        <v>130305.00000000001</v>
      </c>
      <c r="F279" s="36"/>
      <c r="G279" s="38">
        <f t="shared" si="137"/>
        <v>11067</v>
      </c>
      <c r="H279" s="49">
        <f t="shared" si="138"/>
        <v>9996</v>
      </c>
      <c r="I279" s="38">
        <f t="shared" si="139"/>
        <v>11067</v>
      </c>
      <c r="J279" s="38">
        <f t="shared" si="140"/>
        <v>10710</v>
      </c>
      <c r="K279" s="38">
        <f t="shared" si="141"/>
        <v>11067</v>
      </c>
      <c r="L279" s="38">
        <f t="shared" si="142"/>
        <v>10710</v>
      </c>
      <c r="M279" s="38">
        <f t="shared" si="143"/>
        <v>11067</v>
      </c>
      <c r="N279" s="38">
        <f t="shared" si="144"/>
        <v>11067</v>
      </c>
      <c r="O279" s="38">
        <f t="shared" si="145"/>
        <v>10710</v>
      </c>
      <c r="P279" s="38">
        <f t="shared" si="146"/>
        <v>11067</v>
      </c>
      <c r="Q279" s="38">
        <f t="shared" si="147"/>
        <v>10710</v>
      </c>
      <c r="R279" s="38">
        <f t="shared" si="148"/>
        <v>11067</v>
      </c>
    </row>
    <row r="280" spans="1:18" s="14" customFormat="1" ht="15.75" customHeight="1">
      <c r="A280" s="45" t="s">
        <v>61</v>
      </c>
      <c r="B280" s="46">
        <v>1</v>
      </c>
      <c r="C280" s="47">
        <v>365</v>
      </c>
      <c r="D280" s="48">
        <v>71.4</v>
      </c>
      <c r="E280" s="38">
        <f t="shared" si="149"/>
        <v>26061.000000000004</v>
      </c>
      <c r="F280" s="36"/>
      <c r="G280" s="38">
        <f t="shared" si="137"/>
        <v>2213.4</v>
      </c>
      <c r="H280" s="49">
        <f t="shared" si="138"/>
        <v>1999.2000000000003</v>
      </c>
      <c r="I280" s="38">
        <f t="shared" si="139"/>
        <v>2213.4</v>
      </c>
      <c r="J280" s="38">
        <f t="shared" si="140"/>
        <v>2142</v>
      </c>
      <c r="K280" s="38">
        <f t="shared" si="141"/>
        <v>2213.4</v>
      </c>
      <c r="L280" s="38">
        <f t="shared" si="142"/>
        <v>2142</v>
      </c>
      <c r="M280" s="38">
        <f t="shared" si="143"/>
        <v>2213.4</v>
      </c>
      <c r="N280" s="38">
        <f t="shared" si="144"/>
        <v>2213.4</v>
      </c>
      <c r="O280" s="38">
        <f t="shared" si="145"/>
        <v>2142</v>
      </c>
      <c r="P280" s="38">
        <f t="shared" si="146"/>
        <v>2213.4</v>
      </c>
      <c r="Q280" s="38">
        <f t="shared" si="147"/>
        <v>2142</v>
      </c>
      <c r="R280" s="38">
        <f t="shared" si="148"/>
        <v>2213.4</v>
      </c>
    </row>
    <row r="281" spans="1:18" s="14" customFormat="1" ht="15.75" customHeight="1">
      <c r="A281" s="45" t="s">
        <v>91</v>
      </c>
      <c r="B281" s="46">
        <v>1</v>
      </c>
      <c r="C281" s="47">
        <v>365</v>
      </c>
      <c r="D281" s="48">
        <v>71.4</v>
      </c>
      <c r="E281" s="38">
        <f t="shared" si="149"/>
        <v>26061.000000000004</v>
      </c>
      <c r="F281" s="36"/>
      <c r="G281" s="38">
        <f t="shared" si="137"/>
        <v>2213.4</v>
      </c>
      <c r="H281" s="49">
        <f t="shared" si="138"/>
        <v>1999.2000000000003</v>
      </c>
      <c r="I281" s="38">
        <f t="shared" si="139"/>
        <v>2213.4</v>
      </c>
      <c r="J281" s="38">
        <f t="shared" si="140"/>
        <v>2142</v>
      </c>
      <c r="K281" s="38">
        <f t="shared" si="141"/>
        <v>2213.4</v>
      </c>
      <c r="L281" s="38">
        <f t="shared" si="142"/>
        <v>2142</v>
      </c>
      <c r="M281" s="38">
        <f t="shared" si="143"/>
        <v>2213.4</v>
      </c>
      <c r="N281" s="38">
        <f t="shared" si="144"/>
        <v>2213.4</v>
      </c>
      <c r="O281" s="38">
        <f t="shared" si="145"/>
        <v>2142</v>
      </c>
      <c r="P281" s="38">
        <f t="shared" si="146"/>
        <v>2213.4</v>
      </c>
      <c r="Q281" s="38">
        <f t="shared" si="147"/>
        <v>2142</v>
      </c>
      <c r="R281" s="38">
        <f t="shared" si="148"/>
        <v>2213.4</v>
      </c>
    </row>
    <row r="282" spans="1:18" s="14" customFormat="1" ht="15.75" customHeight="1">
      <c r="A282" s="45" t="s">
        <v>94</v>
      </c>
      <c r="B282" s="46">
        <v>3</v>
      </c>
      <c r="C282" s="47">
        <v>365</v>
      </c>
      <c r="D282" s="48">
        <v>71.4</v>
      </c>
      <c r="E282" s="38">
        <f t="shared" si="149"/>
        <v>78183</v>
      </c>
      <c r="F282" s="36"/>
      <c r="G282" s="38">
        <f t="shared" si="137"/>
        <v>6640.200000000001</v>
      </c>
      <c r="H282" s="49">
        <f t="shared" si="138"/>
        <v>5997.6</v>
      </c>
      <c r="I282" s="38">
        <f t="shared" si="139"/>
        <v>6640.200000000001</v>
      </c>
      <c r="J282" s="38">
        <f t="shared" si="140"/>
        <v>6426.000000000001</v>
      </c>
      <c r="K282" s="38">
        <f t="shared" si="141"/>
        <v>6640.200000000001</v>
      </c>
      <c r="L282" s="38">
        <f t="shared" si="142"/>
        <v>6426.000000000001</v>
      </c>
      <c r="M282" s="38">
        <f t="shared" si="143"/>
        <v>6640.200000000001</v>
      </c>
      <c r="N282" s="38">
        <f t="shared" si="144"/>
        <v>6640.200000000001</v>
      </c>
      <c r="O282" s="38">
        <f t="shared" si="145"/>
        <v>6426.000000000001</v>
      </c>
      <c r="P282" s="38">
        <f t="shared" si="146"/>
        <v>6640.200000000001</v>
      </c>
      <c r="Q282" s="38">
        <f t="shared" si="147"/>
        <v>6426.000000000001</v>
      </c>
      <c r="R282" s="38">
        <f t="shared" si="148"/>
        <v>6640.200000000001</v>
      </c>
    </row>
    <row r="283" spans="1:18" s="14" customFormat="1" ht="15.75" customHeight="1">
      <c r="A283" s="45" t="s">
        <v>94</v>
      </c>
      <c r="B283" s="46">
        <v>1</v>
      </c>
      <c r="C283" s="47">
        <v>245</v>
      </c>
      <c r="D283" s="48">
        <v>71.4</v>
      </c>
      <c r="E283" s="38">
        <f>+B283*C283*D283</f>
        <v>17493</v>
      </c>
      <c r="F283" s="36"/>
      <c r="G283" s="38">
        <v>0</v>
      </c>
      <c r="H283" s="38">
        <v>0</v>
      </c>
      <c r="I283" s="38">
        <v>0</v>
      </c>
      <c r="J283" s="38">
        <v>0</v>
      </c>
      <c r="K283" s="38">
        <f>B283*D283*31</f>
        <v>2213.4</v>
      </c>
      <c r="L283" s="38">
        <f>B283*D283*30</f>
        <v>2142</v>
      </c>
      <c r="M283" s="38">
        <f>B283*D283*31</f>
        <v>2213.4</v>
      </c>
      <c r="N283" s="38">
        <f>B283*D283*31</f>
        <v>2213.4</v>
      </c>
      <c r="O283" s="38">
        <f>B283*D283*30</f>
        <v>2142</v>
      </c>
      <c r="P283" s="38">
        <f>B283*D283*31</f>
        <v>2213.4</v>
      </c>
      <c r="Q283" s="38">
        <f>B283*D283*30</f>
        <v>2142</v>
      </c>
      <c r="R283" s="38">
        <f>B283*D283*31</f>
        <v>2213.4</v>
      </c>
    </row>
    <row r="284" spans="1:18" s="14" customFormat="1" ht="15.75" customHeight="1">
      <c r="A284" s="45" t="s">
        <v>75</v>
      </c>
      <c r="B284" s="46">
        <v>4</v>
      </c>
      <c r="C284" s="47">
        <v>365</v>
      </c>
      <c r="D284" s="48">
        <v>73.59</v>
      </c>
      <c r="E284" s="38">
        <f t="shared" si="149"/>
        <v>107441.40000000001</v>
      </c>
      <c r="F284" s="36"/>
      <c r="G284" s="38">
        <f t="shared" si="137"/>
        <v>9125.16</v>
      </c>
      <c r="H284" s="49">
        <f t="shared" si="138"/>
        <v>8242.08</v>
      </c>
      <c r="I284" s="38">
        <f t="shared" si="139"/>
        <v>9125.16</v>
      </c>
      <c r="J284" s="38">
        <f t="shared" si="140"/>
        <v>8830.800000000001</v>
      </c>
      <c r="K284" s="38">
        <f t="shared" si="141"/>
        <v>9125.16</v>
      </c>
      <c r="L284" s="38">
        <f t="shared" si="142"/>
        <v>8830.800000000001</v>
      </c>
      <c r="M284" s="38">
        <f t="shared" si="143"/>
        <v>9125.16</v>
      </c>
      <c r="N284" s="38">
        <f t="shared" si="144"/>
        <v>9125.16</v>
      </c>
      <c r="O284" s="38">
        <f t="shared" si="145"/>
        <v>8830.800000000001</v>
      </c>
      <c r="P284" s="38">
        <f t="shared" si="146"/>
        <v>9125.16</v>
      </c>
      <c r="Q284" s="38">
        <f t="shared" si="147"/>
        <v>8830.800000000001</v>
      </c>
      <c r="R284" s="38">
        <f t="shared" si="148"/>
        <v>9125.16</v>
      </c>
    </row>
    <row r="285" spans="1:18" s="14" customFormat="1" ht="15.75" customHeight="1">
      <c r="A285" s="45" t="s">
        <v>63</v>
      </c>
      <c r="B285" s="46">
        <v>1</v>
      </c>
      <c r="C285" s="47">
        <v>365</v>
      </c>
      <c r="D285" s="48">
        <v>74.63</v>
      </c>
      <c r="E285" s="38">
        <f t="shared" si="149"/>
        <v>27239.949999999997</v>
      </c>
      <c r="F285" s="36"/>
      <c r="G285" s="38">
        <f t="shared" si="137"/>
        <v>2313.5299999999997</v>
      </c>
      <c r="H285" s="49">
        <f t="shared" si="138"/>
        <v>2089.64</v>
      </c>
      <c r="I285" s="38">
        <f t="shared" si="139"/>
        <v>2313.5299999999997</v>
      </c>
      <c r="J285" s="38">
        <f t="shared" si="140"/>
        <v>2238.8999999999996</v>
      </c>
      <c r="K285" s="38">
        <f t="shared" si="141"/>
        <v>2313.5299999999997</v>
      </c>
      <c r="L285" s="38">
        <f t="shared" si="142"/>
        <v>2238.8999999999996</v>
      </c>
      <c r="M285" s="38">
        <f t="shared" si="143"/>
        <v>2313.5299999999997</v>
      </c>
      <c r="N285" s="38">
        <f t="shared" si="144"/>
        <v>2313.5299999999997</v>
      </c>
      <c r="O285" s="38">
        <f t="shared" si="145"/>
        <v>2238.8999999999996</v>
      </c>
      <c r="P285" s="38">
        <f t="shared" si="146"/>
        <v>2313.5299999999997</v>
      </c>
      <c r="Q285" s="38">
        <f t="shared" si="147"/>
        <v>2238.8999999999996</v>
      </c>
      <c r="R285" s="38">
        <f t="shared" si="148"/>
        <v>2313.5299999999997</v>
      </c>
    </row>
    <row r="286" spans="1:18" s="14" customFormat="1" ht="15.75" customHeight="1">
      <c r="A286" s="45" t="s">
        <v>60</v>
      </c>
      <c r="B286" s="46">
        <v>2</v>
      </c>
      <c r="C286" s="47">
        <v>365</v>
      </c>
      <c r="D286" s="48">
        <v>76.59</v>
      </c>
      <c r="E286" s="38">
        <f>+B286*C286*D286</f>
        <v>55910.700000000004</v>
      </c>
      <c r="F286" s="36"/>
      <c r="G286" s="38">
        <f>B286*D286*31</f>
        <v>4748.58</v>
      </c>
      <c r="H286" s="49">
        <f>B286*D286*28</f>
        <v>4289.04</v>
      </c>
      <c r="I286" s="38">
        <f>B286*D286*31</f>
        <v>4748.58</v>
      </c>
      <c r="J286" s="38">
        <f>B286*D286*30</f>
        <v>4595.400000000001</v>
      </c>
      <c r="K286" s="38">
        <f>B286*D286*31</f>
        <v>4748.58</v>
      </c>
      <c r="L286" s="38">
        <f>B286*D286*30</f>
        <v>4595.400000000001</v>
      </c>
      <c r="M286" s="38">
        <f>B286*D286*31</f>
        <v>4748.58</v>
      </c>
      <c r="N286" s="38">
        <f>B286*D286*31</f>
        <v>4748.58</v>
      </c>
      <c r="O286" s="38">
        <f>B286*D286*30</f>
        <v>4595.400000000001</v>
      </c>
      <c r="P286" s="38">
        <f>B286*D286*31</f>
        <v>4748.58</v>
      </c>
      <c r="Q286" s="38">
        <f>B286*D286*30</f>
        <v>4595.400000000001</v>
      </c>
      <c r="R286" s="38">
        <f>B286*D286*31</f>
        <v>4748.58</v>
      </c>
    </row>
    <row r="287" spans="1:18" s="14" customFormat="1" ht="15.75" customHeight="1">
      <c r="A287" s="45" t="s">
        <v>90</v>
      </c>
      <c r="B287" s="46">
        <v>1</v>
      </c>
      <c r="C287" s="47">
        <v>365</v>
      </c>
      <c r="D287" s="48">
        <v>72.54</v>
      </c>
      <c r="E287" s="38">
        <f t="shared" si="149"/>
        <v>26477.100000000002</v>
      </c>
      <c r="F287" s="36"/>
      <c r="G287" s="38">
        <f t="shared" si="137"/>
        <v>2248.7400000000002</v>
      </c>
      <c r="H287" s="49">
        <f t="shared" si="138"/>
        <v>2031.1200000000001</v>
      </c>
      <c r="I287" s="38">
        <f t="shared" si="139"/>
        <v>2248.7400000000002</v>
      </c>
      <c r="J287" s="38">
        <f t="shared" si="140"/>
        <v>2176.2000000000003</v>
      </c>
      <c r="K287" s="38">
        <f t="shared" si="141"/>
        <v>2248.7400000000002</v>
      </c>
      <c r="L287" s="38">
        <f t="shared" si="142"/>
        <v>2176.2000000000003</v>
      </c>
      <c r="M287" s="38">
        <f t="shared" si="143"/>
        <v>2248.7400000000002</v>
      </c>
      <c r="N287" s="38">
        <f t="shared" si="144"/>
        <v>2248.7400000000002</v>
      </c>
      <c r="O287" s="38">
        <f t="shared" si="145"/>
        <v>2176.2000000000003</v>
      </c>
      <c r="P287" s="38">
        <f t="shared" si="146"/>
        <v>2248.7400000000002</v>
      </c>
      <c r="Q287" s="38">
        <f t="shared" si="147"/>
        <v>2176.2000000000003</v>
      </c>
      <c r="R287" s="38">
        <f t="shared" si="148"/>
        <v>2248.7400000000002</v>
      </c>
    </row>
    <row r="288" spans="1:18" s="14" customFormat="1" ht="15.75" customHeight="1">
      <c r="A288" s="45" t="s">
        <v>7</v>
      </c>
      <c r="B288" s="46">
        <v>1</v>
      </c>
      <c r="C288" s="47">
        <v>365</v>
      </c>
      <c r="D288" s="48">
        <v>71.4</v>
      </c>
      <c r="E288" s="38">
        <f t="shared" si="149"/>
        <v>26061.000000000004</v>
      </c>
      <c r="F288" s="36"/>
      <c r="G288" s="38">
        <f t="shared" si="137"/>
        <v>2213.4</v>
      </c>
      <c r="H288" s="49">
        <f t="shared" si="138"/>
        <v>1999.2000000000003</v>
      </c>
      <c r="I288" s="38">
        <f t="shared" si="139"/>
        <v>2213.4</v>
      </c>
      <c r="J288" s="38">
        <f t="shared" si="140"/>
        <v>2142</v>
      </c>
      <c r="K288" s="38">
        <f t="shared" si="141"/>
        <v>2213.4</v>
      </c>
      <c r="L288" s="38">
        <f t="shared" si="142"/>
        <v>2142</v>
      </c>
      <c r="M288" s="38">
        <f t="shared" si="143"/>
        <v>2213.4</v>
      </c>
      <c r="N288" s="38">
        <f t="shared" si="144"/>
        <v>2213.4</v>
      </c>
      <c r="O288" s="38">
        <f t="shared" si="145"/>
        <v>2142</v>
      </c>
      <c r="P288" s="38">
        <f t="shared" si="146"/>
        <v>2213.4</v>
      </c>
      <c r="Q288" s="38">
        <f t="shared" si="147"/>
        <v>2142</v>
      </c>
      <c r="R288" s="38">
        <f t="shared" si="148"/>
        <v>2213.4</v>
      </c>
    </row>
    <row r="289" spans="1:18" s="14" customFormat="1" ht="15.75" customHeight="1">
      <c r="A289" s="45" t="s">
        <v>7</v>
      </c>
      <c r="B289" s="46">
        <v>1</v>
      </c>
      <c r="C289" s="47">
        <v>337</v>
      </c>
      <c r="D289" s="48">
        <v>71.4</v>
      </c>
      <c r="E289" s="38">
        <f>+B289*C289*D289</f>
        <v>24061.800000000003</v>
      </c>
      <c r="F289" s="36"/>
      <c r="G289" s="38">
        <f>B289*D289*31</f>
        <v>2213.4</v>
      </c>
      <c r="H289" s="38">
        <v>0</v>
      </c>
      <c r="I289" s="38">
        <f>B289*D289*31</f>
        <v>2213.4</v>
      </c>
      <c r="J289" s="38">
        <f>B289*D289*30</f>
        <v>2142</v>
      </c>
      <c r="K289" s="38">
        <f>B289*D289*31</f>
        <v>2213.4</v>
      </c>
      <c r="L289" s="38">
        <f>B289*D289*30</f>
        <v>2142</v>
      </c>
      <c r="M289" s="38">
        <f>B289*D289*31</f>
        <v>2213.4</v>
      </c>
      <c r="N289" s="38">
        <f>B289*D289*31</f>
        <v>2213.4</v>
      </c>
      <c r="O289" s="38">
        <f>B289*D289*30</f>
        <v>2142</v>
      </c>
      <c r="P289" s="38">
        <f>B289*D289*31</f>
        <v>2213.4</v>
      </c>
      <c r="Q289" s="38">
        <f>B289*D289*30</f>
        <v>2142</v>
      </c>
      <c r="R289" s="38">
        <f>B289*D289*31</f>
        <v>2213.4</v>
      </c>
    </row>
    <row r="290" spans="1:18" s="14" customFormat="1" ht="15.75" customHeight="1">
      <c r="A290" s="45" t="s">
        <v>95</v>
      </c>
      <c r="B290" s="46">
        <v>1</v>
      </c>
      <c r="C290" s="47">
        <v>337</v>
      </c>
      <c r="D290" s="48">
        <v>80.86</v>
      </c>
      <c r="E290" s="38">
        <f t="shared" si="149"/>
        <v>27249.82</v>
      </c>
      <c r="F290" s="36"/>
      <c r="G290" s="38">
        <f>B290*D290*3</f>
        <v>242.57999999999998</v>
      </c>
      <c r="H290" s="49">
        <f t="shared" si="138"/>
        <v>2264.08</v>
      </c>
      <c r="I290" s="38">
        <f t="shared" si="139"/>
        <v>2506.66</v>
      </c>
      <c r="J290" s="38">
        <f t="shared" si="140"/>
        <v>2425.8</v>
      </c>
      <c r="K290" s="38">
        <f t="shared" si="141"/>
        <v>2506.66</v>
      </c>
      <c r="L290" s="38">
        <f t="shared" si="142"/>
        <v>2425.8</v>
      </c>
      <c r="M290" s="38">
        <f t="shared" si="143"/>
        <v>2506.66</v>
      </c>
      <c r="N290" s="38">
        <f t="shared" si="144"/>
        <v>2506.66</v>
      </c>
      <c r="O290" s="38">
        <f t="shared" si="145"/>
        <v>2425.8</v>
      </c>
      <c r="P290" s="38">
        <f t="shared" si="146"/>
        <v>2506.66</v>
      </c>
      <c r="Q290" s="38">
        <f t="shared" si="147"/>
        <v>2425.8</v>
      </c>
      <c r="R290" s="38">
        <f t="shared" si="148"/>
        <v>2506.66</v>
      </c>
    </row>
    <row r="291" spans="1:18" s="14" customFormat="1" ht="15.75" customHeight="1">
      <c r="A291" s="45" t="s">
        <v>66</v>
      </c>
      <c r="B291" s="46">
        <v>20</v>
      </c>
      <c r="C291" s="47">
        <v>365</v>
      </c>
      <c r="D291" s="48">
        <v>78.25</v>
      </c>
      <c r="E291" s="38">
        <f t="shared" si="149"/>
        <v>571225</v>
      </c>
      <c r="F291" s="36"/>
      <c r="G291" s="38">
        <f t="shared" si="137"/>
        <v>48515</v>
      </c>
      <c r="H291" s="49">
        <f t="shared" si="138"/>
        <v>43820</v>
      </c>
      <c r="I291" s="38">
        <f t="shared" si="139"/>
        <v>48515</v>
      </c>
      <c r="J291" s="38">
        <f t="shared" si="140"/>
        <v>46950</v>
      </c>
      <c r="K291" s="38">
        <f t="shared" si="141"/>
        <v>48515</v>
      </c>
      <c r="L291" s="38">
        <f t="shared" si="142"/>
        <v>46950</v>
      </c>
      <c r="M291" s="38">
        <f t="shared" si="143"/>
        <v>48515</v>
      </c>
      <c r="N291" s="38">
        <f t="shared" si="144"/>
        <v>48515</v>
      </c>
      <c r="O291" s="38">
        <f t="shared" si="145"/>
        <v>46950</v>
      </c>
      <c r="P291" s="38">
        <f t="shared" si="146"/>
        <v>48515</v>
      </c>
      <c r="Q291" s="38">
        <f t="shared" si="147"/>
        <v>46950</v>
      </c>
      <c r="R291" s="38">
        <f t="shared" si="148"/>
        <v>48515</v>
      </c>
    </row>
    <row r="292" spans="1:18" s="14" customFormat="1" ht="15.75" customHeight="1">
      <c r="A292" s="45" t="s">
        <v>66</v>
      </c>
      <c r="B292" s="46">
        <v>1</v>
      </c>
      <c r="C292" s="47">
        <v>337</v>
      </c>
      <c r="D292" s="48">
        <v>78.25</v>
      </c>
      <c r="E292" s="38">
        <f>+B292*C292*D292</f>
        <v>26370.25</v>
      </c>
      <c r="F292" s="36"/>
      <c r="G292" s="38">
        <f>B292*D292*31</f>
        <v>2425.75</v>
      </c>
      <c r="H292" s="38">
        <v>0</v>
      </c>
      <c r="I292" s="38">
        <f>B292*D292*31</f>
        <v>2425.75</v>
      </c>
      <c r="J292" s="38">
        <f>B292*D292*30</f>
        <v>2347.5</v>
      </c>
      <c r="K292" s="38">
        <f>B292*D292*31</f>
        <v>2425.75</v>
      </c>
      <c r="L292" s="38">
        <f>B292*D292*30</f>
        <v>2347.5</v>
      </c>
      <c r="M292" s="38">
        <f>B292*D292*31</f>
        <v>2425.75</v>
      </c>
      <c r="N292" s="38">
        <f>B292*D292*31</f>
        <v>2425.75</v>
      </c>
      <c r="O292" s="38">
        <f>B292*D292*30</f>
        <v>2347.5</v>
      </c>
      <c r="P292" s="38">
        <f>B292*D292*31</f>
        <v>2425.75</v>
      </c>
      <c r="Q292" s="38">
        <f>B292*D292*30</f>
        <v>2347.5</v>
      </c>
      <c r="R292" s="38">
        <f>B292*D292*31</f>
        <v>2425.75</v>
      </c>
    </row>
    <row r="293" spans="1:18" s="14" customFormat="1" ht="15.75" customHeight="1">
      <c r="A293" s="45" t="s">
        <v>66</v>
      </c>
      <c r="B293" s="46">
        <v>1</v>
      </c>
      <c r="C293" s="47">
        <v>320</v>
      </c>
      <c r="D293" s="48">
        <v>78.25</v>
      </c>
      <c r="E293" s="38">
        <f>+B293*C293*D293</f>
        <v>25040</v>
      </c>
      <c r="F293" s="36"/>
      <c r="G293" s="38">
        <f>B293*D293*31</f>
        <v>2425.75</v>
      </c>
      <c r="H293" s="38">
        <v>0</v>
      </c>
      <c r="I293" s="38">
        <f>B293*D293*17</f>
        <v>1330.25</v>
      </c>
      <c r="J293" s="38">
        <f>B293*D293*30</f>
        <v>2347.5</v>
      </c>
      <c r="K293" s="38">
        <f>B293*D293*28</f>
        <v>2191</v>
      </c>
      <c r="L293" s="38">
        <f>B293*D293*30</f>
        <v>2347.5</v>
      </c>
      <c r="M293" s="38">
        <f>B293*D293*31</f>
        <v>2425.75</v>
      </c>
      <c r="N293" s="38">
        <f>B293*D293*31</f>
        <v>2425.75</v>
      </c>
      <c r="O293" s="38">
        <f>B293*D293*30</f>
        <v>2347.5</v>
      </c>
      <c r="P293" s="38">
        <f>B293*D293*31</f>
        <v>2425.75</v>
      </c>
      <c r="Q293" s="38">
        <f>B293*D293*30</f>
        <v>2347.5</v>
      </c>
      <c r="R293" s="38">
        <f>B293*D293*31</f>
        <v>2425.75</v>
      </c>
    </row>
    <row r="294" spans="1:18" s="14" customFormat="1" ht="15.75" customHeight="1">
      <c r="A294" s="45" t="s">
        <v>66</v>
      </c>
      <c r="B294" s="46">
        <v>1</v>
      </c>
      <c r="C294" s="47">
        <v>214</v>
      </c>
      <c r="D294" s="48">
        <v>78.25</v>
      </c>
      <c r="E294" s="38">
        <f>+B294*C294*D294</f>
        <v>16745.5</v>
      </c>
      <c r="F294" s="36"/>
      <c r="G294" s="38">
        <f>B294*D294*27</f>
        <v>2112.75</v>
      </c>
      <c r="H294" s="38">
        <v>0</v>
      </c>
      <c r="I294" s="38">
        <f>B294*D294*31</f>
        <v>2425.75</v>
      </c>
      <c r="J294" s="38">
        <f>B294*D294*30</f>
        <v>2347.5</v>
      </c>
      <c r="K294" s="38">
        <v>0</v>
      </c>
      <c r="L294" s="38">
        <f>B294*D294*30</f>
        <v>2347.5</v>
      </c>
      <c r="M294" s="38">
        <v>0</v>
      </c>
      <c r="N294" s="38">
        <f>B294*D294*31</f>
        <v>2425.75</v>
      </c>
      <c r="O294" s="38">
        <f>B294*D294*2</f>
        <v>156.5</v>
      </c>
      <c r="P294" s="38">
        <f>B294*D294*2</f>
        <v>156.5</v>
      </c>
      <c r="Q294" s="38">
        <f>B294*D294*30</f>
        <v>2347.5</v>
      </c>
      <c r="R294" s="38">
        <f>B294*D294*31</f>
        <v>2425.75</v>
      </c>
    </row>
    <row r="295" spans="1:18" s="14" customFormat="1" ht="15.75" customHeight="1">
      <c r="A295" s="45" t="s">
        <v>96</v>
      </c>
      <c r="B295" s="46">
        <v>2</v>
      </c>
      <c r="C295" s="47">
        <v>365</v>
      </c>
      <c r="D295" s="48">
        <v>72.54</v>
      </c>
      <c r="E295" s="38">
        <f t="shared" si="149"/>
        <v>52954.200000000004</v>
      </c>
      <c r="F295" s="36"/>
      <c r="G295" s="38">
        <f t="shared" si="137"/>
        <v>4497.4800000000005</v>
      </c>
      <c r="H295" s="49">
        <f t="shared" si="138"/>
        <v>4062.2400000000002</v>
      </c>
      <c r="I295" s="38">
        <f t="shared" si="139"/>
        <v>4497.4800000000005</v>
      </c>
      <c r="J295" s="38">
        <f t="shared" si="140"/>
        <v>4352.400000000001</v>
      </c>
      <c r="K295" s="38">
        <f t="shared" si="141"/>
        <v>4497.4800000000005</v>
      </c>
      <c r="L295" s="38">
        <f t="shared" si="142"/>
        <v>4352.400000000001</v>
      </c>
      <c r="M295" s="38">
        <f t="shared" si="143"/>
        <v>4497.4800000000005</v>
      </c>
      <c r="N295" s="38">
        <f t="shared" si="144"/>
        <v>4497.4800000000005</v>
      </c>
      <c r="O295" s="38">
        <f t="shared" si="145"/>
        <v>4352.400000000001</v>
      </c>
      <c r="P295" s="38">
        <f t="shared" si="146"/>
        <v>4497.4800000000005</v>
      </c>
      <c r="Q295" s="38">
        <f t="shared" si="147"/>
        <v>4352.400000000001</v>
      </c>
      <c r="R295" s="38">
        <f t="shared" si="148"/>
        <v>4497.4800000000005</v>
      </c>
    </row>
    <row r="296" spans="1:18" s="14" customFormat="1" ht="15.75" customHeight="1">
      <c r="A296" s="45" t="s">
        <v>67</v>
      </c>
      <c r="B296" s="46">
        <v>44</v>
      </c>
      <c r="C296" s="47">
        <v>365</v>
      </c>
      <c r="D296" s="48">
        <v>71.4</v>
      </c>
      <c r="E296" s="38">
        <f t="shared" si="149"/>
        <v>1146684</v>
      </c>
      <c r="F296" s="36"/>
      <c r="G296" s="38">
        <f t="shared" si="137"/>
        <v>97389.6</v>
      </c>
      <c r="H296" s="49">
        <f t="shared" si="138"/>
        <v>87964.80000000002</v>
      </c>
      <c r="I296" s="38">
        <f t="shared" si="139"/>
        <v>97389.6</v>
      </c>
      <c r="J296" s="38">
        <f t="shared" si="140"/>
        <v>94248.00000000001</v>
      </c>
      <c r="K296" s="38">
        <f t="shared" si="141"/>
        <v>97389.6</v>
      </c>
      <c r="L296" s="38">
        <f t="shared" si="142"/>
        <v>94248.00000000001</v>
      </c>
      <c r="M296" s="38">
        <f t="shared" si="143"/>
        <v>97389.6</v>
      </c>
      <c r="N296" s="38">
        <f t="shared" si="144"/>
        <v>97389.6</v>
      </c>
      <c r="O296" s="38">
        <f t="shared" si="145"/>
        <v>94248.00000000001</v>
      </c>
      <c r="P296" s="38">
        <f t="shared" si="146"/>
        <v>97389.6</v>
      </c>
      <c r="Q296" s="38">
        <f t="shared" si="147"/>
        <v>94248.00000000001</v>
      </c>
      <c r="R296" s="38">
        <f t="shared" si="148"/>
        <v>97389.6</v>
      </c>
    </row>
    <row r="297" spans="1:18" s="14" customFormat="1" ht="15.75" customHeight="1">
      <c r="A297" s="45" t="s">
        <v>73</v>
      </c>
      <c r="B297" s="46">
        <v>27</v>
      </c>
      <c r="C297" s="47">
        <v>365</v>
      </c>
      <c r="D297" s="48">
        <v>71.4</v>
      </c>
      <c r="E297" s="38">
        <f t="shared" si="149"/>
        <v>703647</v>
      </c>
      <c r="F297" s="36"/>
      <c r="G297" s="38">
        <f t="shared" si="137"/>
        <v>59761.8</v>
      </c>
      <c r="H297" s="49">
        <f t="shared" si="138"/>
        <v>53978.40000000001</v>
      </c>
      <c r="I297" s="38">
        <f t="shared" si="139"/>
        <v>59761.8</v>
      </c>
      <c r="J297" s="38">
        <f t="shared" si="140"/>
        <v>57834.00000000001</v>
      </c>
      <c r="K297" s="38">
        <f t="shared" si="141"/>
        <v>59761.8</v>
      </c>
      <c r="L297" s="38">
        <f t="shared" si="142"/>
        <v>57834.00000000001</v>
      </c>
      <c r="M297" s="38">
        <f t="shared" si="143"/>
        <v>59761.8</v>
      </c>
      <c r="N297" s="38">
        <f t="shared" si="144"/>
        <v>59761.8</v>
      </c>
      <c r="O297" s="38">
        <f t="shared" si="145"/>
        <v>57834.00000000001</v>
      </c>
      <c r="P297" s="38">
        <f t="shared" si="146"/>
        <v>59761.8</v>
      </c>
      <c r="Q297" s="38">
        <f t="shared" si="147"/>
        <v>57834.00000000001</v>
      </c>
      <c r="R297" s="38">
        <f t="shared" si="148"/>
        <v>59761.8</v>
      </c>
    </row>
    <row r="298" spans="1:18" s="14" customFormat="1" ht="15.75" customHeight="1">
      <c r="A298" s="45" t="s">
        <v>68</v>
      </c>
      <c r="B298" s="46">
        <v>1</v>
      </c>
      <c r="C298" s="47">
        <v>365</v>
      </c>
      <c r="D298" s="48">
        <v>72.54</v>
      </c>
      <c r="E298" s="38">
        <f t="shared" si="149"/>
        <v>26477.100000000002</v>
      </c>
      <c r="F298" s="36"/>
      <c r="G298" s="38">
        <f t="shared" si="137"/>
        <v>2248.7400000000002</v>
      </c>
      <c r="H298" s="49">
        <f t="shared" si="138"/>
        <v>2031.1200000000001</v>
      </c>
      <c r="I298" s="38">
        <f t="shared" si="139"/>
        <v>2248.7400000000002</v>
      </c>
      <c r="J298" s="38">
        <f t="shared" si="140"/>
        <v>2176.2000000000003</v>
      </c>
      <c r="K298" s="38">
        <f t="shared" si="141"/>
        <v>2248.7400000000002</v>
      </c>
      <c r="L298" s="38">
        <f t="shared" si="142"/>
        <v>2176.2000000000003</v>
      </c>
      <c r="M298" s="38">
        <f t="shared" si="143"/>
        <v>2248.7400000000002</v>
      </c>
      <c r="N298" s="38">
        <f t="shared" si="144"/>
        <v>2248.7400000000002</v>
      </c>
      <c r="O298" s="38">
        <f t="shared" si="145"/>
        <v>2176.2000000000003</v>
      </c>
      <c r="P298" s="38">
        <f t="shared" si="146"/>
        <v>2248.7400000000002</v>
      </c>
      <c r="Q298" s="38">
        <f t="shared" si="147"/>
        <v>2176.2000000000003</v>
      </c>
      <c r="R298" s="38">
        <f t="shared" si="148"/>
        <v>2248.7400000000002</v>
      </c>
    </row>
    <row r="299" spans="1:18" s="14" customFormat="1" ht="15.75" customHeight="1">
      <c r="A299" s="45" t="s">
        <v>58</v>
      </c>
      <c r="B299" s="46">
        <v>2</v>
      </c>
      <c r="C299" s="47">
        <v>365</v>
      </c>
      <c r="D299" s="48">
        <v>75.64</v>
      </c>
      <c r="E299" s="38">
        <f t="shared" si="149"/>
        <v>55217.2</v>
      </c>
      <c r="F299" s="36"/>
      <c r="G299" s="38">
        <f t="shared" si="137"/>
        <v>4689.68</v>
      </c>
      <c r="H299" s="49">
        <f t="shared" si="138"/>
        <v>4235.84</v>
      </c>
      <c r="I299" s="38">
        <f t="shared" si="139"/>
        <v>4689.68</v>
      </c>
      <c r="J299" s="38">
        <f t="shared" si="140"/>
        <v>4538.4</v>
      </c>
      <c r="K299" s="38">
        <f t="shared" si="141"/>
        <v>4689.68</v>
      </c>
      <c r="L299" s="38">
        <f t="shared" si="142"/>
        <v>4538.4</v>
      </c>
      <c r="M299" s="38">
        <f t="shared" si="143"/>
        <v>4689.68</v>
      </c>
      <c r="N299" s="38">
        <f t="shared" si="144"/>
        <v>4689.68</v>
      </c>
      <c r="O299" s="38">
        <f t="shared" si="145"/>
        <v>4538.4</v>
      </c>
      <c r="P299" s="38">
        <f t="shared" si="146"/>
        <v>4689.68</v>
      </c>
      <c r="Q299" s="38">
        <f t="shared" si="147"/>
        <v>4538.4</v>
      </c>
      <c r="R299" s="38">
        <f t="shared" si="148"/>
        <v>4689.68</v>
      </c>
    </row>
    <row r="300" spans="1:18" s="14" customFormat="1" ht="15.75" customHeight="1">
      <c r="A300" s="45" t="s">
        <v>8</v>
      </c>
      <c r="B300" s="46"/>
      <c r="C300" s="47"/>
      <c r="D300" s="48"/>
      <c r="E300" s="38">
        <v>10601.08</v>
      </c>
      <c r="F300" s="61"/>
      <c r="G300" s="38"/>
      <c r="H300" s="39"/>
      <c r="I300" s="38"/>
      <c r="J300" s="52"/>
      <c r="K300" s="38"/>
      <c r="L300" s="52"/>
      <c r="M300" s="38"/>
      <c r="N300" s="38"/>
      <c r="O300" s="38"/>
      <c r="P300" s="38"/>
      <c r="Q300" s="38">
        <v>10601.08</v>
      </c>
      <c r="R300" s="52"/>
    </row>
    <row r="301" spans="1:18" s="14" customFormat="1" ht="15.75" customHeight="1">
      <c r="A301" s="45"/>
      <c r="B301" s="46"/>
      <c r="C301" s="47"/>
      <c r="D301" s="48"/>
      <c r="E301" s="38"/>
      <c r="F301" s="36"/>
      <c r="G301" s="38"/>
      <c r="H301" s="39"/>
      <c r="I301" s="38"/>
      <c r="J301" s="38"/>
      <c r="K301" s="38"/>
      <c r="L301" s="38"/>
      <c r="M301" s="38"/>
      <c r="N301" s="38"/>
      <c r="O301" s="38"/>
      <c r="P301" s="38"/>
      <c r="Q301" s="38"/>
      <c r="R301" s="38"/>
    </row>
    <row r="302" spans="1:18" s="14" customFormat="1" ht="15.75" customHeight="1">
      <c r="A302" s="71" t="s">
        <v>99</v>
      </c>
      <c r="B302" s="32">
        <f>+B306+B314+B324+B333+B341+B348+B355</f>
        <v>117</v>
      </c>
      <c r="C302" s="42"/>
      <c r="D302" s="43"/>
      <c r="E302" s="53">
        <f>+E306+E314+E324+E333+E341+E348+E355</f>
        <v>2916072</v>
      </c>
      <c r="F302" s="44"/>
      <c r="G302" s="53">
        <f aca="true" t="shared" si="150" ref="G302:R302">+G306+G314+G324+G333+G341+G348+G355</f>
        <v>242274.61000000004</v>
      </c>
      <c r="H302" s="53">
        <f t="shared" si="150"/>
        <v>218828.68000000005</v>
      </c>
      <c r="I302" s="53">
        <f t="shared" si="150"/>
        <v>241203.61000000004</v>
      </c>
      <c r="J302" s="53">
        <f t="shared" si="150"/>
        <v>234459.3</v>
      </c>
      <c r="K302" s="53">
        <f t="shared" si="150"/>
        <v>243631.21000000002</v>
      </c>
      <c r="L302" s="53">
        <f t="shared" si="150"/>
        <v>237049.08000000002</v>
      </c>
      <c r="M302" s="53">
        <f t="shared" si="150"/>
        <v>246801.54000000004</v>
      </c>
      <c r="N302" s="53">
        <f t="shared" si="150"/>
        <v>246801.54000000004</v>
      </c>
      <c r="O302" s="53">
        <f t="shared" si="150"/>
        <v>240125.40000000002</v>
      </c>
      <c r="P302" s="53">
        <f t="shared" si="150"/>
        <v>250157.34000000003</v>
      </c>
      <c r="Q302" s="53">
        <f t="shared" si="150"/>
        <v>254364.48</v>
      </c>
      <c r="R302" s="53">
        <f t="shared" si="150"/>
        <v>260375.20000000007</v>
      </c>
    </row>
    <row r="303" spans="1:18" s="14" customFormat="1" ht="15.75" customHeight="1">
      <c r="A303" s="37" t="s">
        <v>27</v>
      </c>
      <c r="B303" s="32"/>
      <c r="C303" s="42"/>
      <c r="D303" s="43"/>
      <c r="E303" s="53"/>
      <c r="F303" s="44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</row>
    <row r="304" spans="1:18" s="14" customFormat="1" ht="15.75" customHeight="1">
      <c r="A304" s="37" t="s">
        <v>103</v>
      </c>
      <c r="B304" s="32"/>
      <c r="C304" s="42"/>
      <c r="D304" s="43"/>
      <c r="E304" s="53"/>
      <c r="F304" s="44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</row>
    <row r="305" spans="1:18" s="14" customFormat="1" ht="15.75" customHeight="1">
      <c r="A305" s="81" t="s">
        <v>49</v>
      </c>
      <c r="B305" s="42"/>
      <c r="C305" s="42"/>
      <c r="D305" s="43"/>
      <c r="E305" s="53"/>
      <c r="F305" s="11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</row>
    <row r="306" spans="1:18" s="14" customFormat="1" ht="15.75" customHeight="1">
      <c r="A306" s="40" t="s">
        <v>126</v>
      </c>
      <c r="B306" s="42">
        <f>SUM(B307:B311)</f>
        <v>16</v>
      </c>
      <c r="C306" s="42"/>
      <c r="D306" s="43"/>
      <c r="E306" s="53">
        <f>SUM(E307:E311)</f>
        <v>383017.00000000006</v>
      </c>
      <c r="F306" s="44">
        <f>E306-(390915)</f>
        <v>-7897.999999999942</v>
      </c>
      <c r="G306" s="53">
        <f aca="true" t="shared" si="151" ref="G306:R306">SUM(G307:G311)</f>
        <v>30987.600000000002</v>
      </c>
      <c r="H306" s="53">
        <f t="shared" si="151"/>
        <v>27988.800000000003</v>
      </c>
      <c r="I306" s="53">
        <f t="shared" si="151"/>
        <v>30987.600000000002</v>
      </c>
      <c r="J306" s="53">
        <f t="shared" si="151"/>
        <v>29988</v>
      </c>
      <c r="K306" s="53">
        <f t="shared" si="151"/>
        <v>30987.600000000002</v>
      </c>
      <c r="L306" s="53">
        <f t="shared" si="151"/>
        <v>30435.78</v>
      </c>
      <c r="M306" s="53">
        <f t="shared" si="151"/>
        <v>33301.130000000005</v>
      </c>
      <c r="N306" s="53">
        <f t="shared" si="151"/>
        <v>33301.130000000005</v>
      </c>
      <c r="O306" s="53">
        <f t="shared" si="151"/>
        <v>32226.9</v>
      </c>
      <c r="P306" s="53">
        <f t="shared" si="151"/>
        <v>33301.130000000005</v>
      </c>
      <c r="Q306" s="53">
        <f t="shared" si="151"/>
        <v>33996.8</v>
      </c>
      <c r="R306" s="53">
        <f t="shared" si="151"/>
        <v>35514.530000000006</v>
      </c>
    </row>
    <row r="307" spans="1:18" s="14" customFormat="1" ht="15.75" customHeight="1">
      <c r="A307" s="45" t="s">
        <v>73</v>
      </c>
      <c r="B307" s="46">
        <v>13</v>
      </c>
      <c r="C307" s="47">
        <v>365</v>
      </c>
      <c r="D307" s="48">
        <v>71.4</v>
      </c>
      <c r="E307" s="38">
        <f>+B307*C307*D307</f>
        <v>338793</v>
      </c>
      <c r="F307" s="36"/>
      <c r="G307" s="38">
        <f>B307*D307*31</f>
        <v>28774.2</v>
      </c>
      <c r="H307" s="49">
        <f>B307*D307*28</f>
        <v>25989.600000000002</v>
      </c>
      <c r="I307" s="38">
        <f>B307*D307*31</f>
        <v>28774.2</v>
      </c>
      <c r="J307" s="38">
        <f>B307*D307*30</f>
        <v>27846</v>
      </c>
      <c r="K307" s="38">
        <f>B307*D307*31</f>
        <v>28774.2</v>
      </c>
      <c r="L307" s="38">
        <f>B307*D307*30</f>
        <v>27846</v>
      </c>
      <c r="M307" s="38">
        <f>B307*D307*31</f>
        <v>28774.2</v>
      </c>
      <c r="N307" s="38">
        <f>B307*D307*31</f>
        <v>28774.2</v>
      </c>
      <c r="O307" s="38">
        <f>B307*D307*30</f>
        <v>27846</v>
      </c>
      <c r="P307" s="38">
        <f>B307*D307*31</f>
        <v>28774.2</v>
      </c>
      <c r="Q307" s="38">
        <f>B307*D307*30</f>
        <v>27846</v>
      </c>
      <c r="R307" s="38">
        <f>B307*D307*31</f>
        <v>28774.2</v>
      </c>
    </row>
    <row r="308" spans="1:18" s="14" customFormat="1" ht="15.75" customHeight="1">
      <c r="A308" s="45" t="s">
        <v>94</v>
      </c>
      <c r="B308" s="46">
        <v>1</v>
      </c>
      <c r="C308" s="47">
        <v>365</v>
      </c>
      <c r="D308" s="48">
        <v>71.4</v>
      </c>
      <c r="E308" s="38">
        <f>+B308*C308*D308</f>
        <v>26061.000000000004</v>
      </c>
      <c r="F308" s="36"/>
      <c r="G308" s="38">
        <f>B308*D308*31</f>
        <v>2213.4</v>
      </c>
      <c r="H308" s="49">
        <f>B308*D308*28</f>
        <v>1999.2000000000003</v>
      </c>
      <c r="I308" s="38">
        <f>B308*D308*31</f>
        <v>2213.4</v>
      </c>
      <c r="J308" s="38">
        <f>B308*D308*30</f>
        <v>2142</v>
      </c>
      <c r="K308" s="38">
        <f>B308*D308*31</f>
        <v>2213.4</v>
      </c>
      <c r="L308" s="38">
        <f>B308*D308*30</f>
        <v>2142</v>
      </c>
      <c r="M308" s="38">
        <f>B308*D308*31</f>
        <v>2213.4</v>
      </c>
      <c r="N308" s="38">
        <f>B308*D308*31</f>
        <v>2213.4</v>
      </c>
      <c r="O308" s="38">
        <f>B308*D308*30</f>
        <v>2142</v>
      </c>
      <c r="P308" s="38">
        <f>B308*D308*31</f>
        <v>2213.4</v>
      </c>
      <c r="Q308" s="38">
        <f>B308*D308*30</f>
        <v>2142</v>
      </c>
      <c r="R308" s="38">
        <f>B308*D308*31</f>
        <v>2213.4</v>
      </c>
    </row>
    <row r="309" spans="1:18" s="14" customFormat="1" ht="15.75" customHeight="1">
      <c r="A309" s="45" t="s">
        <v>72</v>
      </c>
      <c r="B309" s="46">
        <v>1</v>
      </c>
      <c r="C309" s="47">
        <v>190</v>
      </c>
      <c r="D309" s="48">
        <v>74.63</v>
      </c>
      <c r="E309" s="38">
        <f>+B309*C309*D309</f>
        <v>14179.699999999999</v>
      </c>
      <c r="F309" s="36"/>
      <c r="G309" s="38">
        <v>0</v>
      </c>
      <c r="H309" s="38">
        <v>0</v>
      </c>
      <c r="I309" s="38">
        <v>0</v>
      </c>
      <c r="J309" s="38">
        <v>0</v>
      </c>
      <c r="K309" s="38">
        <v>0</v>
      </c>
      <c r="L309" s="38">
        <f>B309*D309*6</f>
        <v>447.78</v>
      </c>
      <c r="M309" s="38">
        <f>B309*D309*31</f>
        <v>2313.5299999999997</v>
      </c>
      <c r="N309" s="38">
        <f>B309*D309*31</f>
        <v>2313.5299999999997</v>
      </c>
      <c r="O309" s="38">
        <f>B309*D309*30</f>
        <v>2238.8999999999996</v>
      </c>
      <c r="P309" s="38">
        <f>B309*D309*31</f>
        <v>2313.5299999999997</v>
      </c>
      <c r="Q309" s="38">
        <f>B309*D309*30</f>
        <v>2238.8999999999996</v>
      </c>
      <c r="R309" s="38">
        <f>B309*D309*31</f>
        <v>2313.5299999999997</v>
      </c>
    </row>
    <row r="310" spans="1:18" s="14" customFormat="1" ht="15.75" customHeight="1">
      <c r="A310" s="45" t="s">
        <v>73</v>
      </c>
      <c r="B310" s="46">
        <v>1</v>
      </c>
      <c r="C310" s="47">
        <v>46</v>
      </c>
      <c r="D310" s="48">
        <v>71.4</v>
      </c>
      <c r="E310" s="38">
        <f>+B310*C310*D310</f>
        <v>3284.4</v>
      </c>
      <c r="F310" s="36"/>
      <c r="G310" s="38">
        <v>0</v>
      </c>
      <c r="H310" s="38">
        <v>0</v>
      </c>
      <c r="I310" s="38">
        <v>0</v>
      </c>
      <c r="J310" s="38">
        <v>0</v>
      </c>
      <c r="K310" s="38">
        <v>0</v>
      </c>
      <c r="L310" s="38">
        <v>0</v>
      </c>
      <c r="M310" s="38">
        <v>0</v>
      </c>
      <c r="N310" s="38">
        <v>0</v>
      </c>
      <c r="O310" s="38">
        <v>0</v>
      </c>
      <c r="P310" s="38">
        <v>0</v>
      </c>
      <c r="Q310" s="38">
        <f>B310*D310*15</f>
        <v>1071</v>
      </c>
      <c r="R310" s="38">
        <f>B310*D310*31</f>
        <v>2213.4</v>
      </c>
    </row>
    <row r="311" spans="1:18" s="14" customFormat="1" ht="15.75" customHeight="1">
      <c r="A311" s="62" t="s">
        <v>8</v>
      </c>
      <c r="B311" s="63"/>
      <c r="C311" s="64"/>
      <c r="D311" s="65"/>
      <c r="E311" s="68">
        <v>698.9</v>
      </c>
      <c r="F311" s="102"/>
      <c r="G311" s="68"/>
      <c r="H311" s="69"/>
      <c r="I311" s="68"/>
      <c r="J311" s="68"/>
      <c r="K311" s="68"/>
      <c r="L311" s="68"/>
      <c r="M311" s="68"/>
      <c r="N311" s="68"/>
      <c r="O311" s="68"/>
      <c r="P311" s="68"/>
      <c r="Q311" s="68">
        <v>698.9</v>
      </c>
      <c r="R311" s="68"/>
    </row>
    <row r="312" spans="1:18" s="14" customFormat="1" ht="14.25" customHeight="1">
      <c r="A312" s="103"/>
      <c r="B312" s="105"/>
      <c r="C312" s="106"/>
      <c r="D312" s="107"/>
      <c r="E312" s="110"/>
      <c r="F312" s="104"/>
      <c r="G312" s="108"/>
      <c r="H312" s="111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</row>
    <row r="313" spans="1:18" s="14" customFormat="1" ht="15.75" customHeight="1">
      <c r="A313" s="40" t="s">
        <v>50</v>
      </c>
      <c r="B313" s="46"/>
      <c r="C313" s="47"/>
      <c r="D313" s="48"/>
      <c r="E313" s="38"/>
      <c r="F313" s="114"/>
      <c r="G313" s="52"/>
      <c r="H313" s="39"/>
      <c r="I313" s="38"/>
      <c r="J313" s="52"/>
      <c r="K313" s="38"/>
      <c r="L313" s="38"/>
      <c r="M313" s="38"/>
      <c r="N313" s="38"/>
      <c r="O313" s="38"/>
      <c r="P313" s="38"/>
      <c r="Q313" s="38"/>
      <c r="R313" s="52"/>
    </row>
    <row r="314" spans="1:18" s="14" customFormat="1" ht="15.75" customHeight="1">
      <c r="A314" s="40" t="s">
        <v>126</v>
      </c>
      <c r="B314" s="54">
        <f>SUM(B315:B321)</f>
        <v>16</v>
      </c>
      <c r="C314" s="47"/>
      <c r="D314" s="48"/>
      <c r="E314" s="53">
        <f>SUM(E315:E321)</f>
        <v>374555</v>
      </c>
      <c r="F314" s="44">
        <f>E314-(372355+12200)</f>
        <v>-10000</v>
      </c>
      <c r="G314" s="58">
        <f aca="true" t="shared" si="152" ref="G314:R314">SUM(G315:G321)</f>
        <v>31624.65</v>
      </c>
      <c r="H314" s="58">
        <f t="shared" si="152"/>
        <v>28564.200000000004</v>
      </c>
      <c r="I314" s="58">
        <f t="shared" si="152"/>
        <v>29411.25</v>
      </c>
      <c r="J314" s="58">
        <f t="shared" si="152"/>
        <v>28462.5</v>
      </c>
      <c r="K314" s="58">
        <f t="shared" si="152"/>
        <v>30767.85</v>
      </c>
      <c r="L314" s="58">
        <f t="shared" si="152"/>
        <v>30604.5</v>
      </c>
      <c r="M314" s="58">
        <f t="shared" si="152"/>
        <v>31624.65</v>
      </c>
      <c r="N314" s="58">
        <f t="shared" si="152"/>
        <v>31624.65</v>
      </c>
      <c r="O314" s="58">
        <f t="shared" si="152"/>
        <v>30604.5</v>
      </c>
      <c r="P314" s="58">
        <f t="shared" si="152"/>
        <v>31624.65</v>
      </c>
      <c r="Q314" s="58">
        <f t="shared" si="152"/>
        <v>33590.14</v>
      </c>
      <c r="R314" s="58">
        <f t="shared" si="152"/>
        <v>36051.450000000004</v>
      </c>
    </row>
    <row r="315" spans="1:18" s="14" customFormat="1" ht="15.75" customHeight="1">
      <c r="A315" s="45" t="s">
        <v>7</v>
      </c>
      <c r="B315" s="46">
        <v>1</v>
      </c>
      <c r="C315" s="47">
        <v>365</v>
      </c>
      <c r="D315" s="48">
        <v>71.4</v>
      </c>
      <c r="E315" s="38">
        <f aca="true" t="shared" si="153" ref="E315:E320">+B315*C315*D315</f>
        <v>26061.000000000004</v>
      </c>
      <c r="F315" s="36"/>
      <c r="G315" s="38">
        <f>B315*D315*31</f>
        <v>2213.4</v>
      </c>
      <c r="H315" s="49">
        <f>B315*D315*28</f>
        <v>1999.2000000000003</v>
      </c>
      <c r="I315" s="38">
        <f>B315*D315*31</f>
        <v>2213.4</v>
      </c>
      <c r="J315" s="38">
        <f>B315*D315*30</f>
        <v>2142</v>
      </c>
      <c r="K315" s="38">
        <f>B315*D315*31</f>
        <v>2213.4</v>
      </c>
      <c r="L315" s="38">
        <f>B315*D315*30</f>
        <v>2142</v>
      </c>
      <c r="M315" s="38">
        <f>B315*D315*31</f>
        <v>2213.4</v>
      </c>
      <c r="N315" s="38">
        <f>B315*D315*31</f>
        <v>2213.4</v>
      </c>
      <c r="O315" s="38">
        <f>B315*D315*30</f>
        <v>2142</v>
      </c>
      <c r="P315" s="38">
        <f>B315*D315*31</f>
        <v>2213.4</v>
      </c>
      <c r="Q315" s="38">
        <f>B315*D315*30</f>
        <v>2142</v>
      </c>
      <c r="R315" s="38">
        <f aca="true" t="shared" si="154" ref="R315:R320">B315*D315*31</f>
        <v>2213.4</v>
      </c>
    </row>
    <row r="316" spans="1:18" s="14" customFormat="1" ht="15.75" customHeight="1">
      <c r="A316" s="45" t="s">
        <v>66</v>
      </c>
      <c r="B316" s="46">
        <v>3</v>
      </c>
      <c r="C316" s="47">
        <v>365</v>
      </c>
      <c r="D316" s="48">
        <v>78.25</v>
      </c>
      <c r="E316" s="38">
        <f t="shared" si="153"/>
        <v>85683.75</v>
      </c>
      <c r="F316" s="36"/>
      <c r="G316" s="38">
        <f>B316*D316*31</f>
        <v>7277.25</v>
      </c>
      <c r="H316" s="49">
        <f>B316*D316*28</f>
        <v>6573</v>
      </c>
      <c r="I316" s="38">
        <f>B316*D316*31</f>
        <v>7277.25</v>
      </c>
      <c r="J316" s="38">
        <f>B316*D316*30</f>
        <v>7042.5</v>
      </c>
      <c r="K316" s="38">
        <f>B316*D316*31</f>
        <v>7277.25</v>
      </c>
      <c r="L316" s="38">
        <f>B316*D316*30</f>
        <v>7042.5</v>
      </c>
      <c r="M316" s="38">
        <f>B316*D316*31</f>
        <v>7277.25</v>
      </c>
      <c r="N316" s="38">
        <f>B316*D316*31</f>
        <v>7277.25</v>
      </c>
      <c r="O316" s="38">
        <f>B316*D316*30</f>
        <v>7042.5</v>
      </c>
      <c r="P316" s="38">
        <f>B316*D316*31</f>
        <v>7277.25</v>
      </c>
      <c r="Q316" s="38">
        <f>B316*D316*30</f>
        <v>7042.5</v>
      </c>
      <c r="R316" s="38">
        <f t="shared" si="154"/>
        <v>7277.25</v>
      </c>
    </row>
    <row r="317" spans="1:18" s="14" customFormat="1" ht="15.75" customHeight="1">
      <c r="A317" s="45" t="s">
        <v>73</v>
      </c>
      <c r="B317" s="46">
        <v>5</v>
      </c>
      <c r="C317" s="47">
        <v>365</v>
      </c>
      <c r="D317" s="48">
        <v>71.4</v>
      </c>
      <c r="E317" s="38">
        <f t="shared" si="153"/>
        <v>130305.00000000001</v>
      </c>
      <c r="F317" s="36"/>
      <c r="G317" s="38">
        <f>B317*D317*31</f>
        <v>11067</v>
      </c>
      <c r="H317" s="49">
        <f>B317*D317*28</f>
        <v>9996</v>
      </c>
      <c r="I317" s="38">
        <f>B317*D317*31</f>
        <v>11067</v>
      </c>
      <c r="J317" s="38">
        <f>B317*D317*30</f>
        <v>10710</v>
      </c>
      <c r="K317" s="38">
        <f>B317*D317*31</f>
        <v>11067</v>
      </c>
      <c r="L317" s="38">
        <f>B317*D317*30</f>
        <v>10710</v>
      </c>
      <c r="M317" s="38">
        <f>B317*D317*31</f>
        <v>11067</v>
      </c>
      <c r="N317" s="38">
        <f>B317*D317*31</f>
        <v>11067</v>
      </c>
      <c r="O317" s="38">
        <f>B317*D317*30</f>
        <v>10710</v>
      </c>
      <c r="P317" s="38">
        <f>B317*D317*31</f>
        <v>11067</v>
      </c>
      <c r="Q317" s="38">
        <f>B317*D317*30</f>
        <v>10710</v>
      </c>
      <c r="R317" s="38">
        <f t="shared" si="154"/>
        <v>11067</v>
      </c>
    </row>
    <row r="318" spans="1:18" s="14" customFormat="1" ht="15.75" customHeight="1">
      <c r="A318" s="45" t="s">
        <v>73</v>
      </c>
      <c r="B318" s="46">
        <v>1</v>
      </c>
      <c r="C318" s="47">
        <v>292</v>
      </c>
      <c r="D318" s="48">
        <v>71.4</v>
      </c>
      <c r="E318" s="38">
        <f t="shared" si="153"/>
        <v>20848.800000000003</v>
      </c>
      <c r="F318" s="36"/>
      <c r="G318" s="38">
        <f>B318*D318*31</f>
        <v>2213.4</v>
      </c>
      <c r="H318" s="49">
        <f>B318*D318*28</f>
        <v>1999.2000000000003</v>
      </c>
      <c r="I318" s="38">
        <v>0</v>
      </c>
      <c r="J318" s="38">
        <v>0</v>
      </c>
      <c r="K318" s="38">
        <f>B318*D318*19</f>
        <v>1356.6000000000001</v>
      </c>
      <c r="L318" s="38">
        <f>B318*D318*30</f>
        <v>2142</v>
      </c>
      <c r="M318" s="38">
        <f>B318*D318*31</f>
        <v>2213.4</v>
      </c>
      <c r="N318" s="38">
        <f>B318*D318*31</f>
        <v>2213.4</v>
      </c>
      <c r="O318" s="38">
        <f>B318*D318*30</f>
        <v>2142</v>
      </c>
      <c r="P318" s="38">
        <f>B318*D318*31</f>
        <v>2213.4</v>
      </c>
      <c r="Q318" s="38">
        <f>B318*D318*30</f>
        <v>2142</v>
      </c>
      <c r="R318" s="38">
        <f t="shared" si="154"/>
        <v>2213.4</v>
      </c>
    </row>
    <row r="319" spans="1:18" s="14" customFormat="1" ht="15.75" customHeight="1">
      <c r="A319" s="45" t="s">
        <v>10</v>
      </c>
      <c r="B319" s="46">
        <v>4</v>
      </c>
      <c r="C319" s="47">
        <v>365</v>
      </c>
      <c r="D319" s="48">
        <v>71.4</v>
      </c>
      <c r="E319" s="38">
        <f t="shared" si="153"/>
        <v>104244.00000000001</v>
      </c>
      <c r="F319" s="36"/>
      <c r="G319" s="38">
        <f>B319*D319*31</f>
        <v>8853.6</v>
      </c>
      <c r="H319" s="49">
        <f>B319*D319*28</f>
        <v>7996.800000000001</v>
      </c>
      <c r="I319" s="38">
        <f>B319*D319*31</f>
        <v>8853.6</v>
      </c>
      <c r="J319" s="38">
        <f>B319*D319*30</f>
        <v>8568</v>
      </c>
      <c r="K319" s="38">
        <f>B319*D319*31</f>
        <v>8853.6</v>
      </c>
      <c r="L319" s="38">
        <f>B319*D319*30</f>
        <v>8568</v>
      </c>
      <c r="M319" s="38">
        <f>B319*D319*31</f>
        <v>8853.6</v>
      </c>
      <c r="N319" s="38">
        <f>B319*D319*31</f>
        <v>8853.6</v>
      </c>
      <c r="O319" s="38">
        <f>B319*D319*30</f>
        <v>8568</v>
      </c>
      <c r="P319" s="38">
        <f>B319*D319*31</f>
        <v>8853.6</v>
      </c>
      <c r="Q319" s="38">
        <f>B319*D319*30</f>
        <v>8568</v>
      </c>
      <c r="R319" s="38">
        <f t="shared" si="154"/>
        <v>8853.6</v>
      </c>
    </row>
    <row r="320" spans="1:18" s="14" customFormat="1" ht="15.75" customHeight="1">
      <c r="A320" s="45" t="s">
        <v>10</v>
      </c>
      <c r="B320" s="46">
        <v>2</v>
      </c>
      <c r="C320" s="47">
        <v>46</v>
      </c>
      <c r="D320" s="48">
        <v>71.4</v>
      </c>
      <c r="E320" s="38">
        <f t="shared" si="153"/>
        <v>6568.8</v>
      </c>
      <c r="F320" s="36"/>
      <c r="G320" s="38">
        <v>0</v>
      </c>
      <c r="H320" s="49">
        <v>0</v>
      </c>
      <c r="I320" s="38">
        <v>0</v>
      </c>
      <c r="J320" s="38">
        <v>0</v>
      </c>
      <c r="K320" s="38">
        <v>0</v>
      </c>
      <c r="L320" s="38">
        <v>0</v>
      </c>
      <c r="M320" s="38">
        <v>0</v>
      </c>
      <c r="N320" s="38">
        <v>0</v>
      </c>
      <c r="O320" s="38">
        <v>0</v>
      </c>
      <c r="P320" s="38">
        <v>0</v>
      </c>
      <c r="Q320" s="38">
        <f>B320*D320*15</f>
        <v>2142</v>
      </c>
      <c r="R320" s="38">
        <f t="shared" si="154"/>
        <v>4426.8</v>
      </c>
    </row>
    <row r="321" spans="1:18" s="14" customFormat="1" ht="15.75" customHeight="1">
      <c r="A321" s="45" t="s">
        <v>8</v>
      </c>
      <c r="B321" s="46"/>
      <c r="C321" s="47"/>
      <c r="D321" s="48"/>
      <c r="E321" s="38">
        <v>843.65</v>
      </c>
      <c r="F321" s="36"/>
      <c r="G321" s="38"/>
      <c r="H321" s="49"/>
      <c r="I321" s="38"/>
      <c r="J321" s="38"/>
      <c r="K321" s="38"/>
      <c r="L321" s="38"/>
      <c r="M321" s="38"/>
      <c r="N321" s="38"/>
      <c r="O321" s="38"/>
      <c r="P321" s="38"/>
      <c r="Q321" s="38">
        <v>843.64</v>
      </c>
      <c r="R321" s="38"/>
    </row>
    <row r="322" spans="1:18" s="14" customFormat="1" ht="11.25" customHeight="1">
      <c r="A322" s="45"/>
      <c r="B322" s="46"/>
      <c r="C322" s="47"/>
      <c r="D322" s="48"/>
      <c r="E322" s="38"/>
      <c r="F322" s="36"/>
      <c r="G322" s="52"/>
      <c r="H322" s="49"/>
      <c r="I322" s="38"/>
      <c r="J322" s="38"/>
      <c r="K322" s="38"/>
      <c r="L322" s="38"/>
      <c r="M322" s="38"/>
      <c r="N322" s="38"/>
      <c r="O322" s="38"/>
      <c r="P322" s="38"/>
      <c r="Q322" s="38"/>
      <c r="R322" s="38"/>
    </row>
    <row r="323" spans="1:18" s="14" customFormat="1" ht="15.75" customHeight="1">
      <c r="A323" s="40" t="s">
        <v>51</v>
      </c>
      <c r="B323" s="46"/>
      <c r="C323" s="47"/>
      <c r="D323" s="48"/>
      <c r="E323" s="38"/>
      <c r="F323" s="114"/>
      <c r="G323" s="52"/>
      <c r="H323" s="39"/>
      <c r="I323" s="38"/>
      <c r="J323" s="52"/>
      <c r="K323" s="38"/>
      <c r="L323" s="38"/>
      <c r="M323" s="38"/>
      <c r="N323" s="38"/>
      <c r="O323" s="38"/>
      <c r="P323" s="38"/>
      <c r="Q323" s="38"/>
      <c r="R323" s="52"/>
    </row>
    <row r="324" spans="1:18" s="14" customFormat="1" ht="15.75" customHeight="1">
      <c r="A324" s="40" t="s">
        <v>127</v>
      </c>
      <c r="B324" s="42">
        <f>SUM(B325:B330)</f>
        <v>22</v>
      </c>
      <c r="C324" s="42"/>
      <c r="D324" s="43"/>
      <c r="E324" s="53">
        <f>SUM(E325:E330)</f>
        <v>556623</v>
      </c>
      <c r="F324" s="44">
        <f>+E324-(575423-8800)</f>
        <v>-10000</v>
      </c>
      <c r="G324" s="53">
        <f aca="true" t="shared" si="155" ref="G324:R324">SUM(G325:G330)</f>
        <v>46658.1</v>
      </c>
      <c r="H324" s="53">
        <f t="shared" si="155"/>
        <v>42142.80000000001</v>
      </c>
      <c r="I324" s="53">
        <f t="shared" si="155"/>
        <v>46658.1</v>
      </c>
      <c r="J324" s="53">
        <f t="shared" si="155"/>
        <v>45153</v>
      </c>
      <c r="K324" s="53">
        <f t="shared" si="155"/>
        <v>46658.1</v>
      </c>
      <c r="L324" s="53">
        <f t="shared" si="155"/>
        <v>45153</v>
      </c>
      <c r="M324" s="53">
        <f t="shared" si="155"/>
        <v>46658.1</v>
      </c>
      <c r="N324" s="53">
        <f t="shared" si="155"/>
        <v>46658.1</v>
      </c>
      <c r="O324" s="53">
        <f t="shared" si="155"/>
        <v>46438.2</v>
      </c>
      <c r="P324" s="53">
        <f t="shared" si="155"/>
        <v>48871.5</v>
      </c>
      <c r="Q324" s="53">
        <f t="shared" si="155"/>
        <v>48915.9</v>
      </c>
      <c r="R324" s="53">
        <f t="shared" si="155"/>
        <v>46658.1</v>
      </c>
    </row>
    <row r="325" spans="1:18" s="14" customFormat="1" ht="15.75" customHeight="1">
      <c r="A325" s="45" t="s">
        <v>59</v>
      </c>
      <c r="B325" s="46">
        <v>4</v>
      </c>
      <c r="C325" s="47">
        <v>365</v>
      </c>
      <c r="D325" s="48">
        <v>72.54</v>
      </c>
      <c r="E325" s="38">
        <f>+B325*C325*D325</f>
        <v>105908.40000000001</v>
      </c>
      <c r="F325" s="36"/>
      <c r="G325" s="38">
        <f>B325*D325*31</f>
        <v>8994.960000000001</v>
      </c>
      <c r="H325" s="49">
        <f>B325*D325*28</f>
        <v>8124.4800000000005</v>
      </c>
      <c r="I325" s="38">
        <f>B325*D325*31</f>
        <v>8994.960000000001</v>
      </c>
      <c r="J325" s="38">
        <f>B325*D325*30</f>
        <v>8704.800000000001</v>
      </c>
      <c r="K325" s="38">
        <f>B325*D325*31</f>
        <v>8994.960000000001</v>
      </c>
      <c r="L325" s="38">
        <f>B325*D325*30</f>
        <v>8704.800000000001</v>
      </c>
      <c r="M325" s="38">
        <f>B325*D325*31</f>
        <v>8994.960000000001</v>
      </c>
      <c r="N325" s="38">
        <f>B325*D325*31</f>
        <v>8994.960000000001</v>
      </c>
      <c r="O325" s="38">
        <f>B325*D325*30</f>
        <v>8704.800000000001</v>
      </c>
      <c r="P325" s="38">
        <f>B325*D325*31</f>
        <v>8994.960000000001</v>
      </c>
      <c r="Q325" s="38">
        <f>B325*D325*30</f>
        <v>8704.800000000001</v>
      </c>
      <c r="R325" s="38">
        <f>B325*D325*31</f>
        <v>8994.960000000001</v>
      </c>
    </row>
    <row r="326" spans="1:18" s="14" customFormat="1" ht="15.75" customHeight="1">
      <c r="A326" s="45" t="s">
        <v>73</v>
      </c>
      <c r="B326" s="46">
        <v>5</v>
      </c>
      <c r="C326" s="47">
        <v>365</v>
      </c>
      <c r="D326" s="48">
        <v>71.4</v>
      </c>
      <c r="E326" s="38">
        <f>+B326*C326*D326</f>
        <v>130305.00000000001</v>
      </c>
      <c r="F326" s="36"/>
      <c r="G326" s="38">
        <f>B326*D326*31</f>
        <v>11067</v>
      </c>
      <c r="H326" s="49">
        <f>B326*D326*28</f>
        <v>9996</v>
      </c>
      <c r="I326" s="38">
        <f>B326*D326*31</f>
        <v>11067</v>
      </c>
      <c r="J326" s="38">
        <f>B326*D326*30</f>
        <v>10710</v>
      </c>
      <c r="K326" s="38">
        <f>B326*D326*31</f>
        <v>11067</v>
      </c>
      <c r="L326" s="38">
        <f>B326*D326*30</f>
        <v>10710</v>
      </c>
      <c r="M326" s="38">
        <f>B326*D326*31</f>
        <v>11067</v>
      </c>
      <c r="N326" s="38">
        <f>B326*D326*31</f>
        <v>11067</v>
      </c>
      <c r="O326" s="38">
        <f>B326*D326*30</f>
        <v>10710</v>
      </c>
      <c r="P326" s="38">
        <f>B326*D326*31</f>
        <v>11067</v>
      </c>
      <c r="Q326" s="38">
        <f>B326*D326*30</f>
        <v>10710</v>
      </c>
      <c r="R326" s="38">
        <f>B326*D326*31</f>
        <v>11067</v>
      </c>
    </row>
    <row r="327" spans="1:18" s="14" customFormat="1" ht="15.75" customHeight="1">
      <c r="A327" s="45" t="s">
        <v>67</v>
      </c>
      <c r="B327" s="46">
        <v>11</v>
      </c>
      <c r="C327" s="47">
        <v>365</v>
      </c>
      <c r="D327" s="48">
        <v>71.4</v>
      </c>
      <c r="E327" s="38">
        <f>+B327*C327*D327</f>
        <v>286671</v>
      </c>
      <c r="F327" s="36"/>
      <c r="G327" s="38">
        <f>B327*D327*31</f>
        <v>24347.4</v>
      </c>
      <c r="H327" s="49">
        <f>B327*D327*28</f>
        <v>21991.200000000004</v>
      </c>
      <c r="I327" s="38">
        <f>B327*D327*31</f>
        <v>24347.4</v>
      </c>
      <c r="J327" s="38">
        <f>B327*D327*30</f>
        <v>23562.000000000004</v>
      </c>
      <c r="K327" s="38">
        <f>B327*D327*31</f>
        <v>24347.4</v>
      </c>
      <c r="L327" s="38">
        <f>B327*D327*30</f>
        <v>23562.000000000004</v>
      </c>
      <c r="M327" s="38">
        <f>B327*D327*31</f>
        <v>24347.4</v>
      </c>
      <c r="N327" s="38">
        <f>B327*D327*31</f>
        <v>24347.4</v>
      </c>
      <c r="O327" s="38">
        <f>B327*D327*30</f>
        <v>23562.000000000004</v>
      </c>
      <c r="P327" s="38">
        <f>B327*D327*31</f>
        <v>24347.4</v>
      </c>
      <c r="Q327" s="38">
        <f>B327*D327*30</f>
        <v>23562.000000000004</v>
      </c>
      <c r="R327" s="38">
        <f>B327*D327*31</f>
        <v>24347.4</v>
      </c>
    </row>
    <row r="328" spans="1:18" s="14" customFormat="1" ht="15.75" customHeight="1">
      <c r="A328" s="45" t="s">
        <v>74</v>
      </c>
      <c r="B328" s="46">
        <v>1</v>
      </c>
      <c r="C328" s="47">
        <v>365</v>
      </c>
      <c r="D328" s="48">
        <v>72.54</v>
      </c>
      <c r="E328" s="38">
        <f>+B328*C328*D328</f>
        <v>26477.100000000002</v>
      </c>
      <c r="F328" s="36"/>
      <c r="G328" s="38">
        <f>B328*D328*31</f>
        <v>2248.7400000000002</v>
      </c>
      <c r="H328" s="49">
        <f>B328*D328*28</f>
        <v>2031.1200000000001</v>
      </c>
      <c r="I328" s="38">
        <f>B328*D328*31</f>
        <v>2248.7400000000002</v>
      </c>
      <c r="J328" s="38">
        <f>B328*D328*30</f>
        <v>2176.2000000000003</v>
      </c>
      <c r="K328" s="38">
        <f>B328*D328*31</f>
        <v>2248.7400000000002</v>
      </c>
      <c r="L328" s="38">
        <f>B328*D328*30</f>
        <v>2176.2000000000003</v>
      </c>
      <c r="M328" s="38">
        <f>B328*D328*31</f>
        <v>2248.7400000000002</v>
      </c>
      <c r="N328" s="38">
        <f>B328*D328*31</f>
        <v>2248.7400000000002</v>
      </c>
      <c r="O328" s="38">
        <f>B328*D328*30</f>
        <v>2176.2000000000003</v>
      </c>
      <c r="P328" s="38">
        <f>B328*D328*31</f>
        <v>2248.7400000000002</v>
      </c>
      <c r="Q328" s="38">
        <f>B328*D328*30</f>
        <v>2176.2000000000003</v>
      </c>
      <c r="R328" s="38">
        <f>B328*D328*31</f>
        <v>2248.7400000000002</v>
      </c>
    </row>
    <row r="329" spans="1:18" s="14" customFormat="1" ht="15.75" customHeight="1">
      <c r="A329" s="45" t="s">
        <v>67</v>
      </c>
      <c r="B329" s="46">
        <v>1</v>
      </c>
      <c r="C329" s="47">
        <v>49</v>
      </c>
      <c r="D329" s="48">
        <v>71.4</v>
      </c>
      <c r="E329" s="38">
        <f>+B329*C329*D329</f>
        <v>3498.6000000000004</v>
      </c>
      <c r="F329" s="36"/>
      <c r="G329" s="38">
        <v>0</v>
      </c>
      <c r="H329" s="38">
        <v>0</v>
      </c>
      <c r="I329" s="38">
        <v>0</v>
      </c>
      <c r="J329" s="38">
        <v>0</v>
      </c>
      <c r="K329" s="38">
        <v>0</v>
      </c>
      <c r="L329" s="38">
        <v>0</v>
      </c>
      <c r="M329" s="38">
        <v>0</v>
      </c>
      <c r="N329" s="38">
        <v>0</v>
      </c>
      <c r="O329" s="38">
        <v>1285.2</v>
      </c>
      <c r="P329" s="38">
        <f>B329*D329*31</f>
        <v>2213.4</v>
      </c>
      <c r="Q329" s="38">
        <v>0</v>
      </c>
      <c r="R329" s="38">
        <v>0</v>
      </c>
    </row>
    <row r="330" spans="1:18" s="14" customFormat="1" ht="15.75" customHeight="1">
      <c r="A330" s="45" t="s">
        <v>8</v>
      </c>
      <c r="B330" s="46"/>
      <c r="C330" s="47"/>
      <c r="D330" s="48"/>
      <c r="E330" s="38">
        <f>762.9+3000</f>
        <v>3762.9</v>
      </c>
      <c r="F330" s="36"/>
      <c r="G330" s="38"/>
      <c r="H330" s="49"/>
      <c r="I330" s="38"/>
      <c r="J330" s="38"/>
      <c r="K330" s="38"/>
      <c r="L330" s="38"/>
      <c r="M330" s="38"/>
      <c r="N330" s="38"/>
      <c r="O330" s="38"/>
      <c r="P330" s="38"/>
      <c r="Q330" s="38">
        <v>3762.9</v>
      </c>
      <c r="R330" s="38"/>
    </row>
    <row r="331" spans="1:18" s="14" customFormat="1" ht="9" customHeight="1">
      <c r="A331" s="45"/>
      <c r="B331" s="46"/>
      <c r="C331" s="47"/>
      <c r="D331" s="48"/>
      <c r="E331" s="38"/>
      <c r="F331" s="36"/>
      <c r="G331" s="38"/>
      <c r="H331" s="49"/>
      <c r="I331" s="38"/>
      <c r="J331" s="38"/>
      <c r="K331" s="38"/>
      <c r="L331" s="38"/>
      <c r="M331" s="38"/>
      <c r="N331" s="38"/>
      <c r="O331" s="38"/>
      <c r="P331" s="38"/>
      <c r="Q331" s="38"/>
      <c r="R331" s="38"/>
    </row>
    <row r="332" spans="1:18" s="14" customFormat="1" ht="15.75" customHeight="1">
      <c r="A332" s="40" t="s">
        <v>52</v>
      </c>
      <c r="B332" s="46"/>
      <c r="C332" s="47"/>
      <c r="D332" s="48"/>
      <c r="E332" s="38"/>
      <c r="F332" s="36"/>
      <c r="G332" s="52"/>
      <c r="H332" s="39"/>
      <c r="I332" s="38"/>
      <c r="J332" s="38"/>
      <c r="K332" s="38"/>
      <c r="L332" s="38"/>
      <c r="M332" s="38"/>
      <c r="N332" s="38"/>
      <c r="O332" s="38"/>
      <c r="P332" s="38"/>
      <c r="Q332" s="38"/>
      <c r="R332" s="38"/>
    </row>
    <row r="333" spans="1:18" s="14" customFormat="1" ht="15.75" customHeight="1">
      <c r="A333" s="40" t="s">
        <v>128</v>
      </c>
      <c r="B333" s="42">
        <f>SUM(B334:B338)</f>
        <v>15</v>
      </c>
      <c r="C333" s="42"/>
      <c r="D333" s="43"/>
      <c r="E333" s="53">
        <f>SUM(E334:E338)</f>
        <v>367212</v>
      </c>
      <c r="F333" s="44">
        <f>E333-(367212)</f>
        <v>0</v>
      </c>
      <c r="G333" s="53">
        <f aca="true" t="shared" si="156" ref="G333:R333">SUM(G334:G338)</f>
        <v>28974.46</v>
      </c>
      <c r="H333" s="53">
        <f t="shared" si="156"/>
        <v>26170.480000000003</v>
      </c>
      <c r="I333" s="53">
        <f t="shared" si="156"/>
        <v>30116.86</v>
      </c>
      <c r="J333" s="53">
        <f t="shared" si="156"/>
        <v>30181.800000000003</v>
      </c>
      <c r="K333" s="53">
        <f t="shared" si="156"/>
        <v>31187.86</v>
      </c>
      <c r="L333" s="53">
        <f t="shared" si="156"/>
        <v>30181.800000000003</v>
      </c>
      <c r="M333" s="53">
        <f t="shared" si="156"/>
        <v>31187.86</v>
      </c>
      <c r="N333" s="53">
        <f t="shared" si="156"/>
        <v>31187.86</v>
      </c>
      <c r="O333" s="53">
        <f t="shared" si="156"/>
        <v>30181.800000000003</v>
      </c>
      <c r="P333" s="53">
        <f t="shared" si="156"/>
        <v>31187.86</v>
      </c>
      <c r="Q333" s="53">
        <f t="shared" si="156"/>
        <v>32958.840000000004</v>
      </c>
      <c r="R333" s="53">
        <f t="shared" si="156"/>
        <v>33694.520000000004</v>
      </c>
    </row>
    <row r="334" spans="1:18" s="14" customFormat="1" ht="15.75" customHeight="1">
      <c r="A334" s="45" t="s">
        <v>73</v>
      </c>
      <c r="B334" s="46">
        <v>11</v>
      </c>
      <c r="C334" s="47">
        <v>365</v>
      </c>
      <c r="D334" s="48">
        <v>71.4</v>
      </c>
      <c r="E334" s="38">
        <f>+B334*C334*D334</f>
        <v>286671</v>
      </c>
      <c r="F334" s="36"/>
      <c r="G334" s="38">
        <f>B334*D334*31</f>
        <v>24347.4</v>
      </c>
      <c r="H334" s="49">
        <f>B334*D334*28</f>
        <v>21991.200000000004</v>
      </c>
      <c r="I334" s="38">
        <f>B334*D334*31</f>
        <v>24347.4</v>
      </c>
      <c r="J334" s="38">
        <f>B334*D334*30</f>
        <v>23562.000000000004</v>
      </c>
      <c r="K334" s="38">
        <f>B334*D334*31</f>
        <v>24347.4</v>
      </c>
      <c r="L334" s="38">
        <f>B334*D334*30</f>
        <v>23562.000000000004</v>
      </c>
      <c r="M334" s="38">
        <f>B334*D334*31</f>
        <v>24347.4</v>
      </c>
      <c r="N334" s="38">
        <f>B334*D334*31</f>
        <v>24347.4</v>
      </c>
      <c r="O334" s="38">
        <f>B334*D334*30</f>
        <v>23562.000000000004</v>
      </c>
      <c r="P334" s="38">
        <f>B334*D334*31</f>
        <v>24347.4</v>
      </c>
      <c r="Q334" s="38">
        <f>B334*D334*30</f>
        <v>23562.000000000004</v>
      </c>
      <c r="R334" s="38">
        <f>B334*D334*31</f>
        <v>24347.4</v>
      </c>
    </row>
    <row r="335" spans="1:18" s="14" customFormat="1" ht="15.75" customHeight="1">
      <c r="A335" s="45" t="s">
        <v>72</v>
      </c>
      <c r="B335" s="46">
        <v>2</v>
      </c>
      <c r="C335" s="47">
        <v>365</v>
      </c>
      <c r="D335" s="48">
        <v>74.63</v>
      </c>
      <c r="E335" s="38">
        <f>+B335*C335*D335</f>
        <v>54479.899999999994</v>
      </c>
      <c r="F335" s="36"/>
      <c r="G335" s="38">
        <f>B335*D335*31</f>
        <v>4627.0599999999995</v>
      </c>
      <c r="H335" s="49">
        <f>B335*D335*28</f>
        <v>4179.28</v>
      </c>
      <c r="I335" s="38">
        <f>B335*D335*31</f>
        <v>4627.0599999999995</v>
      </c>
      <c r="J335" s="38">
        <f>B335*D335*30</f>
        <v>4477.799999999999</v>
      </c>
      <c r="K335" s="38">
        <f>B335*D335*31</f>
        <v>4627.0599999999995</v>
      </c>
      <c r="L335" s="38">
        <f>B335*D335*30</f>
        <v>4477.799999999999</v>
      </c>
      <c r="M335" s="38">
        <f>B335*D335*31</f>
        <v>4627.0599999999995</v>
      </c>
      <c r="N335" s="38">
        <f>B335*D335*31</f>
        <v>4627.0599999999995</v>
      </c>
      <c r="O335" s="38">
        <f>B335*D335*30</f>
        <v>4477.799999999999</v>
      </c>
      <c r="P335" s="38">
        <f>B335*D335*31</f>
        <v>4627.0599999999995</v>
      </c>
      <c r="Q335" s="38">
        <f>B335*D335*30</f>
        <v>4477.799999999999</v>
      </c>
      <c r="R335" s="38">
        <f>B335*D335*31</f>
        <v>4627.0599999999995</v>
      </c>
    </row>
    <row r="336" spans="1:18" s="14" customFormat="1" ht="15.75" customHeight="1">
      <c r="A336" s="45" t="s">
        <v>73</v>
      </c>
      <c r="B336" s="46">
        <v>1</v>
      </c>
      <c r="C336" s="47">
        <v>291</v>
      </c>
      <c r="D336" s="48">
        <v>71.4</v>
      </c>
      <c r="E336" s="38">
        <f>+B336*C336*D336</f>
        <v>20777.4</v>
      </c>
      <c r="F336" s="36"/>
      <c r="G336" s="38">
        <v>0</v>
      </c>
      <c r="H336" s="38">
        <v>0</v>
      </c>
      <c r="I336" s="38">
        <f>B336*D336*16</f>
        <v>1142.4</v>
      </c>
      <c r="J336" s="38">
        <f>B336*D336*30</f>
        <v>2142</v>
      </c>
      <c r="K336" s="38">
        <f>B336*D336*31</f>
        <v>2213.4</v>
      </c>
      <c r="L336" s="38">
        <f>B336*D336*30</f>
        <v>2142</v>
      </c>
      <c r="M336" s="38">
        <f>B336*D336*31</f>
        <v>2213.4</v>
      </c>
      <c r="N336" s="38">
        <f>B336*D336*31</f>
        <v>2213.4</v>
      </c>
      <c r="O336" s="38">
        <f>B336*D336*30</f>
        <v>2142</v>
      </c>
      <c r="P336" s="38">
        <f>B336*D336*31</f>
        <v>2213.4</v>
      </c>
      <c r="Q336" s="38">
        <f>B336*D336*30</f>
        <v>2142</v>
      </c>
      <c r="R336" s="38">
        <f>B336*D336*31</f>
        <v>2213.4</v>
      </c>
    </row>
    <row r="337" spans="1:18" s="14" customFormat="1" ht="15.75" customHeight="1">
      <c r="A337" s="45" t="s">
        <v>140</v>
      </c>
      <c r="B337" s="46">
        <v>1</v>
      </c>
      <c r="C337" s="47">
        <v>60</v>
      </c>
      <c r="D337" s="48">
        <v>80.86</v>
      </c>
      <c r="E337" s="38">
        <f>+B337*C337*D337</f>
        <v>4851.6</v>
      </c>
      <c r="F337" s="36"/>
      <c r="G337" s="38">
        <v>0</v>
      </c>
      <c r="H337" s="38">
        <v>0</v>
      </c>
      <c r="I337" s="38">
        <v>0</v>
      </c>
      <c r="J337" s="38">
        <v>0</v>
      </c>
      <c r="K337" s="38">
        <v>0</v>
      </c>
      <c r="L337" s="38">
        <v>0</v>
      </c>
      <c r="M337" s="38">
        <v>0</v>
      </c>
      <c r="N337" s="38">
        <v>0</v>
      </c>
      <c r="O337" s="38">
        <v>0</v>
      </c>
      <c r="P337" s="38">
        <v>0</v>
      </c>
      <c r="Q337" s="38">
        <f>B337*D337*29</f>
        <v>2344.94</v>
      </c>
      <c r="R337" s="38">
        <f>B337*D337*31</f>
        <v>2506.66</v>
      </c>
    </row>
    <row r="338" spans="1:18" s="14" customFormat="1" ht="15.75" customHeight="1">
      <c r="A338" s="45" t="s">
        <v>8</v>
      </c>
      <c r="B338" s="46"/>
      <c r="C338" s="47"/>
      <c r="D338" s="48"/>
      <c r="E338" s="38">
        <v>432.1</v>
      </c>
      <c r="F338" s="36"/>
      <c r="G338" s="38"/>
      <c r="H338" s="39"/>
      <c r="I338" s="38"/>
      <c r="J338" s="38"/>
      <c r="K338" s="38"/>
      <c r="L338" s="52"/>
      <c r="M338" s="38"/>
      <c r="N338" s="38"/>
      <c r="O338" s="38"/>
      <c r="P338" s="38"/>
      <c r="Q338" s="38">
        <v>432.1</v>
      </c>
      <c r="R338" s="52"/>
    </row>
    <row r="339" spans="1:18" s="14" customFormat="1" ht="15.75" customHeight="1">
      <c r="A339" s="45"/>
      <c r="B339" s="46"/>
      <c r="C339" s="47"/>
      <c r="D339" s="48"/>
      <c r="E339" s="38"/>
      <c r="F339" s="36"/>
      <c r="G339" s="52"/>
      <c r="H339" s="39"/>
      <c r="I339" s="38"/>
      <c r="J339" s="38"/>
      <c r="K339" s="38"/>
      <c r="L339" s="52"/>
      <c r="M339" s="38"/>
      <c r="N339" s="38"/>
      <c r="O339" s="38"/>
      <c r="P339" s="38"/>
      <c r="Q339" s="38"/>
      <c r="R339" s="52"/>
    </row>
    <row r="340" spans="1:18" s="14" customFormat="1" ht="15.75" customHeight="1">
      <c r="A340" s="40" t="s">
        <v>53</v>
      </c>
      <c r="B340" s="46"/>
      <c r="C340" s="47"/>
      <c r="D340" s="48"/>
      <c r="E340" s="38"/>
      <c r="F340" s="36"/>
      <c r="G340" s="52"/>
      <c r="H340" s="39"/>
      <c r="I340" s="38"/>
      <c r="J340" s="38"/>
      <c r="K340" s="38"/>
      <c r="L340" s="38"/>
      <c r="M340" s="38"/>
      <c r="N340" s="38"/>
      <c r="O340" s="38"/>
      <c r="P340" s="38"/>
      <c r="Q340" s="38"/>
      <c r="R340" s="38"/>
    </row>
    <row r="341" spans="1:18" s="14" customFormat="1" ht="15.75" customHeight="1">
      <c r="A341" s="40" t="s">
        <v>129</v>
      </c>
      <c r="B341" s="42">
        <f>SUM(B342:B345)</f>
        <v>14</v>
      </c>
      <c r="C341" s="42"/>
      <c r="D341" s="43"/>
      <c r="E341" s="53">
        <f>SUM(E342:E345)</f>
        <v>343093</v>
      </c>
      <c r="F341" s="44">
        <f>E341-(338793+4300)</f>
        <v>0</v>
      </c>
      <c r="G341" s="53">
        <f aca="true" t="shared" si="157" ref="G341:R341">SUM(G342:G345)</f>
        <v>28774.2</v>
      </c>
      <c r="H341" s="53">
        <f t="shared" si="157"/>
        <v>25989.6</v>
      </c>
      <c r="I341" s="53">
        <f t="shared" si="157"/>
        <v>28774.2</v>
      </c>
      <c r="J341" s="53">
        <f t="shared" si="157"/>
        <v>27846</v>
      </c>
      <c r="K341" s="53">
        <f t="shared" si="157"/>
        <v>28774.2</v>
      </c>
      <c r="L341" s="53">
        <f t="shared" si="157"/>
        <v>27846</v>
      </c>
      <c r="M341" s="53">
        <f t="shared" si="157"/>
        <v>28774.2</v>
      </c>
      <c r="N341" s="53">
        <f t="shared" si="157"/>
        <v>28774.2</v>
      </c>
      <c r="O341" s="53">
        <f t="shared" si="157"/>
        <v>27846</v>
      </c>
      <c r="P341" s="53">
        <f t="shared" si="157"/>
        <v>28774.2</v>
      </c>
      <c r="Q341" s="53">
        <f t="shared" si="157"/>
        <v>29932.6</v>
      </c>
      <c r="R341" s="53">
        <f t="shared" si="157"/>
        <v>30987.600000000002</v>
      </c>
    </row>
    <row r="342" spans="1:18" s="14" customFormat="1" ht="15.75" customHeight="1">
      <c r="A342" s="45" t="s">
        <v>73</v>
      </c>
      <c r="B342" s="46">
        <v>10</v>
      </c>
      <c r="C342" s="47">
        <v>365</v>
      </c>
      <c r="D342" s="48">
        <v>71.4</v>
      </c>
      <c r="E342" s="38">
        <f>+B342*C342*D342</f>
        <v>260610.00000000003</v>
      </c>
      <c r="F342" s="36"/>
      <c r="G342" s="38">
        <f>B342*D342*31</f>
        <v>22134</v>
      </c>
      <c r="H342" s="49">
        <f>B342*D342*28</f>
        <v>19992</v>
      </c>
      <c r="I342" s="38">
        <f>B342*D342*31</f>
        <v>22134</v>
      </c>
      <c r="J342" s="38">
        <f>B342*D342*30</f>
        <v>21420</v>
      </c>
      <c r="K342" s="38">
        <f>B342*D342*31</f>
        <v>22134</v>
      </c>
      <c r="L342" s="38">
        <f>B342*D342*30</f>
        <v>21420</v>
      </c>
      <c r="M342" s="38">
        <f>B342*D342*31</f>
        <v>22134</v>
      </c>
      <c r="N342" s="38">
        <f>B342*D342*31</f>
        <v>22134</v>
      </c>
      <c r="O342" s="38">
        <f>B342*D342*30</f>
        <v>21420</v>
      </c>
      <c r="P342" s="38">
        <f>B342*D342*31</f>
        <v>22134</v>
      </c>
      <c r="Q342" s="38">
        <f>B342*D342*30</f>
        <v>21420</v>
      </c>
      <c r="R342" s="38">
        <f>B342*D342*31</f>
        <v>22134</v>
      </c>
    </row>
    <row r="343" spans="1:18" s="14" customFormat="1" ht="15.75" customHeight="1">
      <c r="A343" s="45" t="s">
        <v>10</v>
      </c>
      <c r="B343" s="46">
        <v>3</v>
      </c>
      <c r="C343" s="47">
        <v>365</v>
      </c>
      <c r="D343" s="48">
        <v>71.4</v>
      </c>
      <c r="E343" s="38">
        <f>+B343*C343*D343</f>
        <v>78183</v>
      </c>
      <c r="F343" s="36"/>
      <c r="G343" s="38">
        <f>B343*D343*31</f>
        <v>6640.200000000001</v>
      </c>
      <c r="H343" s="49">
        <f>B343*D343*28</f>
        <v>5997.6</v>
      </c>
      <c r="I343" s="38">
        <f>B343*D343*31</f>
        <v>6640.200000000001</v>
      </c>
      <c r="J343" s="38">
        <f>B343*D343*30</f>
        <v>6426.000000000001</v>
      </c>
      <c r="K343" s="38">
        <f>B343*D343*31</f>
        <v>6640.200000000001</v>
      </c>
      <c r="L343" s="38">
        <f>B343*D343*30</f>
        <v>6426.000000000001</v>
      </c>
      <c r="M343" s="38">
        <f>B343*D343*31</f>
        <v>6640.200000000001</v>
      </c>
      <c r="N343" s="38">
        <f>B343*D343*31</f>
        <v>6640.200000000001</v>
      </c>
      <c r="O343" s="38">
        <f>B343*D343*30</f>
        <v>6426.000000000001</v>
      </c>
      <c r="P343" s="38">
        <f>B343*D343*31</f>
        <v>6640.200000000001</v>
      </c>
      <c r="Q343" s="38">
        <f>B343*D343*30</f>
        <v>6426.000000000001</v>
      </c>
      <c r="R343" s="38">
        <f>B343*D343*31</f>
        <v>6640.200000000001</v>
      </c>
    </row>
    <row r="344" spans="1:18" s="14" customFormat="1" ht="15.75" customHeight="1">
      <c r="A344" s="45" t="s">
        <v>67</v>
      </c>
      <c r="B344" s="46">
        <v>1</v>
      </c>
      <c r="C344" s="47">
        <v>60</v>
      </c>
      <c r="D344" s="48">
        <v>71.4</v>
      </c>
      <c r="E344" s="38">
        <f>+B344*C344*D344</f>
        <v>4284</v>
      </c>
      <c r="F344" s="36"/>
      <c r="G344" s="38">
        <v>0</v>
      </c>
      <c r="H344" s="38">
        <v>0</v>
      </c>
      <c r="I344" s="38">
        <v>0</v>
      </c>
      <c r="J344" s="38">
        <v>0</v>
      </c>
      <c r="K344" s="38">
        <v>0</v>
      </c>
      <c r="L344" s="38">
        <v>0</v>
      </c>
      <c r="M344" s="38">
        <v>0</v>
      </c>
      <c r="N344" s="38">
        <v>0</v>
      </c>
      <c r="O344" s="38">
        <v>0</v>
      </c>
      <c r="P344" s="38">
        <v>0</v>
      </c>
      <c r="Q344" s="38">
        <f>B344*D344*29</f>
        <v>2070.6000000000004</v>
      </c>
      <c r="R344" s="38">
        <f>B344*D344*31</f>
        <v>2213.4</v>
      </c>
    </row>
    <row r="345" spans="1:18" s="14" customFormat="1" ht="15.75" customHeight="1">
      <c r="A345" s="45" t="s">
        <v>8</v>
      </c>
      <c r="B345" s="46"/>
      <c r="C345" s="47"/>
      <c r="D345" s="48"/>
      <c r="E345" s="38">
        <v>16</v>
      </c>
      <c r="F345" s="36"/>
      <c r="G345" s="38"/>
      <c r="H345" s="49"/>
      <c r="I345" s="38"/>
      <c r="J345" s="38"/>
      <c r="K345" s="38"/>
      <c r="L345" s="38"/>
      <c r="M345" s="38"/>
      <c r="N345" s="38"/>
      <c r="O345" s="38"/>
      <c r="P345" s="38"/>
      <c r="Q345" s="38">
        <v>16</v>
      </c>
      <c r="R345" s="38"/>
    </row>
    <row r="346" spans="1:18" s="14" customFormat="1" ht="15.75" customHeight="1">
      <c r="A346" s="45"/>
      <c r="B346" s="46"/>
      <c r="C346" s="47"/>
      <c r="D346" s="48"/>
      <c r="E346" s="38"/>
      <c r="F346" s="36"/>
      <c r="G346" s="52"/>
      <c r="H346" s="39"/>
      <c r="I346" s="38"/>
      <c r="J346" s="38"/>
      <c r="K346" s="38"/>
      <c r="L346" s="52"/>
      <c r="M346" s="38"/>
      <c r="N346" s="38"/>
      <c r="O346" s="38"/>
      <c r="P346" s="38"/>
      <c r="Q346" s="38"/>
      <c r="R346" s="38"/>
    </row>
    <row r="347" spans="1:18" s="14" customFormat="1" ht="15.75" customHeight="1">
      <c r="A347" s="40" t="s">
        <v>54</v>
      </c>
      <c r="B347" s="46"/>
      <c r="C347" s="47"/>
      <c r="D347" s="48"/>
      <c r="E347" s="38"/>
      <c r="F347" s="36"/>
      <c r="G347" s="52"/>
      <c r="H347" s="39"/>
      <c r="I347" s="38"/>
      <c r="J347" s="38"/>
      <c r="K347" s="38"/>
      <c r="L347" s="38"/>
      <c r="M347" s="38"/>
      <c r="N347" s="38"/>
      <c r="O347" s="38"/>
      <c r="P347" s="38"/>
      <c r="Q347" s="38"/>
      <c r="R347" s="38"/>
    </row>
    <row r="348" spans="1:18" s="14" customFormat="1" ht="15.75" customHeight="1">
      <c r="A348" s="40" t="s">
        <v>130</v>
      </c>
      <c r="B348" s="42">
        <f>SUM(B349:B349)</f>
        <v>8</v>
      </c>
      <c r="C348" s="42"/>
      <c r="D348" s="43"/>
      <c r="E348" s="53">
        <f>SUM(E349:E351)</f>
        <v>213986.00000000003</v>
      </c>
      <c r="F348" s="44">
        <f>E348-(208488+998+4500)</f>
        <v>0</v>
      </c>
      <c r="G348" s="53">
        <f aca="true" t="shared" si="158" ref="G348:R348">SUM(G349:G351)</f>
        <v>17707.2</v>
      </c>
      <c r="H348" s="53">
        <f t="shared" si="158"/>
        <v>15993.600000000002</v>
      </c>
      <c r="I348" s="53">
        <f t="shared" si="158"/>
        <v>17707.2</v>
      </c>
      <c r="J348" s="53">
        <f t="shared" si="158"/>
        <v>17136</v>
      </c>
      <c r="K348" s="53">
        <f t="shared" si="158"/>
        <v>17707.2</v>
      </c>
      <c r="L348" s="53">
        <f t="shared" si="158"/>
        <v>17136</v>
      </c>
      <c r="M348" s="53">
        <f t="shared" si="158"/>
        <v>17707.2</v>
      </c>
      <c r="N348" s="53">
        <f t="shared" si="158"/>
        <v>17707.2</v>
      </c>
      <c r="O348" s="53">
        <f t="shared" si="158"/>
        <v>17136</v>
      </c>
      <c r="P348" s="53">
        <f t="shared" si="158"/>
        <v>18849.600000000002</v>
      </c>
      <c r="Q348" s="53">
        <f t="shared" si="158"/>
        <v>19278.2</v>
      </c>
      <c r="R348" s="53">
        <f t="shared" si="158"/>
        <v>19920.600000000002</v>
      </c>
    </row>
    <row r="349" spans="1:18" s="14" customFormat="1" ht="15.75" customHeight="1">
      <c r="A349" s="45" t="s">
        <v>73</v>
      </c>
      <c r="B349" s="46">
        <v>8</v>
      </c>
      <c r="C349" s="47">
        <v>365</v>
      </c>
      <c r="D349" s="48">
        <v>71.4</v>
      </c>
      <c r="E349" s="38">
        <f>+B349*C349*D349</f>
        <v>208488.00000000003</v>
      </c>
      <c r="F349" s="36"/>
      <c r="G349" s="38">
        <f>B349*D349*31</f>
        <v>17707.2</v>
      </c>
      <c r="H349" s="49">
        <f>B349*D349*28</f>
        <v>15993.600000000002</v>
      </c>
      <c r="I349" s="38">
        <f>B349*D349*31</f>
        <v>17707.2</v>
      </c>
      <c r="J349" s="38">
        <f>B349*D349*30</f>
        <v>17136</v>
      </c>
      <c r="K349" s="38">
        <f>B349*D349*31</f>
        <v>17707.2</v>
      </c>
      <c r="L349" s="38">
        <f>B349*D349*30</f>
        <v>17136</v>
      </c>
      <c r="M349" s="38">
        <f>B349*D349*31</f>
        <v>17707.2</v>
      </c>
      <c r="N349" s="38">
        <f>B349*D349*31</f>
        <v>17707.2</v>
      </c>
      <c r="O349" s="38">
        <f>B349*D349*30</f>
        <v>17136</v>
      </c>
      <c r="P349" s="38">
        <f>B349*D349*31</f>
        <v>17707.2</v>
      </c>
      <c r="Q349" s="38">
        <f>B349*D349*30</f>
        <v>17136</v>
      </c>
      <c r="R349" s="38">
        <f>B349*D349*31</f>
        <v>17707.2</v>
      </c>
    </row>
    <row r="350" spans="1:18" s="14" customFormat="1" ht="15.75" customHeight="1">
      <c r="A350" s="45" t="s">
        <v>10</v>
      </c>
      <c r="B350" s="46">
        <v>1</v>
      </c>
      <c r="C350" s="47">
        <v>77</v>
      </c>
      <c r="D350" s="48">
        <v>71.4</v>
      </c>
      <c r="E350" s="38">
        <f>+B350*C350*D350</f>
        <v>5497.8</v>
      </c>
      <c r="F350" s="36"/>
      <c r="G350" s="38">
        <v>0</v>
      </c>
      <c r="H350" s="38">
        <v>0</v>
      </c>
      <c r="I350" s="38">
        <v>0</v>
      </c>
      <c r="J350" s="38">
        <v>0</v>
      </c>
      <c r="K350" s="38">
        <v>0</v>
      </c>
      <c r="L350" s="38">
        <v>0</v>
      </c>
      <c r="M350" s="38">
        <v>0</v>
      </c>
      <c r="N350" s="38">
        <v>0</v>
      </c>
      <c r="O350" s="38">
        <v>0</v>
      </c>
      <c r="P350" s="38">
        <f>B350*D350*16</f>
        <v>1142.4</v>
      </c>
      <c r="Q350" s="38">
        <f>B350*D350*30</f>
        <v>2142</v>
      </c>
      <c r="R350" s="38">
        <f>B350*D350*31</f>
        <v>2213.4</v>
      </c>
    </row>
    <row r="351" spans="1:18" s="14" customFormat="1" ht="15.75" customHeight="1">
      <c r="A351" s="45" t="s">
        <v>8</v>
      </c>
      <c r="B351" s="46"/>
      <c r="C351" s="47"/>
      <c r="D351" s="48"/>
      <c r="E351" s="38">
        <v>0.2</v>
      </c>
      <c r="F351" s="36"/>
      <c r="G351" s="38"/>
      <c r="H351" s="49"/>
      <c r="I351" s="38"/>
      <c r="J351" s="38"/>
      <c r="K351" s="38"/>
      <c r="L351" s="38"/>
      <c r="M351" s="38"/>
      <c r="N351" s="38"/>
      <c r="O351" s="38"/>
      <c r="P351" s="38"/>
      <c r="Q351" s="38">
        <v>0.2</v>
      </c>
      <c r="R351" s="38"/>
    </row>
    <row r="352" spans="1:18" s="14" customFormat="1" ht="15.75" customHeight="1">
      <c r="A352" s="45"/>
      <c r="B352" s="46"/>
      <c r="C352" s="47"/>
      <c r="D352" s="48"/>
      <c r="E352" s="38"/>
      <c r="F352" s="36"/>
      <c r="G352" s="38"/>
      <c r="H352" s="49"/>
      <c r="I352" s="38"/>
      <c r="J352" s="38"/>
      <c r="K352" s="38"/>
      <c r="L352" s="38"/>
      <c r="M352" s="38"/>
      <c r="N352" s="38"/>
      <c r="O352" s="38"/>
      <c r="P352" s="38"/>
      <c r="Q352" s="38"/>
      <c r="R352" s="38"/>
    </row>
    <row r="353" spans="1:18" s="14" customFormat="1" ht="15.75" customHeight="1">
      <c r="A353" s="45"/>
      <c r="B353" s="46"/>
      <c r="C353" s="47"/>
      <c r="D353" s="48"/>
      <c r="E353" s="52"/>
      <c r="F353" s="36"/>
      <c r="G353" s="52"/>
      <c r="H353" s="39"/>
      <c r="I353" s="38"/>
      <c r="J353" s="38"/>
      <c r="K353" s="38"/>
      <c r="L353" s="38"/>
      <c r="M353" s="38"/>
      <c r="N353" s="38"/>
      <c r="O353" s="38"/>
      <c r="P353" s="38"/>
      <c r="Q353" s="38"/>
      <c r="R353" s="38"/>
    </row>
    <row r="354" spans="1:18" s="14" customFormat="1" ht="15.75" customHeight="1">
      <c r="A354" s="40" t="s">
        <v>97</v>
      </c>
      <c r="B354" s="46"/>
      <c r="C354" s="47"/>
      <c r="D354" s="48"/>
      <c r="E354" s="52"/>
      <c r="F354" s="36"/>
      <c r="G354" s="52"/>
      <c r="H354" s="39"/>
      <c r="I354" s="38"/>
      <c r="J354" s="38"/>
      <c r="K354" s="38"/>
      <c r="L354" s="38"/>
      <c r="M354" s="38"/>
      <c r="N354" s="38"/>
      <c r="O354" s="38"/>
      <c r="P354" s="38"/>
      <c r="Q354" s="38"/>
      <c r="R354" s="38"/>
    </row>
    <row r="355" spans="1:18" s="14" customFormat="1" ht="15.75" customHeight="1">
      <c r="A355" s="40" t="s">
        <v>131</v>
      </c>
      <c r="B355" s="42">
        <f>SUM(B356:B357)</f>
        <v>26</v>
      </c>
      <c r="C355" s="42"/>
      <c r="D355" s="43"/>
      <c r="E355" s="53">
        <f>SUM(E356:E357)</f>
        <v>677586.0000000001</v>
      </c>
      <c r="F355" s="44">
        <f>E355-(677586)</f>
        <v>0</v>
      </c>
      <c r="G355" s="53">
        <f aca="true" t="shared" si="159" ref="G355:R355">SUM(G356:G357)</f>
        <v>57548.40000000001</v>
      </c>
      <c r="H355" s="53">
        <f t="shared" si="159"/>
        <v>51979.20000000001</v>
      </c>
      <c r="I355" s="53">
        <f t="shared" si="159"/>
        <v>57548.40000000001</v>
      </c>
      <c r="J355" s="53">
        <f t="shared" si="159"/>
        <v>55692.00000000001</v>
      </c>
      <c r="K355" s="53">
        <f t="shared" si="159"/>
        <v>57548.40000000001</v>
      </c>
      <c r="L355" s="53">
        <f t="shared" si="159"/>
        <v>55692.00000000001</v>
      </c>
      <c r="M355" s="53">
        <f t="shared" si="159"/>
        <v>57548.40000000001</v>
      </c>
      <c r="N355" s="53">
        <f t="shared" si="159"/>
        <v>57548.40000000001</v>
      </c>
      <c r="O355" s="53">
        <f t="shared" si="159"/>
        <v>55692.00000000001</v>
      </c>
      <c r="P355" s="53">
        <f t="shared" si="159"/>
        <v>57548.40000000001</v>
      </c>
      <c r="Q355" s="53">
        <f t="shared" si="159"/>
        <v>55692.00000000001</v>
      </c>
      <c r="R355" s="53">
        <f t="shared" si="159"/>
        <v>57548.40000000001</v>
      </c>
    </row>
    <row r="356" spans="1:18" s="14" customFormat="1" ht="15.75" customHeight="1">
      <c r="A356" s="45" t="s">
        <v>73</v>
      </c>
      <c r="B356" s="46">
        <v>17</v>
      </c>
      <c r="C356" s="47">
        <v>365</v>
      </c>
      <c r="D356" s="48">
        <v>71.4</v>
      </c>
      <c r="E356" s="38">
        <f>+B356*C356*D356</f>
        <v>443037.00000000006</v>
      </c>
      <c r="F356" s="36"/>
      <c r="G356" s="38">
        <f>B356*D356*31</f>
        <v>37627.8</v>
      </c>
      <c r="H356" s="49">
        <f>B356*D356*28</f>
        <v>33986.40000000001</v>
      </c>
      <c r="I356" s="38">
        <f>B356*D356*31</f>
        <v>37627.8</v>
      </c>
      <c r="J356" s="38">
        <f>B356*D356*30</f>
        <v>36414.00000000001</v>
      </c>
      <c r="K356" s="38">
        <f>B356*D356*31</f>
        <v>37627.8</v>
      </c>
      <c r="L356" s="38">
        <f>B356*D356*30</f>
        <v>36414.00000000001</v>
      </c>
      <c r="M356" s="38">
        <f>B356*D356*31</f>
        <v>37627.8</v>
      </c>
      <c r="N356" s="38">
        <f>B356*D356*31</f>
        <v>37627.8</v>
      </c>
      <c r="O356" s="38">
        <f>B356*D356*30</f>
        <v>36414.00000000001</v>
      </c>
      <c r="P356" s="38">
        <f>B356*D356*31</f>
        <v>37627.8</v>
      </c>
      <c r="Q356" s="38">
        <f>B356*D356*30</f>
        <v>36414.00000000001</v>
      </c>
      <c r="R356" s="38">
        <f>B356*D356*31</f>
        <v>37627.8</v>
      </c>
    </row>
    <row r="357" spans="1:18" s="14" customFormat="1" ht="15.75" customHeight="1">
      <c r="A357" s="62" t="s">
        <v>67</v>
      </c>
      <c r="B357" s="63">
        <v>9</v>
      </c>
      <c r="C357" s="64">
        <v>365</v>
      </c>
      <c r="D357" s="65">
        <v>71.4</v>
      </c>
      <c r="E357" s="68">
        <f>+B357*C357*D357</f>
        <v>234549.00000000003</v>
      </c>
      <c r="F357" s="67"/>
      <c r="G357" s="68">
        <f>B357*D357*31</f>
        <v>19920.600000000002</v>
      </c>
      <c r="H357" s="69">
        <f>B357*D357*28</f>
        <v>17992.8</v>
      </c>
      <c r="I357" s="68">
        <f>B357*D357*31</f>
        <v>19920.600000000002</v>
      </c>
      <c r="J357" s="68">
        <f>B357*D357*30</f>
        <v>19278</v>
      </c>
      <c r="K357" s="68">
        <f>B357*D357*31</f>
        <v>19920.600000000002</v>
      </c>
      <c r="L357" s="68">
        <f>B357*D357*30</f>
        <v>19278</v>
      </c>
      <c r="M357" s="68">
        <f>B357*D357*31</f>
        <v>19920.600000000002</v>
      </c>
      <c r="N357" s="68">
        <f>B357*D357*31</f>
        <v>19920.600000000002</v>
      </c>
      <c r="O357" s="68">
        <f>B357*D357*30</f>
        <v>19278</v>
      </c>
      <c r="P357" s="68">
        <f>B357*D357*31</f>
        <v>19920.600000000002</v>
      </c>
      <c r="Q357" s="68">
        <f>B357*D357*30</f>
        <v>19278</v>
      </c>
      <c r="R357" s="68">
        <f>B357*D357*31</f>
        <v>19920.600000000002</v>
      </c>
    </row>
    <row r="358" spans="1:18" s="14" customFormat="1" ht="15.75" customHeight="1">
      <c r="A358" s="103"/>
      <c r="B358" s="105"/>
      <c r="C358" s="106"/>
      <c r="D358" s="107"/>
      <c r="E358" s="108"/>
      <c r="F358" s="104"/>
      <c r="G358" s="108"/>
      <c r="H358" s="109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</row>
    <row r="359" spans="1:18" s="14" customFormat="1" ht="15.75" customHeight="1">
      <c r="A359" s="42" t="s">
        <v>98</v>
      </c>
      <c r="B359" s="32">
        <f>+B363+B378+B386</f>
        <v>404</v>
      </c>
      <c r="C359" s="42"/>
      <c r="D359" s="43"/>
      <c r="E359" s="53">
        <f>+E363+E378+E386</f>
        <v>6894255.999999999</v>
      </c>
      <c r="F359" s="44"/>
      <c r="G359" s="53">
        <f aca="true" t="shared" si="160" ref="G359:R359">+G363+G378+G386</f>
        <v>495929.32000000007</v>
      </c>
      <c r="H359" s="53">
        <f t="shared" si="160"/>
        <v>451037.13999999996</v>
      </c>
      <c r="I359" s="53">
        <f t="shared" si="160"/>
        <v>603350.26</v>
      </c>
      <c r="J359" s="53">
        <f t="shared" si="160"/>
        <v>636546</v>
      </c>
      <c r="K359" s="53">
        <f t="shared" si="160"/>
        <v>690992.26</v>
      </c>
      <c r="L359" s="53">
        <f t="shared" si="160"/>
        <v>547615.8</v>
      </c>
      <c r="M359" s="53">
        <f t="shared" si="160"/>
        <v>544694.8</v>
      </c>
      <c r="N359" s="53">
        <f t="shared" si="160"/>
        <v>542459</v>
      </c>
      <c r="O359" s="53">
        <f t="shared" si="160"/>
        <v>525187.5</v>
      </c>
      <c r="P359" s="53">
        <f t="shared" si="160"/>
        <v>576481.27</v>
      </c>
      <c r="Q359" s="53">
        <f t="shared" si="160"/>
        <v>690200.98</v>
      </c>
      <c r="R359" s="53">
        <f t="shared" si="160"/>
        <v>589761.67</v>
      </c>
    </row>
    <row r="360" spans="1:18" s="14" customFormat="1" ht="15.75" customHeight="1">
      <c r="A360" s="37" t="s">
        <v>27</v>
      </c>
      <c r="B360" s="42"/>
      <c r="C360" s="42"/>
      <c r="D360" s="43"/>
      <c r="E360" s="53"/>
      <c r="F360" s="44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</row>
    <row r="361" spans="1:18" s="14" customFormat="1" ht="15.75" customHeight="1">
      <c r="A361" s="37" t="s">
        <v>103</v>
      </c>
      <c r="B361" s="42"/>
      <c r="C361" s="42"/>
      <c r="D361" s="43"/>
      <c r="E361" s="53"/>
      <c r="F361" s="44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</row>
    <row r="362" spans="1:18" s="14" customFormat="1" ht="15.75" customHeight="1">
      <c r="A362" s="82" t="s">
        <v>55</v>
      </c>
      <c r="B362" s="42"/>
      <c r="C362" s="42"/>
      <c r="D362" s="43"/>
      <c r="E362" s="53"/>
      <c r="F362" s="44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</row>
    <row r="363" spans="1:18" s="14" customFormat="1" ht="15.75" customHeight="1">
      <c r="A363" s="81" t="s">
        <v>132</v>
      </c>
      <c r="B363" s="83">
        <f>SUM(B364:B375)</f>
        <v>38</v>
      </c>
      <c r="C363" s="42"/>
      <c r="D363" s="43"/>
      <c r="E363" s="53">
        <f>SUM(E364:E375)</f>
        <v>904923</v>
      </c>
      <c r="F363" s="44">
        <f>E363-(916683-11760)</f>
        <v>0</v>
      </c>
      <c r="G363" s="53">
        <f aca="true" t="shared" si="161" ref="G363:R363">SUM(G364:G375)</f>
        <v>69001.66</v>
      </c>
      <c r="H363" s="53">
        <f t="shared" si="161"/>
        <v>63466.479999999996</v>
      </c>
      <c r="I363" s="53">
        <f t="shared" si="161"/>
        <v>71215.06</v>
      </c>
      <c r="J363" s="53">
        <f t="shared" si="161"/>
        <v>68917.8</v>
      </c>
      <c r="K363" s="53">
        <f t="shared" si="161"/>
        <v>71215.06</v>
      </c>
      <c r="L363" s="53">
        <f t="shared" si="161"/>
        <v>69988.8</v>
      </c>
      <c r="M363" s="53">
        <f t="shared" si="161"/>
        <v>73428.46000000002</v>
      </c>
      <c r="N363" s="53">
        <f t="shared" si="161"/>
        <v>73428.46000000002</v>
      </c>
      <c r="O363" s="53">
        <f t="shared" si="161"/>
        <v>71059.8</v>
      </c>
      <c r="P363" s="53">
        <f t="shared" si="161"/>
        <v>73428.46000000002</v>
      </c>
      <c r="Q363" s="53">
        <f t="shared" si="161"/>
        <v>115277.5</v>
      </c>
      <c r="R363" s="53">
        <f t="shared" si="161"/>
        <v>84495.46000000002</v>
      </c>
    </row>
    <row r="364" spans="1:18" s="14" customFormat="1" ht="15.75" customHeight="1">
      <c r="A364" s="84" t="s">
        <v>66</v>
      </c>
      <c r="B364" s="46">
        <v>1</v>
      </c>
      <c r="C364" s="47">
        <v>365</v>
      </c>
      <c r="D364" s="48">
        <v>78.25</v>
      </c>
      <c r="E364" s="38">
        <f aca="true" t="shared" si="162" ref="E364:E372">+B364*C364*D364</f>
        <v>28561.25</v>
      </c>
      <c r="F364" s="36"/>
      <c r="G364" s="38">
        <f aca="true" t="shared" si="163" ref="G364:G372">B364*D364*31</f>
        <v>2425.75</v>
      </c>
      <c r="H364" s="49">
        <f aca="true" t="shared" si="164" ref="H364:H372">B364*D364*28</f>
        <v>2191</v>
      </c>
      <c r="I364" s="38">
        <f aca="true" t="shared" si="165" ref="I364:I372">B364*D364*31</f>
        <v>2425.75</v>
      </c>
      <c r="J364" s="38">
        <f aca="true" t="shared" si="166" ref="J364:J372">B364*D364*30</f>
        <v>2347.5</v>
      </c>
      <c r="K364" s="38">
        <f aca="true" t="shared" si="167" ref="K364:K372">B364*D364*31</f>
        <v>2425.75</v>
      </c>
      <c r="L364" s="38">
        <f aca="true" t="shared" si="168" ref="L364:L372">B364*D364*30</f>
        <v>2347.5</v>
      </c>
      <c r="M364" s="38">
        <f aca="true" t="shared" si="169" ref="M364:M372">B364*D364*31</f>
        <v>2425.75</v>
      </c>
      <c r="N364" s="38">
        <f aca="true" t="shared" si="170" ref="N364:N372">B364*D364*31</f>
        <v>2425.75</v>
      </c>
      <c r="O364" s="38">
        <f aca="true" t="shared" si="171" ref="O364:O372">B364*D364*30</f>
        <v>2347.5</v>
      </c>
      <c r="P364" s="38">
        <f aca="true" t="shared" si="172" ref="P364:P372">B364*D364*31</f>
        <v>2425.75</v>
      </c>
      <c r="Q364" s="38">
        <f aca="true" t="shared" si="173" ref="Q364:Q372">B364*D364*30</f>
        <v>2347.5</v>
      </c>
      <c r="R364" s="38">
        <f aca="true" t="shared" si="174" ref="R364:R372">B364*D364*31</f>
        <v>2425.75</v>
      </c>
    </row>
    <row r="365" spans="1:18" s="14" customFormat="1" ht="15.75" customHeight="1">
      <c r="A365" s="84" t="s">
        <v>73</v>
      </c>
      <c r="B365" s="46">
        <v>15</v>
      </c>
      <c r="C365" s="47">
        <v>365</v>
      </c>
      <c r="D365" s="48">
        <v>71.4</v>
      </c>
      <c r="E365" s="38">
        <f t="shared" si="162"/>
        <v>390915.00000000006</v>
      </c>
      <c r="F365" s="36"/>
      <c r="G365" s="38">
        <f t="shared" si="163"/>
        <v>33201</v>
      </c>
      <c r="H365" s="49">
        <f t="shared" si="164"/>
        <v>29988</v>
      </c>
      <c r="I365" s="38">
        <f t="shared" si="165"/>
        <v>33201</v>
      </c>
      <c r="J365" s="38">
        <f t="shared" si="166"/>
        <v>32130</v>
      </c>
      <c r="K365" s="38">
        <f t="shared" si="167"/>
        <v>33201</v>
      </c>
      <c r="L365" s="38">
        <f t="shared" si="168"/>
        <v>32130</v>
      </c>
      <c r="M365" s="38">
        <f t="shared" si="169"/>
        <v>33201</v>
      </c>
      <c r="N365" s="38">
        <f t="shared" si="170"/>
        <v>33201</v>
      </c>
      <c r="O365" s="38">
        <f t="shared" si="171"/>
        <v>32130</v>
      </c>
      <c r="P365" s="38">
        <f t="shared" si="172"/>
        <v>33201</v>
      </c>
      <c r="Q365" s="38">
        <f t="shared" si="173"/>
        <v>32130</v>
      </c>
      <c r="R365" s="38">
        <f t="shared" si="174"/>
        <v>33201</v>
      </c>
    </row>
    <row r="366" spans="1:18" s="14" customFormat="1" ht="15.75" customHeight="1">
      <c r="A366" s="84" t="s">
        <v>10</v>
      </c>
      <c r="B366" s="46">
        <v>1</v>
      </c>
      <c r="C366" s="47">
        <v>365</v>
      </c>
      <c r="D366" s="48">
        <v>71.4</v>
      </c>
      <c r="E366" s="38">
        <f t="shared" si="162"/>
        <v>26061.000000000004</v>
      </c>
      <c r="F366" s="36"/>
      <c r="G366" s="38">
        <f t="shared" si="163"/>
        <v>2213.4</v>
      </c>
      <c r="H366" s="49">
        <f t="shared" si="164"/>
        <v>1999.2000000000003</v>
      </c>
      <c r="I366" s="38">
        <f t="shared" si="165"/>
        <v>2213.4</v>
      </c>
      <c r="J366" s="38">
        <f t="shared" si="166"/>
        <v>2142</v>
      </c>
      <c r="K366" s="38">
        <f t="shared" si="167"/>
        <v>2213.4</v>
      </c>
      <c r="L366" s="38">
        <f t="shared" si="168"/>
        <v>2142</v>
      </c>
      <c r="M366" s="38">
        <f t="shared" si="169"/>
        <v>2213.4</v>
      </c>
      <c r="N366" s="38">
        <f t="shared" si="170"/>
        <v>2213.4</v>
      </c>
      <c r="O366" s="38">
        <f t="shared" si="171"/>
        <v>2142</v>
      </c>
      <c r="P366" s="38">
        <f t="shared" si="172"/>
        <v>2213.4</v>
      </c>
      <c r="Q366" s="38">
        <f t="shared" si="173"/>
        <v>2142</v>
      </c>
      <c r="R366" s="38">
        <f t="shared" si="174"/>
        <v>2213.4</v>
      </c>
    </row>
    <row r="367" spans="1:18" s="14" customFormat="1" ht="15.75" customHeight="1">
      <c r="A367" s="84" t="s">
        <v>10</v>
      </c>
      <c r="B367" s="46">
        <v>1</v>
      </c>
      <c r="C367" s="47">
        <v>199</v>
      </c>
      <c r="D367" s="48">
        <v>71.4</v>
      </c>
      <c r="E367" s="38">
        <f>+B367*C367*D367</f>
        <v>14208.6</v>
      </c>
      <c r="F367" s="36"/>
      <c r="G367" s="38">
        <v>0</v>
      </c>
      <c r="H367" s="38">
        <v>0</v>
      </c>
      <c r="I367" s="38">
        <v>0</v>
      </c>
      <c r="J367" s="38">
        <v>0</v>
      </c>
      <c r="K367" s="38">
        <v>0</v>
      </c>
      <c r="L367" s="38">
        <f>B367*D367*15</f>
        <v>1071</v>
      </c>
      <c r="M367" s="38">
        <f>B367*D367*31</f>
        <v>2213.4</v>
      </c>
      <c r="N367" s="38">
        <f>B367*D367*31</f>
        <v>2213.4</v>
      </c>
      <c r="O367" s="38">
        <f>B367*D367*30</f>
        <v>2142</v>
      </c>
      <c r="P367" s="38">
        <f>B367*D367*31</f>
        <v>2213.4</v>
      </c>
      <c r="Q367" s="38">
        <f>B367*D367*30</f>
        <v>2142</v>
      </c>
      <c r="R367" s="38">
        <f>B367*D367*31</f>
        <v>2213.4</v>
      </c>
    </row>
    <row r="368" spans="1:18" s="14" customFormat="1" ht="15.75" customHeight="1">
      <c r="A368" s="84" t="s">
        <v>10</v>
      </c>
      <c r="B368" s="46">
        <v>1</v>
      </c>
      <c r="C368" s="47">
        <v>322</v>
      </c>
      <c r="D368" s="48">
        <v>71.4</v>
      </c>
      <c r="E368" s="38">
        <f>+B368*C368*D368</f>
        <v>22990.800000000003</v>
      </c>
      <c r="F368" s="36"/>
      <c r="G368" s="38">
        <v>0</v>
      </c>
      <c r="H368" s="49">
        <f>B368*D368*16</f>
        <v>1142.4</v>
      </c>
      <c r="I368" s="38">
        <f>B368*D368*31</f>
        <v>2213.4</v>
      </c>
      <c r="J368" s="38">
        <f>B368*D368*30</f>
        <v>2142</v>
      </c>
      <c r="K368" s="38">
        <f>B368*D368*31</f>
        <v>2213.4</v>
      </c>
      <c r="L368" s="38">
        <f>B368*D368*30</f>
        <v>2142</v>
      </c>
      <c r="M368" s="38">
        <f>B368*D368*31</f>
        <v>2213.4</v>
      </c>
      <c r="N368" s="38">
        <f>B368*D368*31</f>
        <v>2213.4</v>
      </c>
      <c r="O368" s="38">
        <f>B368*D368*30</f>
        <v>2142</v>
      </c>
      <c r="P368" s="38">
        <f>B368*D368*31</f>
        <v>2213.4</v>
      </c>
      <c r="Q368" s="38">
        <f>B368*D368*30</f>
        <v>2142</v>
      </c>
      <c r="R368" s="38">
        <f>B368*D368*31</f>
        <v>2213.4</v>
      </c>
    </row>
    <row r="369" spans="1:18" s="14" customFormat="1" ht="15.75" customHeight="1">
      <c r="A369" s="84" t="s">
        <v>67</v>
      </c>
      <c r="B369" s="46">
        <v>3</v>
      </c>
      <c r="C369" s="47">
        <v>365</v>
      </c>
      <c r="D369" s="48">
        <v>71.4</v>
      </c>
      <c r="E369" s="38">
        <f>+B369*C369*D369</f>
        <v>78183</v>
      </c>
      <c r="F369" s="36"/>
      <c r="G369" s="38">
        <f>B369*D369*31</f>
        <v>6640.200000000001</v>
      </c>
      <c r="H369" s="49">
        <f>B369*D369*28</f>
        <v>5997.6</v>
      </c>
      <c r="I369" s="38">
        <f>B369*D369*31</f>
        <v>6640.200000000001</v>
      </c>
      <c r="J369" s="38">
        <f>B369*D369*30</f>
        <v>6426.000000000001</v>
      </c>
      <c r="K369" s="38">
        <f>B369*D369*31</f>
        <v>6640.200000000001</v>
      </c>
      <c r="L369" s="38">
        <f>B369*D369*30</f>
        <v>6426.000000000001</v>
      </c>
      <c r="M369" s="38">
        <f>B369*D369*31</f>
        <v>6640.200000000001</v>
      </c>
      <c r="N369" s="38">
        <f>B369*D369*31</f>
        <v>6640.200000000001</v>
      </c>
      <c r="O369" s="38">
        <f>B369*D369*30</f>
        <v>6426.000000000001</v>
      </c>
      <c r="P369" s="38">
        <f>B369*D369*31</f>
        <v>6640.200000000001</v>
      </c>
      <c r="Q369" s="38">
        <f>B369*D369*30</f>
        <v>6426.000000000001</v>
      </c>
      <c r="R369" s="38">
        <f>B369*D369*31</f>
        <v>6640.200000000001</v>
      </c>
    </row>
    <row r="370" spans="1:18" s="14" customFormat="1" ht="15.75" customHeight="1">
      <c r="A370" s="84" t="s">
        <v>75</v>
      </c>
      <c r="B370" s="46">
        <v>1</v>
      </c>
      <c r="C370" s="47">
        <v>365</v>
      </c>
      <c r="D370" s="48">
        <v>73.59</v>
      </c>
      <c r="E370" s="38">
        <f t="shared" si="162"/>
        <v>26860.350000000002</v>
      </c>
      <c r="F370" s="36"/>
      <c r="G370" s="38">
        <f t="shared" si="163"/>
        <v>2281.29</v>
      </c>
      <c r="H370" s="49">
        <f t="shared" si="164"/>
        <v>2060.52</v>
      </c>
      <c r="I370" s="38">
        <f t="shared" si="165"/>
        <v>2281.29</v>
      </c>
      <c r="J370" s="38">
        <f t="shared" si="166"/>
        <v>2207.7000000000003</v>
      </c>
      <c r="K370" s="38">
        <f t="shared" si="167"/>
        <v>2281.29</v>
      </c>
      <c r="L370" s="38">
        <f t="shared" si="168"/>
        <v>2207.7000000000003</v>
      </c>
      <c r="M370" s="38">
        <f t="shared" si="169"/>
        <v>2281.29</v>
      </c>
      <c r="N370" s="38">
        <f t="shared" si="170"/>
        <v>2281.29</v>
      </c>
      <c r="O370" s="38">
        <f t="shared" si="171"/>
        <v>2207.7000000000003</v>
      </c>
      <c r="P370" s="38">
        <f t="shared" si="172"/>
        <v>2281.29</v>
      </c>
      <c r="Q370" s="38">
        <f t="shared" si="173"/>
        <v>2207.7000000000003</v>
      </c>
      <c r="R370" s="38">
        <f t="shared" si="174"/>
        <v>2281.29</v>
      </c>
    </row>
    <row r="371" spans="1:18" s="14" customFormat="1" ht="15.75" customHeight="1">
      <c r="A371" s="84" t="s">
        <v>59</v>
      </c>
      <c r="B371" s="46">
        <v>3</v>
      </c>
      <c r="C371" s="47">
        <v>365</v>
      </c>
      <c r="D371" s="48">
        <v>72.54</v>
      </c>
      <c r="E371" s="38">
        <f t="shared" si="162"/>
        <v>79431.3</v>
      </c>
      <c r="F371" s="36"/>
      <c r="G371" s="38">
        <f t="shared" si="163"/>
        <v>6746.22</v>
      </c>
      <c r="H371" s="49">
        <f t="shared" si="164"/>
        <v>6093.360000000001</v>
      </c>
      <c r="I371" s="38">
        <f t="shared" si="165"/>
        <v>6746.22</v>
      </c>
      <c r="J371" s="38">
        <f t="shared" si="166"/>
        <v>6528.6</v>
      </c>
      <c r="K371" s="38">
        <f t="shared" si="167"/>
        <v>6746.22</v>
      </c>
      <c r="L371" s="38">
        <f t="shared" si="168"/>
        <v>6528.6</v>
      </c>
      <c r="M371" s="38">
        <f t="shared" si="169"/>
        <v>6746.22</v>
      </c>
      <c r="N371" s="38">
        <f t="shared" si="170"/>
        <v>6746.22</v>
      </c>
      <c r="O371" s="38">
        <f t="shared" si="171"/>
        <v>6528.6</v>
      </c>
      <c r="P371" s="38">
        <f t="shared" si="172"/>
        <v>6746.22</v>
      </c>
      <c r="Q371" s="38">
        <f t="shared" si="173"/>
        <v>6528.6</v>
      </c>
      <c r="R371" s="38">
        <f t="shared" si="174"/>
        <v>6746.22</v>
      </c>
    </row>
    <row r="372" spans="1:18" s="14" customFormat="1" ht="15.75" customHeight="1">
      <c r="A372" s="84" t="s">
        <v>76</v>
      </c>
      <c r="B372" s="46">
        <v>7</v>
      </c>
      <c r="C372" s="47">
        <v>365</v>
      </c>
      <c r="D372" s="48">
        <v>71.4</v>
      </c>
      <c r="E372" s="38">
        <f t="shared" si="162"/>
        <v>182427</v>
      </c>
      <c r="F372" s="36"/>
      <c r="G372" s="38">
        <f t="shared" si="163"/>
        <v>15493.800000000003</v>
      </c>
      <c r="H372" s="49">
        <f t="shared" si="164"/>
        <v>13994.400000000001</v>
      </c>
      <c r="I372" s="38">
        <f t="shared" si="165"/>
        <v>15493.800000000003</v>
      </c>
      <c r="J372" s="38">
        <f t="shared" si="166"/>
        <v>14994.000000000002</v>
      </c>
      <c r="K372" s="38">
        <f t="shared" si="167"/>
        <v>15493.800000000003</v>
      </c>
      <c r="L372" s="38">
        <f t="shared" si="168"/>
        <v>14994.000000000002</v>
      </c>
      <c r="M372" s="38">
        <f t="shared" si="169"/>
        <v>15493.800000000003</v>
      </c>
      <c r="N372" s="38">
        <f t="shared" si="170"/>
        <v>15493.800000000003</v>
      </c>
      <c r="O372" s="38">
        <f t="shared" si="171"/>
        <v>14994.000000000002</v>
      </c>
      <c r="P372" s="38">
        <f t="shared" si="172"/>
        <v>15493.800000000003</v>
      </c>
      <c r="Q372" s="38">
        <f t="shared" si="173"/>
        <v>14994.000000000002</v>
      </c>
      <c r="R372" s="38">
        <f t="shared" si="174"/>
        <v>15493.800000000003</v>
      </c>
    </row>
    <row r="373" spans="1:18" s="14" customFormat="1" ht="15.75" customHeight="1">
      <c r="A373" s="84" t="s">
        <v>73</v>
      </c>
      <c r="B373" s="46">
        <v>2</v>
      </c>
      <c r="C373" s="47">
        <v>60</v>
      </c>
      <c r="D373" s="48">
        <v>71.4</v>
      </c>
      <c r="E373" s="38">
        <f>+B373*C373*D373</f>
        <v>8568</v>
      </c>
      <c r="F373" s="36"/>
      <c r="G373" s="38">
        <v>0</v>
      </c>
      <c r="H373" s="38">
        <v>0</v>
      </c>
      <c r="I373" s="38">
        <v>0</v>
      </c>
      <c r="J373" s="38">
        <v>0</v>
      </c>
      <c r="K373" s="38">
        <v>0</v>
      </c>
      <c r="L373" s="38">
        <v>0</v>
      </c>
      <c r="M373" s="38">
        <v>0</v>
      </c>
      <c r="N373" s="38">
        <v>0</v>
      </c>
      <c r="O373" s="38">
        <v>0</v>
      </c>
      <c r="P373" s="38">
        <v>0</v>
      </c>
      <c r="Q373" s="38">
        <f>B373*D373*29</f>
        <v>4141.200000000001</v>
      </c>
      <c r="R373" s="38">
        <f>B373*D373*31</f>
        <v>4426.8</v>
      </c>
    </row>
    <row r="374" spans="1:18" s="14" customFormat="1" ht="15.75" customHeight="1">
      <c r="A374" s="84" t="s">
        <v>67</v>
      </c>
      <c r="B374" s="46">
        <v>3</v>
      </c>
      <c r="C374" s="47">
        <v>60</v>
      </c>
      <c r="D374" s="48">
        <v>71.4</v>
      </c>
      <c r="E374" s="38">
        <f>+B374*C374*D374</f>
        <v>12852.000000000002</v>
      </c>
      <c r="F374" s="36"/>
      <c r="G374" s="38">
        <v>0</v>
      </c>
      <c r="H374" s="38">
        <v>0</v>
      </c>
      <c r="I374" s="38">
        <v>0</v>
      </c>
      <c r="J374" s="38">
        <v>0</v>
      </c>
      <c r="K374" s="38">
        <v>0</v>
      </c>
      <c r="L374" s="38">
        <v>0</v>
      </c>
      <c r="M374" s="38">
        <v>0</v>
      </c>
      <c r="N374" s="38">
        <v>0</v>
      </c>
      <c r="O374" s="38">
        <v>0</v>
      </c>
      <c r="P374" s="38">
        <v>0</v>
      </c>
      <c r="Q374" s="38">
        <f>B374*D374*29</f>
        <v>6211.8</v>
      </c>
      <c r="R374" s="38">
        <f>B374*D374*31</f>
        <v>6640.200000000001</v>
      </c>
    </row>
    <row r="375" spans="1:18" s="14" customFormat="1" ht="15.75" customHeight="1">
      <c r="A375" s="84" t="s">
        <v>8</v>
      </c>
      <c r="B375" s="46"/>
      <c r="C375" s="47"/>
      <c r="D375" s="48"/>
      <c r="E375" s="38">
        <v>33864.7</v>
      </c>
      <c r="F375" s="36"/>
      <c r="G375" s="38"/>
      <c r="H375" s="49"/>
      <c r="I375" s="38"/>
      <c r="J375" s="38"/>
      <c r="K375" s="38"/>
      <c r="L375" s="38"/>
      <c r="M375" s="38"/>
      <c r="N375" s="38"/>
      <c r="O375" s="38"/>
      <c r="P375" s="38"/>
      <c r="Q375" s="38">
        <v>33864.7</v>
      </c>
      <c r="R375" s="38"/>
    </row>
    <row r="376" spans="1:18" s="14" customFormat="1" ht="19.5" customHeight="1">
      <c r="A376" s="84"/>
      <c r="B376" s="46"/>
      <c r="C376" s="47"/>
      <c r="D376" s="48"/>
      <c r="E376" s="52"/>
      <c r="F376" s="36"/>
      <c r="G376" s="52"/>
      <c r="H376" s="49"/>
      <c r="I376" s="38"/>
      <c r="J376" s="38"/>
      <c r="K376" s="38"/>
      <c r="L376" s="38"/>
      <c r="M376" s="38"/>
      <c r="N376" s="38"/>
      <c r="O376" s="38"/>
      <c r="P376" s="38"/>
      <c r="Q376" s="38"/>
      <c r="R376" s="38"/>
    </row>
    <row r="377" spans="1:18" s="14" customFormat="1" ht="19.5" customHeight="1">
      <c r="A377" s="40" t="s">
        <v>83</v>
      </c>
      <c r="B377" s="32"/>
      <c r="C377" s="47"/>
      <c r="D377" s="48"/>
      <c r="E377" s="53"/>
      <c r="F377" s="36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</row>
    <row r="378" spans="1:18" s="14" customFormat="1" ht="19.5" customHeight="1">
      <c r="A378" s="40" t="s">
        <v>133</v>
      </c>
      <c r="B378" s="32">
        <f>SUM(B379:B379)</f>
        <v>1</v>
      </c>
      <c r="C378" s="47"/>
      <c r="D378" s="48"/>
      <c r="E378" s="53">
        <f>SUM(E379:E383)</f>
        <v>32410.999999999996</v>
      </c>
      <c r="F378" s="44">
        <f>E378-(26061+6350)</f>
        <v>0</v>
      </c>
      <c r="G378" s="53">
        <f aca="true" t="shared" si="175" ref="G378:R378">SUM(G379:G383)</f>
        <v>0</v>
      </c>
      <c r="H378" s="53">
        <f t="shared" si="175"/>
        <v>0</v>
      </c>
      <c r="I378" s="53">
        <f t="shared" si="175"/>
        <v>0</v>
      </c>
      <c r="J378" s="53">
        <f t="shared" si="175"/>
        <v>0</v>
      </c>
      <c r="K378" s="53">
        <f t="shared" si="175"/>
        <v>0</v>
      </c>
      <c r="L378" s="53">
        <f t="shared" si="175"/>
        <v>0</v>
      </c>
      <c r="M378" s="53">
        <f t="shared" si="175"/>
        <v>0</v>
      </c>
      <c r="N378" s="53">
        <f t="shared" si="175"/>
        <v>0</v>
      </c>
      <c r="O378" s="53">
        <f t="shared" si="175"/>
        <v>0</v>
      </c>
      <c r="P378" s="53">
        <f t="shared" si="175"/>
        <v>9440.119999999999</v>
      </c>
      <c r="Q378" s="53">
        <f t="shared" si="175"/>
        <v>11317.36</v>
      </c>
      <c r="R378" s="53">
        <f t="shared" si="175"/>
        <v>11653.52</v>
      </c>
    </row>
    <row r="379" spans="1:18" s="14" customFormat="1" ht="18" customHeight="1">
      <c r="A379" s="45" t="s">
        <v>10</v>
      </c>
      <c r="B379" s="46">
        <v>1</v>
      </c>
      <c r="C379" s="47">
        <v>92</v>
      </c>
      <c r="D379" s="48">
        <v>71.4</v>
      </c>
      <c r="E379" s="38">
        <f>+B379*C379*D379</f>
        <v>6568.8</v>
      </c>
      <c r="F379" s="36"/>
      <c r="G379" s="38">
        <v>0</v>
      </c>
      <c r="H379" s="38">
        <v>0</v>
      </c>
      <c r="I379" s="38">
        <v>0</v>
      </c>
      <c r="J379" s="38">
        <v>0</v>
      </c>
      <c r="K379" s="38">
        <v>0</v>
      </c>
      <c r="L379" s="38">
        <v>0</v>
      </c>
      <c r="M379" s="38">
        <v>0</v>
      </c>
      <c r="N379" s="38">
        <v>0</v>
      </c>
      <c r="O379" s="38">
        <v>0</v>
      </c>
      <c r="P379" s="38">
        <f>B379*D379*31</f>
        <v>2213.4</v>
      </c>
      <c r="Q379" s="38">
        <f>B379*D379*30</f>
        <v>2142</v>
      </c>
      <c r="R379" s="38">
        <f>B379*D379*31</f>
        <v>2213.4</v>
      </c>
    </row>
    <row r="380" spans="1:18" s="14" customFormat="1" ht="18" customHeight="1">
      <c r="A380" s="45" t="s">
        <v>7</v>
      </c>
      <c r="B380" s="46">
        <v>1</v>
      </c>
      <c r="C380" s="47">
        <v>61</v>
      </c>
      <c r="D380" s="48">
        <v>71.4</v>
      </c>
      <c r="E380" s="38">
        <f>+B380*C380*D380</f>
        <v>4355.400000000001</v>
      </c>
      <c r="F380" s="36"/>
      <c r="G380" s="38">
        <v>0</v>
      </c>
      <c r="H380" s="38">
        <v>0</v>
      </c>
      <c r="I380" s="38">
        <v>0</v>
      </c>
      <c r="J380" s="38">
        <v>0</v>
      </c>
      <c r="K380" s="38">
        <v>0</v>
      </c>
      <c r="L380" s="38">
        <v>0</v>
      </c>
      <c r="M380" s="38">
        <v>0</v>
      </c>
      <c r="N380" s="38">
        <v>0</v>
      </c>
      <c r="O380" s="38">
        <v>0</v>
      </c>
      <c r="P380" s="38">
        <v>0</v>
      </c>
      <c r="Q380" s="38">
        <f>B380*D380*30</f>
        <v>2142</v>
      </c>
      <c r="R380" s="38">
        <f>B380*D380*31</f>
        <v>2213.4</v>
      </c>
    </row>
    <row r="381" spans="1:18" s="14" customFormat="1" ht="18" customHeight="1">
      <c r="A381" s="45" t="s">
        <v>10</v>
      </c>
      <c r="B381" s="46">
        <v>1</v>
      </c>
      <c r="C381" s="47">
        <v>92</v>
      </c>
      <c r="D381" s="48">
        <v>71.4</v>
      </c>
      <c r="E381" s="38">
        <f>+B381*C381*D381</f>
        <v>6568.8</v>
      </c>
      <c r="F381" s="36"/>
      <c r="G381" s="38">
        <v>0</v>
      </c>
      <c r="H381" s="38">
        <v>0</v>
      </c>
      <c r="I381" s="38">
        <v>0</v>
      </c>
      <c r="J381" s="38">
        <v>0</v>
      </c>
      <c r="K381" s="38">
        <v>0</v>
      </c>
      <c r="L381" s="38">
        <v>0</v>
      </c>
      <c r="M381" s="38">
        <v>0</v>
      </c>
      <c r="N381" s="38">
        <v>0</v>
      </c>
      <c r="O381" s="38">
        <v>0</v>
      </c>
      <c r="P381" s="38">
        <f>B381*D381*31</f>
        <v>2213.4</v>
      </c>
      <c r="Q381" s="38">
        <f>B381*D381*30</f>
        <v>2142</v>
      </c>
      <c r="R381" s="38">
        <f>B381*D381*31</f>
        <v>2213.4</v>
      </c>
    </row>
    <row r="382" spans="1:18" s="14" customFormat="1" ht="18" customHeight="1">
      <c r="A382" s="45" t="s">
        <v>140</v>
      </c>
      <c r="B382" s="46">
        <v>2</v>
      </c>
      <c r="C382" s="47">
        <v>92</v>
      </c>
      <c r="D382" s="48">
        <v>80.86</v>
      </c>
      <c r="E382" s="38">
        <f>+B382*C382*D382</f>
        <v>14878.24</v>
      </c>
      <c r="F382" s="36"/>
      <c r="G382" s="38">
        <v>0</v>
      </c>
      <c r="H382" s="38">
        <v>0</v>
      </c>
      <c r="I382" s="38">
        <v>0</v>
      </c>
      <c r="J382" s="38">
        <v>0</v>
      </c>
      <c r="K382" s="38">
        <v>0</v>
      </c>
      <c r="L382" s="38">
        <v>0</v>
      </c>
      <c r="M382" s="38">
        <v>0</v>
      </c>
      <c r="N382" s="38">
        <v>0</v>
      </c>
      <c r="O382" s="38">
        <v>0</v>
      </c>
      <c r="P382" s="38">
        <f>B382*D382*31</f>
        <v>5013.32</v>
      </c>
      <c r="Q382" s="38">
        <f>B382*D382*30</f>
        <v>4851.6</v>
      </c>
      <c r="R382" s="38">
        <f>B382*D382*31</f>
        <v>5013.32</v>
      </c>
    </row>
    <row r="383" spans="1:18" s="14" customFormat="1" ht="16.5" customHeight="1">
      <c r="A383" s="86" t="s">
        <v>8</v>
      </c>
      <c r="B383" s="63"/>
      <c r="C383" s="64"/>
      <c r="D383" s="65"/>
      <c r="E383" s="89">
        <v>39.76</v>
      </c>
      <c r="F383" s="67"/>
      <c r="G383" s="89"/>
      <c r="H383" s="69"/>
      <c r="I383" s="68"/>
      <c r="J383" s="68"/>
      <c r="K383" s="68"/>
      <c r="L383" s="68"/>
      <c r="M383" s="68"/>
      <c r="N383" s="68"/>
      <c r="O383" s="68"/>
      <c r="P383" s="68"/>
      <c r="Q383" s="68">
        <v>39.76</v>
      </c>
      <c r="R383" s="68"/>
    </row>
    <row r="384" spans="1:18" s="14" customFormat="1" ht="14.25" customHeight="1">
      <c r="A384" s="103"/>
      <c r="B384" s="105"/>
      <c r="C384" s="106"/>
      <c r="D384" s="107"/>
      <c r="E384" s="108"/>
      <c r="F384" s="104"/>
      <c r="G384" s="108"/>
      <c r="H384" s="111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</row>
    <row r="385" spans="1:18" s="14" customFormat="1" ht="15.75" customHeight="1">
      <c r="A385" s="85" t="s">
        <v>32</v>
      </c>
      <c r="B385" s="33"/>
      <c r="C385" s="33"/>
      <c r="D385" s="33"/>
      <c r="E385" s="33"/>
      <c r="F385" s="36"/>
      <c r="G385" s="38"/>
      <c r="H385" s="39"/>
      <c r="I385" s="38"/>
      <c r="J385" s="38"/>
      <c r="K385" s="38"/>
      <c r="L385" s="38"/>
      <c r="M385" s="38"/>
      <c r="N385" s="38"/>
      <c r="O385" s="38"/>
      <c r="P385" s="38"/>
      <c r="Q385" s="38"/>
      <c r="R385" s="38"/>
    </row>
    <row r="386" spans="1:18" s="14" customFormat="1" ht="15.75" customHeight="1">
      <c r="A386" s="82" t="s">
        <v>134</v>
      </c>
      <c r="B386" s="41">
        <f>SUM(B387:B414)</f>
        <v>365</v>
      </c>
      <c r="C386" s="42"/>
      <c r="D386" s="43"/>
      <c r="E386" s="53">
        <f>SUM(E387:E414)</f>
        <v>5956921.999999999</v>
      </c>
      <c r="F386" s="44">
        <f>+E386-(5881922+75000)</f>
        <v>0</v>
      </c>
      <c r="G386" s="53">
        <f aca="true" t="shared" si="176" ref="G386:R386">SUM(G387:G414)</f>
        <v>426927.66000000003</v>
      </c>
      <c r="H386" s="53">
        <f t="shared" si="176"/>
        <v>387570.66</v>
      </c>
      <c r="I386" s="53">
        <f t="shared" si="176"/>
        <v>532135.2</v>
      </c>
      <c r="J386" s="53">
        <f t="shared" si="176"/>
        <v>567628.2</v>
      </c>
      <c r="K386" s="53">
        <f t="shared" si="176"/>
        <v>619777.2000000001</v>
      </c>
      <c r="L386" s="53">
        <f t="shared" si="176"/>
        <v>477627</v>
      </c>
      <c r="M386" s="53">
        <f t="shared" si="176"/>
        <v>471266.34</v>
      </c>
      <c r="N386" s="53">
        <f t="shared" si="176"/>
        <v>469030.54000000004</v>
      </c>
      <c r="O386" s="53">
        <f t="shared" si="176"/>
        <v>454127.7</v>
      </c>
      <c r="P386" s="53">
        <f t="shared" si="176"/>
        <v>493612.69000000006</v>
      </c>
      <c r="Q386" s="53">
        <f t="shared" si="176"/>
        <v>563606.12</v>
      </c>
      <c r="R386" s="53">
        <f t="shared" si="176"/>
        <v>493612.69000000006</v>
      </c>
    </row>
    <row r="387" spans="1:18" s="14" customFormat="1" ht="15.75" customHeight="1">
      <c r="A387" s="84" t="s">
        <v>59</v>
      </c>
      <c r="B387" s="47">
        <v>16</v>
      </c>
      <c r="C387" s="47">
        <v>365</v>
      </c>
      <c r="D387" s="48">
        <v>72.54</v>
      </c>
      <c r="E387" s="38">
        <f>+B387*C387*D387</f>
        <v>423633.60000000003</v>
      </c>
      <c r="F387" s="44"/>
      <c r="G387" s="38">
        <f aca="true" t="shared" si="177" ref="G387:G399">B387*D387*31</f>
        <v>35979.840000000004</v>
      </c>
      <c r="H387" s="49">
        <f>B387*D387*28</f>
        <v>32497.920000000002</v>
      </c>
      <c r="I387" s="38">
        <f aca="true" t="shared" si="178" ref="I387:I393">B387*D387*31</f>
        <v>35979.840000000004</v>
      </c>
      <c r="J387" s="38">
        <f aca="true" t="shared" si="179" ref="J387:J394">B387*D387*30</f>
        <v>34819.200000000004</v>
      </c>
      <c r="K387" s="38">
        <f aca="true" t="shared" si="180" ref="K387:K399">B387*D387*31</f>
        <v>35979.840000000004</v>
      </c>
      <c r="L387" s="38">
        <f aca="true" t="shared" si="181" ref="L387:L399">B387*D387*30</f>
        <v>34819.200000000004</v>
      </c>
      <c r="M387" s="38">
        <f aca="true" t="shared" si="182" ref="M387:M399">B387*D387*31</f>
        <v>35979.840000000004</v>
      </c>
      <c r="N387" s="38">
        <f aca="true" t="shared" si="183" ref="N387:N399">B387*D387*31</f>
        <v>35979.840000000004</v>
      </c>
      <c r="O387" s="38">
        <f aca="true" t="shared" si="184" ref="O387:O399">B387*D387*30</f>
        <v>34819.200000000004</v>
      </c>
      <c r="P387" s="38">
        <f aca="true" t="shared" si="185" ref="P387:P399">B387*D387*31</f>
        <v>35979.840000000004</v>
      </c>
      <c r="Q387" s="38">
        <f aca="true" t="shared" si="186" ref="Q387:Q399">B387*D387*30</f>
        <v>34819.200000000004</v>
      </c>
      <c r="R387" s="38">
        <f aca="true" t="shared" si="187" ref="R387:R399">B387*D387*31</f>
        <v>35979.840000000004</v>
      </c>
    </row>
    <row r="388" spans="1:18" s="14" customFormat="1" ht="15.75" customHeight="1">
      <c r="A388" s="84" t="s">
        <v>59</v>
      </c>
      <c r="B388" s="47">
        <v>1</v>
      </c>
      <c r="C388" s="47">
        <v>333</v>
      </c>
      <c r="D388" s="48">
        <v>72.54</v>
      </c>
      <c r="E388" s="38">
        <f>+B388*C388*D388</f>
        <v>24155.820000000003</v>
      </c>
      <c r="F388" s="44"/>
      <c r="G388" s="38">
        <v>0</v>
      </c>
      <c r="H388" s="49">
        <f>B388*D388*27</f>
        <v>1958.5800000000002</v>
      </c>
      <c r="I388" s="38">
        <f t="shared" si="178"/>
        <v>2248.7400000000002</v>
      </c>
      <c r="J388" s="38">
        <f t="shared" si="179"/>
        <v>2176.2000000000003</v>
      </c>
      <c r="K388" s="38">
        <f>B388*D388*31</f>
        <v>2248.7400000000002</v>
      </c>
      <c r="L388" s="38">
        <f>B388*D388*30</f>
        <v>2176.2000000000003</v>
      </c>
      <c r="M388" s="38">
        <f>B388*D388*31</f>
        <v>2248.7400000000002</v>
      </c>
      <c r="N388" s="38">
        <f>B388*D388*31</f>
        <v>2248.7400000000002</v>
      </c>
      <c r="O388" s="38">
        <f>B388*D388*30</f>
        <v>2176.2000000000003</v>
      </c>
      <c r="P388" s="38">
        <f>B388*D388*31</f>
        <v>2248.7400000000002</v>
      </c>
      <c r="Q388" s="38">
        <f>B388*D388*30</f>
        <v>2176.2000000000003</v>
      </c>
      <c r="R388" s="38">
        <f>B388*D388*31</f>
        <v>2248.7400000000002</v>
      </c>
    </row>
    <row r="389" spans="1:18" s="14" customFormat="1" ht="15.75" customHeight="1">
      <c r="A389" s="84" t="s">
        <v>76</v>
      </c>
      <c r="B389" s="47">
        <v>20</v>
      </c>
      <c r="C389" s="47">
        <v>365</v>
      </c>
      <c r="D389" s="48">
        <v>71.4</v>
      </c>
      <c r="E389" s="38">
        <f aca="true" t="shared" si="188" ref="E389:E399">+B389*C389*D389</f>
        <v>521220.00000000006</v>
      </c>
      <c r="F389" s="44"/>
      <c r="G389" s="38">
        <f t="shared" si="177"/>
        <v>44268</v>
      </c>
      <c r="H389" s="49">
        <f>B389*D389*28</f>
        <v>39984</v>
      </c>
      <c r="I389" s="38">
        <f t="shared" si="178"/>
        <v>44268</v>
      </c>
      <c r="J389" s="38">
        <f t="shared" si="179"/>
        <v>42840</v>
      </c>
      <c r="K389" s="38">
        <f t="shared" si="180"/>
        <v>44268</v>
      </c>
      <c r="L389" s="38">
        <f t="shared" si="181"/>
        <v>42840</v>
      </c>
      <c r="M389" s="38">
        <f t="shared" si="182"/>
        <v>44268</v>
      </c>
      <c r="N389" s="38">
        <f t="shared" si="183"/>
        <v>44268</v>
      </c>
      <c r="O389" s="38">
        <f t="shared" si="184"/>
        <v>42840</v>
      </c>
      <c r="P389" s="38">
        <f t="shared" si="185"/>
        <v>44268</v>
      </c>
      <c r="Q389" s="38">
        <f t="shared" si="186"/>
        <v>42840</v>
      </c>
      <c r="R389" s="38">
        <f t="shared" si="187"/>
        <v>44268</v>
      </c>
    </row>
    <row r="390" spans="1:18" s="14" customFormat="1" ht="15.75" customHeight="1">
      <c r="A390" s="84" t="s">
        <v>89</v>
      </c>
      <c r="B390" s="47">
        <v>1</v>
      </c>
      <c r="C390" s="47">
        <v>306</v>
      </c>
      <c r="D390" s="48">
        <v>71.4</v>
      </c>
      <c r="E390" s="38">
        <f t="shared" si="188"/>
        <v>21848.4</v>
      </c>
      <c r="F390" s="44"/>
      <c r="G390" s="38">
        <v>0</v>
      </c>
      <c r="H390" s="38">
        <v>0</v>
      </c>
      <c r="I390" s="38">
        <f t="shared" si="178"/>
        <v>2213.4</v>
      </c>
      <c r="J390" s="38">
        <f t="shared" si="179"/>
        <v>2142</v>
      </c>
      <c r="K390" s="38">
        <f t="shared" si="180"/>
        <v>2213.4</v>
      </c>
      <c r="L390" s="38">
        <f t="shared" si="181"/>
        <v>2142</v>
      </c>
      <c r="M390" s="38">
        <f t="shared" si="182"/>
        <v>2213.4</v>
      </c>
      <c r="N390" s="38">
        <f t="shared" si="183"/>
        <v>2213.4</v>
      </c>
      <c r="O390" s="38">
        <f t="shared" si="184"/>
        <v>2142</v>
      </c>
      <c r="P390" s="38">
        <f t="shared" si="185"/>
        <v>2213.4</v>
      </c>
      <c r="Q390" s="38">
        <f t="shared" si="186"/>
        <v>2142</v>
      </c>
      <c r="R390" s="38">
        <f t="shared" si="187"/>
        <v>2213.4</v>
      </c>
    </row>
    <row r="391" spans="1:18" s="14" customFormat="1" ht="15.75" customHeight="1">
      <c r="A391" s="84" t="s">
        <v>10</v>
      </c>
      <c r="B391" s="47">
        <v>10</v>
      </c>
      <c r="C391" s="47">
        <v>365</v>
      </c>
      <c r="D391" s="48">
        <v>71.4</v>
      </c>
      <c r="E391" s="38">
        <f t="shared" si="188"/>
        <v>260610.00000000003</v>
      </c>
      <c r="F391" s="44"/>
      <c r="G391" s="38">
        <f t="shared" si="177"/>
        <v>22134</v>
      </c>
      <c r="H391" s="49">
        <f>B391*D391*28</f>
        <v>19992</v>
      </c>
      <c r="I391" s="38">
        <f t="shared" si="178"/>
        <v>22134</v>
      </c>
      <c r="J391" s="38">
        <f t="shared" si="179"/>
        <v>21420</v>
      </c>
      <c r="K391" s="38">
        <f t="shared" si="180"/>
        <v>22134</v>
      </c>
      <c r="L391" s="38">
        <f t="shared" si="181"/>
        <v>21420</v>
      </c>
      <c r="M391" s="38">
        <f t="shared" si="182"/>
        <v>22134</v>
      </c>
      <c r="N391" s="38">
        <f t="shared" si="183"/>
        <v>22134</v>
      </c>
      <c r="O391" s="38">
        <f t="shared" si="184"/>
        <v>21420</v>
      </c>
      <c r="P391" s="38">
        <f t="shared" si="185"/>
        <v>22134</v>
      </c>
      <c r="Q391" s="38">
        <f t="shared" si="186"/>
        <v>21420</v>
      </c>
      <c r="R391" s="38">
        <f t="shared" si="187"/>
        <v>22134</v>
      </c>
    </row>
    <row r="392" spans="1:18" s="14" customFormat="1" ht="15.75" customHeight="1">
      <c r="A392" s="84" t="s">
        <v>10</v>
      </c>
      <c r="B392" s="47">
        <v>1</v>
      </c>
      <c r="C392" s="47">
        <v>334</v>
      </c>
      <c r="D392" s="48">
        <v>71.4</v>
      </c>
      <c r="E392" s="38">
        <f aca="true" t="shared" si="189" ref="E392:E397">+B392*C392*D392</f>
        <v>23847.600000000002</v>
      </c>
      <c r="F392" s="44"/>
      <c r="G392" s="38">
        <v>0</v>
      </c>
      <c r="H392" s="49">
        <f>B392*D392*28</f>
        <v>1999.2000000000003</v>
      </c>
      <c r="I392" s="38">
        <f t="shared" si="178"/>
        <v>2213.4</v>
      </c>
      <c r="J392" s="38">
        <f t="shared" si="179"/>
        <v>2142</v>
      </c>
      <c r="K392" s="38">
        <f aca="true" t="shared" si="190" ref="K392:K397">B392*D392*31</f>
        <v>2213.4</v>
      </c>
      <c r="L392" s="38">
        <f aca="true" t="shared" si="191" ref="L392:L397">B392*D392*30</f>
        <v>2142</v>
      </c>
      <c r="M392" s="38">
        <f aca="true" t="shared" si="192" ref="M392:M397">B392*D392*31</f>
        <v>2213.4</v>
      </c>
      <c r="N392" s="38">
        <f aca="true" t="shared" si="193" ref="N392:N397">B392*D392*31</f>
        <v>2213.4</v>
      </c>
      <c r="O392" s="38">
        <f aca="true" t="shared" si="194" ref="O392:O397">B392*D392*30</f>
        <v>2142</v>
      </c>
      <c r="P392" s="38">
        <f aca="true" t="shared" si="195" ref="P392:P397">B392*D392*31</f>
        <v>2213.4</v>
      </c>
      <c r="Q392" s="38">
        <f aca="true" t="shared" si="196" ref="Q392:Q397">B392*D392*30</f>
        <v>2142</v>
      </c>
      <c r="R392" s="38">
        <f aca="true" t="shared" si="197" ref="R392:R397">B392*D392*31</f>
        <v>2213.4</v>
      </c>
    </row>
    <row r="393" spans="1:18" s="14" customFormat="1" ht="15.75" customHeight="1">
      <c r="A393" s="84" t="s">
        <v>10</v>
      </c>
      <c r="B393" s="47">
        <v>1</v>
      </c>
      <c r="C393" s="47">
        <v>306</v>
      </c>
      <c r="D393" s="48">
        <v>71.4</v>
      </c>
      <c r="E393" s="38">
        <f t="shared" si="189"/>
        <v>21848.4</v>
      </c>
      <c r="F393" s="44"/>
      <c r="G393" s="38">
        <v>0</v>
      </c>
      <c r="H393" s="49">
        <v>0</v>
      </c>
      <c r="I393" s="38">
        <f t="shared" si="178"/>
        <v>2213.4</v>
      </c>
      <c r="J393" s="38">
        <f t="shared" si="179"/>
        <v>2142</v>
      </c>
      <c r="K393" s="38">
        <f t="shared" si="190"/>
        <v>2213.4</v>
      </c>
      <c r="L393" s="38">
        <f t="shared" si="191"/>
        <v>2142</v>
      </c>
      <c r="M393" s="38">
        <f t="shared" si="192"/>
        <v>2213.4</v>
      </c>
      <c r="N393" s="38">
        <f t="shared" si="193"/>
        <v>2213.4</v>
      </c>
      <c r="O393" s="38">
        <f t="shared" si="194"/>
        <v>2142</v>
      </c>
      <c r="P393" s="38">
        <f t="shared" si="195"/>
        <v>2213.4</v>
      </c>
      <c r="Q393" s="38">
        <f t="shared" si="196"/>
        <v>2142</v>
      </c>
      <c r="R393" s="38">
        <f t="shared" si="197"/>
        <v>2213.4</v>
      </c>
    </row>
    <row r="394" spans="1:18" s="14" customFormat="1" ht="15.75" customHeight="1">
      <c r="A394" s="84" t="s">
        <v>10</v>
      </c>
      <c r="B394" s="47">
        <v>1</v>
      </c>
      <c r="C394" s="47">
        <v>329</v>
      </c>
      <c r="D394" s="48">
        <v>71.4</v>
      </c>
      <c r="E394" s="38">
        <f t="shared" si="189"/>
        <v>23490.600000000002</v>
      </c>
      <c r="F394" s="44"/>
      <c r="G394" s="38">
        <f t="shared" si="177"/>
        <v>2213.4</v>
      </c>
      <c r="H394" s="49">
        <v>0</v>
      </c>
      <c r="I394" s="38">
        <f>B394*D394*23</f>
        <v>1642.2</v>
      </c>
      <c r="J394" s="38">
        <f t="shared" si="179"/>
        <v>2142</v>
      </c>
      <c r="K394" s="38">
        <f t="shared" si="190"/>
        <v>2213.4</v>
      </c>
      <c r="L394" s="38">
        <f t="shared" si="191"/>
        <v>2142</v>
      </c>
      <c r="M394" s="38">
        <f t="shared" si="192"/>
        <v>2213.4</v>
      </c>
      <c r="N394" s="38">
        <f t="shared" si="193"/>
        <v>2213.4</v>
      </c>
      <c r="O394" s="38">
        <f t="shared" si="194"/>
        <v>2142</v>
      </c>
      <c r="P394" s="38">
        <f t="shared" si="195"/>
        <v>2213.4</v>
      </c>
      <c r="Q394" s="38">
        <f t="shared" si="196"/>
        <v>2142</v>
      </c>
      <c r="R394" s="38">
        <f t="shared" si="197"/>
        <v>2213.4</v>
      </c>
    </row>
    <row r="395" spans="1:18" s="14" customFormat="1" ht="15.75" customHeight="1">
      <c r="A395" s="84" t="s">
        <v>10</v>
      </c>
      <c r="B395" s="47">
        <v>1</v>
      </c>
      <c r="C395" s="47">
        <v>338</v>
      </c>
      <c r="D395" s="48">
        <v>71.4</v>
      </c>
      <c r="E395" s="38">
        <f t="shared" si="189"/>
        <v>24133.2</v>
      </c>
      <c r="F395" s="44"/>
      <c r="G395" s="38">
        <f>B395*D395*31</f>
        <v>2213.4</v>
      </c>
      <c r="H395" s="49">
        <f>B395*D395*28</f>
        <v>1999.2000000000003</v>
      </c>
      <c r="I395" s="38">
        <f>B395*D395*31</f>
        <v>2213.4</v>
      </c>
      <c r="J395" s="38">
        <f>B395*D395*3</f>
        <v>214.20000000000002</v>
      </c>
      <c r="K395" s="38">
        <f t="shared" si="190"/>
        <v>2213.4</v>
      </c>
      <c r="L395" s="38">
        <f t="shared" si="191"/>
        <v>2142</v>
      </c>
      <c r="M395" s="38">
        <f t="shared" si="192"/>
        <v>2213.4</v>
      </c>
      <c r="N395" s="38">
        <f t="shared" si="193"/>
        <v>2213.4</v>
      </c>
      <c r="O395" s="38">
        <f t="shared" si="194"/>
        <v>2142</v>
      </c>
      <c r="P395" s="38">
        <f t="shared" si="195"/>
        <v>2213.4</v>
      </c>
      <c r="Q395" s="38">
        <f t="shared" si="196"/>
        <v>2142</v>
      </c>
      <c r="R395" s="38">
        <f t="shared" si="197"/>
        <v>2213.4</v>
      </c>
    </row>
    <row r="396" spans="1:18" s="14" customFormat="1" ht="15.75" customHeight="1">
      <c r="A396" s="84" t="s">
        <v>10</v>
      </c>
      <c r="B396" s="47">
        <v>1</v>
      </c>
      <c r="C396" s="47">
        <v>275</v>
      </c>
      <c r="D396" s="48">
        <v>71.4</v>
      </c>
      <c r="E396" s="38">
        <f t="shared" si="189"/>
        <v>19635</v>
      </c>
      <c r="F396" s="44"/>
      <c r="G396" s="38">
        <v>0</v>
      </c>
      <c r="H396" s="49">
        <v>0</v>
      </c>
      <c r="I396" s="38">
        <v>0</v>
      </c>
      <c r="J396" s="38">
        <f>B396*D396*30</f>
        <v>2142</v>
      </c>
      <c r="K396" s="38">
        <f t="shared" si="190"/>
        <v>2213.4</v>
      </c>
      <c r="L396" s="38">
        <f t="shared" si="191"/>
        <v>2142</v>
      </c>
      <c r="M396" s="38">
        <f t="shared" si="192"/>
        <v>2213.4</v>
      </c>
      <c r="N396" s="38">
        <f t="shared" si="193"/>
        <v>2213.4</v>
      </c>
      <c r="O396" s="38">
        <f t="shared" si="194"/>
        <v>2142</v>
      </c>
      <c r="P396" s="38">
        <f t="shared" si="195"/>
        <v>2213.4</v>
      </c>
      <c r="Q396" s="38">
        <f t="shared" si="196"/>
        <v>2142</v>
      </c>
      <c r="R396" s="38">
        <f t="shared" si="197"/>
        <v>2213.4</v>
      </c>
    </row>
    <row r="397" spans="1:18" s="14" customFormat="1" ht="15.75" customHeight="1">
      <c r="A397" s="84" t="s">
        <v>10</v>
      </c>
      <c r="B397" s="47">
        <v>1</v>
      </c>
      <c r="C397" s="47">
        <v>245</v>
      </c>
      <c r="D397" s="48">
        <v>71.4</v>
      </c>
      <c r="E397" s="38">
        <f t="shared" si="189"/>
        <v>17493</v>
      </c>
      <c r="F397" s="44"/>
      <c r="G397" s="38">
        <v>0</v>
      </c>
      <c r="H397" s="49">
        <v>0</v>
      </c>
      <c r="I397" s="38">
        <v>0</v>
      </c>
      <c r="J397" s="38">
        <v>0</v>
      </c>
      <c r="K397" s="38">
        <f t="shared" si="190"/>
        <v>2213.4</v>
      </c>
      <c r="L397" s="38">
        <f t="shared" si="191"/>
        <v>2142</v>
      </c>
      <c r="M397" s="38">
        <f t="shared" si="192"/>
        <v>2213.4</v>
      </c>
      <c r="N397" s="38">
        <f t="shared" si="193"/>
        <v>2213.4</v>
      </c>
      <c r="O397" s="38">
        <f t="shared" si="194"/>
        <v>2142</v>
      </c>
      <c r="P397" s="38">
        <f t="shared" si="195"/>
        <v>2213.4</v>
      </c>
      <c r="Q397" s="38">
        <f t="shared" si="196"/>
        <v>2142</v>
      </c>
      <c r="R397" s="38">
        <f t="shared" si="197"/>
        <v>2213.4</v>
      </c>
    </row>
    <row r="398" spans="1:18" s="14" customFormat="1" ht="15.75" customHeight="1">
      <c r="A398" s="84" t="s">
        <v>60</v>
      </c>
      <c r="B398" s="47">
        <v>1</v>
      </c>
      <c r="C398" s="47">
        <v>365</v>
      </c>
      <c r="D398" s="48">
        <v>76.59</v>
      </c>
      <c r="E398" s="38">
        <f t="shared" si="188"/>
        <v>27955.350000000002</v>
      </c>
      <c r="F398" s="44"/>
      <c r="G398" s="38">
        <f t="shared" si="177"/>
        <v>2374.29</v>
      </c>
      <c r="H398" s="49">
        <f>B398*D398*28</f>
        <v>2144.52</v>
      </c>
      <c r="I398" s="38">
        <f>B398*D398*31</f>
        <v>2374.29</v>
      </c>
      <c r="J398" s="38">
        <f>B398*D398*30</f>
        <v>2297.7000000000003</v>
      </c>
      <c r="K398" s="38">
        <f t="shared" si="180"/>
        <v>2374.29</v>
      </c>
      <c r="L398" s="38">
        <f t="shared" si="181"/>
        <v>2297.7000000000003</v>
      </c>
      <c r="M398" s="38">
        <f t="shared" si="182"/>
        <v>2374.29</v>
      </c>
      <c r="N398" s="38">
        <f t="shared" si="183"/>
        <v>2374.29</v>
      </c>
      <c r="O398" s="38">
        <f t="shared" si="184"/>
        <v>2297.7000000000003</v>
      </c>
      <c r="P398" s="38">
        <f t="shared" si="185"/>
        <v>2374.29</v>
      </c>
      <c r="Q398" s="38">
        <f t="shared" si="186"/>
        <v>2297.7000000000003</v>
      </c>
      <c r="R398" s="38">
        <f t="shared" si="187"/>
        <v>2374.29</v>
      </c>
    </row>
    <row r="399" spans="1:18" s="14" customFormat="1" ht="15.75" customHeight="1">
      <c r="A399" s="84" t="s">
        <v>90</v>
      </c>
      <c r="B399" s="47">
        <v>1</v>
      </c>
      <c r="C399" s="47">
        <v>365</v>
      </c>
      <c r="D399" s="48">
        <v>72.54</v>
      </c>
      <c r="E399" s="38">
        <f t="shared" si="188"/>
        <v>26477.100000000002</v>
      </c>
      <c r="F399" s="44"/>
      <c r="G399" s="38">
        <f t="shared" si="177"/>
        <v>2248.7400000000002</v>
      </c>
      <c r="H399" s="49">
        <f>B399*D399*28</f>
        <v>2031.1200000000001</v>
      </c>
      <c r="I399" s="38">
        <f>B399*D399*31</f>
        <v>2248.7400000000002</v>
      </c>
      <c r="J399" s="38">
        <f>B399*D399*30</f>
        <v>2176.2000000000003</v>
      </c>
      <c r="K399" s="38">
        <f t="shared" si="180"/>
        <v>2248.7400000000002</v>
      </c>
      <c r="L399" s="38">
        <f t="shared" si="181"/>
        <v>2176.2000000000003</v>
      </c>
      <c r="M399" s="38">
        <f t="shared" si="182"/>
        <v>2248.7400000000002</v>
      </c>
      <c r="N399" s="38">
        <f t="shared" si="183"/>
        <v>2248.7400000000002</v>
      </c>
      <c r="O399" s="38">
        <f t="shared" si="184"/>
        <v>2176.2000000000003</v>
      </c>
      <c r="P399" s="38">
        <f t="shared" si="185"/>
        <v>2248.7400000000002</v>
      </c>
      <c r="Q399" s="38">
        <f t="shared" si="186"/>
        <v>2176.2000000000003</v>
      </c>
      <c r="R399" s="38">
        <f t="shared" si="187"/>
        <v>2248.7400000000002</v>
      </c>
    </row>
    <row r="400" spans="1:18" s="14" customFormat="1" ht="15.75" customHeight="1">
      <c r="A400" s="84" t="s">
        <v>65</v>
      </c>
      <c r="B400" s="47">
        <v>1</v>
      </c>
      <c r="C400" s="47">
        <v>244</v>
      </c>
      <c r="D400" s="48">
        <v>72.54</v>
      </c>
      <c r="E400" s="38">
        <f aca="true" t="shared" si="198" ref="E400:E413">+B400*C400*D400</f>
        <v>17699.760000000002</v>
      </c>
      <c r="F400" s="44"/>
      <c r="G400" s="38">
        <v>0</v>
      </c>
      <c r="H400" s="38">
        <v>0</v>
      </c>
      <c r="I400" s="38">
        <v>0</v>
      </c>
      <c r="J400" s="38">
        <v>0</v>
      </c>
      <c r="K400" s="38">
        <f>B400*D400*30</f>
        <v>2176.2000000000003</v>
      </c>
      <c r="L400" s="38">
        <f>B400*D400*30</f>
        <v>2176.2000000000003</v>
      </c>
      <c r="M400" s="38">
        <f>B400*D400*31</f>
        <v>2248.7400000000002</v>
      </c>
      <c r="N400" s="38">
        <f>B400*D400*31</f>
        <v>2248.7400000000002</v>
      </c>
      <c r="O400" s="38">
        <f>B400*D400*30</f>
        <v>2176.2000000000003</v>
      </c>
      <c r="P400" s="38">
        <f aca="true" t="shared" si="199" ref="P400:P408">B400*D400*31</f>
        <v>2248.7400000000002</v>
      </c>
      <c r="Q400" s="38">
        <f aca="true" t="shared" si="200" ref="Q400:Q408">B400*D400*30</f>
        <v>2176.2000000000003</v>
      </c>
      <c r="R400" s="38">
        <f aca="true" t="shared" si="201" ref="R400:R408">B400*D400*31</f>
        <v>2248.7400000000002</v>
      </c>
    </row>
    <row r="401" spans="1:18" s="14" customFormat="1" ht="15.75" customHeight="1">
      <c r="A401" s="84" t="s">
        <v>66</v>
      </c>
      <c r="B401" s="47">
        <v>5</v>
      </c>
      <c r="C401" s="47">
        <v>365</v>
      </c>
      <c r="D401" s="48">
        <v>78.25</v>
      </c>
      <c r="E401" s="38">
        <f t="shared" si="198"/>
        <v>142806.25</v>
      </c>
      <c r="F401" s="44"/>
      <c r="G401" s="38">
        <f>B401*D401*31</f>
        <v>12128.75</v>
      </c>
      <c r="H401" s="49">
        <f>B401*D401*28</f>
        <v>10955</v>
      </c>
      <c r="I401" s="38">
        <f>B401*D401*31</f>
        <v>12128.75</v>
      </c>
      <c r="J401" s="38">
        <f>B401*D401*30</f>
        <v>11737.5</v>
      </c>
      <c r="K401" s="38">
        <f>B401*D401*31</f>
        <v>12128.75</v>
      </c>
      <c r="L401" s="38">
        <f>B401*D401*30</f>
        <v>11737.5</v>
      </c>
      <c r="M401" s="38">
        <f>B401*D401*31</f>
        <v>12128.75</v>
      </c>
      <c r="N401" s="38">
        <f>B401*D401*31</f>
        <v>12128.75</v>
      </c>
      <c r="O401" s="38">
        <f>B401*D401*30</f>
        <v>11737.5</v>
      </c>
      <c r="P401" s="38">
        <f t="shared" si="199"/>
        <v>12128.75</v>
      </c>
      <c r="Q401" s="38">
        <f t="shared" si="200"/>
        <v>11737.5</v>
      </c>
      <c r="R401" s="38">
        <f t="shared" si="201"/>
        <v>12128.75</v>
      </c>
    </row>
    <row r="402" spans="1:18" s="14" customFormat="1" ht="15.75" customHeight="1">
      <c r="A402" s="84" t="s">
        <v>67</v>
      </c>
      <c r="B402" s="47">
        <v>111</v>
      </c>
      <c r="C402" s="47">
        <v>365</v>
      </c>
      <c r="D402" s="48">
        <v>71.4</v>
      </c>
      <c r="E402" s="38">
        <f t="shared" si="198"/>
        <v>2892771</v>
      </c>
      <c r="F402" s="44"/>
      <c r="G402" s="38">
        <f>B402*D402*31</f>
        <v>245687.40000000002</v>
      </c>
      <c r="H402" s="49">
        <f>B402*D402*28</f>
        <v>221911.2</v>
      </c>
      <c r="I402" s="38">
        <f>B402*D402*31</f>
        <v>245687.40000000002</v>
      </c>
      <c r="J402" s="38">
        <f>B402*D402*30</f>
        <v>237762.00000000003</v>
      </c>
      <c r="K402" s="38">
        <f>B402*D402*31</f>
        <v>245687.40000000002</v>
      </c>
      <c r="L402" s="38">
        <f>B402*D402*30</f>
        <v>237762.00000000003</v>
      </c>
      <c r="M402" s="38">
        <f>B402*D402*31</f>
        <v>245687.40000000002</v>
      </c>
      <c r="N402" s="38">
        <f>B402*D402*31</f>
        <v>245687.40000000002</v>
      </c>
      <c r="O402" s="38">
        <f>B402*D402*30</f>
        <v>237762.00000000003</v>
      </c>
      <c r="P402" s="38">
        <f t="shared" si="199"/>
        <v>245687.40000000002</v>
      </c>
      <c r="Q402" s="38">
        <f t="shared" si="200"/>
        <v>237762.00000000003</v>
      </c>
      <c r="R402" s="38">
        <f t="shared" si="201"/>
        <v>245687.40000000002</v>
      </c>
    </row>
    <row r="403" spans="1:18" s="14" customFormat="1" ht="15.75" customHeight="1">
      <c r="A403" s="84" t="s">
        <v>67</v>
      </c>
      <c r="B403" s="47">
        <v>10</v>
      </c>
      <c r="C403" s="47">
        <v>244</v>
      </c>
      <c r="D403" s="48">
        <v>71.4</v>
      </c>
      <c r="E403" s="38">
        <f t="shared" si="198"/>
        <v>174216</v>
      </c>
      <c r="F403" s="44"/>
      <c r="G403" s="38">
        <v>0</v>
      </c>
      <c r="H403" s="38">
        <v>0</v>
      </c>
      <c r="I403" s="38">
        <v>0</v>
      </c>
      <c r="J403" s="38">
        <v>0</v>
      </c>
      <c r="K403" s="38">
        <f>B403*D403*30</f>
        <v>21420</v>
      </c>
      <c r="L403" s="38">
        <f>B403*D403*30</f>
        <v>21420</v>
      </c>
      <c r="M403" s="38">
        <f>B403*D403*31</f>
        <v>22134</v>
      </c>
      <c r="N403" s="38">
        <f>B403*D403*31</f>
        <v>22134</v>
      </c>
      <c r="O403" s="38">
        <f>B403*D403*30</f>
        <v>21420</v>
      </c>
      <c r="P403" s="38">
        <f t="shared" si="199"/>
        <v>22134</v>
      </c>
      <c r="Q403" s="38">
        <f t="shared" si="200"/>
        <v>21420</v>
      </c>
      <c r="R403" s="38">
        <f t="shared" si="201"/>
        <v>22134</v>
      </c>
    </row>
    <row r="404" spans="1:18" s="14" customFormat="1" ht="15.75" customHeight="1">
      <c r="A404" s="84" t="s">
        <v>67</v>
      </c>
      <c r="B404" s="47">
        <v>11</v>
      </c>
      <c r="C404" s="47">
        <v>92</v>
      </c>
      <c r="D404" s="48">
        <v>71.4</v>
      </c>
      <c r="E404" s="38">
        <f t="shared" si="198"/>
        <v>72256.8</v>
      </c>
      <c r="F404" s="44"/>
      <c r="G404" s="38">
        <v>0</v>
      </c>
      <c r="H404" s="38">
        <v>0</v>
      </c>
      <c r="I404" s="38">
        <v>0</v>
      </c>
      <c r="J404" s="38">
        <v>0</v>
      </c>
      <c r="K404" s="38">
        <v>0</v>
      </c>
      <c r="L404" s="38">
        <v>0</v>
      </c>
      <c r="M404" s="38">
        <v>0</v>
      </c>
      <c r="N404" s="38">
        <v>0</v>
      </c>
      <c r="O404" s="38">
        <v>0</v>
      </c>
      <c r="P404" s="38">
        <f t="shared" si="199"/>
        <v>24347.4</v>
      </c>
      <c r="Q404" s="38">
        <f t="shared" si="200"/>
        <v>23562.000000000004</v>
      </c>
      <c r="R404" s="38">
        <f t="shared" si="201"/>
        <v>24347.4</v>
      </c>
    </row>
    <row r="405" spans="1:18" s="14" customFormat="1" ht="15.75" customHeight="1">
      <c r="A405" s="84" t="s">
        <v>73</v>
      </c>
      <c r="B405" s="47">
        <v>25</v>
      </c>
      <c r="C405" s="47">
        <v>365</v>
      </c>
      <c r="D405" s="48">
        <v>71.4</v>
      </c>
      <c r="E405" s="38">
        <f t="shared" si="198"/>
        <v>651525</v>
      </c>
      <c r="F405" s="44"/>
      <c r="G405" s="38">
        <f>B405*D405*31</f>
        <v>55335.00000000001</v>
      </c>
      <c r="H405" s="49">
        <f>B405*D405*28</f>
        <v>49980.00000000001</v>
      </c>
      <c r="I405" s="38">
        <f>B405*D405*31</f>
        <v>55335.00000000001</v>
      </c>
      <c r="J405" s="38">
        <f>B405*D405*30</f>
        <v>53550.00000000001</v>
      </c>
      <c r="K405" s="38">
        <f>B405*D405*31</f>
        <v>55335.00000000001</v>
      </c>
      <c r="L405" s="38">
        <f>B405*D405*30</f>
        <v>53550.00000000001</v>
      </c>
      <c r="M405" s="38">
        <f>B405*D405*31</f>
        <v>55335.00000000001</v>
      </c>
      <c r="N405" s="38">
        <f>B405*D405*31</f>
        <v>55335.00000000001</v>
      </c>
      <c r="O405" s="38">
        <f>B405*D405*30</f>
        <v>53550.00000000001</v>
      </c>
      <c r="P405" s="38">
        <f t="shared" si="199"/>
        <v>55335.00000000001</v>
      </c>
      <c r="Q405" s="38">
        <f t="shared" si="200"/>
        <v>53550.00000000001</v>
      </c>
      <c r="R405" s="38">
        <f t="shared" si="201"/>
        <v>55335.00000000001</v>
      </c>
    </row>
    <row r="406" spans="1:18" s="14" customFormat="1" ht="15.75" customHeight="1">
      <c r="A406" s="84" t="s">
        <v>73</v>
      </c>
      <c r="B406" s="47">
        <v>1</v>
      </c>
      <c r="C406" s="47">
        <v>292</v>
      </c>
      <c r="D406" s="48">
        <v>71.4</v>
      </c>
      <c r="E406" s="38">
        <f t="shared" si="198"/>
        <v>20848.800000000003</v>
      </c>
      <c r="F406" s="44"/>
      <c r="G406" s="38">
        <v>0</v>
      </c>
      <c r="H406" s="49">
        <v>0</v>
      </c>
      <c r="I406" s="38">
        <f>B406*D406*17</f>
        <v>1213.8000000000002</v>
      </c>
      <c r="J406" s="38">
        <f>B406*D406*30</f>
        <v>2142</v>
      </c>
      <c r="K406" s="38">
        <f>B406*D406*31</f>
        <v>2213.4</v>
      </c>
      <c r="L406" s="38">
        <f>B406*D406*30</f>
        <v>2142</v>
      </c>
      <c r="M406" s="38">
        <f>B406*D406*31</f>
        <v>2213.4</v>
      </c>
      <c r="N406" s="38">
        <f>B406*D406*31</f>
        <v>2213.4</v>
      </c>
      <c r="O406" s="38">
        <f>B406*D406*30</f>
        <v>2142</v>
      </c>
      <c r="P406" s="38">
        <f t="shared" si="199"/>
        <v>2213.4</v>
      </c>
      <c r="Q406" s="38">
        <f t="shared" si="200"/>
        <v>2142</v>
      </c>
      <c r="R406" s="38">
        <f t="shared" si="201"/>
        <v>2213.4</v>
      </c>
    </row>
    <row r="407" spans="1:18" s="14" customFormat="1" ht="15.75" customHeight="1">
      <c r="A407" s="84" t="s">
        <v>58</v>
      </c>
      <c r="B407" s="47">
        <v>1</v>
      </c>
      <c r="C407" s="47">
        <v>365</v>
      </c>
      <c r="D407" s="48">
        <v>75.64</v>
      </c>
      <c r="E407" s="38">
        <f t="shared" si="198"/>
        <v>27608.6</v>
      </c>
      <c r="F407" s="44"/>
      <c r="G407" s="38">
        <f>B407*D407*31</f>
        <v>2344.84</v>
      </c>
      <c r="H407" s="49">
        <f>B407*D407*28</f>
        <v>2117.92</v>
      </c>
      <c r="I407" s="38">
        <f>B407*D407*31</f>
        <v>2344.84</v>
      </c>
      <c r="J407" s="38">
        <f>B407*D407*30</f>
        <v>2269.2</v>
      </c>
      <c r="K407" s="38">
        <f>B407*D407*31</f>
        <v>2344.84</v>
      </c>
      <c r="L407" s="38">
        <f>B407*D407*30</f>
        <v>2269.2</v>
      </c>
      <c r="M407" s="38">
        <f>B407*D407*31</f>
        <v>2344.84</v>
      </c>
      <c r="N407" s="38">
        <f>B407*D407*31</f>
        <v>2344.84</v>
      </c>
      <c r="O407" s="38">
        <f>B407*D407*30</f>
        <v>2269.2</v>
      </c>
      <c r="P407" s="38">
        <f t="shared" si="199"/>
        <v>2344.84</v>
      </c>
      <c r="Q407" s="38">
        <f t="shared" si="200"/>
        <v>2269.2</v>
      </c>
      <c r="R407" s="38">
        <f t="shared" si="201"/>
        <v>2344.84</v>
      </c>
    </row>
    <row r="408" spans="1:18" s="14" customFormat="1" ht="15.75" customHeight="1">
      <c r="A408" s="84" t="s">
        <v>143</v>
      </c>
      <c r="B408" s="47">
        <v>1</v>
      </c>
      <c r="C408" s="47">
        <v>150</v>
      </c>
      <c r="D408" s="48">
        <v>78.25</v>
      </c>
      <c r="E408" s="38">
        <f t="shared" si="198"/>
        <v>11737.5</v>
      </c>
      <c r="F408" s="44"/>
      <c r="G408" s="38">
        <v>0</v>
      </c>
      <c r="H408" s="38">
        <v>0</v>
      </c>
      <c r="I408" s="38">
        <v>0</v>
      </c>
      <c r="J408" s="38">
        <v>0</v>
      </c>
      <c r="K408" s="38">
        <v>0</v>
      </c>
      <c r="L408" s="38">
        <v>0</v>
      </c>
      <c r="M408" s="38">
        <v>0</v>
      </c>
      <c r="N408" s="38">
        <f>B408*D408*28</f>
        <v>2191</v>
      </c>
      <c r="O408" s="38">
        <f>B408*D408*30</f>
        <v>2347.5</v>
      </c>
      <c r="P408" s="38">
        <f t="shared" si="199"/>
        <v>2425.75</v>
      </c>
      <c r="Q408" s="38">
        <f t="shared" si="200"/>
        <v>2347.5</v>
      </c>
      <c r="R408" s="38">
        <f t="shared" si="201"/>
        <v>2425.75</v>
      </c>
    </row>
    <row r="409" spans="1:18" s="14" customFormat="1" ht="15.75" customHeight="1">
      <c r="A409" s="84" t="s">
        <v>67</v>
      </c>
      <c r="B409" s="47">
        <v>67</v>
      </c>
      <c r="C409" s="47">
        <v>50</v>
      </c>
      <c r="D409" s="48">
        <v>71.4</v>
      </c>
      <c r="E409" s="38">
        <f t="shared" si="198"/>
        <v>239190.00000000003</v>
      </c>
      <c r="F409" s="44"/>
      <c r="G409" s="38">
        <v>0</v>
      </c>
      <c r="H409" s="38">
        <v>0</v>
      </c>
      <c r="I409" s="38">
        <f>B409*D409*20</f>
        <v>95676</v>
      </c>
      <c r="J409" s="38">
        <f>B409*D409*30</f>
        <v>143514</v>
      </c>
      <c r="K409" s="38">
        <v>0</v>
      </c>
      <c r="L409" s="38">
        <v>0</v>
      </c>
      <c r="M409" s="38">
        <v>0</v>
      </c>
      <c r="N409" s="38">
        <v>0</v>
      </c>
      <c r="O409" s="38">
        <v>0</v>
      </c>
      <c r="P409" s="38">
        <v>0</v>
      </c>
      <c r="Q409" s="38">
        <v>0</v>
      </c>
      <c r="R409" s="38">
        <v>0</v>
      </c>
    </row>
    <row r="410" spans="1:18" s="14" customFormat="1" ht="15.75" customHeight="1">
      <c r="A410" s="84" t="s">
        <v>67</v>
      </c>
      <c r="B410" s="47">
        <v>68</v>
      </c>
      <c r="C410" s="47">
        <v>35</v>
      </c>
      <c r="D410" s="48">
        <v>71.4</v>
      </c>
      <c r="E410" s="38">
        <f t="shared" si="198"/>
        <v>169932</v>
      </c>
      <c r="F410" s="44"/>
      <c r="G410" s="38">
        <v>0</v>
      </c>
      <c r="H410" s="38">
        <v>0</v>
      </c>
      <c r="I410" s="38">
        <v>0</v>
      </c>
      <c r="J410" s="38">
        <v>0</v>
      </c>
      <c r="K410" s="38">
        <f>B410*D410*31</f>
        <v>150511.2</v>
      </c>
      <c r="L410" s="38">
        <f>B410*D410*4</f>
        <v>19420.800000000003</v>
      </c>
      <c r="M410" s="38">
        <v>0</v>
      </c>
      <c r="N410" s="38">
        <v>0</v>
      </c>
      <c r="O410" s="38">
        <v>0</v>
      </c>
      <c r="P410" s="38">
        <v>0</v>
      </c>
      <c r="Q410" s="38">
        <v>0</v>
      </c>
      <c r="R410" s="38">
        <v>0</v>
      </c>
    </row>
    <row r="411" spans="1:18" s="14" customFormat="1" ht="15.75" customHeight="1">
      <c r="A411" s="84" t="s">
        <v>67</v>
      </c>
      <c r="B411" s="47">
        <v>3</v>
      </c>
      <c r="C411" s="47">
        <v>15</v>
      </c>
      <c r="D411" s="48">
        <v>71.4</v>
      </c>
      <c r="E411" s="38">
        <f t="shared" si="198"/>
        <v>3213.0000000000005</v>
      </c>
      <c r="F411" s="44"/>
      <c r="G411" s="38">
        <v>0</v>
      </c>
      <c r="H411" s="38">
        <v>0</v>
      </c>
      <c r="I411" s="38">
        <v>0</v>
      </c>
      <c r="J411" s="38">
        <v>0</v>
      </c>
      <c r="K411" s="38">
        <f>B411*D411*15</f>
        <v>3213.0000000000005</v>
      </c>
      <c r="L411" s="38">
        <v>0</v>
      </c>
      <c r="M411" s="38">
        <v>0</v>
      </c>
      <c r="N411" s="38">
        <v>0</v>
      </c>
      <c r="O411" s="38">
        <v>0</v>
      </c>
      <c r="P411" s="38">
        <v>0</v>
      </c>
      <c r="Q411" s="38">
        <v>0</v>
      </c>
      <c r="R411" s="38">
        <v>0</v>
      </c>
    </row>
    <row r="412" spans="1:18" s="14" customFormat="1" ht="15.75" customHeight="1">
      <c r="A412" s="84" t="s">
        <v>67</v>
      </c>
      <c r="B412" s="47">
        <v>3</v>
      </c>
      <c r="C412" s="47">
        <v>30</v>
      </c>
      <c r="D412" s="48">
        <v>71.4</v>
      </c>
      <c r="E412" s="38">
        <f t="shared" si="198"/>
        <v>6426.000000000001</v>
      </c>
      <c r="F412" s="44"/>
      <c r="G412" s="38">
        <v>0</v>
      </c>
      <c r="H412" s="38">
        <v>0</v>
      </c>
      <c r="I412" s="38">
        <v>0</v>
      </c>
      <c r="J412" s="38">
        <v>0</v>
      </c>
      <c r="K412" s="38">
        <v>0</v>
      </c>
      <c r="L412" s="38">
        <f>B412*D412*30</f>
        <v>6426.000000000001</v>
      </c>
      <c r="M412" s="38">
        <v>0</v>
      </c>
      <c r="N412" s="38">
        <v>0</v>
      </c>
      <c r="O412" s="38">
        <v>0</v>
      </c>
      <c r="P412" s="38">
        <v>0</v>
      </c>
      <c r="Q412" s="38">
        <v>0</v>
      </c>
      <c r="R412" s="38">
        <v>0</v>
      </c>
    </row>
    <row r="413" spans="1:18" s="14" customFormat="1" ht="15.75" customHeight="1">
      <c r="A413" s="84" t="s">
        <v>67</v>
      </c>
      <c r="B413" s="47">
        <v>2</v>
      </c>
      <c r="C413" s="47">
        <v>31</v>
      </c>
      <c r="D413" s="48">
        <v>71.4</v>
      </c>
      <c r="E413" s="38">
        <f t="shared" si="198"/>
        <v>4426.8</v>
      </c>
      <c r="F413" s="44"/>
      <c r="G413" s="38">
        <v>0</v>
      </c>
      <c r="H413" s="38">
        <v>0</v>
      </c>
      <c r="I413" s="38">
        <v>0</v>
      </c>
      <c r="J413" s="38">
        <v>0</v>
      </c>
      <c r="K413" s="38">
        <v>0</v>
      </c>
      <c r="L413" s="38"/>
      <c r="M413" s="38">
        <f>B413*D413*31</f>
        <v>4426.8</v>
      </c>
      <c r="N413" s="38"/>
      <c r="O413" s="38"/>
      <c r="P413" s="38"/>
      <c r="Q413" s="38"/>
      <c r="R413" s="38"/>
    </row>
    <row r="414" spans="1:18" s="14" customFormat="1" ht="15.75" customHeight="1">
      <c r="A414" s="86" t="s">
        <v>8</v>
      </c>
      <c r="B414" s="63"/>
      <c r="C414" s="64"/>
      <c r="D414" s="65"/>
      <c r="E414" s="68">
        <v>85916.42</v>
      </c>
      <c r="F414" s="87"/>
      <c r="G414" s="68"/>
      <c r="H414" s="88"/>
      <c r="I414" s="89"/>
      <c r="J414" s="68"/>
      <c r="K414" s="68"/>
      <c r="L414" s="89"/>
      <c r="M414" s="68"/>
      <c r="N414" s="68"/>
      <c r="O414" s="68"/>
      <c r="P414" s="68"/>
      <c r="Q414" s="68">
        <v>85916.42</v>
      </c>
      <c r="R414" s="89"/>
    </row>
    <row r="415" spans="1:18" s="14" customFormat="1" ht="15.75" customHeight="1">
      <c r="A415" s="56"/>
      <c r="B415" s="90"/>
      <c r="C415" s="91"/>
      <c r="D415" s="92"/>
      <c r="E415" s="122"/>
      <c r="F415" s="36"/>
      <c r="G415" s="93"/>
      <c r="H415" s="94"/>
      <c r="I415" s="93"/>
      <c r="J415" s="93"/>
      <c r="K415" s="93"/>
      <c r="L415" s="93"/>
      <c r="M415" s="93"/>
      <c r="N415" s="93"/>
      <c r="O415" s="93"/>
      <c r="P415" s="93"/>
      <c r="Q415" s="93"/>
      <c r="R415" s="93"/>
    </row>
    <row r="416" spans="1:8" s="14" customFormat="1" ht="12">
      <c r="A416" s="95"/>
      <c r="B416" s="96"/>
      <c r="C416" s="96"/>
      <c r="E416" s="115"/>
      <c r="F416" s="21"/>
      <c r="H416" s="22"/>
    </row>
    <row r="417" spans="1:8" s="14" customFormat="1" ht="12">
      <c r="A417" s="95"/>
      <c r="B417" s="96"/>
      <c r="C417" s="96"/>
      <c r="E417" s="115"/>
      <c r="F417" s="21"/>
      <c r="H417" s="22"/>
    </row>
    <row r="418" spans="1:8" s="14" customFormat="1" ht="12">
      <c r="A418" s="95"/>
      <c r="B418" s="96"/>
      <c r="C418" s="96"/>
      <c r="E418" s="115"/>
      <c r="F418" s="21"/>
      <c r="H418" s="22"/>
    </row>
    <row r="419" spans="1:7" ht="12">
      <c r="A419" s="97"/>
      <c r="B419" s="98"/>
      <c r="C419" s="98"/>
      <c r="D419" s="99"/>
      <c r="F419" s="100"/>
      <c r="G419" s="99"/>
    </row>
    <row r="420" spans="1:7" ht="12">
      <c r="A420" s="97"/>
      <c r="B420" s="98"/>
      <c r="C420" s="98"/>
      <c r="D420" s="99"/>
      <c r="F420" s="100"/>
      <c r="G420" s="99"/>
    </row>
    <row r="421" spans="1:7" ht="12">
      <c r="A421" s="97"/>
      <c r="B421" s="98"/>
      <c r="C421" s="98"/>
      <c r="D421" s="99"/>
      <c r="F421" s="100"/>
      <c r="G421" s="99"/>
    </row>
    <row r="422" spans="1:7" ht="12">
      <c r="A422" s="97"/>
      <c r="B422" s="98"/>
      <c r="C422" s="98"/>
      <c r="D422" s="99"/>
      <c r="F422" s="100"/>
      <c r="G422" s="99"/>
    </row>
    <row r="423" spans="1:7" ht="12">
      <c r="A423" s="97"/>
      <c r="B423" s="98"/>
      <c r="C423" s="98"/>
      <c r="D423" s="99"/>
      <c r="F423" s="100"/>
      <c r="G423" s="99"/>
    </row>
    <row r="424" spans="1:7" ht="12">
      <c r="A424" s="97"/>
      <c r="B424" s="98"/>
      <c r="C424" s="98"/>
      <c r="D424" s="99"/>
      <c r="F424" s="100"/>
      <c r="G424" s="99"/>
    </row>
    <row r="425" spans="1:7" ht="12">
      <c r="A425" s="97"/>
      <c r="B425" s="98"/>
      <c r="C425" s="98"/>
      <c r="D425" s="99"/>
      <c r="F425" s="100"/>
      <c r="G425" s="99"/>
    </row>
    <row r="426" spans="1:7" ht="12">
      <c r="A426" s="97"/>
      <c r="B426" s="98"/>
      <c r="C426" s="98"/>
      <c r="D426" s="99"/>
      <c r="F426" s="100"/>
      <c r="G426" s="99"/>
    </row>
    <row r="427" spans="1:7" ht="12">
      <c r="A427" s="97"/>
      <c r="B427" s="98"/>
      <c r="C427" s="98"/>
      <c r="D427" s="99"/>
      <c r="F427" s="100"/>
      <c r="G427" s="99"/>
    </row>
    <row r="469" ht="0.75" customHeight="1"/>
    <row r="470" ht="12" hidden="1"/>
    <row r="471" ht="12" hidden="1"/>
    <row r="472" ht="12" hidden="1"/>
  </sheetData>
  <sheetProtection/>
  <mergeCells count="18">
    <mergeCell ref="O10:O11"/>
    <mergeCell ref="P10:P11"/>
    <mergeCell ref="Q10:Q11"/>
    <mergeCell ref="R10:R11"/>
    <mergeCell ref="K10:K11"/>
    <mergeCell ref="L10:L11"/>
    <mergeCell ref="M10:M11"/>
    <mergeCell ref="N10:N11"/>
    <mergeCell ref="A5:R5"/>
    <mergeCell ref="A6:R6"/>
    <mergeCell ref="A10:A11"/>
    <mergeCell ref="C10:C11"/>
    <mergeCell ref="D10:D11"/>
    <mergeCell ref="E10:E11"/>
    <mergeCell ref="G10:G11"/>
    <mergeCell ref="H10:H11"/>
    <mergeCell ref="I10:I11"/>
    <mergeCell ref="J10:J11"/>
  </mergeCells>
  <printOptions horizontalCentered="1"/>
  <pageMargins left="0.3937007874015748" right="0.03937007874015748" top="0.7874015748031497" bottom="1.1811023622047245" header="0" footer="0"/>
  <pageSetup fitToHeight="0" fitToWidth="1" horizontalDpi="600" verticalDpi="600" orientation="landscape" paperSize="14" scale="58" r:id="rId1"/>
  <headerFooter alignWithMargins="0">
    <oddFooter>&amp;CPágina &amp;P de &amp;N</oddFooter>
  </headerFooter>
  <rowBreaks count="10" manualBreakCount="10">
    <brk id="46" max="17" man="1"/>
    <brk id="82" max="17" man="1"/>
    <brk id="123" max="17" man="1"/>
    <brk id="153" max="17" man="1"/>
    <brk id="196" max="17" man="1"/>
    <brk id="238" max="17" man="1"/>
    <brk id="272" max="17" man="1"/>
    <brk id="312" max="17" man="1"/>
    <brk id="358" max="17" man="1"/>
    <brk id="38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MINIST. DE CULTURA Y DEP. COM</dc:creator>
  <cp:keywords/>
  <dc:description/>
  <cp:lastModifiedBy>amperez</cp:lastModifiedBy>
  <cp:lastPrinted>2018-01-17T21:38:45Z</cp:lastPrinted>
  <dcterms:created xsi:type="dcterms:W3CDTF">2005-01-19T21:53:59Z</dcterms:created>
  <dcterms:modified xsi:type="dcterms:W3CDTF">2018-02-13T22:25:31Z</dcterms:modified>
  <cp:category/>
  <cp:version/>
  <cp:contentType/>
  <cp:contentStatus/>
</cp:coreProperties>
</file>